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7D47289B-E87B-4BB9-B9AC-9C2B90020671}" xr6:coauthVersionLast="47" xr6:coauthVersionMax="47" xr10:uidLastSave="{00000000-0000-0000-0000-000000000000}"/>
  <bookViews>
    <workbookView xWindow="-110" yWindow="-110" windowWidth="25820" windowHeight="15500" firstSheet="1" activeTab="6" xr2:uid="{00000000-000D-0000-FFFF-FFFF00000000}"/>
  </bookViews>
  <sheets>
    <sheet name="__FDSCACHE__" sheetId="2" state="veryHidden" r:id="rId1"/>
    <sheet name="Assumption" sheetId="8" r:id="rId2"/>
    <sheet name="Technical Strength" sheetId="58" r:id="rId3"/>
    <sheet name="OUTPUT_COUNTRY" sheetId="40" r:id="rId4"/>
    <sheet name="PORTFOLIO" sheetId="55" r:id="rId5"/>
    <sheet name="OUTPUT_PPT" sheetId="49" r:id="rId6"/>
    <sheet name="mnemonics" sheetId="20" r:id="rId7"/>
    <sheet name="Value -2 " sheetId="1" r:id="rId8"/>
    <sheet name="LIQIDITY 2" sheetId="28" r:id="rId9"/>
    <sheet name="Quality - 2" sheetId="39" r:id="rId10"/>
    <sheet name="Momnetum ranking" sheetId="12" r:id="rId11"/>
    <sheet name="Safety" sheetId="13" r:id="rId12"/>
    <sheet name="Timing" sheetId="56" r:id="rId13"/>
    <sheet name="Leading Indicator" sheetId="52" r:id="rId14"/>
    <sheet name="t -PE" sheetId="46" r:id="rId15"/>
    <sheet name="Forwa Pe" sheetId="47" r:id="rId16"/>
    <sheet name="DY " sheetId="7" r:id="rId17"/>
    <sheet name="Monthly Returns" sheetId="5" r:id="rId18"/>
    <sheet name="Yearly returns" sheetId="15" r:id="rId19"/>
    <sheet name="Index earnings" sheetId="18" r:id="rId20"/>
    <sheet name="GDP_GROWTH" sheetId="45" r:id="rId21"/>
    <sheet name="Currency- 2" sheetId="42" r:id="rId22"/>
    <sheet name="Chart1" sheetId="36" state="hidden" r:id="rId23"/>
    <sheet name="CAD" sheetId="43" r:id="rId24"/>
    <sheet name="Country Int rates " sheetId="9" r:id="rId25"/>
    <sheet name="Index ROE" sheetId="38" r:id="rId26"/>
    <sheet name="Economic Momentum" sheetId="48" r:id="rId27"/>
    <sheet name="Market Capitalisation" sheetId="57" r:id="rId28"/>
  </sheets>
  <definedNames>
    <definedName name="_xlnm._FilterDatabase" localSheetId="10" hidden="1">'Momnetum ranking'!$A$2:$AK$30</definedName>
    <definedName name="_xlnm._FilterDatabase" localSheetId="3" hidden="1">OUTPUT_COUNTRY!$B$6:$N$6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1" l="1" a="1"/>
  <c r="O10" i="1" l="1"/>
  <c r="O18" i="1" a="1"/>
  <c r="O18" i="1" l="1"/>
  <c r="O21" i="1" a="1"/>
  <c r="O23" i="1" a="1"/>
  <c r="O21" i="1" l="1"/>
  <c r="O23" i="1"/>
  <c r="O20" i="1" a="1"/>
  <c r="O20" i="1" l="1"/>
  <c r="O11" i="1" a="1"/>
  <c r="O11" i="1" l="1"/>
  <c r="O14" i="1" a="1"/>
  <c r="O14" i="1" l="1"/>
  <c r="O5" i="1" a="1"/>
  <c r="G33" i="57" a="1"/>
  <c r="G16" i="57" a="1"/>
  <c r="D33" i="57" a="1"/>
  <c r="D16" i="57" a="1"/>
  <c r="D15" i="57" a="1"/>
  <c r="G30" i="57" a="1"/>
  <c r="G14" i="57" a="1"/>
  <c r="D14" i="57" a="1"/>
  <c r="G29" i="57" a="1"/>
  <c r="G13" i="57" a="1"/>
  <c r="D13" i="57" a="1"/>
  <c r="G28" i="57" a="1"/>
  <c r="D28" i="57" a="1"/>
  <c r="G11" i="57" a="1"/>
  <c r="D27" i="57" a="1"/>
  <c r="G26" i="57" a="1"/>
  <c r="D10" i="57" a="1"/>
  <c r="G25" i="57" a="1"/>
  <c r="D25" i="57" a="1"/>
  <c r="G24" i="57" a="1"/>
  <c r="D8" i="57" a="1"/>
  <c r="G7" i="57" a="1"/>
  <c r="G6" i="57" a="1"/>
  <c r="D22" i="57" a="1"/>
  <c r="D6" i="57" a="1"/>
  <c r="G21" i="57" a="1"/>
  <c r="D21" i="57" a="1"/>
  <c r="G20" i="57" a="1"/>
  <c r="D20" i="57" a="1"/>
  <c r="G3" i="57" a="1"/>
  <c r="D3" i="57" a="1"/>
  <c r="G18" i="57" a="1"/>
  <c r="D17" i="57" a="1"/>
  <c r="G31" i="57" a="1"/>
  <c r="G15" i="57" a="1"/>
  <c r="D31" i="57" a="1"/>
  <c r="D30" i="57" a="1"/>
  <c r="D29" i="57" a="1"/>
  <c r="G12" i="57" a="1"/>
  <c r="D12" i="57" a="1"/>
  <c r="G27" i="57" a="1"/>
  <c r="D11" i="57" a="1"/>
  <c r="G10" i="57" a="1"/>
  <c r="D26" i="57" a="1"/>
  <c r="G9" i="57" a="1"/>
  <c r="D9" i="57" a="1"/>
  <c r="G8" i="57" a="1"/>
  <c r="D24" i="57" a="1"/>
  <c r="G23" i="57" a="1"/>
  <c r="D23" i="57" a="1"/>
  <c r="D7" i="57" a="1"/>
  <c r="G22" i="57" a="1"/>
  <c r="G5" i="57" a="1"/>
  <c r="D5" i="57" a="1"/>
  <c r="G4" i="57" a="1"/>
  <c r="D4" i="57" a="1"/>
  <c r="G19" i="57" a="1"/>
  <c r="D19" i="57" a="1"/>
  <c r="G2" i="57" a="1"/>
  <c r="D18" i="57" a="1"/>
  <c r="D2" i="57" a="1"/>
  <c r="G17" i="57" a="1"/>
  <c r="E33" i="57" a="1"/>
  <c r="B33" i="57" a="1"/>
  <c r="O5" i="1" l="1"/>
  <c r="B33" i="57"/>
  <c r="E33" i="57"/>
  <c r="G17" i="57"/>
  <c r="D2" i="57"/>
  <c r="D18" i="57"/>
  <c r="G2" i="57"/>
  <c r="D19" i="57"/>
  <c r="G19" i="57"/>
  <c r="D4" i="57"/>
  <c r="G4" i="57"/>
  <c r="D5" i="57"/>
  <c r="G5" i="57"/>
  <c r="G22" i="57"/>
  <c r="D7" i="57"/>
  <c r="D23" i="57"/>
  <c r="G23" i="57"/>
  <c r="D24" i="57"/>
  <c r="G8" i="57"/>
  <c r="D9" i="57"/>
  <c r="G9" i="57"/>
  <c r="D26" i="57"/>
  <c r="G10" i="57"/>
  <c r="D11" i="57"/>
  <c r="G27" i="57"/>
  <c r="D12" i="57"/>
  <c r="G12" i="57"/>
  <c r="D29" i="57"/>
  <c r="D30" i="57"/>
  <c r="D31" i="57"/>
  <c r="G15" i="57"/>
  <c r="G31" i="57"/>
  <c r="D17" i="57"/>
  <c r="G18" i="57"/>
  <c r="D3" i="57"/>
  <c r="G3" i="57"/>
  <c r="D20" i="57"/>
  <c r="G20" i="57"/>
  <c r="D21" i="57"/>
  <c r="G21" i="57"/>
  <c r="D6" i="57"/>
  <c r="D22" i="57"/>
  <c r="G6" i="57"/>
  <c r="G7" i="57"/>
  <c r="D8" i="57"/>
  <c r="G24" i="57"/>
  <c r="D25" i="57"/>
  <c r="G25" i="57"/>
  <c r="D10" i="57"/>
  <c r="G26" i="57"/>
  <c r="D27" i="57"/>
  <c r="G11" i="57"/>
  <c r="D28" i="57"/>
  <c r="G28" i="57"/>
  <c r="D13" i="57"/>
  <c r="G13" i="57"/>
  <c r="G29" i="57"/>
  <c r="D14" i="57"/>
  <c r="G14" i="57"/>
  <c r="G30" i="57"/>
  <c r="D15" i="57"/>
  <c r="D16" i="57"/>
  <c r="D33" i="57"/>
  <c r="G16" i="57"/>
  <c r="G33" i="57"/>
  <c r="M8" i="48" a="1"/>
  <c r="M4" i="48" a="1"/>
  <c r="M14" i="48" a="1"/>
  <c r="M24" i="48" a="1"/>
  <c r="M18" i="48" a="1"/>
  <c r="M7" i="48" a="1"/>
  <c r="M17" i="48" a="1"/>
  <c r="M23" i="48" a="1"/>
  <c r="M16" i="48" a="1"/>
  <c r="M13" i="48" a="1"/>
  <c r="M10" i="48" a="1"/>
  <c r="M6" i="48" a="1"/>
  <c r="M15" i="48" a="1"/>
  <c r="M12" i="48" a="1"/>
  <c r="M11" i="48" a="1"/>
  <c r="M21" i="48" a="1"/>
  <c r="M20" i="48" a="1"/>
  <c r="M19" i="48" a="1"/>
  <c r="M19" i="48" l="1"/>
  <c r="M20" i="48"/>
  <c r="M21" i="48"/>
  <c r="M11" i="48"/>
  <c r="M12" i="48"/>
  <c r="M15" i="48"/>
  <c r="M6" i="48"/>
  <c r="M10" i="48"/>
  <c r="M13" i="48"/>
  <c r="M16" i="48"/>
  <c r="M23" i="48"/>
  <c r="M17" i="48"/>
  <c r="M7" i="48"/>
  <c r="M18" i="48"/>
  <c r="M24" i="48"/>
  <c r="M14" i="48"/>
  <c r="M4" i="48"/>
  <c r="M8" i="48"/>
  <c r="Y2" i="12" l="1"/>
  <c r="G18" i="43" a="1"/>
  <c r="G10" i="43" a="1"/>
  <c r="C22" i="43" a="1"/>
  <c r="C6" i="43" a="1"/>
  <c r="F22" i="42" a="1"/>
  <c r="F20" i="42" a="1"/>
  <c r="F18" i="42" a="1"/>
  <c r="F16" i="42" a="1"/>
  <c r="F14" i="42" a="1"/>
  <c r="F12" i="42" a="1"/>
  <c r="J28" i="48" a="1"/>
  <c r="H2" i="38" a="1"/>
  <c r="AF4" i="9" a="1"/>
  <c r="P4" i="9" a="1"/>
  <c r="H17" i="43" a="1"/>
  <c r="H9" i="43" a="1"/>
  <c r="C21" i="43" a="1"/>
  <c r="C5" i="43" a="1"/>
  <c r="E22" i="42" a="1"/>
  <c r="E20" i="42" a="1"/>
  <c r="E18" i="42" a="1"/>
  <c r="E16" i="42" a="1"/>
  <c r="E14" i="42" a="1"/>
  <c r="E12" i="42" a="1"/>
  <c r="E10" i="42" a="1"/>
  <c r="E8" i="42" a="1"/>
  <c r="E6" i="42" a="1"/>
  <c r="E4" i="42" a="1"/>
  <c r="Q3" i="18" a="1"/>
  <c r="J27" i="48" a="1"/>
  <c r="G2" i="38" a="1"/>
  <c r="AE4" i="9" a="1"/>
  <c r="O4" i="9" a="1"/>
  <c r="G17" i="43" a="1"/>
  <c r="G9" i="43" a="1"/>
  <c r="C20" i="43" a="1"/>
  <c r="C4" i="43" a="1"/>
  <c r="D22" i="42" a="1"/>
  <c r="D20" i="42" a="1"/>
  <c r="D18" i="42" a="1"/>
  <c r="D16" i="42" a="1"/>
  <c r="D14" i="42" a="1"/>
  <c r="D12" i="42" a="1"/>
  <c r="D10" i="42" a="1"/>
  <c r="D8" i="42" a="1"/>
  <c r="D6" i="42" a="1"/>
  <c r="D4" i="42" a="1"/>
  <c r="P3" i="18" a="1"/>
  <c r="V2" i="15" a="1"/>
  <c r="F2" i="15" a="1"/>
  <c r="L2" i="5" a="1"/>
  <c r="R2" i="7" a="1"/>
  <c r="B2" i="7" a="1"/>
  <c r="H2" i="47" a="1"/>
  <c r="N2" i="46" a="1"/>
  <c r="H12" i="52" a="1"/>
  <c r="H10" i="52" a="1"/>
  <c r="H8" i="52" a="1"/>
  <c r="H6" i="52" a="1"/>
  <c r="H4" i="52" a="1"/>
  <c r="T25" i="56" a="1"/>
  <c r="V2" i="38" a="1"/>
  <c r="F2" i="38" a="1"/>
  <c r="AD4" i="9" a="1"/>
  <c r="N4" i="9" a="1"/>
  <c r="H16" i="43" a="1"/>
  <c r="H8" i="43" a="1"/>
  <c r="C19" i="43" a="1"/>
  <c r="C3" i="43" a="1"/>
  <c r="C22" i="42" a="1"/>
  <c r="C20" i="42" a="1"/>
  <c r="C18" i="42" a="1"/>
  <c r="C16" i="42" a="1"/>
  <c r="C14" i="42" a="1"/>
  <c r="C12" i="42" a="1"/>
  <c r="C10" i="42" a="1"/>
  <c r="C8" i="42" a="1"/>
  <c r="C6" i="42" a="1"/>
  <c r="C4" i="42" a="1"/>
  <c r="O3" i="18" a="1"/>
  <c r="U2" i="15" a="1"/>
  <c r="E2" i="15" a="1"/>
  <c r="K2" i="5" a="1"/>
  <c r="Q2" i="7" a="1"/>
  <c r="A2" i="7" a="1"/>
  <c r="G2" i="47" a="1"/>
  <c r="M2" i="46" a="1"/>
  <c r="G12" i="52" a="1"/>
  <c r="G10" i="52" a="1"/>
  <c r="G8" i="52" a="1"/>
  <c r="G6" i="52" a="1"/>
  <c r="G4" i="52" a="1"/>
  <c r="S25" i="56" a="1"/>
  <c r="S21" i="56" a="1"/>
  <c r="S17" i="56" a="1"/>
  <c r="S13" i="56" a="1"/>
  <c r="S9" i="56" a="1"/>
  <c r="S5" i="56" a="1"/>
  <c r="G22" i="56" a="1"/>
  <c r="G18" i="56" a="1"/>
  <c r="G14" i="56" a="1"/>
  <c r="G10" i="56" a="1"/>
  <c r="G6" i="56" a="1"/>
  <c r="Q22" i="12" a="1"/>
  <c r="S20" i="12" a="1"/>
  <c r="L19" i="12" a="1"/>
  <c r="N17" i="12" a="1"/>
  <c r="P15" i="12" a="1"/>
  <c r="R13" i="12" a="1"/>
  <c r="K12" i="12" a="1"/>
  <c r="U2" i="38" a="1"/>
  <c r="E2" i="38" a="1"/>
  <c r="A4" i="9" a="1"/>
  <c r="T2" i="38" a="1"/>
  <c r="D2" i="38" a="1"/>
  <c r="AB4" i="9" a="1"/>
  <c r="H23" i="43" a="1"/>
  <c r="H15" i="43" a="1"/>
  <c r="S2" i="38" a="1"/>
  <c r="C2" i="38" a="1"/>
  <c r="AA4" i="9" a="1"/>
  <c r="G23" i="43" a="1"/>
  <c r="G15" i="43" a="1"/>
  <c r="G7" i="43" a="1"/>
  <c r="R2" i="38" a="1"/>
  <c r="B2" i="38" a="1"/>
  <c r="Q2" i="38" a="1"/>
  <c r="G22" i="43" a="1"/>
  <c r="P2" i="38" a="1"/>
  <c r="H21" i="43" a="1"/>
  <c r="O2" i="38" a="1"/>
  <c r="G21" i="43" a="1"/>
  <c r="G13" i="43" a="1"/>
  <c r="G5" i="43" a="1"/>
  <c r="C12" i="43" a="1"/>
  <c r="D23" i="42" a="1"/>
  <c r="D21" i="42" a="1"/>
  <c r="D19" i="42" a="1"/>
  <c r="D17" i="42" a="1"/>
  <c r="D15" i="42" a="1"/>
  <c r="D13" i="42" a="1"/>
  <c r="D11" i="42" a="1"/>
  <c r="D9" i="42" a="1"/>
  <c r="D7" i="42" a="1"/>
  <c r="D5" i="42" a="1"/>
  <c r="D3" i="42" a="1"/>
  <c r="H3" i="18" a="1"/>
  <c r="N2" i="15" a="1"/>
  <c r="T2" i="5" a="1"/>
  <c r="D2" i="5" a="1"/>
  <c r="J2" i="7" a="1"/>
  <c r="P2" i="47" a="1"/>
  <c r="V2" i="46" a="1"/>
  <c r="F2" i="46" a="1"/>
  <c r="H11" i="52" a="1"/>
  <c r="H9" i="52" a="1"/>
  <c r="H7" i="52" a="1"/>
  <c r="H5" i="52" a="1"/>
  <c r="H3" i="52" a="1"/>
  <c r="T23" i="56" a="1"/>
  <c r="T19" i="56" a="1"/>
  <c r="T15" i="56" a="1"/>
  <c r="T11" i="56" a="1"/>
  <c r="T7" i="56" a="1"/>
  <c r="H24" i="56" a="1"/>
  <c r="H20" i="56" a="1"/>
  <c r="L2" i="38" a="1"/>
  <c r="K2" i="38" a="1"/>
  <c r="I2" i="38" a="1"/>
  <c r="AG4" i="9" a="1"/>
  <c r="Q4" i="9" a="1"/>
  <c r="N2" i="38" a="1"/>
  <c r="T4" i="9" a="1"/>
  <c r="H10" i="43" a="1"/>
  <c r="C15" i="43" a="1"/>
  <c r="G17" i="42" a="1"/>
  <c r="H4" i="42" a="1"/>
  <c r="S2" i="5" a="1"/>
  <c r="V2" i="7" a="1"/>
  <c r="E11" i="52" a="1"/>
  <c r="J8" i="52" a="1"/>
  <c r="V22" i="56" a="1"/>
  <c r="T13" i="56" a="1"/>
  <c r="J24" i="56" a="1"/>
  <c r="G20" i="56" a="1"/>
  <c r="I15" i="56" a="1"/>
  <c r="G11" i="56" a="1"/>
  <c r="H6" i="56" a="1"/>
  <c r="O22" i="12" a="1"/>
  <c r="O20" i="12" a="1"/>
  <c r="O18" i="12" a="1"/>
  <c r="O16" i="12" a="1"/>
  <c r="O14" i="12" a="1"/>
  <c r="O12" i="12" a="1"/>
  <c r="N10" i="12" a="1"/>
  <c r="N8" i="12" a="1"/>
  <c r="O4" i="12" a="1"/>
  <c r="L34" i="12" a="1"/>
  <c r="G21" i="12" a="1"/>
  <c r="E10" i="12" a="1"/>
  <c r="G3" i="12" a="1"/>
  <c r="H11" i="39" a="1"/>
  <c r="L22" i="28" a="1"/>
  <c r="D15" i="28" a="1"/>
  <c r="K5" i="28" a="1"/>
  <c r="E23" i="28" a="1"/>
  <c r="E14" i="28" a="1"/>
  <c r="O13" i="1" a="1"/>
  <c r="F28" i="1" a="1"/>
  <c r="J22" i="1" a="1"/>
  <c r="K17" i="1" a="1"/>
  <c r="I10" i="1" a="1"/>
  <c r="F8" i="1" a="1"/>
  <c r="C16" i="55" a="1"/>
  <c r="J5" i="56" a="1"/>
  <c r="F9" i="12" a="1"/>
  <c r="H10" i="39" a="1"/>
  <c r="D23" i="28" a="1"/>
  <c r="M4" i="28" a="1"/>
  <c r="K12" i="1" a="1"/>
  <c r="L7" i="1" a="1"/>
  <c r="I5" i="1" a="1"/>
  <c r="F3" i="1" a="1"/>
  <c r="C15" i="55" a="1"/>
  <c r="H8" i="28" a="1"/>
  <c r="J22" i="42" a="1"/>
  <c r="J14" i="42" a="1"/>
  <c r="G9" i="42" a="1"/>
  <c r="C7" i="42" a="1"/>
  <c r="M3" i="18" a="1"/>
  <c r="P2" i="15" a="1"/>
  <c r="V2" i="47" a="1"/>
  <c r="C2" i="47" a="1"/>
  <c r="I8" i="52" a="1"/>
  <c r="D6" i="52" a="1"/>
  <c r="I3" i="52" a="1"/>
  <c r="S18" i="56" a="1"/>
  <c r="T8" i="56" a="1"/>
  <c r="M10" i="12" a="1"/>
  <c r="N6" i="12" a="1"/>
  <c r="R33" i="12" a="1"/>
  <c r="F33" i="12" a="1"/>
  <c r="G15" i="12" a="1"/>
  <c r="G9" i="12" a="1"/>
  <c r="J7" i="39" a="1"/>
  <c r="F14" i="39" a="1"/>
  <c r="L16" i="28" a="1"/>
  <c r="M10" i="28" a="1"/>
  <c r="H18" i="28" a="1"/>
  <c r="G10" i="28" a="1"/>
  <c r="D6" i="28" a="1"/>
  <c r="G20" i="1" a="1"/>
  <c r="H15" i="1" a="1"/>
  <c r="L12" i="1" a="1"/>
  <c r="G3" i="1" a="1"/>
  <c r="N22" i="12" a="1"/>
  <c r="E9" i="12" a="1"/>
  <c r="F13" i="39" a="1"/>
  <c r="E22" i="28" a="1"/>
  <c r="L27" i="1" a="1"/>
  <c r="F20" i="1" a="1"/>
  <c r="J17" i="1" a="1"/>
  <c r="G15" i="1" a="1"/>
  <c r="H10" i="1" a="1"/>
  <c r="J12" i="1" a="1"/>
  <c r="G10" i="1" a="1"/>
  <c r="M2" i="38" a="1"/>
  <c r="S4" i="9" a="1"/>
  <c r="H20" i="43" a="1"/>
  <c r="C14" i="43" a="1"/>
  <c r="J19" i="42" a="1"/>
  <c r="F17" i="42" a="1"/>
  <c r="J11" i="42" a="1"/>
  <c r="G4" i="42" a="1"/>
  <c r="R2" i="5" a="1"/>
  <c r="U2" i="7" a="1"/>
  <c r="E2" i="46" a="1"/>
  <c r="D11" i="52" a="1"/>
  <c r="U22" i="56" a="1"/>
  <c r="V12" i="56" a="1"/>
  <c r="I24" i="56" a="1"/>
  <c r="J19" i="56" a="1"/>
  <c r="H15" i="56" a="1"/>
  <c r="J10" i="56" a="1"/>
  <c r="N20" i="12" a="1"/>
  <c r="N18" i="12" a="1"/>
  <c r="N16" i="12" a="1"/>
  <c r="N14" i="12" a="1"/>
  <c r="N12" i="12" a="1"/>
  <c r="M8" i="12" a="1"/>
  <c r="N4" i="12" a="1"/>
  <c r="K34" i="12" a="1"/>
  <c r="F21" i="12" a="1"/>
  <c r="F3" i="12" a="1"/>
  <c r="K22" i="28" a="1"/>
  <c r="F15" i="12" a="1"/>
  <c r="K16" i="28" a="1"/>
  <c r="E5" i="28" a="1"/>
  <c r="I22" i="1" a="1"/>
  <c r="H22" i="1" a="1"/>
  <c r="F15" i="1" a="1"/>
  <c r="K7" i="1" a="1"/>
  <c r="H5" i="1" a="1"/>
  <c r="D31" i="1" a="1"/>
  <c r="G8" i="43" a="1"/>
  <c r="I22" i="42" a="1"/>
  <c r="I14" i="42" a="1"/>
  <c r="F9" i="42" a="1"/>
  <c r="J6" i="42" a="1"/>
  <c r="L3" i="18" a="1"/>
  <c r="O2" i="15" a="1"/>
  <c r="U2" i="47" a="1"/>
  <c r="B2" i="47" a="1"/>
  <c r="F8" i="52" a="1"/>
  <c r="C6" i="52" a="1"/>
  <c r="V17" i="56" a="1"/>
  <c r="S8" i="56" a="1"/>
  <c r="I10" i="56" a="1"/>
  <c r="M12" i="12" a="1"/>
  <c r="L10" i="12" a="1"/>
  <c r="M6" i="12" a="1"/>
  <c r="Q33" i="12" a="1"/>
  <c r="E33" i="12" a="1"/>
  <c r="J6" i="39" a="1"/>
  <c r="L10" i="28" a="1"/>
  <c r="G18" i="28" a="1"/>
  <c r="H9" i="28" a="1"/>
  <c r="D14" i="28" a="1"/>
  <c r="O12" i="1" a="1"/>
  <c r="R4" i="9" a="1"/>
  <c r="G20" i="43" a="1"/>
  <c r="C13" i="43" a="1"/>
  <c r="I19" i="42" a="1"/>
  <c r="E17" i="42" a="1"/>
  <c r="I11" i="42" a="1"/>
  <c r="F4" i="42" a="1"/>
  <c r="Q2" i="5" a="1"/>
  <c r="T2" i="7" a="1"/>
  <c r="D2" i="46" a="1"/>
  <c r="C11" i="52" a="1"/>
  <c r="G3" i="52" a="1"/>
  <c r="T22" i="56" a="1"/>
  <c r="U17" i="56" a="1"/>
  <c r="U12" i="56" a="1"/>
  <c r="I19" i="56" a="1"/>
  <c r="G15" i="56" a="1"/>
  <c r="H10" i="56" a="1"/>
  <c r="I5" i="56" a="1"/>
  <c r="M22" i="12" a="1"/>
  <c r="M20" i="12" a="1"/>
  <c r="M18" i="12" a="1"/>
  <c r="M16" i="12" a="1"/>
  <c r="M14" i="12" a="1"/>
  <c r="L12" i="12" a="1"/>
  <c r="L8" i="12" a="1"/>
  <c r="M4" i="12" a="1"/>
  <c r="M33" i="12" a="1"/>
  <c r="E21" i="12" a="1"/>
  <c r="E15" i="12" a="1"/>
  <c r="E3" i="12" a="1"/>
  <c r="H9" i="39" a="1"/>
  <c r="M21" i="28" a="1"/>
  <c r="G9" i="28" a="1"/>
  <c r="L6" i="12" a="1"/>
  <c r="G8" i="12" a="1"/>
  <c r="K10" i="28" a="1"/>
  <c r="L4" i="28" a="1"/>
  <c r="H17" i="28" a="1"/>
  <c r="D22" i="28" a="1"/>
  <c r="E13" i="28" a="1"/>
  <c r="D5" i="28" a="1"/>
  <c r="K27" i="1" a="1"/>
  <c r="L19" i="1" a="1"/>
  <c r="I17" i="1" a="1"/>
  <c r="C14" i="55" a="1"/>
  <c r="H7" i="43" a="1"/>
  <c r="H22" i="42" a="1"/>
  <c r="H14" i="42" a="1"/>
  <c r="E9" i="42" a="1"/>
  <c r="I6" i="42" a="1"/>
  <c r="K3" i="18" a="1"/>
  <c r="S2" i="7" a="1"/>
  <c r="T2" i="47" a="1"/>
  <c r="A2" i="47" a="1"/>
  <c r="E8" i="52" a="1"/>
  <c r="J5" i="52" a="1"/>
  <c r="T17" i="56" a="1"/>
  <c r="V7" i="56" a="1"/>
  <c r="G24" i="56" a="1"/>
  <c r="K10" i="12" a="1"/>
  <c r="P33" i="12" a="1"/>
  <c r="G32" i="12" a="1"/>
  <c r="G14" i="12" a="1"/>
  <c r="J5" i="39" a="1"/>
  <c r="F12" i="39" a="1"/>
  <c r="M15" i="28" a="1"/>
  <c r="J2" i="38" a="1"/>
  <c r="M4" i="9" a="1"/>
  <c r="H19" i="43" a="1"/>
  <c r="H19" i="42" a="1"/>
  <c r="H11" i="42" a="1"/>
  <c r="J3" i="42" a="1"/>
  <c r="M2" i="15" a="1"/>
  <c r="P2" i="5" a="1"/>
  <c r="C2" i="46" a="1"/>
  <c r="J10" i="52" a="1"/>
  <c r="F3" i="52" a="1"/>
  <c r="S22" i="56" a="1"/>
  <c r="T12" i="56" a="1"/>
  <c r="H19" i="56" a="1"/>
  <c r="J14" i="56" a="1"/>
  <c r="J9" i="56" a="1"/>
  <c r="H5" i="56" a="1"/>
  <c r="L22" i="12" a="1"/>
  <c r="L20" i="12" a="1"/>
  <c r="L18" i="12" a="1"/>
  <c r="L16" i="12" a="1"/>
  <c r="L14" i="12" a="1"/>
  <c r="S11" i="12" a="1"/>
  <c r="K8" i="12" a="1"/>
  <c r="L4" i="12" a="1"/>
  <c r="L33" i="12" a="1"/>
  <c r="G20" i="12" a="1"/>
  <c r="F14" i="12" a="1"/>
  <c r="J22" i="39" a="1"/>
  <c r="H8" i="39" a="1"/>
  <c r="L21" i="28" a="1"/>
  <c r="G17" i="28" a="1"/>
  <c r="C11" i="43" a="1"/>
  <c r="G22" i="42" a="1"/>
  <c r="G14" i="42" a="1"/>
  <c r="H6" i="42" a="1"/>
  <c r="J3" i="18" a="1"/>
  <c r="J23" i="56" a="1"/>
  <c r="I14" i="56" a="1"/>
  <c r="L4" i="9" a="1"/>
  <c r="C17" i="42" a="1"/>
  <c r="P2" i="7" a="1"/>
  <c r="S2" i="47" a="1"/>
  <c r="I10" i="52" a="1"/>
  <c r="D8" i="52" a="1"/>
  <c r="I5" i="52" a="1"/>
  <c r="V16" i="56" a="1"/>
  <c r="U7" i="56" a="1"/>
  <c r="K4" i="9" a="1"/>
  <c r="G19" i="43" a="1"/>
  <c r="H6" i="43" a="1"/>
  <c r="G19" i="42" a="1"/>
  <c r="G11" i="42" a="1"/>
  <c r="C9" i="42" a="1"/>
  <c r="I3" i="42" a="1"/>
  <c r="L2" i="15" a="1"/>
  <c r="O2" i="5" a="1"/>
  <c r="U2" i="46" a="1"/>
  <c r="B2" i="46" a="1"/>
  <c r="A2" i="38" a="1"/>
  <c r="J4" i="9" a="1"/>
  <c r="C10" i="43" a="1"/>
  <c r="J16" i="42" a="1"/>
  <c r="G6" i="42" a="1"/>
  <c r="I3" i="18" a="1"/>
  <c r="O2" i="7" a="1"/>
  <c r="R2" i="47" a="1"/>
  <c r="F10" i="52" a="1"/>
  <c r="C8" i="52" a="1"/>
  <c r="U21" i="56" a="1"/>
  <c r="U16" i="56" a="1"/>
  <c r="I23" i="56" a="1"/>
  <c r="R9" i="12" a="1"/>
  <c r="S5" i="12" a="1"/>
  <c r="R32" i="12" a="1"/>
  <c r="E32" i="12" a="1"/>
  <c r="G19" i="12" a="1"/>
  <c r="E8" i="12" a="1"/>
  <c r="J3" i="39" a="1"/>
  <c r="F10" i="39" a="1"/>
  <c r="K15" i="28" a="1"/>
  <c r="L9" i="28" a="1"/>
  <c r="L3" i="28" a="1"/>
  <c r="G16" i="28" a="1"/>
  <c r="AN4" i="9" a="1"/>
  <c r="H18" i="43" a="1"/>
  <c r="G6" i="43" a="1"/>
  <c r="J21" i="42" a="1"/>
  <c r="F19" i="42" a="1"/>
  <c r="J13" i="42" a="1"/>
  <c r="F11" i="42" a="1"/>
  <c r="J8" i="42" a="1"/>
  <c r="H3" i="42" a="1"/>
  <c r="K2" i="15" a="1"/>
  <c r="N2" i="5" a="1"/>
  <c r="T2" i="46" a="1"/>
  <c r="A2" i="46" a="1"/>
  <c r="G5" i="52" a="1"/>
  <c r="D3" i="52" a="1"/>
  <c r="T21" i="56" a="1"/>
  <c r="V11" i="56" a="1"/>
  <c r="S7" i="56" a="1"/>
  <c r="J18" i="56" a="1"/>
  <c r="J13" i="56" a="1"/>
  <c r="H9" i="56" a="1"/>
  <c r="S23" i="12" a="1"/>
  <c r="S21" i="12" a="1"/>
  <c r="S19" i="12" a="1"/>
  <c r="S17" i="12" a="1"/>
  <c r="S15" i="12" a="1"/>
  <c r="Q13" i="12" a="1"/>
  <c r="Q11" i="12" a="1"/>
  <c r="R7" i="12" a="1"/>
  <c r="S3" i="12" a="1"/>
  <c r="M32" i="12" a="1"/>
  <c r="G31" i="12" a="1"/>
  <c r="G13" i="12" a="1"/>
  <c r="J20" i="39" a="1"/>
  <c r="H6" i="39" a="1"/>
  <c r="M20" i="28" a="1"/>
  <c r="K9" i="28" a="1"/>
  <c r="H7" i="1" a="1"/>
  <c r="R15" i="12" a="1"/>
  <c r="Q9" i="12" a="1"/>
  <c r="R5" i="12" a="1"/>
  <c r="Q32" i="12" a="1"/>
  <c r="F31" i="12" a="1"/>
  <c r="F9" i="39" a="1"/>
  <c r="M8" i="28" a="1"/>
  <c r="K3" i="28" a="1"/>
  <c r="H15" i="28" a="1"/>
  <c r="G7" i="28" a="1"/>
  <c r="E20" i="28" a="1"/>
  <c r="D12" i="28" a="1"/>
  <c r="E3" i="28" a="1"/>
  <c r="O8" i="1" a="1"/>
  <c r="H27" i="1" a="1"/>
  <c r="F17" i="1" a="1"/>
  <c r="AM4" i="9" a="1"/>
  <c r="I4" i="9" a="1"/>
  <c r="C9" i="43" a="1"/>
  <c r="I16" i="42" a="1"/>
  <c r="F6" i="42" a="1"/>
  <c r="M2" i="5" a="1"/>
  <c r="N2" i="7" a="1"/>
  <c r="Q2" i="47" a="1"/>
  <c r="E10" i="52" a="1"/>
  <c r="J7" i="52" a="1"/>
  <c r="T16" i="56" a="1"/>
  <c r="H23" i="56" a="1"/>
  <c r="I18" i="56" a="1"/>
  <c r="F19" i="12" a="1"/>
  <c r="G7" i="12" a="1"/>
  <c r="J2" i="39" a="1"/>
  <c r="M14" i="28" a="1"/>
  <c r="L21" i="1" a="1"/>
  <c r="I19" i="1" a="1"/>
  <c r="J14" i="1" a="1"/>
  <c r="G12" i="1" a="1"/>
  <c r="K9" i="1" a="1"/>
  <c r="G7" i="1" a="1"/>
  <c r="AL4" i="9" a="1"/>
  <c r="H4" i="9" a="1"/>
  <c r="H5" i="43" a="1"/>
  <c r="I21" i="42" a="1"/>
  <c r="E19" i="42" a="1"/>
  <c r="I13" i="42" a="1"/>
  <c r="E11" i="42" a="1"/>
  <c r="I8" i="42" a="1"/>
  <c r="G3" i="42" a="1"/>
  <c r="G3" i="18" a="1"/>
  <c r="J2" i="15" a="1"/>
  <c r="S2" i="46" a="1"/>
  <c r="J12" i="52" a="1"/>
  <c r="F5" i="52" a="1"/>
  <c r="C3" i="52" a="1"/>
  <c r="V20" i="56" a="1"/>
  <c r="U11" i="56" a="1"/>
  <c r="V6" i="56" a="1"/>
  <c r="H18" i="56" a="1"/>
  <c r="I13" i="56" a="1"/>
  <c r="G9" i="56" a="1"/>
  <c r="R23" i="12" a="1"/>
  <c r="R21" i="12" a="1"/>
  <c r="G4" i="9" a="1"/>
  <c r="G16" i="43" a="1"/>
  <c r="C8" i="43" a="1"/>
  <c r="H16" i="42" a="1"/>
  <c r="J5" i="42" a="1"/>
  <c r="J2" i="5" a="1"/>
  <c r="M2" i="7" a="1"/>
  <c r="I12" i="52" a="1"/>
  <c r="D10" i="52" a="1"/>
  <c r="I7" i="52" a="1"/>
  <c r="S16" i="56" a="1"/>
  <c r="G23" i="56" a="1"/>
  <c r="P9" i="12" a="1"/>
  <c r="Q5" i="12" a="1"/>
  <c r="P32" i="12" a="1"/>
  <c r="K32" i="12" a="1"/>
  <c r="E19" i="12" a="1"/>
  <c r="F7" i="12" a="1"/>
  <c r="H22" i="39" a="1"/>
  <c r="F8" i="39" a="1"/>
  <c r="K14" i="28" a="1"/>
  <c r="AK4" i="9" a="1"/>
  <c r="F4" i="9" a="1"/>
  <c r="H21" i="42" a="1"/>
  <c r="H13" i="42" a="1"/>
  <c r="H8" i="42" a="1"/>
  <c r="F3" i="42" a="1"/>
  <c r="F3" i="18" a="1"/>
  <c r="I2" i="15" a="1"/>
  <c r="O2" i="47" a="1"/>
  <c r="R2" i="46" a="1"/>
  <c r="E5" i="52" a="1"/>
  <c r="V25" i="56" a="1"/>
  <c r="U20" i="56" a="1"/>
  <c r="U6" i="56" a="1"/>
  <c r="J17" i="56" a="1"/>
  <c r="H13" i="56" a="1"/>
  <c r="J8" i="56" a="1"/>
  <c r="Q23" i="12" a="1"/>
  <c r="Q21" i="12" a="1"/>
  <c r="Q19" i="12" a="1"/>
  <c r="Q17" i="12" a="1"/>
  <c r="O15" i="12" a="1"/>
  <c r="O13" i="12" a="1"/>
  <c r="O11" i="12" a="1"/>
  <c r="P7" i="12" a="1"/>
  <c r="Q3" i="12" a="1"/>
  <c r="M31" i="12" a="1"/>
  <c r="G30" i="12" a="1"/>
  <c r="E13" i="12" a="1"/>
  <c r="H4" i="43" a="1"/>
  <c r="C7" i="43" a="1"/>
  <c r="C19" i="42" a="1"/>
  <c r="G16" i="42" a="1"/>
  <c r="C11" i="42" a="1"/>
  <c r="I5" i="42" a="1"/>
  <c r="I2" i="5" a="1"/>
  <c r="L2" i="7" a="1"/>
  <c r="F12" i="52" a="1"/>
  <c r="C10" i="52" a="1"/>
  <c r="U25" i="56" a="1"/>
  <c r="V15" i="56" a="1"/>
  <c r="S11" i="56" a="1"/>
  <c r="J22" i="56" a="1"/>
  <c r="P17" i="12" a="1"/>
  <c r="O9" i="12" a="1"/>
  <c r="P5" i="12" a="1"/>
  <c r="O32" i="12" a="1"/>
  <c r="L31" i="12" a="1"/>
  <c r="G18" i="12" a="1"/>
  <c r="E7" i="12" a="1"/>
  <c r="H21" i="39" a="1"/>
  <c r="F7" i="39" a="1"/>
  <c r="M19" i="28" a="1"/>
  <c r="M13" i="28" a="1"/>
  <c r="K8" i="28" a="1"/>
  <c r="G23" i="28" a="1"/>
  <c r="H14" i="28" a="1"/>
  <c r="G6" i="28" a="1"/>
  <c r="E19" i="28" a="1"/>
  <c r="D11" i="28" a="1"/>
  <c r="AJ4" i="9" a="1"/>
  <c r="E4" i="9" a="1"/>
  <c r="G21" i="42" a="1"/>
  <c r="G13" i="42" a="1"/>
  <c r="G8" i="42" a="1"/>
  <c r="E3" i="42" a="1"/>
  <c r="E3" i="18" a="1"/>
  <c r="H2" i="15" a="1"/>
  <c r="N2" i="47" a="1"/>
  <c r="Q2" i="46" a="1"/>
  <c r="G7" i="52" a="1"/>
  <c r="D5" i="52" a="1"/>
  <c r="T20" i="56" a="1"/>
  <c r="T6" i="56" a="1"/>
  <c r="I22" i="56" a="1"/>
  <c r="I17" i="56" a="1"/>
  <c r="G13" i="56" a="1"/>
  <c r="I8" i="56" a="1"/>
  <c r="P23" i="12" a="1"/>
  <c r="P21" i="12" a="1"/>
  <c r="P19" i="12" a="1"/>
  <c r="O17" i="12" a="1"/>
  <c r="N15" i="12" a="1"/>
  <c r="N13" i="12" a="1"/>
  <c r="H14" i="43" a="1"/>
  <c r="G4" i="43" a="1"/>
  <c r="J18" i="42" a="1"/>
  <c r="J10" i="42" a="1"/>
  <c r="H5" i="42" a="1"/>
  <c r="G2" i="15" a="1"/>
  <c r="H2" i="5" a="1"/>
  <c r="K2" i="7" a="1"/>
  <c r="E12" i="52" a="1"/>
  <c r="J9" i="52" a="1"/>
  <c r="V24" i="56" a="1"/>
  <c r="U15" i="56" a="1"/>
  <c r="V10" i="56" a="1"/>
  <c r="H22" i="56" a="1"/>
  <c r="N9" i="12" a="1"/>
  <c r="O5" i="12" a="1"/>
  <c r="Q31" i="12" a="1"/>
  <c r="K31" i="12" a="1"/>
  <c r="F18" i="12" a="1"/>
  <c r="G6" i="12" a="1"/>
  <c r="H20" i="39" a="1"/>
  <c r="F6" i="39" a="1"/>
  <c r="K19" i="28" a="1"/>
  <c r="L13" i="28" a="1"/>
  <c r="AI4" i="9" a="1"/>
  <c r="D4" i="9" a="1"/>
  <c r="J23" i="42" a="1"/>
  <c r="F21" i="42" a="1"/>
  <c r="J15" i="42" a="1"/>
  <c r="F13" i="42" a="1"/>
  <c r="F8" i="42" a="1"/>
  <c r="D3" i="18" a="1"/>
  <c r="M2" i="47" a="1"/>
  <c r="P2" i="46" a="1"/>
  <c r="F7" i="52" a="1"/>
  <c r="C5" i="52" a="1"/>
  <c r="S20" i="56" a="1"/>
  <c r="S6" i="56" a="1"/>
  <c r="H17" i="56" a="1"/>
  <c r="G14" i="43" a="1"/>
  <c r="H3" i="43" a="1"/>
  <c r="I18" i="42" a="1"/>
  <c r="I10" i="42" a="1"/>
  <c r="G5" i="42" a="1"/>
  <c r="C3" i="42" a="1"/>
  <c r="D2" i="15" a="1"/>
  <c r="G2" i="5" a="1"/>
  <c r="O2" i="46" a="1"/>
  <c r="D12" i="52" a="1"/>
  <c r="AH4" i="9" a="1"/>
  <c r="C4" i="9" a="1"/>
  <c r="I23" i="42" a="1"/>
  <c r="E21" i="42" a="1"/>
  <c r="I15" i="42" a="1"/>
  <c r="E13" i="42" a="1"/>
  <c r="J7" i="42" a="1"/>
  <c r="C3" i="18" a="1"/>
  <c r="I2" i="7" a="1"/>
  <c r="L2" i="47" a="1"/>
  <c r="E7" i="52" a="1"/>
  <c r="J4" i="52" a="1"/>
  <c r="V19" i="56" a="1"/>
  <c r="S15" i="56" a="1"/>
  <c r="V5" i="56" a="1"/>
  <c r="G17" i="56" a="1"/>
  <c r="I12" i="56" a="1"/>
  <c r="G8" i="56" a="1"/>
  <c r="N23" i="12" a="1"/>
  <c r="N21" i="12" a="1"/>
  <c r="M19" i="12" a="1"/>
  <c r="L17" i="12" a="1"/>
  <c r="L15" i="12" a="1"/>
  <c r="L13" i="12" a="1"/>
  <c r="H13" i="43" a="1"/>
  <c r="G3" i="43" a="1"/>
  <c r="H18" i="42" a="1"/>
  <c r="H10" i="42" a="1"/>
  <c r="F5" i="42" a="1"/>
  <c r="V3" i="18" a="1"/>
  <c r="C2" i="15" a="1"/>
  <c r="F2" i="5" a="1"/>
  <c r="L2" i="46" a="1"/>
  <c r="C12" i="52" a="1"/>
  <c r="I4" i="52" a="1"/>
  <c r="T24" i="56" a="1"/>
  <c r="T10" i="56" a="1"/>
  <c r="U5" i="56" a="1"/>
  <c r="I21" i="56" a="1"/>
  <c r="L9" i="12" a="1"/>
  <c r="M5" i="12" a="1"/>
  <c r="L3" i="12" a="1"/>
  <c r="L30" i="12" a="1"/>
  <c r="G17" i="12" a="1"/>
  <c r="E6" i="12" a="1"/>
  <c r="H18" i="39" a="1"/>
  <c r="F21" i="39" a="1"/>
  <c r="L18" i="28" a="1"/>
  <c r="M12" i="28" a="1"/>
  <c r="K7" i="28" a="1"/>
  <c r="H21" i="28" a="1"/>
  <c r="G13" i="28" a="1"/>
  <c r="H4" i="28" a="1"/>
  <c r="D18" i="28" a="1"/>
  <c r="AC4" i="9" a="1"/>
  <c r="B4" i="9" a="1"/>
  <c r="H23" i="42" a="1"/>
  <c r="H15" i="42" a="1"/>
  <c r="I7" i="42" a="1"/>
  <c r="B3" i="18" a="1"/>
  <c r="Z4" i="9" a="1"/>
  <c r="C23" i="43" a="1"/>
  <c r="H12" i="43" a="1"/>
  <c r="G23" i="42" a="1"/>
  <c r="G15" i="42" a="1"/>
  <c r="H7" i="42" a="1"/>
  <c r="G2" i="7" a="1"/>
  <c r="J2" i="47" a="1"/>
  <c r="F9" i="52" a="1"/>
  <c r="C7" i="52" a="1"/>
  <c r="U14" i="56" a="1"/>
  <c r="J25" i="56" a="1"/>
  <c r="I16" i="56" a="1"/>
  <c r="G12" i="56" a="1"/>
  <c r="I7" i="56" a="1"/>
  <c r="L23" i="12" a="1"/>
  <c r="K21" i="12" a="1"/>
  <c r="S18" i="12" a="1"/>
  <c r="S16" i="12" a="1"/>
  <c r="S14" i="12" a="1"/>
  <c r="S12" i="12" a="1"/>
  <c r="S10" i="12" a="1"/>
  <c r="K7" i="12" a="1"/>
  <c r="S4" i="12" a="1"/>
  <c r="Y4" i="9" a="1"/>
  <c r="J20" i="42" a="1"/>
  <c r="J12" i="42" a="1"/>
  <c r="F10" i="42" a="1"/>
  <c r="T3" i="18" a="1"/>
  <c r="T2" i="15" a="1"/>
  <c r="A2" i="15" a="1"/>
  <c r="I2" i="47" a="1"/>
  <c r="J2" i="46" a="1"/>
  <c r="I11" i="52" a="1"/>
  <c r="E4" i="52" a="1"/>
  <c r="V23" i="56" a="1"/>
  <c r="S19" i="56" a="1"/>
  <c r="V9" i="56" a="1"/>
  <c r="G21" i="56" a="1"/>
  <c r="S8" i="12" a="1"/>
  <c r="S6" i="12" a="1"/>
  <c r="R34" i="12" a="1"/>
  <c r="G34" i="12" a="1"/>
  <c r="E17" i="12" a="1"/>
  <c r="F5" i="12" a="1"/>
  <c r="H15" i="39" a="1"/>
  <c r="F18" i="39" a="1"/>
  <c r="M17" i="28" a="1"/>
  <c r="K12" i="28" a="1"/>
  <c r="L6" i="28" a="1"/>
  <c r="H20" i="28" a="1"/>
  <c r="G12" i="28" a="1"/>
  <c r="H3" i="28" a="1"/>
  <c r="D17" i="28" a="1"/>
  <c r="X4" i="9" a="1"/>
  <c r="G12" i="43" a="1"/>
  <c r="C18" i="43" a="1"/>
  <c r="F23" i="42" a="1"/>
  <c r="J17" i="42" a="1"/>
  <c r="F15" i="42" a="1"/>
  <c r="G7" i="42" a="1"/>
  <c r="C5" i="42" a="1"/>
  <c r="C2" i="5" a="1"/>
  <c r="F2" i="7" a="1"/>
  <c r="E9" i="52" a="1"/>
  <c r="J6" i="52" a="1"/>
  <c r="W4" i="9" a="1"/>
  <c r="I20" i="42" a="1"/>
  <c r="I12" i="42" a="1"/>
  <c r="J9" i="42" a="1"/>
  <c r="S3" i="18" a="1"/>
  <c r="S2" i="15" a="1"/>
  <c r="V2" i="5" a="1"/>
  <c r="F2" i="47" a="1"/>
  <c r="I2" i="46" a="1"/>
  <c r="I6" i="52" a="1"/>
  <c r="D4" i="52" a="1"/>
  <c r="U23" i="56" a="1"/>
  <c r="V18" i="56" a="1"/>
  <c r="V4" i="9" a="1"/>
  <c r="H11" i="43" a="1"/>
  <c r="C17" i="43" a="1"/>
  <c r="E23" i="42" a="1"/>
  <c r="I17" i="42" a="1"/>
  <c r="E15" i="42" a="1"/>
  <c r="F7" i="42" a="1"/>
  <c r="J4" i="42" a="1"/>
  <c r="B2" i="5" a="1"/>
  <c r="E2" i="7" a="1"/>
  <c r="H22" i="43" a="1"/>
  <c r="H20" i="42" a="1"/>
  <c r="H12" i="42" a="1"/>
  <c r="I9" i="42" a="1"/>
  <c r="R3" i="18" a="1"/>
  <c r="R2" i="15" a="1"/>
  <c r="U2" i="5" a="1"/>
  <c r="E2" i="47" a="1"/>
  <c r="H2" i="46" a="1"/>
  <c r="F6" i="52" a="1"/>
  <c r="C4" i="52" a="1"/>
  <c r="U18" i="56" a="1"/>
  <c r="V8" i="56" a="1"/>
  <c r="I20" i="56" a="1"/>
  <c r="P8" i="12" a="1"/>
  <c r="P6" i="12" a="1"/>
  <c r="P34" i="12" a="1"/>
  <c r="E34" i="12" a="1"/>
  <c r="F16" i="12" a="1"/>
  <c r="G4" i="12" a="1"/>
  <c r="J9" i="39" a="1"/>
  <c r="F16" i="39" a="1"/>
  <c r="U4" i="9" a="1"/>
  <c r="G11" i="43" a="1"/>
  <c r="C16" i="43" a="1"/>
  <c r="H17" i="42" a="1"/>
  <c r="E7" i="42" a="1"/>
  <c r="I4" i="42" a="1"/>
  <c r="A2" i="5" a="1"/>
  <c r="D2" i="7" a="1"/>
  <c r="F11" i="52" a="1"/>
  <c r="C9" i="52" a="1"/>
  <c r="S23" i="56" a="1"/>
  <c r="V13" i="56" a="1"/>
  <c r="G25" i="56" a="1"/>
  <c r="J15" i="56" a="1"/>
  <c r="H11" i="56" a="1"/>
  <c r="J6" i="56" a="1"/>
  <c r="P22" i="12" a="1"/>
  <c r="P20" i="12" a="1"/>
  <c r="P18" i="12" a="1"/>
  <c r="P16" i="12" a="1"/>
  <c r="P14" i="12" a="1"/>
  <c r="P12" i="12" a="1"/>
  <c r="P10" i="12" a="1"/>
  <c r="O8" i="12" a="1"/>
  <c r="P4" i="12" a="1"/>
  <c r="M34" i="12" a="1"/>
  <c r="E22" i="12" a="1"/>
  <c r="F10" i="12" a="1"/>
  <c r="F4" i="12" a="1"/>
  <c r="H12" i="39" a="1"/>
  <c r="M22" i="28" a="1"/>
  <c r="D7" i="28" a="1"/>
  <c r="C15" i="42" a="1"/>
  <c r="G12" i="42" a="1"/>
  <c r="H9" i="42" a="1"/>
  <c r="N3" i="18" a="1"/>
  <c r="C23" i="42" a="1"/>
  <c r="G20" i="42" a="1"/>
  <c r="C21" i="42" a="1"/>
  <c r="V14" i="56" a="1"/>
  <c r="J16" i="56" a="1"/>
  <c r="Q15" i="12" a="1"/>
  <c r="O10" i="12" a="1"/>
  <c r="N5" i="12" a="1"/>
  <c r="P30" i="12" a="1"/>
  <c r="F20" i="12" a="1"/>
  <c r="H19" i="39" a="1"/>
  <c r="F2" i="39" a="1"/>
  <c r="H22" i="28" a="1"/>
  <c r="H7" i="28" a="1"/>
  <c r="E16" i="28" a="1"/>
  <c r="O22" i="1" a="1"/>
  <c r="I28" i="1" a="1"/>
  <c r="J21" i="1" a="1"/>
  <c r="H18" i="1" a="1"/>
  <c r="I14" i="1" a="1"/>
  <c r="G11" i="1" a="1"/>
  <c r="I7" i="1" a="1"/>
  <c r="C18" i="55" a="1"/>
  <c r="I21" i="1" a="1"/>
  <c r="F11" i="1" a="1"/>
  <c r="F7" i="1" a="1"/>
  <c r="C13" i="55" a="1"/>
  <c r="L10" i="1" a="1"/>
  <c r="G18" i="42" a="1"/>
  <c r="D9" i="52" a="1"/>
  <c r="K22" i="12" a="1"/>
  <c r="M15" i="12" a="1"/>
  <c r="S9" i="12" a="1"/>
  <c r="E20" i="12" a="1"/>
  <c r="L12" i="28" a="1"/>
  <c r="F4" i="1" a="1"/>
  <c r="C17" i="55" a="1"/>
  <c r="H28" i="1" a="1"/>
  <c r="G18" i="1" a="1"/>
  <c r="H5" i="28" a="1"/>
  <c r="Q14" i="12" a="1"/>
  <c r="H13" i="39" a="1"/>
  <c r="G27" i="1" a="1"/>
  <c r="I3" i="1" a="1"/>
  <c r="G6" i="1" a="1"/>
  <c r="O7" i="12" a="1"/>
  <c r="E21" i="28" a="1"/>
  <c r="F13" i="1" a="1"/>
  <c r="L11" i="1" a="1"/>
  <c r="T14" i="56" a="1"/>
  <c r="H16" i="56" a="1"/>
  <c r="O21" i="12" a="1"/>
  <c r="L5" i="12" a="1"/>
  <c r="O30" i="12" a="1"/>
  <c r="F6" i="12" a="1"/>
  <c r="M23" i="28" a="1"/>
  <c r="G22" i="28" a="1"/>
  <c r="H6" i="28" a="1"/>
  <c r="D16" i="28" a="1"/>
  <c r="H14" i="1" a="1"/>
  <c r="C12" i="55" a="1"/>
  <c r="K6" i="1" a="1"/>
  <c r="K11" i="28" a="1"/>
  <c r="G5" i="28" a="1"/>
  <c r="J10" i="1" a="1"/>
  <c r="K21" i="28" a="1"/>
  <c r="H19" i="28" a="1"/>
  <c r="C13" i="42" a="1"/>
  <c r="K15" i="12" a="1"/>
  <c r="K5" i="12" a="1"/>
  <c r="H17" i="39" a="1"/>
  <c r="L23" i="28" a="1"/>
  <c r="E15" i="28" a="1"/>
  <c r="G28" i="1" a="1"/>
  <c r="G14" i="1" a="1"/>
  <c r="L3" i="1" a="1"/>
  <c r="L6" i="1" a="1"/>
  <c r="K23" i="28" a="1"/>
  <c r="J3" i="1" a="1"/>
  <c r="G10" i="42" a="1"/>
  <c r="S14" i="56" a="1"/>
  <c r="G16" i="56" a="1"/>
  <c r="M21" i="12" a="1"/>
  <c r="R4" i="12" a="1"/>
  <c r="H16" i="39" a="1"/>
  <c r="M11" i="28" a="1"/>
  <c r="D13" i="28" a="1"/>
  <c r="J27" i="1" a="1"/>
  <c r="H21" i="1" a="1"/>
  <c r="F18" i="1" a="1"/>
  <c r="F14" i="1" a="1"/>
  <c r="L17" i="1" a="1"/>
  <c r="K3" i="1" a="1"/>
  <c r="C11" i="55" a="1"/>
  <c r="F21" i="1" a="1"/>
  <c r="H13" i="1" a="1"/>
  <c r="H16" i="1" a="1"/>
  <c r="K4" i="1" a="1"/>
  <c r="D7" i="52" a="1"/>
  <c r="U13" i="56" a="1"/>
  <c r="L21" i="12" a="1"/>
  <c r="R14" i="12" a="1"/>
  <c r="K33" i="12" a="1"/>
  <c r="E18" i="12" a="1"/>
  <c r="G5" i="12" a="1"/>
  <c r="H14" i="39" a="1"/>
  <c r="G21" i="28" a="1"/>
  <c r="U10" i="56" a="1"/>
  <c r="C10" i="55" a="1"/>
  <c r="J6" i="1" a="1"/>
  <c r="L20" i="28" a="1"/>
  <c r="F27" i="1" a="1"/>
  <c r="L9" i="1" a="1"/>
  <c r="C29" i="55" a="1"/>
  <c r="H3" i="39" a="1"/>
  <c r="F6" i="1" a="1"/>
  <c r="F16" i="1" a="1"/>
  <c r="K6" i="28" a="1"/>
  <c r="E5" i="42" a="1"/>
  <c r="S12" i="56" a="1"/>
  <c r="H14" i="56" a="1"/>
  <c r="R20" i="12" a="1"/>
  <c r="M9" i="12" a="1"/>
  <c r="Q4" i="12" a="1"/>
  <c r="L32" i="12" a="1"/>
  <c r="L11" i="28" a="1"/>
  <c r="E12" i="28" a="1"/>
  <c r="O19" i="1" a="1"/>
  <c r="I27" i="1" a="1"/>
  <c r="G21" i="1" a="1"/>
  <c r="H17" i="1" a="1"/>
  <c r="L13" i="1" a="1"/>
  <c r="K10" i="1" a="1"/>
  <c r="J12" i="56" a="1"/>
  <c r="K13" i="1" a="1"/>
  <c r="C9" i="55" a="1"/>
  <c r="K20" i="1" a="1"/>
  <c r="J16" i="1" a="1"/>
  <c r="K19" i="1" a="1"/>
  <c r="G9" i="1" a="1"/>
  <c r="G33" i="12" a="1"/>
  <c r="F20" i="39" a="1"/>
  <c r="U3" i="18" a="1"/>
  <c r="L20" i="1" a="1"/>
  <c r="G17" i="1" a="1"/>
  <c r="F10" i="1" a="1"/>
  <c r="M30" i="12" a="1"/>
  <c r="L8" i="28" a="1"/>
  <c r="E10" i="28" a="1"/>
  <c r="O16" i="1" a="1"/>
  <c r="G13" i="1" a="1"/>
  <c r="A3" i="18" a="1"/>
  <c r="E6" i="52" a="1"/>
  <c r="Q20" i="12" a="1"/>
  <c r="F17" i="12" a="1"/>
  <c r="E5" i="12" a="1"/>
  <c r="M9" i="28" a="1"/>
  <c r="G20" i="28" a="1"/>
  <c r="E11" i="28" a="1"/>
  <c r="Q2" i="15" a="1"/>
  <c r="S10" i="56" a="1"/>
  <c r="H12" i="56" a="1"/>
  <c r="K14" i="12" a="1"/>
  <c r="K9" i="12" a="1"/>
  <c r="K4" i="12" a="1"/>
  <c r="J13" i="1" a="1"/>
  <c r="H3" i="1" a="1"/>
  <c r="G19" i="28" a="1"/>
  <c r="G12" i="12" a="1"/>
  <c r="O33" i="12" a="1"/>
  <c r="F12" i="1" a="1"/>
  <c r="B2" i="15" a="1"/>
  <c r="U9" i="56" a="1"/>
  <c r="K20" i="12" a="1"/>
  <c r="S13" i="12" a="1"/>
  <c r="R3" i="12" a="1"/>
  <c r="E4" i="12" a="1"/>
  <c r="H7" i="39" a="1"/>
  <c r="G4" i="28" a="1"/>
  <c r="O17" i="1" a="1"/>
  <c r="L16" i="1" a="1"/>
  <c r="I6" i="1" a="1"/>
  <c r="J9" i="1" a="1"/>
  <c r="G3" i="28" a="1"/>
  <c r="H9" i="1" a="1"/>
  <c r="C27" i="55" a="1"/>
  <c r="H12" i="1" a="1"/>
  <c r="G5" i="1" a="1"/>
  <c r="G19" i="1" a="1"/>
  <c r="J8" i="1" a="1"/>
  <c r="C22" i="55" a="1"/>
  <c r="H8" i="1" a="1"/>
  <c r="T9" i="56" a="1"/>
  <c r="J11" i="56" a="1"/>
  <c r="R19" i="12" a="1"/>
  <c r="P13" i="12" a="1"/>
  <c r="R8" i="12" a="1"/>
  <c r="P3" i="12" a="1"/>
  <c r="G16" i="12" a="1"/>
  <c r="H5" i="39" a="1"/>
  <c r="K20" i="28" a="1"/>
  <c r="E2" i="5" a="1"/>
  <c r="F4" i="52" a="1"/>
  <c r="O19" i="12" a="1"/>
  <c r="M13" i="12" a="1"/>
  <c r="Q8" i="12" a="1"/>
  <c r="O3" i="12" a="1"/>
  <c r="K30" i="12" a="1"/>
  <c r="J21" i="39" a="1"/>
  <c r="H4" i="39" a="1"/>
  <c r="L19" i="28" a="1"/>
  <c r="H16" i="28" a="1"/>
  <c r="O15" i="1" a="1"/>
  <c r="L23" i="1" a="1"/>
  <c r="J20" i="1" a="1"/>
  <c r="K16" i="1" a="1"/>
  <c r="I13" i="1" a="1"/>
  <c r="I9" i="1" a="1"/>
  <c r="H6" i="1" a="1"/>
  <c r="N3" i="12" a="1"/>
  <c r="E16" i="12" a="1"/>
  <c r="J19" i="39" a="1"/>
  <c r="D10" i="28" a="1"/>
  <c r="C28" i="55" a="1"/>
  <c r="K23" i="1" a="1"/>
  <c r="K18" i="28" a="1"/>
  <c r="D9" i="28" a="1"/>
  <c r="U8" i="56" a="1"/>
  <c r="I11" i="56" a="1"/>
  <c r="N19" i="12" a="1"/>
  <c r="H2" i="7" a="1"/>
  <c r="K19" i="12" a="1"/>
  <c r="K13" i="12" a="1"/>
  <c r="M3" i="12" a="1"/>
  <c r="J18" i="39" a="1"/>
  <c r="H2" i="39" a="1"/>
  <c r="M18" i="28" a="1"/>
  <c r="M7" i="28" a="1"/>
  <c r="I20" i="1" a="1"/>
  <c r="C24" i="55" a="1"/>
  <c r="L4" i="1" a="1"/>
  <c r="C21" i="55" a="1"/>
  <c r="J3" i="52" a="1"/>
  <c r="I9" i="56" a="1"/>
  <c r="S7" i="12" a="1"/>
  <c r="F34" i="12" a="1"/>
  <c r="E14" i="12" a="1"/>
  <c r="J17" i="39" a="1"/>
  <c r="G15" i="28" a="1"/>
  <c r="E26" i="28" a="1"/>
  <c r="E9" i="28" a="1"/>
  <c r="H20" i="1" a="1"/>
  <c r="I16" i="1" a="1"/>
  <c r="C2" i="7" a="1"/>
  <c r="E3" i="52" a="1"/>
  <c r="T5" i="56" a="1"/>
  <c r="H8" i="56" a="1"/>
  <c r="R18" i="12" a="1"/>
  <c r="K3" i="12" a="1"/>
  <c r="F13" i="12" a="1"/>
  <c r="J16" i="39" a="1"/>
  <c r="L7" i="28" a="1"/>
  <c r="D26" i="28" a="1"/>
  <c r="O9" i="1" a="1"/>
  <c r="J23" i="1" a="1"/>
  <c r="C26" i="55" a="1"/>
  <c r="E30" i="12" a="1"/>
  <c r="F23" i="1" a="1"/>
  <c r="R12" i="12" a="1"/>
  <c r="Q7" i="12" a="1"/>
  <c r="F22" i="39" a="1"/>
  <c r="K2" i="47" a="1"/>
  <c r="U24" i="56" a="1"/>
  <c r="K17" i="28" a="1"/>
  <c r="F19" i="1" a="1"/>
  <c r="L14" i="1" a="1"/>
  <c r="I25" i="56" a="1"/>
  <c r="J7" i="56" a="1"/>
  <c r="Q18" i="12" a="1"/>
  <c r="Q12" i="12" a="1"/>
  <c r="N7" i="12" a="1"/>
  <c r="F32" i="12" a="1"/>
  <c r="F12" i="12" a="1"/>
  <c r="J15" i="39" a="1"/>
  <c r="F19" i="39" a="1"/>
  <c r="G14" i="28" a="1"/>
  <c r="O7" i="1" a="1"/>
  <c r="I23" i="1" a="1"/>
  <c r="J19" i="1" a="1"/>
  <c r="G16" i="1" a="1"/>
  <c r="I12" i="1" a="1"/>
  <c r="F9" i="1" a="1"/>
  <c r="L5" i="1" a="1"/>
  <c r="C25" i="55" a="1"/>
  <c r="H19" i="1" a="1"/>
  <c r="C23" i="55" a="1"/>
  <c r="K18" i="1" a="1"/>
  <c r="C20" i="55" a="1"/>
  <c r="S24" i="56" a="1"/>
  <c r="Q34" i="12" a="1"/>
  <c r="J14" i="39" a="1"/>
  <c r="M6" i="28" a="1"/>
  <c r="D21" i="28" a="1"/>
  <c r="E8" i="28" a="1"/>
  <c r="H23" i="1" a="1"/>
  <c r="K5" i="1" a="1"/>
  <c r="G23" i="1" a="1"/>
  <c r="D2" i="47" a="1"/>
  <c r="H25" i="56" a="1"/>
  <c r="H7" i="56" a="1"/>
  <c r="K18" i="12" a="1"/>
  <c r="M7" i="12" a="1"/>
  <c r="E31" i="12" a="1"/>
  <c r="E12" i="12" a="1"/>
  <c r="L17" i="28" a="1"/>
  <c r="H13" i="28" a="1"/>
  <c r="O6" i="1" a="1"/>
  <c r="L8" i="1" a="1"/>
  <c r="J12" i="39" a="1"/>
  <c r="K15" i="1" a="1"/>
  <c r="L28" i="1" a="1"/>
  <c r="R17" i="12" a="1"/>
  <c r="R11" i="12" a="1"/>
  <c r="L7" i="12" a="1"/>
  <c r="O34" i="12" a="1"/>
  <c r="F30" i="12" a="1"/>
  <c r="G11" i="12" a="1"/>
  <c r="J13" i="39" a="1"/>
  <c r="F17" i="39" a="1"/>
  <c r="D20" i="28" a="1"/>
  <c r="D8" i="28" a="1"/>
  <c r="F5" i="1" a="1"/>
  <c r="P11" i="12" a="1"/>
  <c r="K2" i="46" a="1"/>
  <c r="G7" i="56" a="1"/>
  <c r="M17" i="12" a="1"/>
  <c r="V21" i="56" a="1"/>
  <c r="J21" i="56" a="1"/>
  <c r="I6" i="56" a="1"/>
  <c r="N11" i="12" a="1"/>
  <c r="R6" i="12" a="1"/>
  <c r="F11" i="12" a="1"/>
  <c r="J11" i="39" a="1"/>
  <c r="F15" i="39" a="1"/>
  <c r="M16" i="28" a="1"/>
  <c r="H12" i="28" a="1"/>
  <c r="E7" i="28" a="1"/>
  <c r="I8" i="1" a="1"/>
  <c r="I4" i="1" a="1"/>
  <c r="G2" i="46" a="1"/>
  <c r="G5" i="56" a="1"/>
  <c r="K17" i="12" a="1"/>
  <c r="M11" i="12" a="1"/>
  <c r="Q6" i="12" a="1"/>
  <c r="G23" i="12" a="1"/>
  <c r="E11" i="12" a="1"/>
  <c r="J10" i="39" a="1"/>
  <c r="F11" i="39" a="1"/>
  <c r="L15" i="28" a="1"/>
  <c r="M5" i="28" a="1"/>
  <c r="D19" i="28" a="1"/>
  <c r="E6" i="28" a="1"/>
  <c r="O4" i="1" a="1"/>
  <c r="K11" i="1" a="1"/>
  <c r="I11" i="1" a="1"/>
  <c r="U19" i="56" a="1"/>
  <c r="H21" i="56" a="1"/>
  <c r="O23" i="12" a="1"/>
  <c r="R31" i="12" a="1"/>
  <c r="F23" i="12" a="1"/>
  <c r="J8" i="39" a="1"/>
  <c r="L5" i="28" a="1"/>
  <c r="E4" i="28" a="1"/>
  <c r="K22" i="1" a="1"/>
  <c r="J4" i="1" a="1"/>
  <c r="J11" i="1" a="1"/>
  <c r="J11" i="52" a="1"/>
  <c r="R16" i="12" a="1"/>
  <c r="L11" i="12" a="1"/>
  <c r="O6" i="12" a="1"/>
  <c r="P31" i="12" a="1"/>
  <c r="G10" i="12" a="1"/>
  <c r="J4" i="39" a="1"/>
  <c r="L14" i="28" a="1"/>
  <c r="K4" i="28" a="1"/>
  <c r="H11" i="28" a="1"/>
  <c r="O3" i="1" a="1"/>
  <c r="G22" i="1" a="1"/>
  <c r="L18" i="1" a="1"/>
  <c r="G11" i="52" a="1"/>
  <c r="J20" i="56" a="1"/>
  <c r="M23" i="12" a="1"/>
  <c r="K11" i="12" a="1"/>
  <c r="K6" i="12" a="1"/>
  <c r="E23" i="12" a="1"/>
  <c r="M3" i="28" a="1"/>
  <c r="D4" i="28" a="1"/>
  <c r="I15" i="1" a="1"/>
  <c r="Q16" i="12" a="1"/>
  <c r="O31" i="12" a="1"/>
  <c r="G22" i="12" a="1"/>
  <c r="F8" i="12" a="1"/>
  <c r="G11" i="28" a="1"/>
  <c r="T18" i="56" a="1"/>
  <c r="K23" i="12" a="1"/>
  <c r="R10" i="12" a="1"/>
  <c r="R30" i="12" a="1"/>
  <c r="F5" i="39" a="1"/>
  <c r="H23" i="28" a="1"/>
  <c r="H10" i="28" a="1"/>
  <c r="E17" i="28" a="1"/>
  <c r="D3" i="28" a="1"/>
  <c r="G8" i="1" a="1"/>
  <c r="H4" i="1" a="1"/>
  <c r="K13" i="28" a="1"/>
  <c r="G8" i="28" a="1"/>
  <c r="K28" i="1" a="1"/>
  <c r="I18" i="1" a="1"/>
  <c r="I9" i="52" a="1"/>
  <c r="G19" i="56" a="1"/>
  <c r="S22" i="12" a="1"/>
  <c r="F22" i="12" a="1"/>
  <c r="F4" i="39" a="1"/>
  <c r="K21" i="1" a="1"/>
  <c r="K14" i="1" a="1"/>
  <c r="H11" i="1" a="1"/>
  <c r="J7" i="1" a="1"/>
  <c r="C19" i="55" a="1"/>
  <c r="G9" i="52" a="1"/>
  <c r="R22" i="12" a="1"/>
  <c r="K16" i="12" a="1"/>
  <c r="Q10" i="12" a="1"/>
  <c r="Q30" i="12" a="1"/>
  <c r="F3" i="39" a="1"/>
  <c r="J28" i="1" a="1"/>
  <c r="G4" i="1" a="1"/>
  <c r="L15" i="1" a="1"/>
  <c r="K8" i="1" a="1"/>
  <c r="L22" i="1" a="1"/>
  <c r="F22" i="1" a="1"/>
  <c r="F22" i="1" l="1"/>
  <c r="L22" i="1"/>
  <c r="K8" i="1"/>
  <c r="L15" i="1"/>
  <c r="G4" i="1"/>
  <c r="J28" i="1"/>
  <c r="F3" i="39"/>
  <c r="Q30" i="12"/>
  <c r="Q10" i="12"/>
  <c r="K16" i="12"/>
  <c r="R22" i="12"/>
  <c r="G9" i="52"/>
  <c r="C19" i="55"/>
  <c r="J7" i="1"/>
  <c r="H11" i="1"/>
  <c r="K14" i="1"/>
  <c r="K21" i="1"/>
  <c r="F4" i="39"/>
  <c r="F22" i="12"/>
  <c r="S22" i="12"/>
  <c r="G19" i="56"/>
  <c r="I9" i="52"/>
  <c r="I18" i="1"/>
  <c r="K28" i="1"/>
  <c r="G8" i="28"/>
  <c r="K13" i="28"/>
  <c r="H4" i="1"/>
  <c r="G8" i="1"/>
  <c r="D3" i="28"/>
  <c r="E17" i="28"/>
  <c r="H10" i="28"/>
  <c r="H23" i="28"/>
  <c r="F5" i="39"/>
  <c r="R30" i="12"/>
  <c r="R10" i="12"/>
  <c r="K23" i="12"/>
  <c r="T18" i="56"/>
  <c r="G11" i="28"/>
  <c r="F8" i="12"/>
  <c r="G22" i="12"/>
  <c r="O31" i="12"/>
  <c r="Q16" i="12"/>
  <c r="I15" i="1"/>
  <c r="D4" i="28"/>
  <c r="M3" i="28"/>
  <c r="E23" i="12"/>
  <c r="K6" i="12"/>
  <c r="K11" i="12"/>
  <c r="M23" i="12"/>
  <c r="J20" i="56"/>
  <c r="G11" i="52"/>
  <c r="L18" i="1"/>
  <c r="G22" i="1"/>
  <c r="O3" i="1"/>
  <c r="H11" i="28"/>
  <c r="K4" i="28"/>
  <c r="L14" i="28"/>
  <c r="J4" i="39"/>
  <c r="G10" i="12"/>
  <c r="P31" i="12"/>
  <c r="O6" i="12"/>
  <c r="L11" i="12"/>
  <c r="R16" i="12"/>
  <c r="J11" i="52"/>
  <c r="J11" i="1"/>
  <c r="J4" i="1"/>
  <c r="K22" i="1"/>
  <c r="E4" i="28"/>
  <c r="L5" i="28"/>
  <c r="J8" i="39"/>
  <c r="F23" i="12"/>
  <c r="R31" i="12"/>
  <c r="O23" i="12"/>
  <c r="H21" i="56"/>
  <c r="U19" i="56"/>
  <c r="I11" i="1"/>
  <c r="K11" i="1"/>
  <c r="O4" i="1"/>
  <c r="E6" i="28"/>
  <c r="D19" i="28"/>
  <c r="M5" i="28"/>
  <c r="L15" i="28"/>
  <c r="F11" i="39"/>
  <c r="J10" i="39"/>
  <c r="E11" i="12"/>
  <c r="G23" i="12"/>
  <c r="Q6" i="12"/>
  <c r="M11" i="12"/>
  <c r="K17" i="12"/>
  <c r="G5" i="56"/>
  <c r="G2" i="46"/>
  <c r="I4" i="1"/>
  <c r="I8" i="1"/>
  <c r="E7" i="28"/>
  <c r="H12" i="28"/>
  <c r="M16" i="28"/>
  <c r="F15" i="39"/>
  <c r="J11" i="39"/>
  <c r="F11" i="12"/>
  <c r="R6" i="12"/>
  <c r="N11" i="12"/>
  <c r="I6" i="56"/>
  <c r="J21" i="56"/>
  <c r="V21" i="56"/>
  <c r="M17" i="12"/>
  <c r="G7" i="56"/>
  <c r="K2" i="46"/>
  <c r="P11" i="12"/>
  <c r="F5" i="1"/>
  <c r="D8" i="28"/>
  <c r="D20" i="28"/>
  <c r="F17" i="39"/>
  <c r="J13" i="39"/>
  <c r="G11" i="12"/>
  <c r="F30" i="12"/>
  <c r="O34" i="12"/>
  <c r="L7" i="12"/>
  <c r="R11" i="12"/>
  <c r="R17" i="12"/>
  <c r="L28" i="1"/>
  <c r="K15" i="1"/>
  <c r="J12" i="39"/>
  <c r="L8" i="1"/>
  <c r="O6" i="1"/>
  <c r="H13" i="28"/>
  <c r="L17" i="28"/>
  <c r="E12" i="12"/>
  <c r="E31" i="12"/>
  <c r="M7" i="12"/>
  <c r="K18" i="12"/>
  <c r="H7" i="56"/>
  <c r="H25" i="56"/>
  <c r="D2" i="47"/>
  <c r="G23" i="1"/>
  <c r="K5" i="1"/>
  <c r="H23" i="1"/>
  <c r="E8" i="28"/>
  <c r="D21" i="28"/>
  <c r="M6" i="28"/>
  <c r="J14" i="39"/>
  <c r="Q34" i="12"/>
  <c r="S24" i="56"/>
  <c r="C20" i="55"/>
  <c r="K18" i="1"/>
  <c r="C23" i="55"/>
  <c r="H19" i="1"/>
  <c r="C25" i="55"/>
  <c r="L5" i="1"/>
  <c r="F9" i="1"/>
  <c r="I12" i="1"/>
  <c r="G16" i="1"/>
  <c r="J19" i="1"/>
  <c r="I23" i="1"/>
  <c r="O7" i="1"/>
  <c r="G14" i="28"/>
  <c r="F19" i="39"/>
  <c r="J15" i="39"/>
  <c r="F12" i="12"/>
  <c r="F32" i="12"/>
  <c r="N7" i="12"/>
  <c r="Q12" i="12"/>
  <c r="Q18" i="12"/>
  <c r="J7" i="56"/>
  <c r="I25" i="56"/>
  <c r="L14" i="1"/>
  <c r="F19" i="1"/>
  <c r="K17" i="28"/>
  <c r="U24" i="56"/>
  <c r="K2" i="47"/>
  <c r="F22" i="39"/>
  <c r="Q7" i="12"/>
  <c r="R12" i="12"/>
  <c r="F23" i="1"/>
  <c r="E30" i="12"/>
  <c r="C26" i="55"/>
  <c r="J23" i="1"/>
  <c r="O9" i="1"/>
  <c r="D26" i="28"/>
  <c r="L7" i="28"/>
  <c r="J16" i="39"/>
  <c r="F13" i="12"/>
  <c r="K3" i="12"/>
  <c r="R18" i="12"/>
  <c r="H8" i="56"/>
  <c r="T5" i="56"/>
  <c r="E3" i="52"/>
  <c r="C2" i="7"/>
  <c r="I16" i="1"/>
  <c r="H20" i="1"/>
  <c r="E9" i="28"/>
  <c r="E26" i="28"/>
  <c r="G15" i="28"/>
  <c r="J17" i="39"/>
  <c r="E14" i="12"/>
  <c r="F34" i="12"/>
  <c r="S7" i="12"/>
  <c r="I9" i="56"/>
  <c r="J3" i="52"/>
  <c r="C21" i="55"/>
  <c r="L4" i="1"/>
  <c r="C24" i="55"/>
  <c r="I20" i="1"/>
  <c r="M7" i="28"/>
  <c r="M18" i="28"/>
  <c r="H2" i="39"/>
  <c r="J18" i="39"/>
  <c r="M3" i="12"/>
  <c r="K13" i="12"/>
  <c r="K19" i="12"/>
  <c r="H2" i="7"/>
  <c r="N19" i="12"/>
  <c r="I11" i="56"/>
  <c r="U8" i="56"/>
  <c r="D9" i="28"/>
  <c r="K18" i="28"/>
  <c r="K23" i="1"/>
  <c r="C28" i="55"/>
  <c r="D10" i="28"/>
  <c r="J19" i="39"/>
  <c r="E16" i="12"/>
  <c r="N3" i="12"/>
  <c r="H6" i="1"/>
  <c r="I9" i="1"/>
  <c r="I13" i="1"/>
  <c r="K16" i="1"/>
  <c r="J20" i="1"/>
  <c r="L23" i="1"/>
  <c r="O15" i="1"/>
  <c r="H16" i="28"/>
  <c r="L19" i="28"/>
  <c r="H4" i="39"/>
  <c r="J21" i="39"/>
  <c r="K30" i="12"/>
  <c r="O3" i="12"/>
  <c r="Q8" i="12"/>
  <c r="M13" i="12"/>
  <c r="O19" i="12"/>
  <c r="F4" i="52"/>
  <c r="E2" i="5"/>
  <c r="K20" i="28"/>
  <c r="H5" i="39"/>
  <c r="G16" i="12"/>
  <c r="P3" i="12"/>
  <c r="R8" i="12"/>
  <c r="P13" i="12"/>
  <c r="R19" i="12"/>
  <c r="J11" i="56"/>
  <c r="T9" i="56"/>
  <c r="H8" i="1"/>
  <c r="C22" i="55"/>
  <c r="J8" i="1"/>
  <c r="G19" i="1"/>
  <c r="G5" i="1"/>
  <c r="H12" i="1"/>
  <c r="C27" i="55"/>
  <c r="H9" i="1"/>
  <c r="G3" i="28"/>
  <c r="J9" i="1"/>
  <c r="I6" i="1"/>
  <c r="L16" i="1"/>
  <c r="O17" i="1"/>
  <c r="G4" i="28"/>
  <c r="H7" i="39"/>
  <c r="E4" i="12"/>
  <c r="R3" i="12"/>
  <c r="S13" i="12"/>
  <c r="K20" i="12"/>
  <c r="U9" i="56"/>
  <c r="B2" i="15"/>
  <c r="F12" i="1"/>
  <c r="O33" i="12"/>
  <c r="G12" i="12"/>
  <c r="G19" i="28"/>
  <c r="H3" i="1"/>
  <c r="J13" i="1"/>
  <c r="K4" i="12"/>
  <c r="K9" i="12"/>
  <c r="K14" i="12"/>
  <c r="H12" i="56"/>
  <c r="S10" i="56"/>
  <c r="Q2" i="15"/>
  <c r="E11" i="28"/>
  <c r="G20" i="28"/>
  <c r="M9" i="28"/>
  <c r="E5" i="12"/>
  <c r="F17" i="12"/>
  <c r="Q20" i="12"/>
  <c r="E6" i="52"/>
  <c r="A3" i="18"/>
  <c r="G13" i="1"/>
  <c r="O16" i="1"/>
  <c r="E10" i="28"/>
  <c r="L8" i="28"/>
  <c r="M30" i="12"/>
  <c r="F10" i="1"/>
  <c r="G17" i="1"/>
  <c r="L20" i="1"/>
  <c r="U3" i="18"/>
  <c r="F20" i="39"/>
  <c r="G33" i="12"/>
  <c r="G9" i="1"/>
  <c r="K19" i="1"/>
  <c r="J16" i="1"/>
  <c r="K20" i="1"/>
  <c r="C9" i="55"/>
  <c r="K13" i="1"/>
  <c r="J12" i="56"/>
  <c r="K10" i="1"/>
  <c r="L13" i="1"/>
  <c r="H17" i="1"/>
  <c r="G21" i="1"/>
  <c r="I27" i="1"/>
  <c r="O19" i="1"/>
  <c r="E12" i="28"/>
  <c r="L11" i="28"/>
  <c r="L32" i="12"/>
  <c r="Q4" i="12"/>
  <c r="M9" i="12"/>
  <c r="R20" i="12"/>
  <c r="H14" i="56"/>
  <c r="S12" i="56"/>
  <c r="E5" i="42"/>
  <c r="K6" i="28"/>
  <c r="F16" i="1"/>
  <c r="F6" i="1"/>
  <c r="H3" i="39"/>
  <c r="C29" i="55"/>
  <c r="L9" i="1"/>
  <c r="F27" i="1"/>
  <c r="L20" i="28"/>
  <c r="J6" i="1"/>
  <c r="C10" i="55"/>
  <c r="U10" i="56"/>
  <c r="G21" i="28"/>
  <c r="H14" i="39"/>
  <c r="G5" i="12"/>
  <c r="E18" i="12"/>
  <c r="K33" i="12"/>
  <c r="R14" i="12"/>
  <c r="L21" i="12"/>
  <c r="U13" i="56"/>
  <c r="D7" i="52"/>
  <c r="K4" i="1"/>
  <c r="H16" i="1"/>
  <c r="H13" i="1"/>
  <c r="F21" i="1"/>
  <c r="C11" i="55"/>
  <c r="K3" i="1"/>
  <c r="L17" i="1"/>
  <c r="F14" i="1"/>
  <c r="F18" i="1"/>
  <c r="H21" i="1"/>
  <c r="J27" i="1"/>
  <c r="D13" i="28"/>
  <c r="M11" i="28"/>
  <c r="H16" i="39"/>
  <c r="R4" i="12"/>
  <c r="M21" i="12"/>
  <c r="G16" i="56"/>
  <c r="S14" i="56"/>
  <c r="G10" i="42"/>
  <c r="J3" i="1"/>
  <c r="K23" i="28"/>
  <c r="L6" i="1"/>
  <c r="L3" i="1"/>
  <c r="G14" i="1"/>
  <c r="G28" i="1"/>
  <c r="E15" i="28"/>
  <c r="L23" i="28"/>
  <c r="H17" i="39"/>
  <c r="K5" i="12"/>
  <c r="K15" i="12"/>
  <c r="C13" i="42"/>
  <c r="H19" i="28"/>
  <c r="K21" i="28"/>
  <c r="J10" i="1"/>
  <c r="G5" i="28"/>
  <c r="K11" i="28"/>
  <c r="K6" i="1"/>
  <c r="C12" i="55"/>
  <c r="H14" i="1"/>
  <c r="D16" i="28"/>
  <c r="H6" i="28"/>
  <c r="G22" i="28"/>
  <c r="M23" i="28"/>
  <c r="F6" i="12"/>
  <c r="O30" i="12"/>
  <c r="L5" i="12"/>
  <c r="O21" i="12"/>
  <c r="H16" i="56"/>
  <c r="T14" i="56"/>
  <c r="L11" i="1"/>
  <c r="F13" i="1"/>
  <c r="E21" i="28"/>
  <c r="O7" i="12"/>
  <c r="G6" i="1"/>
  <c r="I3" i="1"/>
  <c r="G27" i="1"/>
  <c r="H13" i="39"/>
  <c r="Q14" i="12"/>
  <c r="H5" i="28"/>
  <c r="G18" i="1"/>
  <c r="H28" i="1"/>
  <c r="C17" i="55"/>
  <c r="F4" i="1"/>
  <c r="L12" i="28"/>
  <c r="E20" i="12"/>
  <c r="S9" i="12"/>
  <c r="M15" i="12"/>
  <c r="K22" i="12"/>
  <c r="D9" i="52"/>
  <c r="G18" i="42"/>
  <c r="L10" i="1"/>
  <c r="C13" i="55"/>
  <c r="F7" i="1"/>
  <c r="F11" i="1"/>
  <c r="I21" i="1"/>
  <c r="C18" i="55"/>
  <c r="I7" i="1"/>
  <c r="G11" i="1"/>
  <c r="I14" i="1"/>
  <c r="H18" i="1"/>
  <c r="J21" i="1"/>
  <c r="I28" i="1"/>
  <c r="O22" i="1"/>
  <c r="E16" i="28"/>
  <c r="H7" i="28"/>
  <c r="H22" i="28"/>
  <c r="F2" i="39"/>
  <c r="H19" i="39"/>
  <c r="F20" i="12"/>
  <c r="P30" i="12"/>
  <c r="N5" i="12"/>
  <c r="O10" i="12"/>
  <c r="Q15" i="12"/>
  <c r="J16" i="56"/>
  <c r="V14" i="56"/>
  <c r="C21" i="42"/>
  <c r="G20" i="42"/>
  <c r="C23" i="42"/>
  <c r="N3" i="18"/>
  <c r="H9" i="42"/>
  <c r="G12" i="42"/>
  <c r="C15" i="42"/>
  <c r="D7" i="28"/>
  <c r="M22" i="28"/>
  <c r="H12" i="39"/>
  <c r="F4" i="12"/>
  <c r="F10" i="12"/>
  <c r="E22" i="12"/>
  <c r="M34" i="12"/>
  <c r="P4" i="12"/>
  <c r="O8" i="12"/>
  <c r="P10" i="12"/>
  <c r="P12" i="12"/>
  <c r="P14" i="12"/>
  <c r="P16" i="12"/>
  <c r="P18" i="12"/>
  <c r="P20" i="12"/>
  <c r="P22" i="12"/>
  <c r="J6" i="56"/>
  <c r="H11" i="56"/>
  <c r="J15" i="56"/>
  <c r="G25" i="56"/>
  <c r="V13" i="56"/>
  <c r="S23" i="56"/>
  <c r="C9" i="52"/>
  <c r="F11" i="52"/>
  <c r="D2" i="7"/>
  <c r="A2" i="5"/>
  <c r="I4" i="42"/>
  <c r="E7" i="42"/>
  <c r="H17" i="42"/>
  <c r="C16" i="43"/>
  <c r="G11" i="43"/>
  <c r="U4" i="9"/>
  <c r="F16" i="39"/>
  <c r="J9" i="39"/>
  <c r="G4" i="12"/>
  <c r="F16" i="12"/>
  <c r="E34" i="12"/>
  <c r="P34" i="12"/>
  <c r="P6" i="12"/>
  <c r="P8" i="12"/>
  <c r="I20" i="56"/>
  <c r="V8" i="56"/>
  <c r="U18" i="56"/>
  <c r="C4" i="52"/>
  <c r="F6" i="52"/>
  <c r="H2" i="46"/>
  <c r="E2" i="47"/>
  <c r="U2" i="5"/>
  <c r="R2" i="15"/>
  <c r="R3" i="18"/>
  <c r="I9" i="42"/>
  <c r="H12" i="42"/>
  <c r="H20" i="42"/>
  <c r="H22" i="43"/>
  <c r="E2" i="7"/>
  <c r="B2" i="5"/>
  <c r="J4" i="42"/>
  <c r="F7" i="42"/>
  <c r="E15" i="42"/>
  <c r="I17" i="42"/>
  <c r="E23" i="42"/>
  <c r="C17" i="43"/>
  <c r="H11" i="43"/>
  <c r="V4" i="9"/>
  <c r="V18" i="56"/>
  <c r="U23" i="56"/>
  <c r="D4" i="52"/>
  <c r="I6" i="52"/>
  <c r="I2" i="46"/>
  <c r="F2" i="47"/>
  <c r="V2" i="5"/>
  <c r="S2" i="15"/>
  <c r="S3" i="18"/>
  <c r="J9" i="42"/>
  <c r="I12" i="42"/>
  <c r="I20" i="42"/>
  <c r="W4" i="9"/>
  <c r="J6" i="52"/>
  <c r="E9" i="52"/>
  <c r="F2" i="7"/>
  <c r="C2" i="5"/>
  <c r="C5" i="42"/>
  <c r="G7" i="42"/>
  <c r="F15" i="42"/>
  <c r="J17" i="42"/>
  <c r="F23" i="42"/>
  <c r="C18" i="43"/>
  <c r="G12" i="43"/>
  <c r="X4" i="9"/>
  <c r="D17" i="28"/>
  <c r="H3" i="28"/>
  <c r="G12" i="28"/>
  <c r="H20" i="28"/>
  <c r="L6" i="28"/>
  <c r="K12" i="28"/>
  <c r="M17" i="28"/>
  <c r="F18" i="39"/>
  <c r="H15" i="39"/>
  <c r="F5" i="12"/>
  <c r="E17" i="12"/>
  <c r="G34" i="12"/>
  <c r="R34" i="12"/>
  <c r="S6" i="12"/>
  <c r="S8" i="12"/>
  <c r="G21" i="56"/>
  <c r="V9" i="56"/>
  <c r="S19" i="56"/>
  <c r="V23" i="56"/>
  <c r="E4" i="52"/>
  <c r="I11" i="52"/>
  <c r="J2" i="46"/>
  <c r="I2" i="47"/>
  <c r="A2" i="15"/>
  <c r="T2" i="15"/>
  <c r="T3" i="18"/>
  <c r="F10" i="42"/>
  <c r="J12" i="42"/>
  <c r="J20" i="42"/>
  <c r="Y4" i="9"/>
  <c r="S4" i="12"/>
  <c r="K7" i="12"/>
  <c r="S10" i="12"/>
  <c r="S12" i="12"/>
  <c r="S14" i="12"/>
  <c r="S16" i="12"/>
  <c r="S18" i="12"/>
  <c r="K21" i="12"/>
  <c r="L23" i="12"/>
  <c r="I7" i="56"/>
  <c r="G12" i="56"/>
  <c r="I16" i="56"/>
  <c r="J25" i="56"/>
  <c r="U14" i="56"/>
  <c r="C7" i="52"/>
  <c r="F9" i="52"/>
  <c r="J2" i="47"/>
  <c r="G2" i="7"/>
  <c r="H7" i="42"/>
  <c r="G15" i="42"/>
  <c r="G23" i="42"/>
  <c r="H12" i="43"/>
  <c r="C23" i="43"/>
  <c r="Z4" i="9"/>
  <c r="B3" i="18"/>
  <c r="I7" i="42"/>
  <c r="H15" i="42"/>
  <c r="H23" i="42"/>
  <c r="B4" i="9"/>
  <c r="AC4" i="9"/>
  <c r="D18" i="28"/>
  <c r="H4" i="28"/>
  <c r="G13" i="28"/>
  <c r="H21" i="28"/>
  <c r="K7" i="28"/>
  <c r="M12" i="28"/>
  <c r="L18" i="28"/>
  <c r="F21" i="39"/>
  <c r="H18" i="39"/>
  <c r="E6" i="12"/>
  <c r="G17" i="12"/>
  <c r="L30" i="12"/>
  <c r="L3" i="12"/>
  <c r="M5" i="12"/>
  <c r="L9" i="12"/>
  <c r="I21" i="56"/>
  <c r="U5" i="56"/>
  <c r="T10" i="56"/>
  <c r="T24" i="56"/>
  <c r="I4" i="52"/>
  <c r="C12" i="52"/>
  <c r="L2" i="46"/>
  <c r="F2" i="5"/>
  <c r="C2" i="15"/>
  <c r="V3" i="18"/>
  <c r="F5" i="42"/>
  <c r="H10" i="42"/>
  <c r="H18" i="42"/>
  <c r="G3" i="43"/>
  <c r="H13" i="43"/>
  <c r="L13" i="12"/>
  <c r="L15" i="12"/>
  <c r="L17" i="12"/>
  <c r="M19" i="12"/>
  <c r="N21" i="12"/>
  <c r="N23" i="12"/>
  <c r="G8" i="56"/>
  <c r="I12" i="56"/>
  <c r="G17" i="56"/>
  <c r="V5" i="56"/>
  <c r="S15" i="56"/>
  <c r="V19" i="56"/>
  <c r="J4" i="52"/>
  <c r="E7" i="52"/>
  <c r="L2" i="47"/>
  <c r="I2" i="7"/>
  <c r="C3" i="18"/>
  <c r="J7" i="42"/>
  <c r="E13" i="42"/>
  <c r="I15" i="42"/>
  <c r="E21" i="42"/>
  <c r="I23" i="42"/>
  <c r="C4" i="9"/>
  <c r="AH4" i="9"/>
  <c r="D12" i="52"/>
  <c r="O2" i="46"/>
  <c r="G2" i="5"/>
  <c r="D2" i="15"/>
  <c r="C3" i="42"/>
  <c r="G5" i="42"/>
  <c r="I10" i="42"/>
  <c r="I18" i="42"/>
  <c r="H3" i="43"/>
  <c r="G14" i="43"/>
  <c r="H17" i="56"/>
  <c r="S6" i="56"/>
  <c r="S20" i="56"/>
  <c r="C5" i="52"/>
  <c r="F7" i="52"/>
  <c r="P2" i="46"/>
  <c r="M2" i="47"/>
  <c r="D3" i="18"/>
  <c r="F8" i="42"/>
  <c r="F13" i="42"/>
  <c r="J15" i="42"/>
  <c r="F21" i="42"/>
  <c r="J23" i="42"/>
  <c r="D4" i="9"/>
  <c r="AI4" i="9"/>
  <c r="L13" i="28"/>
  <c r="K19" i="28"/>
  <c r="F6" i="39"/>
  <c r="H20" i="39"/>
  <c r="G6" i="12"/>
  <c r="F18" i="12"/>
  <c r="K31" i="12"/>
  <c r="Q31" i="12"/>
  <c r="O5" i="12"/>
  <c r="N9" i="12"/>
  <c r="H22" i="56"/>
  <c r="V10" i="56"/>
  <c r="U15" i="56"/>
  <c r="V24" i="56"/>
  <c r="J9" i="52"/>
  <c r="E12" i="52"/>
  <c r="K2" i="7"/>
  <c r="H2" i="5"/>
  <c r="G2" i="15"/>
  <c r="H5" i="42"/>
  <c r="J10" i="42"/>
  <c r="J18" i="42"/>
  <c r="G4" i="43"/>
  <c r="H14" i="43"/>
  <c r="N13" i="12"/>
  <c r="N15" i="12"/>
  <c r="O17" i="12"/>
  <c r="P19" i="12"/>
  <c r="P21" i="12"/>
  <c r="P23" i="12"/>
  <c r="I8" i="56"/>
  <c r="G13" i="56"/>
  <c r="I17" i="56"/>
  <c r="I22" i="56"/>
  <c r="T6" i="56"/>
  <c r="T20" i="56"/>
  <c r="D5" i="52"/>
  <c r="G7" i="52"/>
  <c r="Q2" i="46"/>
  <c r="N2" i="47"/>
  <c r="H2" i="15"/>
  <c r="E3" i="18"/>
  <c r="E3" i="42"/>
  <c r="G8" i="42"/>
  <c r="G13" i="42"/>
  <c r="G21" i="42"/>
  <c r="E4" i="9"/>
  <c r="AJ4" i="9"/>
  <c r="D11" i="28"/>
  <c r="E19" i="28"/>
  <c r="G6" i="28"/>
  <c r="H14" i="28"/>
  <c r="G23" i="28"/>
  <c r="K8" i="28"/>
  <c r="M13" i="28"/>
  <c r="M19" i="28"/>
  <c r="F7" i="39"/>
  <c r="H21" i="39"/>
  <c r="E7" i="12"/>
  <c r="G18" i="12"/>
  <c r="L31" i="12"/>
  <c r="O32" i="12"/>
  <c r="P5" i="12"/>
  <c r="O9" i="12"/>
  <c r="P17" i="12"/>
  <c r="J22" i="56"/>
  <c r="S11" i="56"/>
  <c r="V15" i="56"/>
  <c r="U25" i="56"/>
  <c r="C10" i="52"/>
  <c r="F12" i="52"/>
  <c r="L2" i="7"/>
  <c r="I2" i="5"/>
  <c r="I5" i="42"/>
  <c r="C11" i="42"/>
  <c r="G16" i="42"/>
  <c r="C19" i="42"/>
  <c r="C7" i="43"/>
  <c r="H4" i="43"/>
  <c r="E13" i="12"/>
  <c r="G30" i="12"/>
  <c r="M31" i="12"/>
  <c r="Q3" i="12"/>
  <c r="P7" i="12"/>
  <c r="O11" i="12"/>
  <c r="O13" i="12"/>
  <c r="O15" i="12"/>
  <c r="Q17" i="12"/>
  <c r="Q19" i="12"/>
  <c r="Q21" i="12"/>
  <c r="Q23" i="12"/>
  <c r="J8" i="56"/>
  <c r="H13" i="56"/>
  <c r="J17" i="56"/>
  <c r="U6" i="56"/>
  <c r="U20" i="56"/>
  <c r="V25" i="56"/>
  <c r="E5" i="52"/>
  <c r="R2" i="46"/>
  <c r="O2" i="47"/>
  <c r="I2" i="15"/>
  <c r="F3" i="18"/>
  <c r="F3" i="42"/>
  <c r="H8" i="42"/>
  <c r="H13" i="42"/>
  <c r="H21" i="42"/>
  <c r="F4" i="9"/>
  <c r="AK4" i="9"/>
  <c r="K14" i="28"/>
  <c r="F8" i="39"/>
  <c r="H22" i="39"/>
  <c r="F7" i="12"/>
  <c r="E19" i="12"/>
  <c r="K32" i="12"/>
  <c r="P32" i="12"/>
  <c r="Q5" i="12"/>
  <c r="P9" i="12"/>
  <c r="G23" i="56"/>
  <c r="S16" i="56"/>
  <c r="I7" i="52"/>
  <c r="D10" i="52"/>
  <c r="I12" i="52"/>
  <c r="M2" i="7"/>
  <c r="J2" i="5"/>
  <c r="J5" i="42"/>
  <c r="H16" i="42"/>
  <c r="C8" i="43"/>
  <c r="G16" i="43"/>
  <c r="G4" i="9"/>
  <c r="R21" i="12"/>
  <c r="R23" i="12"/>
  <c r="G9" i="56"/>
  <c r="I13" i="56"/>
  <c r="H18" i="56"/>
  <c r="V6" i="56"/>
  <c r="U11" i="56"/>
  <c r="V20" i="56"/>
  <c r="C3" i="52"/>
  <c r="F5" i="52"/>
  <c r="J12" i="52"/>
  <c r="S2" i="46"/>
  <c r="J2" i="15"/>
  <c r="G3" i="18"/>
  <c r="G3" i="42"/>
  <c r="I8" i="42"/>
  <c r="E11" i="42"/>
  <c r="I13" i="42"/>
  <c r="E19" i="42"/>
  <c r="I21" i="42"/>
  <c r="H5" i="43"/>
  <c r="H4" i="9"/>
  <c r="AL4" i="9"/>
  <c r="G7" i="1"/>
  <c r="K9" i="1"/>
  <c r="G12" i="1"/>
  <c r="J14" i="1"/>
  <c r="I19" i="1"/>
  <c r="L21" i="1"/>
  <c r="M14" i="28"/>
  <c r="J2" i="39"/>
  <c r="G7" i="12"/>
  <c r="F19" i="12"/>
  <c r="I18" i="56"/>
  <c r="H23" i="56"/>
  <c r="T16" i="56"/>
  <c r="J7" i="52"/>
  <c r="E10" i="52"/>
  <c r="Q2" i="47"/>
  <c r="N2" i="7"/>
  <c r="M2" i="5"/>
  <c r="F6" i="42"/>
  <c r="I16" i="42"/>
  <c r="C9" i="43"/>
  <c r="I4" i="9"/>
  <c r="AM4" i="9"/>
  <c r="F17" i="1"/>
  <c r="H27" i="1"/>
  <c r="O8" i="1"/>
  <c r="E3" i="28"/>
  <c r="D12" i="28"/>
  <c r="E20" i="28"/>
  <c r="G7" i="28"/>
  <c r="H15" i="28"/>
  <c r="K3" i="28"/>
  <c r="M8" i="28"/>
  <c r="F9" i="39"/>
  <c r="F31" i="12"/>
  <c r="Q32" i="12"/>
  <c r="R5" i="12"/>
  <c r="Q9" i="12"/>
  <c r="R15" i="12"/>
  <c r="H7" i="1"/>
  <c r="K9" i="28"/>
  <c r="M20" i="28"/>
  <c r="H6" i="39"/>
  <c r="J20" i="39"/>
  <c r="G13" i="12"/>
  <c r="G31" i="12"/>
  <c r="M32" i="12"/>
  <c r="S3" i="12"/>
  <c r="R7" i="12"/>
  <c r="Q11" i="12"/>
  <c r="Q13" i="12"/>
  <c r="S15" i="12"/>
  <c r="S17" i="12"/>
  <c r="S19" i="12"/>
  <c r="S21" i="12"/>
  <c r="S23" i="12"/>
  <c r="H9" i="56"/>
  <c r="J13" i="56"/>
  <c r="J18" i="56"/>
  <c r="S7" i="56"/>
  <c r="V11" i="56"/>
  <c r="T21" i="56"/>
  <c r="D3" i="52"/>
  <c r="G5" i="52"/>
  <c r="A2" i="46"/>
  <c r="T2" i="46"/>
  <c r="N2" i="5"/>
  <c r="K2" i="15"/>
  <c r="H3" i="42"/>
  <c r="J8" i="42"/>
  <c r="F11" i="42"/>
  <c r="J13" i="42"/>
  <c r="F19" i="42"/>
  <c r="J21" i="42"/>
  <c r="G6" i="43"/>
  <c r="H18" i="43"/>
  <c r="AN4" i="9"/>
  <c r="G16" i="28"/>
  <c r="L3" i="28"/>
  <c r="L9" i="28"/>
  <c r="K15" i="28"/>
  <c r="F10" i="39"/>
  <c r="J3" i="39"/>
  <c r="E8" i="12"/>
  <c r="G19" i="12"/>
  <c r="E32" i="12"/>
  <c r="R32" i="12"/>
  <c r="S5" i="12"/>
  <c r="R9" i="12"/>
  <c r="I23" i="56"/>
  <c r="U16" i="56"/>
  <c r="U21" i="56"/>
  <c r="C8" i="52"/>
  <c r="F10" i="52"/>
  <c r="R2" i="47"/>
  <c r="O2" i="7"/>
  <c r="I3" i="18"/>
  <c r="G6" i="42"/>
  <c r="J16" i="42"/>
  <c r="C10" i="43"/>
  <c r="J4" i="9"/>
  <c r="A2" i="38"/>
  <c r="B2" i="46"/>
  <c r="U2" i="46"/>
  <c r="O2" i="5"/>
  <c r="L2" i="15"/>
  <c r="I3" i="42"/>
  <c r="C9" i="42"/>
  <c r="G11" i="42"/>
  <c r="G19" i="42"/>
  <c r="H6" i="43"/>
  <c r="G19" i="43"/>
  <c r="K4" i="9"/>
  <c r="U7" i="56"/>
  <c r="V16" i="56"/>
  <c r="I5" i="52"/>
  <c r="D8" i="52"/>
  <c r="I10" i="52"/>
  <c r="S2" i="47"/>
  <c r="P2" i="7"/>
  <c r="C17" i="42"/>
  <c r="L4" i="9"/>
  <c r="I14" i="56"/>
  <c r="J23" i="56"/>
  <c r="J3" i="18"/>
  <c r="H6" i="42"/>
  <c r="G14" i="42"/>
  <c r="G22" i="42"/>
  <c r="C11" i="43"/>
  <c r="G17" i="28"/>
  <c r="L21" i="28"/>
  <c r="H8" i="39"/>
  <c r="J22" i="39"/>
  <c r="F14" i="12"/>
  <c r="G20" i="12"/>
  <c r="L33" i="12"/>
  <c r="L4" i="12"/>
  <c r="K8" i="12"/>
  <c r="S11" i="12"/>
  <c r="L14" i="12"/>
  <c r="L16" i="12"/>
  <c r="L18" i="12"/>
  <c r="L20" i="12"/>
  <c r="L22" i="12"/>
  <c r="H5" i="56"/>
  <c r="J9" i="56"/>
  <c r="J14" i="56"/>
  <c r="H19" i="56"/>
  <c r="T12" i="56"/>
  <c r="S22" i="56"/>
  <c r="F3" i="52"/>
  <c r="J10" i="52"/>
  <c r="C2" i="46"/>
  <c r="P2" i="5"/>
  <c r="M2" i="15"/>
  <c r="J3" i="42"/>
  <c r="H11" i="42"/>
  <c r="H19" i="42"/>
  <c r="H19" i="43"/>
  <c r="M4" i="9"/>
  <c r="J2" i="38"/>
  <c r="M15" i="28"/>
  <c r="F12" i="39"/>
  <c r="J5" i="39"/>
  <c r="G14" i="12"/>
  <c r="G32" i="12"/>
  <c r="P33" i="12"/>
  <c r="K10" i="12"/>
  <c r="G24" i="56"/>
  <c r="V7" i="56"/>
  <c r="T17" i="56"/>
  <c r="J5" i="52"/>
  <c r="E8" i="52"/>
  <c r="A2" i="47"/>
  <c r="T2" i="47"/>
  <c r="S2" i="7"/>
  <c r="K3" i="18"/>
  <c r="I6" i="42"/>
  <c r="E9" i="42"/>
  <c r="H14" i="42"/>
  <c r="H22" i="42"/>
  <c r="H7" i="43"/>
  <c r="C14" i="55"/>
  <c r="I17" i="1"/>
  <c r="L19" i="1"/>
  <c r="K27" i="1"/>
  <c r="D5" i="28"/>
  <c r="E13" i="28"/>
  <c r="D22" i="28"/>
  <c r="H17" i="28"/>
  <c r="L4" i="28"/>
  <c r="K10" i="28"/>
  <c r="G8" i="12"/>
  <c r="L6" i="12"/>
  <c r="G9" i="28"/>
  <c r="M21" i="28"/>
  <c r="H9" i="39"/>
  <c r="E3" i="12"/>
  <c r="E15" i="12"/>
  <c r="E21" i="12"/>
  <c r="M33" i="12"/>
  <c r="M4" i="12"/>
  <c r="L8" i="12"/>
  <c r="L12" i="12"/>
  <c r="M14" i="12"/>
  <c r="M16" i="12"/>
  <c r="M18" i="12"/>
  <c r="M20" i="12"/>
  <c r="M22" i="12"/>
  <c r="I5" i="56"/>
  <c r="H10" i="56"/>
  <c r="G15" i="56"/>
  <c r="I19" i="56"/>
  <c r="U12" i="56"/>
  <c r="U17" i="56"/>
  <c r="T22" i="56"/>
  <c r="G3" i="52"/>
  <c r="C11" i="52"/>
  <c r="D2" i="46"/>
  <c r="T2" i="7"/>
  <c r="Q2" i="5"/>
  <c r="F4" i="42"/>
  <c r="I11" i="42"/>
  <c r="E17" i="42"/>
  <c r="I19" i="42"/>
  <c r="C13" i="43"/>
  <c r="G20" i="43"/>
  <c r="R4" i="9"/>
  <c r="O12" i="1"/>
  <c r="D14" i="28"/>
  <c r="H9" i="28"/>
  <c r="G18" i="28"/>
  <c r="L10" i="28"/>
  <c r="J6" i="39"/>
  <c r="E33" i="12"/>
  <c r="Q33" i="12"/>
  <c r="M6" i="12"/>
  <c r="L10" i="12"/>
  <c r="M12" i="12"/>
  <c r="I10" i="56"/>
  <c r="S8" i="56"/>
  <c r="V17" i="56"/>
  <c r="C6" i="52"/>
  <c r="F8" i="52"/>
  <c r="B2" i="47"/>
  <c r="U2" i="47"/>
  <c r="O2" i="15"/>
  <c r="L3" i="18"/>
  <c r="J6" i="42"/>
  <c r="F9" i="42"/>
  <c r="I14" i="42"/>
  <c r="I22" i="42"/>
  <c r="G8" i="43"/>
  <c r="D31" i="1"/>
  <c r="H5" i="1"/>
  <c r="K7" i="1"/>
  <c r="F15" i="1"/>
  <c r="H22" i="1"/>
  <c r="I22" i="1"/>
  <c r="E5" i="28"/>
  <c r="K16" i="28"/>
  <c r="F15" i="12"/>
  <c r="K22" i="28"/>
  <c r="F3" i="12"/>
  <c r="F21" i="12"/>
  <c r="K34" i="12"/>
  <c r="N4" i="12"/>
  <c r="M8" i="12"/>
  <c r="N12" i="12"/>
  <c r="N14" i="12"/>
  <c r="N16" i="12"/>
  <c r="N18" i="12"/>
  <c r="N20" i="12"/>
  <c r="J10" i="56"/>
  <c r="H15" i="56"/>
  <c r="J19" i="56"/>
  <c r="I24" i="56"/>
  <c r="V12" i="56"/>
  <c r="U22" i="56"/>
  <c r="D11" i="52"/>
  <c r="E2" i="46"/>
  <c r="U2" i="7"/>
  <c r="R2" i="5"/>
  <c r="G4" i="42"/>
  <c r="J11" i="42"/>
  <c r="F17" i="42"/>
  <c r="J19" i="42"/>
  <c r="C14" i="43"/>
  <c r="H20" i="43"/>
  <c r="S4" i="9"/>
  <c r="M2" i="38"/>
  <c r="G10" i="1"/>
  <c r="J12" i="1"/>
  <c r="H10" i="1"/>
  <c r="G15" i="1"/>
  <c r="J17" i="1"/>
  <c r="F20" i="1"/>
  <c r="L27" i="1"/>
  <c r="E22" i="28"/>
  <c r="F13" i="39"/>
  <c r="E9" i="12"/>
  <c r="N22" i="12"/>
  <c r="G3" i="1"/>
  <c r="L12" i="1"/>
  <c r="H15" i="1"/>
  <c r="G20" i="1"/>
  <c r="D6" i="28"/>
  <c r="G10" i="28"/>
  <c r="H18" i="28"/>
  <c r="M10" i="28"/>
  <c r="L16" i="28"/>
  <c r="F14" i="39"/>
  <c r="J7" i="39"/>
  <c r="G9" i="12"/>
  <c r="G15" i="12"/>
  <c r="F33" i="12"/>
  <c r="R33" i="12"/>
  <c r="N6" i="12"/>
  <c r="M10" i="12"/>
  <c r="T8" i="56"/>
  <c r="S18" i="56"/>
  <c r="I3" i="52"/>
  <c r="D6" i="52"/>
  <c r="I8" i="52"/>
  <c r="C2" i="47"/>
  <c r="V2" i="47"/>
  <c r="P2" i="15"/>
  <c r="M3" i="18"/>
  <c r="C7" i="42"/>
  <c r="G9" i="42"/>
  <c r="J14" i="42"/>
  <c r="J22" i="42"/>
  <c r="H8" i="28"/>
  <c r="C15" i="55"/>
  <c r="F3" i="1"/>
  <c r="I5" i="1"/>
  <c r="L7" i="1"/>
  <c r="K12" i="1"/>
  <c r="M4" i="28"/>
  <c r="D23" i="28"/>
  <c r="H10" i="39"/>
  <c r="F9" i="12"/>
  <c r="J5" i="56"/>
  <c r="C16" i="55"/>
  <c r="F8" i="1"/>
  <c r="I10" i="1"/>
  <c r="K17" i="1"/>
  <c r="J22" i="1"/>
  <c r="F28" i="1"/>
  <c r="O13" i="1"/>
  <c r="E14" i="28"/>
  <c r="E23" i="28"/>
  <c r="K5" i="28"/>
  <c r="D15" i="28"/>
  <c r="L22" i="28"/>
  <c r="H11" i="39"/>
  <c r="G3" i="12"/>
  <c r="E10" i="12"/>
  <c r="G21" i="12"/>
  <c r="L34" i="12"/>
  <c r="O4" i="12"/>
  <c r="N8" i="12"/>
  <c r="N10" i="12"/>
  <c r="O12" i="12"/>
  <c r="O14" i="12"/>
  <c r="O16" i="12"/>
  <c r="O18" i="12"/>
  <c r="O20" i="12"/>
  <c r="O22" i="12"/>
  <c r="H6" i="56"/>
  <c r="G11" i="56"/>
  <c r="I15" i="56"/>
  <c r="G20" i="56"/>
  <c r="J24" i="56"/>
  <c r="T13" i="56"/>
  <c r="V22" i="56"/>
  <c r="J8" i="52"/>
  <c r="E11" i="52"/>
  <c r="V2" i="7"/>
  <c r="S2" i="5"/>
  <c r="H4" i="42"/>
  <c r="G17" i="42"/>
  <c r="C15" i="43"/>
  <c r="H10" i="43"/>
  <c r="T4" i="9"/>
  <c r="N2" i="38"/>
  <c r="Q4" i="9"/>
  <c r="AG4" i="9"/>
  <c r="I2" i="38"/>
  <c r="K2" i="38"/>
  <c r="L2" i="38"/>
  <c r="H20" i="56"/>
  <c r="H24" i="56"/>
  <c r="T7" i="56"/>
  <c r="T11" i="56"/>
  <c r="T15" i="56"/>
  <c r="T19" i="56"/>
  <c r="T23" i="56"/>
  <c r="H3" i="52"/>
  <c r="H5" i="52"/>
  <c r="H7" i="52"/>
  <c r="H9" i="52"/>
  <c r="H11" i="52"/>
  <c r="F2" i="46"/>
  <c r="V2" i="46"/>
  <c r="P2" i="47"/>
  <c r="J2" i="7"/>
  <c r="D2" i="5"/>
  <c r="T2" i="5"/>
  <c r="N2" i="15"/>
  <c r="H3" i="18"/>
  <c r="D3" i="42"/>
  <c r="D5" i="42"/>
  <c r="D7" i="42"/>
  <c r="D9" i="42"/>
  <c r="D11" i="42"/>
  <c r="D13" i="42"/>
  <c r="D15" i="42"/>
  <c r="D17" i="42"/>
  <c r="D19" i="42"/>
  <c r="D21" i="42"/>
  <c r="D23" i="42"/>
  <c r="C12" i="43"/>
  <c r="G5" i="43"/>
  <c r="G13" i="43"/>
  <c r="G21" i="43"/>
  <c r="O2" i="38"/>
  <c r="H21" i="43"/>
  <c r="P2" i="38"/>
  <c r="G22" i="43"/>
  <c r="Q2" i="38"/>
  <c r="B2" i="38"/>
  <c r="R2" i="38"/>
  <c r="G7" i="43"/>
  <c r="G15" i="43"/>
  <c r="G23" i="43"/>
  <c r="AA4" i="9"/>
  <c r="C2" i="38"/>
  <c r="S2" i="38"/>
  <c r="H15" i="43"/>
  <c r="H23" i="43"/>
  <c r="AB4" i="9"/>
  <c r="D2" i="38"/>
  <c r="T2" i="38"/>
  <c r="A11" i="9"/>
  <c r="A10" i="9"/>
  <c r="A9" i="9"/>
  <c r="A8" i="9"/>
  <c r="A7" i="9"/>
  <c r="A6" i="9"/>
  <c r="A5" i="9"/>
  <c r="A13" i="9"/>
  <c r="A12" i="9"/>
  <c r="A4" i="9"/>
  <c r="E2" i="38"/>
  <c r="U2" i="38"/>
  <c r="K12" i="12"/>
  <c r="R13" i="12"/>
  <c r="P15" i="12"/>
  <c r="N17" i="12"/>
  <c r="L19" i="12"/>
  <c r="S20" i="12"/>
  <c r="Q22" i="12"/>
  <c r="G6" i="56"/>
  <c r="G10" i="56"/>
  <c r="G14" i="56"/>
  <c r="G18" i="56"/>
  <c r="G22" i="56"/>
  <c r="S5" i="56"/>
  <c r="S9" i="56"/>
  <c r="S13" i="56"/>
  <c r="S17" i="56"/>
  <c r="S21" i="56"/>
  <c r="S25" i="56"/>
  <c r="G4" i="52"/>
  <c r="G6" i="52"/>
  <c r="G8" i="52"/>
  <c r="G10" i="52"/>
  <c r="G12" i="52"/>
  <c r="M2" i="46"/>
  <c r="G2" i="47"/>
  <c r="A2" i="7"/>
  <c r="Q2" i="7"/>
  <c r="K2" i="5"/>
  <c r="E2" i="15"/>
  <c r="U2" i="15"/>
  <c r="O3" i="18"/>
  <c r="C4" i="42"/>
  <c r="C6" i="42"/>
  <c r="C8" i="42"/>
  <c r="C10" i="42"/>
  <c r="C12" i="42"/>
  <c r="C14" i="42"/>
  <c r="C16" i="42"/>
  <c r="C18" i="42"/>
  <c r="C20" i="42"/>
  <c r="C22" i="42"/>
  <c r="C3" i="43"/>
  <c r="C19" i="43"/>
  <c r="H8" i="43"/>
  <c r="H16" i="43"/>
  <c r="N4" i="9"/>
  <c r="AD4" i="9"/>
  <c r="F2" i="38"/>
  <c r="V2" i="38"/>
  <c r="T25" i="56"/>
  <c r="H4" i="52"/>
  <c r="H6" i="52"/>
  <c r="H8" i="52"/>
  <c r="H10" i="52"/>
  <c r="H12" i="52"/>
  <c r="N2" i="46"/>
  <c r="H2" i="47"/>
  <c r="B2" i="7"/>
  <c r="R2" i="7"/>
  <c r="L2" i="5"/>
  <c r="F2" i="15"/>
  <c r="V2" i="15"/>
  <c r="P3" i="18"/>
  <c r="D4" i="42"/>
  <c r="D6" i="42"/>
  <c r="D8" i="42"/>
  <c r="D10" i="42"/>
  <c r="D12" i="42"/>
  <c r="D14" i="42"/>
  <c r="D16" i="42"/>
  <c r="D18" i="42"/>
  <c r="D20" i="42"/>
  <c r="D22" i="42"/>
  <c r="C4" i="43"/>
  <c r="C20" i="43"/>
  <c r="G9" i="43"/>
  <c r="G17" i="43"/>
  <c r="O4" i="9"/>
  <c r="AE4" i="9"/>
  <c r="G2" i="38"/>
  <c r="J27" i="48"/>
  <c r="Q3" i="18"/>
  <c r="E4" i="42"/>
  <c r="E6" i="42"/>
  <c r="E8" i="42"/>
  <c r="E10" i="42"/>
  <c r="E12" i="42"/>
  <c r="E14" i="42"/>
  <c r="E16" i="42"/>
  <c r="E18" i="42"/>
  <c r="E20" i="42"/>
  <c r="E22" i="42"/>
  <c r="C5" i="43"/>
  <c r="C21" i="43"/>
  <c r="H9" i="43"/>
  <c r="H17" i="43"/>
  <c r="P4" i="9"/>
  <c r="AF4" i="9"/>
  <c r="H2" i="38"/>
  <c r="J28" i="48"/>
  <c r="F12" i="42"/>
  <c r="F14" i="42"/>
  <c r="F16" i="42"/>
  <c r="F18" i="42"/>
  <c r="F20" i="42"/>
  <c r="F22" i="42"/>
  <c r="C6" i="43"/>
  <c r="C22" i="43"/>
  <c r="G10" i="43"/>
  <c r="G18" i="43"/>
  <c r="AG2" i="12"/>
  <c r="AF2" i="12"/>
  <c r="J15" i="1" a="1"/>
  <c r="M5" i="48" a="1"/>
  <c r="M22" i="48" a="1"/>
  <c r="M9" i="48" a="1"/>
  <c r="J18" i="1" a="1"/>
  <c r="J5" i="1" a="1"/>
  <c r="E18" i="28" a="1"/>
  <c r="E18" i="28" l="1"/>
  <c r="J5" i="1"/>
  <c r="J18" i="1"/>
  <c r="M9" i="48"/>
  <c r="M22" i="48"/>
  <c r="M5" i="48"/>
  <c r="J15" i="1"/>
  <c r="Y3" i="12" a="1"/>
  <c r="Y3" i="12" s="1"/>
  <c r="Y12" i="12" a="1"/>
  <c r="Y12" i="12" s="1"/>
  <c r="Y15" i="12" a="1"/>
  <c r="Y15" i="12" s="1"/>
  <c r="Y16" i="12" a="1"/>
  <c r="Y16" i="12" s="1"/>
  <c r="Y17" i="12" a="1"/>
  <c r="Y17" i="12" s="1"/>
  <c r="Y18" i="12" a="1"/>
  <c r="Y18" i="12" s="1"/>
  <c r="Y19" i="12" a="1"/>
  <c r="Y19" i="12" s="1"/>
  <c r="Y4" i="12" a="1"/>
  <c r="Y4" i="12" s="1"/>
  <c r="Y20" i="12" a="1"/>
  <c r="Y20" i="12" s="1"/>
  <c r="Y5" i="12" a="1"/>
  <c r="Y5" i="12" s="1"/>
  <c r="Y21" i="12" a="1"/>
  <c r="Y21" i="12" s="1"/>
  <c r="Y6" i="12" a="1"/>
  <c r="Y6" i="12" s="1"/>
  <c r="Y22" i="12" a="1"/>
  <c r="Y22" i="12" s="1"/>
  <c r="Y7" i="12" a="1"/>
  <c r="Y7" i="12" s="1"/>
  <c r="Y23" i="12" a="1"/>
  <c r="Y23" i="12" s="1"/>
  <c r="Y8" i="12" a="1"/>
  <c r="Y8" i="12" s="1"/>
  <c r="Y9" i="12" a="1"/>
  <c r="Y9" i="12" s="1"/>
  <c r="Y10" i="12" a="1"/>
  <c r="Y10" i="12" s="1"/>
  <c r="Y11" i="12" a="1"/>
  <c r="Y11" i="12" s="1"/>
  <c r="Y13" i="12" a="1"/>
  <c r="Y13" i="12" s="1"/>
  <c r="Y14" i="12" a="1"/>
  <c r="Y14" i="12" s="1"/>
  <c r="AE2" i="12" l="1"/>
  <c r="E31" i="8"/>
  <c r="F28" i="8"/>
  <c r="E28" i="8"/>
  <c r="F24" i="8"/>
  <c r="E20" i="8"/>
  <c r="E24" i="8"/>
  <c r="L2" i="48" l="1"/>
  <c r="L1" i="48"/>
  <c r="L26" i="48" a="1"/>
  <c r="O3" i="48" a="1"/>
  <c r="K26" i="48" a="1"/>
  <c r="N3" i="48" a="1"/>
  <c r="N3" i="48" l="1"/>
  <c r="K26" i="48"/>
  <c r="O3" i="48"/>
  <c r="L26" i="48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  <c r="L27" i="48" a="1"/>
  <c r="L28" i="48" a="1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7" i="48" a="1"/>
  <c r="N18" i="48" a="1"/>
  <c r="N19" i="48" a="1"/>
  <c r="N20" i="48" a="1"/>
  <c r="N21" i="48" a="1"/>
  <c r="N22" i="48" a="1"/>
  <c r="N23" i="48" a="1"/>
  <c r="N24" i="48" a="1"/>
  <c r="K27" i="48" a="1"/>
  <c r="K28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O17" i="48" a="1"/>
  <c r="O18" i="48" a="1"/>
  <c r="O19" i="48" a="1"/>
  <c r="O20" i="48" a="1"/>
  <c r="O21" i="48" a="1"/>
  <c r="O22" i="48" a="1"/>
  <c r="O23" i="48" a="1"/>
  <c r="O24" i="48" a="1"/>
  <c r="O24" i="48" l="1"/>
  <c r="O23" i="48"/>
  <c r="O22" i="48"/>
  <c r="O21" i="48"/>
  <c r="O20" i="48"/>
  <c r="O19" i="48"/>
  <c r="O18" i="48"/>
  <c r="O17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8" i="48"/>
  <c r="K27" i="48"/>
  <c r="N24" i="48"/>
  <c r="N23" i="48"/>
  <c r="N22" i="48"/>
  <c r="N21" i="48"/>
  <c r="N20" i="48"/>
  <c r="N19" i="48"/>
  <c r="N18" i="48"/>
  <c r="N17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L28" i="48"/>
  <c r="L27" i="48"/>
  <c r="AE3" i="12"/>
  <c r="AE13" i="12"/>
  <c r="AE20" i="12"/>
  <c r="AE8" i="12"/>
  <c r="AE4" i="12"/>
  <c r="AE21" i="12"/>
  <c r="AE9" i="12"/>
  <c r="AE16" i="12"/>
  <c r="AE23" i="12"/>
  <c r="AE19" i="12"/>
  <c r="AE15" i="12"/>
  <c r="AE11" i="12"/>
  <c r="AE7" i="12"/>
  <c r="AE17" i="12"/>
  <c r="AE5" i="12"/>
  <c r="AE12" i="12"/>
  <c r="AE22" i="12"/>
  <c r="AE18" i="12"/>
  <c r="AE14" i="12"/>
  <c r="AE10" i="12"/>
  <c r="AE6" i="12"/>
  <c r="F33" i="57"/>
  <c r="L8" i="56" l="1"/>
  <c r="M8" i="56"/>
  <c r="N8" i="56"/>
  <c r="N23" i="1"/>
  <c r="G22" i="39"/>
  <c r="N17" i="1"/>
  <c r="G16" i="39"/>
  <c r="N13" i="1"/>
  <c r="G12" i="39"/>
  <c r="N5" i="1"/>
  <c r="G4" i="39"/>
  <c r="L25" i="56"/>
  <c r="M25" i="56"/>
  <c r="N25" i="56"/>
  <c r="L23" i="56"/>
  <c r="M23" i="56"/>
  <c r="N23" i="56"/>
  <c r="L21" i="56"/>
  <c r="M21" i="56"/>
  <c r="N21" i="56"/>
  <c r="L19" i="56"/>
  <c r="M19" i="56"/>
  <c r="N19" i="56"/>
  <c r="L15" i="56"/>
  <c r="M15" i="56"/>
  <c r="N15" i="56"/>
  <c r="L11" i="56"/>
  <c r="M11" i="56"/>
  <c r="N11" i="56"/>
  <c r="L7" i="56"/>
  <c r="M7" i="56"/>
  <c r="N7" i="56"/>
  <c r="N22" i="1"/>
  <c r="G21" i="39"/>
  <c r="N16" i="1"/>
  <c r="G15" i="39"/>
  <c r="N12" i="1"/>
  <c r="G11" i="39"/>
  <c r="N8" i="1"/>
  <c r="G7" i="39"/>
  <c r="N4" i="1"/>
  <c r="G3" i="39"/>
  <c r="L18" i="56"/>
  <c r="M18" i="56"/>
  <c r="N18" i="56"/>
  <c r="L14" i="56"/>
  <c r="M14" i="56"/>
  <c r="N14" i="56"/>
  <c r="L10" i="56"/>
  <c r="M10" i="56"/>
  <c r="N10" i="56"/>
  <c r="L6" i="56"/>
  <c r="M6" i="56"/>
  <c r="N6" i="56"/>
  <c r="N20" i="1"/>
  <c r="G19" i="39"/>
  <c r="N15" i="1"/>
  <c r="G14" i="39"/>
  <c r="N11" i="1"/>
  <c r="G10" i="39"/>
  <c r="N7" i="1"/>
  <c r="G6" i="39"/>
  <c r="N3" i="1"/>
  <c r="G2" i="39"/>
  <c r="L12" i="56"/>
  <c r="M12" i="56"/>
  <c r="N12" i="56"/>
  <c r="L24" i="56"/>
  <c r="M24" i="56"/>
  <c r="N24" i="56"/>
  <c r="L22" i="56"/>
  <c r="M22" i="56"/>
  <c r="N22" i="56"/>
  <c r="L20" i="56"/>
  <c r="M20" i="56"/>
  <c r="N20" i="56"/>
  <c r="L17" i="56"/>
  <c r="M17" i="56"/>
  <c r="N17" i="56"/>
  <c r="L13" i="56"/>
  <c r="M13" i="56"/>
  <c r="N13" i="56"/>
  <c r="L9" i="56"/>
  <c r="M9" i="56"/>
  <c r="N9" i="56"/>
  <c r="N5" i="56"/>
  <c r="L5" i="56"/>
  <c r="M5" i="56"/>
  <c r="N18" i="1"/>
  <c r="G17" i="39"/>
  <c r="N19" i="1"/>
  <c r="G18" i="39"/>
  <c r="N14" i="1"/>
  <c r="G13" i="39"/>
  <c r="N10" i="1"/>
  <c r="G9" i="39"/>
  <c r="N6" i="1"/>
  <c r="G5" i="39"/>
  <c r="L16" i="56"/>
  <c r="M16" i="56"/>
  <c r="N16" i="56"/>
  <c r="N9" i="1"/>
  <c r="G8" i="39"/>
  <c r="AD21" i="12"/>
  <c r="AC16" i="12"/>
  <c r="AD5" i="12"/>
  <c r="AD14" i="12"/>
  <c r="AC9" i="12"/>
  <c r="W4" i="12" a="1"/>
  <c r="W4" i="12" s="1"/>
  <c r="W7" i="12" a="1"/>
  <c r="W7" i="12" s="1"/>
  <c r="W13" i="12" a="1"/>
  <c r="W13" i="12" s="1"/>
  <c r="W19" i="12" a="1"/>
  <c r="W19" i="12" s="1"/>
  <c r="W22" i="12" a="1"/>
  <c r="W22" i="12" s="1"/>
  <c r="W5" i="12" a="1"/>
  <c r="W5" i="12" s="1"/>
  <c r="W10" i="12" a="1"/>
  <c r="W10" i="12" s="1"/>
  <c r="W16" i="12" a="1"/>
  <c r="W16" i="12" s="1"/>
  <c r="W20" i="12" a="1"/>
  <c r="W20" i="12" s="1"/>
  <c r="W23" i="12" a="1"/>
  <c r="W23" i="12" s="1"/>
  <c r="W8" i="12" a="1"/>
  <c r="W8" i="12" s="1"/>
  <c r="W11" i="12" a="1"/>
  <c r="W11" i="12" s="1"/>
  <c r="W14" i="12" a="1"/>
  <c r="W14" i="12" s="1"/>
  <c r="W17" i="12" a="1"/>
  <c r="W17" i="12" s="1"/>
  <c r="W21" i="12" a="1"/>
  <c r="W21" i="12" s="1"/>
  <c r="W6" i="12" a="1"/>
  <c r="W6" i="12" s="1"/>
  <c r="W9" i="12" a="1"/>
  <c r="W9" i="12" s="1"/>
  <c r="W12" i="12" a="1"/>
  <c r="W12" i="12" s="1"/>
  <c r="W15" i="12" a="1"/>
  <c r="W15" i="12" s="1"/>
  <c r="W18" i="12" a="1"/>
  <c r="W18" i="12" s="1"/>
  <c r="W3" i="12" a="1"/>
  <c r="W3" i="12" s="1"/>
  <c r="AD23" i="12"/>
  <c r="AC18" i="12"/>
  <c r="AD7" i="12"/>
  <c r="AD20" i="12"/>
  <c r="AC15" i="12"/>
  <c r="AD4" i="12"/>
  <c r="AC20" i="12"/>
  <c r="AD9" i="12"/>
  <c r="AC4" i="12"/>
  <c r="V4" i="12" a="1"/>
  <c r="V4" i="12" s="1"/>
  <c r="V7" i="12" a="1"/>
  <c r="V7" i="12" s="1"/>
  <c r="V10" i="12" a="1"/>
  <c r="V10" i="12" s="1"/>
  <c r="V16" i="12" a="1"/>
  <c r="V16" i="12" s="1"/>
  <c r="V19" i="12" a="1"/>
  <c r="V19" i="12" s="1"/>
  <c r="V22" i="12" a="1"/>
  <c r="V22" i="12" s="1"/>
  <c r="V5" i="12" a="1"/>
  <c r="V5" i="12" s="1"/>
  <c r="V11" i="12" a="1"/>
  <c r="V11" i="12" s="1"/>
  <c r="V14" i="12" a="1"/>
  <c r="V14" i="12" s="1"/>
  <c r="V17" i="12" a="1"/>
  <c r="V17" i="12" s="1"/>
  <c r="V20" i="12" a="1"/>
  <c r="V20" i="12" s="1"/>
  <c r="V23" i="12" a="1"/>
  <c r="V23" i="12" s="1"/>
  <c r="V8" i="12" a="1"/>
  <c r="V8" i="12" s="1"/>
  <c r="V12" i="12" a="1"/>
  <c r="V12" i="12" s="1"/>
  <c r="V15" i="12" a="1"/>
  <c r="V15" i="12" s="1"/>
  <c r="V21" i="12" a="1"/>
  <c r="V21" i="12" s="1"/>
  <c r="V3" i="12" a="1"/>
  <c r="V3" i="12" s="1"/>
  <c r="V6" i="12" a="1"/>
  <c r="V6" i="12" s="1"/>
  <c r="V9" i="12" a="1"/>
  <c r="V9" i="12" s="1"/>
  <c r="V13" i="12" a="1"/>
  <c r="V13" i="12" s="1"/>
  <c r="V18" i="12" a="1"/>
  <c r="V18" i="12" s="1"/>
  <c r="AD18" i="12"/>
  <c r="AC13" i="12"/>
  <c r="AC22" i="12"/>
  <c r="AD11" i="12"/>
  <c r="AC6" i="12"/>
  <c r="AC19" i="12"/>
  <c r="AD8" i="12"/>
  <c r="AC3" i="12"/>
  <c r="T5" i="12" a="1"/>
  <c r="T5" i="12" s="1"/>
  <c r="T10" i="12" a="1"/>
  <c r="T10" i="12" s="1"/>
  <c r="T16" i="12" a="1"/>
  <c r="T16" i="12" s="1"/>
  <c r="T19" i="12" a="1"/>
  <c r="T19" i="12" s="1"/>
  <c r="T22" i="12" a="1"/>
  <c r="T22" i="12" s="1"/>
  <c r="T8" i="12" a="1"/>
  <c r="T8" i="12" s="1"/>
  <c r="T11" i="12" a="1"/>
  <c r="T11" i="12" s="1"/>
  <c r="T14" i="12" a="1"/>
  <c r="T14" i="12" s="1"/>
  <c r="T17" i="12" a="1"/>
  <c r="T17" i="12" s="1"/>
  <c r="T20" i="12" a="1"/>
  <c r="T20" i="12" s="1"/>
  <c r="T23" i="12" a="1"/>
  <c r="T23" i="12" s="1"/>
  <c r="T6" i="12" a="1"/>
  <c r="T6" i="12" s="1"/>
  <c r="T9" i="12" a="1"/>
  <c r="T9" i="12" s="1"/>
  <c r="T12" i="12" a="1"/>
  <c r="T12" i="12" s="1"/>
  <c r="T15" i="12" a="1"/>
  <c r="T15" i="12" s="1"/>
  <c r="T21" i="12" a="1"/>
  <c r="T21" i="12" s="1"/>
  <c r="T4" i="12" a="1"/>
  <c r="T4" i="12" s="1"/>
  <c r="T7" i="12" a="1"/>
  <c r="T7" i="12" s="1"/>
  <c r="T13" i="12" a="1"/>
  <c r="T13" i="12" s="1"/>
  <c r="T18" i="12" a="1"/>
  <c r="T18" i="12" s="1"/>
  <c r="T3" i="12" a="1"/>
  <c r="T3" i="12" s="1"/>
  <c r="AD13" i="12"/>
  <c r="AC8" i="12"/>
  <c r="Z6" i="12" a="1"/>
  <c r="Z6" i="12" s="1"/>
  <c r="Z9" i="12" a="1"/>
  <c r="Z9" i="12" s="1"/>
  <c r="Z12" i="12" a="1"/>
  <c r="Z12" i="12" s="1"/>
  <c r="Z15" i="12" a="1"/>
  <c r="Z15" i="12" s="1"/>
  <c r="Z21" i="12" a="1"/>
  <c r="Z21" i="12" s="1"/>
  <c r="Z3" i="12" a="1"/>
  <c r="Z3" i="12" s="1"/>
  <c r="Z4" i="12" a="1"/>
  <c r="Z4" i="12" s="1"/>
  <c r="Z7" i="12" a="1"/>
  <c r="Z7" i="12" s="1"/>
  <c r="Z13" i="12" a="1"/>
  <c r="Z13" i="12" s="1"/>
  <c r="Z18" i="12" a="1"/>
  <c r="Z18" i="12" s="1"/>
  <c r="Z5" i="12" a="1"/>
  <c r="Z5" i="12" s="1"/>
  <c r="Z10" i="12" a="1"/>
  <c r="Z10" i="12" s="1"/>
  <c r="Z16" i="12" a="1"/>
  <c r="Z16" i="12" s="1"/>
  <c r="Z19" i="12" a="1"/>
  <c r="Z19" i="12" s="1"/>
  <c r="Z22" i="12" a="1"/>
  <c r="Z22" i="12" s="1"/>
  <c r="Z8" i="12" a="1"/>
  <c r="Z8" i="12" s="1"/>
  <c r="Z11" i="12" a="1"/>
  <c r="Z11" i="12" s="1"/>
  <c r="Z14" i="12" a="1"/>
  <c r="Z14" i="12" s="1"/>
  <c r="Z17" i="12" a="1"/>
  <c r="Z17" i="12" s="1"/>
  <c r="Z20" i="12" a="1"/>
  <c r="Z20" i="12" s="1"/>
  <c r="Z23" i="12" a="1"/>
  <c r="Z23" i="12" s="1"/>
  <c r="AD22" i="12"/>
  <c r="AC17" i="12"/>
  <c r="AD6" i="12"/>
  <c r="AD15" i="12"/>
  <c r="AC10" i="12"/>
  <c r="AC23" i="12"/>
  <c r="AD12" i="12"/>
  <c r="AC7" i="12"/>
  <c r="X6" i="12" a="1"/>
  <c r="X6" i="12" s="1"/>
  <c r="X9" i="12" a="1"/>
  <c r="X9" i="12" s="1"/>
  <c r="X13" i="12" a="1"/>
  <c r="X13" i="12" s="1"/>
  <c r="X18" i="12" a="1"/>
  <c r="X18" i="12" s="1"/>
  <c r="X4" i="12" a="1"/>
  <c r="X4" i="12" s="1"/>
  <c r="X7" i="12" a="1"/>
  <c r="X7" i="12" s="1"/>
  <c r="X10" i="12" a="1"/>
  <c r="X10" i="12" s="1"/>
  <c r="X16" i="12" a="1"/>
  <c r="X16" i="12" s="1"/>
  <c r="X19" i="12" a="1"/>
  <c r="X19" i="12" s="1"/>
  <c r="X22" i="12" a="1"/>
  <c r="X22" i="12" s="1"/>
  <c r="X5" i="12" a="1"/>
  <c r="X5" i="12" s="1"/>
  <c r="X11" i="12" a="1"/>
  <c r="X11" i="12" s="1"/>
  <c r="X14" i="12" a="1"/>
  <c r="X14" i="12" s="1"/>
  <c r="X17" i="12" a="1"/>
  <c r="X17" i="12" s="1"/>
  <c r="X20" i="12" a="1"/>
  <c r="X20" i="12" s="1"/>
  <c r="X23" i="12" a="1"/>
  <c r="X23" i="12" s="1"/>
  <c r="X8" i="12" a="1"/>
  <c r="X8" i="12" s="1"/>
  <c r="X12" i="12" a="1"/>
  <c r="X12" i="12" s="1"/>
  <c r="X15" i="12" a="1"/>
  <c r="X15" i="12" s="1"/>
  <c r="X21" i="12" a="1"/>
  <c r="X21" i="12" s="1"/>
  <c r="X3" i="12" a="1"/>
  <c r="X3" i="12" s="1"/>
  <c r="AD17" i="12"/>
  <c r="AC12" i="12"/>
  <c r="AC21" i="12"/>
  <c r="AD10" i="12"/>
  <c r="AC5" i="12"/>
  <c r="AD19" i="12"/>
  <c r="AC14" i="12"/>
  <c r="AD3" i="12"/>
  <c r="AD16" i="12"/>
  <c r="AC11" i="12"/>
  <c r="S23" i="52"/>
  <c r="P24" i="56" l="1"/>
  <c r="P7" i="56"/>
  <c r="P11" i="56"/>
  <c r="P14" i="56"/>
  <c r="P21" i="56"/>
  <c r="P10" i="56"/>
  <c r="M27" i="56"/>
  <c r="M28" i="56"/>
  <c r="P13" i="56"/>
  <c r="P18" i="56"/>
  <c r="P23" i="56"/>
  <c r="P16" i="56"/>
  <c r="L28" i="56"/>
  <c r="P5" i="56"/>
  <c r="L27" i="56"/>
  <c r="P9" i="56"/>
  <c r="P22" i="56"/>
  <c r="N27" i="56"/>
  <c r="N28" i="56"/>
  <c r="P20" i="56"/>
  <c r="P12" i="56"/>
  <c r="P19" i="56"/>
  <c r="P8" i="56"/>
  <c r="P17" i="56"/>
  <c r="P6" i="56"/>
  <c r="P15" i="56"/>
  <c r="P25" i="56"/>
  <c r="G20" i="39"/>
  <c r="N21" i="1"/>
  <c r="Q4" i="48" a="1"/>
  <c r="Q4" i="48" s="1"/>
  <c r="AF3" i="12" s="1"/>
  <c r="Q8" i="48" a="1"/>
  <c r="Q8" i="48" s="1"/>
  <c r="AF7" i="12" s="1"/>
  <c r="Q11" i="48" a="1"/>
  <c r="Q11" i="48" s="1"/>
  <c r="AF10" i="12" s="1"/>
  <c r="Q14" i="48" a="1"/>
  <c r="Q14" i="48" s="1"/>
  <c r="AF13" i="12" s="1"/>
  <c r="Q17" i="48" a="1"/>
  <c r="Q17" i="48" s="1"/>
  <c r="AF16" i="12" s="1"/>
  <c r="Q24" i="48" a="1"/>
  <c r="Q24" i="48" s="1"/>
  <c r="AF23" i="12" s="1"/>
  <c r="Q5" i="48" a="1"/>
  <c r="Q5" i="48" s="1"/>
  <c r="AF4" i="12" s="1"/>
  <c r="Q12" i="48" a="1"/>
  <c r="Q12" i="48" s="1"/>
  <c r="AF11" i="12" s="1"/>
  <c r="Q15" i="48" a="1"/>
  <c r="Q15" i="48" s="1"/>
  <c r="AF14" i="12" s="1"/>
  <c r="Q18" i="48" a="1"/>
  <c r="Q18" i="48" s="1"/>
  <c r="AF17" i="12" s="1"/>
  <c r="Q21" i="48" a="1"/>
  <c r="Q21" i="48" s="1"/>
  <c r="AF20" i="12" s="1"/>
  <c r="Q6" i="48" a="1"/>
  <c r="Q6" i="48" s="1"/>
  <c r="AF5" i="12" s="1"/>
  <c r="Q9" i="48" a="1"/>
  <c r="Q9" i="48" s="1"/>
  <c r="AF8" i="12" s="1"/>
  <c r="Q16" i="48" a="1"/>
  <c r="Q16" i="48" s="1"/>
  <c r="AF15" i="12" s="1"/>
  <c r="Q19" i="48" a="1"/>
  <c r="Q19" i="48" s="1"/>
  <c r="AF18" i="12" s="1"/>
  <c r="Q22" i="48" a="1"/>
  <c r="Q22" i="48" s="1"/>
  <c r="AF21" i="12" s="1"/>
  <c r="Q7" i="48" a="1"/>
  <c r="Q7" i="48" s="1"/>
  <c r="AF6" i="12" s="1"/>
  <c r="Q10" i="48" a="1"/>
  <c r="Q10" i="48" s="1"/>
  <c r="AF9" i="12" s="1"/>
  <c r="Q13" i="48" a="1"/>
  <c r="Q13" i="48" s="1"/>
  <c r="AF12" i="12" s="1"/>
  <c r="Q20" i="48" a="1"/>
  <c r="Q20" i="48" s="1"/>
  <c r="AF19" i="12" s="1"/>
  <c r="Q23" i="48" a="1"/>
  <c r="Q23" i="48" s="1"/>
  <c r="AF22" i="12" s="1"/>
  <c r="F31" i="57"/>
  <c r="F30" i="57"/>
  <c r="F29" i="57"/>
  <c r="F28" i="57"/>
  <c r="F27" i="57"/>
  <c r="F26" i="57"/>
  <c r="F25" i="57"/>
  <c r="F24" i="57"/>
  <c r="F23" i="57"/>
  <c r="F22" i="57"/>
  <c r="F20" i="57"/>
  <c r="F19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N30" i="56" l="1"/>
  <c r="D8" i="58" s="1"/>
  <c r="L30" i="56"/>
  <c r="D6" i="58" s="1"/>
  <c r="M30" i="56"/>
  <c r="D7" i="58" s="1"/>
  <c r="C138" i="5"/>
  <c r="C139" i="5" s="1"/>
  <c r="E10" i="55" s="1"/>
  <c r="D138" i="5"/>
  <c r="D139" i="5" s="1"/>
  <c r="E138" i="5"/>
  <c r="E139" i="5" s="1"/>
  <c r="F138" i="5"/>
  <c r="F139" i="5" s="1"/>
  <c r="G138" i="5"/>
  <c r="G139" i="5" s="1"/>
  <c r="E14" i="55" s="1"/>
  <c r="H138" i="5"/>
  <c r="H139" i="5" s="1"/>
  <c r="I138" i="5"/>
  <c r="I139" i="5" s="1"/>
  <c r="J138" i="5"/>
  <c r="J139" i="5" s="1"/>
  <c r="K138" i="5"/>
  <c r="K139" i="5" s="1"/>
  <c r="E18" i="55" s="1"/>
  <c r="L138" i="5"/>
  <c r="L139" i="5" s="1"/>
  <c r="M138" i="5"/>
  <c r="M139" i="5" s="1"/>
  <c r="N138" i="5"/>
  <c r="N139" i="5" s="1"/>
  <c r="O138" i="5"/>
  <c r="O139" i="5" s="1"/>
  <c r="E22" i="55" s="1"/>
  <c r="P138" i="5"/>
  <c r="P139" i="5" s="1"/>
  <c r="Q138" i="5"/>
  <c r="Q139" i="5" s="1"/>
  <c r="R138" i="5"/>
  <c r="R139" i="5" s="1"/>
  <c r="S138" i="5"/>
  <c r="S139" i="5" s="1"/>
  <c r="E26" i="55" s="1"/>
  <c r="T138" i="5"/>
  <c r="T139" i="5" s="1"/>
  <c r="U138" i="5"/>
  <c r="U139" i="5" s="1"/>
  <c r="V138" i="5"/>
  <c r="V139" i="5" s="1"/>
  <c r="B138" i="5"/>
  <c r="B139" i="5" s="1"/>
  <c r="E28" i="55" l="1"/>
  <c r="E24" i="55"/>
  <c r="E20" i="55"/>
  <c r="E16" i="55"/>
  <c r="E12" i="55"/>
  <c r="E9" i="55"/>
  <c r="E27" i="55"/>
  <c r="E23" i="55"/>
  <c r="E29" i="55"/>
  <c r="E25" i="55"/>
  <c r="E21" i="55"/>
  <c r="E17" i="55"/>
  <c r="E13" i="55"/>
  <c r="E19" i="55"/>
  <c r="E15" i="55"/>
  <c r="E11" i="55"/>
  <c r="C33" i="12" l="1"/>
  <c r="C34" i="12"/>
  <c r="L2" i="40"/>
  <c r="J2" i="40"/>
  <c r="I2" i="40"/>
  <c r="F2" i="40"/>
  <c r="E2" i="40"/>
  <c r="D2" i="40"/>
  <c r="D82" i="8"/>
  <c r="S9" i="52" l="1"/>
  <c r="S4" i="52"/>
  <c r="S16" i="52"/>
  <c r="S5" i="52"/>
  <c r="H34" i="12"/>
  <c r="H33" i="12"/>
  <c r="P2" i="40"/>
  <c r="S13" i="52" l="1"/>
  <c r="S3" i="52"/>
  <c r="I33" i="12"/>
  <c r="J33" i="12" s="1"/>
  <c r="I34" i="12"/>
  <c r="J34" i="12" s="1"/>
  <c r="T16" i="52" l="1"/>
  <c r="T4" i="52"/>
  <c r="T9" i="52"/>
  <c r="S14" i="52"/>
  <c r="T14" i="52" s="1"/>
  <c r="T5" i="52"/>
  <c r="T23" i="52"/>
  <c r="T13" i="52" l="1"/>
  <c r="T3" i="52"/>
  <c r="B24" i="18" l="1"/>
  <c r="B26" i="18" s="1" a="1"/>
  <c r="B26" i="18" s="1"/>
  <c r="K2" i="39" s="1"/>
  <c r="C131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C130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T130" i="15"/>
  <c r="U130" i="15"/>
  <c r="V130" i="15"/>
  <c r="B131" i="15"/>
  <c r="B130" i="15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N128" i="15" a="1"/>
  <c r="N128" i="15" s="1"/>
  <c r="O128" i="15" a="1"/>
  <c r="O128" i="15" s="1"/>
  <c r="P128" i="15" a="1"/>
  <c r="P128" i="15" s="1"/>
  <c r="Q128" i="15" a="1"/>
  <c r="Q128" i="15" s="1"/>
  <c r="R128" i="15" a="1"/>
  <c r="R128" i="15" s="1"/>
  <c r="S128" i="15" a="1"/>
  <c r="S128" i="15" s="1"/>
  <c r="T128" i="15" a="1"/>
  <c r="T128" i="15" s="1"/>
  <c r="U128" i="15" a="1"/>
  <c r="U128" i="15" s="1"/>
  <c r="V128" i="15" a="1"/>
  <c r="V128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N127" i="15" a="1"/>
  <c r="N127" i="15" s="1"/>
  <c r="O127" i="15" a="1"/>
  <c r="O127" i="15" s="1"/>
  <c r="P127" i="15" a="1"/>
  <c r="P127" i="15" s="1"/>
  <c r="Q127" i="15" a="1"/>
  <c r="Q127" i="15" s="1"/>
  <c r="R127" i="15" a="1"/>
  <c r="R127" i="15" s="1"/>
  <c r="S127" i="15" a="1"/>
  <c r="S127" i="15" s="1"/>
  <c r="T127" i="15" a="1"/>
  <c r="T127" i="15" s="1"/>
  <c r="U127" i="15" a="1"/>
  <c r="U127" i="15" s="1"/>
  <c r="V127" i="15" a="1"/>
  <c r="V127" i="15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K126" i="15" a="1"/>
  <c r="K126" i="15" s="1"/>
  <c r="L11" i="39" s="1"/>
  <c r="L126" i="15" a="1"/>
  <c r="L126" i="15" s="1"/>
  <c r="L12" i="39" s="1"/>
  <c r="M126" i="15" a="1"/>
  <c r="M126" i="15" s="1"/>
  <c r="L13" i="39" s="1"/>
  <c r="N126" i="15" a="1"/>
  <c r="N126" i="15" s="1"/>
  <c r="L14" i="39" s="1"/>
  <c r="O126" i="15" a="1"/>
  <c r="O126" i="15" s="1"/>
  <c r="L15" i="39" s="1"/>
  <c r="P126" i="15" a="1"/>
  <c r="P126" i="15" s="1"/>
  <c r="L16" i="39" s="1"/>
  <c r="Q126" i="15" a="1"/>
  <c r="Q126" i="15" s="1"/>
  <c r="L17" i="39" s="1"/>
  <c r="R126" i="15" a="1"/>
  <c r="R126" i="15" s="1"/>
  <c r="L18" i="39" s="1"/>
  <c r="S126" i="15" a="1"/>
  <c r="S126" i="15" s="1"/>
  <c r="L19" i="39" s="1"/>
  <c r="T126" i="15" a="1"/>
  <c r="T126" i="15" s="1"/>
  <c r="L20" i="39" s="1"/>
  <c r="U126" i="15" a="1"/>
  <c r="U126" i="15" s="1"/>
  <c r="L21" i="39" s="1"/>
  <c r="V126" i="15" a="1"/>
  <c r="V126" i="15" s="1"/>
  <c r="L22" i="39" s="1"/>
  <c r="B128" i="15" a="1"/>
  <c r="B128" i="15" s="1"/>
  <c r="B127" i="15" a="1"/>
  <c r="B127" i="15" s="1"/>
  <c r="B126" i="15" a="1"/>
  <c r="B126" i="15" s="1"/>
  <c r="L2" i="39" s="1"/>
  <c r="C134" i="5" l="1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O134" i="5" a="1"/>
  <c r="O134" i="5" s="1"/>
  <c r="F18" i="56" s="1"/>
  <c r="P134" i="5" a="1"/>
  <c r="P134" i="5" s="1"/>
  <c r="F19" i="56" s="1"/>
  <c r="Q134" i="5" a="1"/>
  <c r="Q134" i="5" s="1"/>
  <c r="F20" i="56" s="1"/>
  <c r="R134" i="5" a="1"/>
  <c r="R134" i="5" s="1"/>
  <c r="F21" i="56" s="1"/>
  <c r="S134" i="5" a="1"/>
  <c r="S134" i="5" s="1"/>
  <c r="F22" i="56" s="1"/>
  <c r="T134" i="5" a="1"/>
  <c r="T134" i="5" s="1"/>
  <c r="F23" i="56" s="1"/>
  <c r="U134" i="5" a="1"/>
  <c r="U134" i="5" s="1"/>
  <c r="F24" i="56" s="1"/>
  <c r="V134" i="5" a="1"/>
  <c r="V134" i="5" s="1"/>
  <c r="F25" i="56" s="1"/>
  <c r="B134" i="5" a="1"/>
  <c r="B134" i="5" s="1"/>
  <c r="F5" i="56" s="1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B130" i="5"/>
  <c r="B129" i="5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O127" i="5" a="1"/>
  <c r="O127" i="5" s="1"/>
  <c r="D17" i="13" s="1"/>
  <c r="P127" i="5" a="1"/>
  <c r="P127" i="5" s="1"/>
  <c r="D18" i="13" s="1"/>
  <c r="Q127" i="5" a="1"/>
  <c r="Q127" i="5" s="1"/>
  <c r="D19" i="13" s="1"/>
  <c r="R127" i="5" a="1"/>
  <c r="R127" i="5" s="1"/>
  <c r="D20" i="13" s="1"/>
  <c r="S127" i="5" a="1"/>
  <c r="S127" i="5" s="1"/>
  <c r="D21" i="13" s="1"/>
  <c r="T127" i="5" a="1"/>
  <c r="T127" i="5" s="1"/>
  <c r="D22" i="13" s="1"/>
  <c r="U127" i="5" a="1"/>
  <c r="U127" i="5" s="1"/>
  <c r="D23" i="13" s="1"/>
  <c r="V127" i="5" a="1"/>
  <c r="V127" i="5" s="1"/>
  <c r="D24" i="13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K126" i="5" a="1"/>
  <c r="K126" i="5" s="1"/>
  <c r="L126" i="5" a="1"/>
  <c r="L126" i="5" s="1"/>
  <c r="M126" i="5" a="1"/>
  <c r="M126" i="5" s="1"/>
  <c r="N126" i="5" a="1"/>
  <c r="N126" i="5" s="1"/>
  <c r="O126" i="5" a="1"/>
  <c r="O126" i="5" s="1"/>
  <c r="P126" i="5" a="1"/>
  <c r="P126" i="5" s="1"/>
  <c r="Q126" i="5" a="1"/>
  <c r="Q126" i="5" s="1"/>
  <c r="R126" i="5" a="1"/>
  <c r="R126" i="5" s="1"/>
  <c r="S126" i="5" a="1"/>
  <c r="S126" i="5" s="1"/>
  <c r="T126" i="5" a="1"/>
  <c r="T126" i="5" s="1"/>
  <c r="U126" i="5" a="1"/>
  <c r="U126" i="5" s="1"/>
  <c r="V126" i="5" a="1"/>
  <c r="V126" i="5" s="1"/>
  <c r="B127" i="5" a="1"/>
  <c r="B127" i="5" s="1"/>
  <c r="D4" i="13" s="1"/>
  <c r="B126" i="5" a="1"/>
  <c r="B126" i="5" s="1"/>
  <c r="C126" i="7" l="1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K126" i="7" a="1"/>
  <c r="K126" i="7" s="1"/>
  <c r="L126" i="7" a="1"/>
  <c r="L126" i="7" s="1"/>
  <c r="M126" i="7" a="1"/>
  <c r="M126" i="7" s="1"/>
  <c r="N126" i="7" a="1"/>
  <c r="N126" i="7" s="1"/>
  <c r="O126" i="7" a="1"/>
  <c r="O126" i="7" s="1"/>
  <c r="P126" i="7" a="1"/>
  <c r="P126" i="7" s="1"/>
  <c r="Q126" i="7" a="1"/>
  <c r="Q126" i="7" s="1"/>
  <c r="R126" i="7" a="1"/>
  <c r="R126" i="7" s="1"/>
  <c r="S126" i="7" a="1"/>
  <c r="S126" i="7" s="1"/>
  <c r="T126" i="7" a="1"/>
  <c r="T126" i="7" s="1"/>
  <c r="U126" i="7" a="1"/>
  <c r="U126" i="7" s="1"/>
  <c r="V126" i="7" a="1"/>
  <c r="V126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K128" i="7" a="1"/>
  <c r="K128" i="7" s="1"/>
  <c r="L128" i="7" a="1"/>
  <c r="L128" i="7" s="1"/>
  <c r="M128" i="7" a="1"/>
  <c r="M128" i="7" s="1"/>
  <c r="N128" i="7" a="1"/>
  <c r="N128" i="7" s="1"/>
  <c r="O128" i="7" a="1"/>
  <c r="O128" i="7" s="1"/>
  <c r="P128" i="7" a="1"/>
  <c r="P128" i="7" s="1"/>
  <c r="Q128" i="7" a="1"/>
  <c r="Q128" i="7" s="1"/>
  <c r="R128" i="7" a="1"/>
  <c r="R128" i="7" s="1"/>
  <c r="S128" i="7" a="1"/>
  <c r="S128" i="7" s="1"/>
  <c r="T128" i="7" a="1"/>
  <c r="T128" i="7" s="1"/>
  <c r="U128" i="7" a="1"/>
  <c r="U128" i="7" s="1"/>
  <c r="V128" i="7" a="1"/>
  <c r="V128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K125" i="7" a="1"/>
  <c r="K125" i="7" s="1"/>
  <c r="L125" i="7" a="1"/>
  <c r="L125" i="7" s="1"/>
  <c r="M125" i="7" a="1"/>
  <c r="M125" i="7" s="1"/>
  <c r="N125" i="7" a="1"/>
  <c r="N125" i="7" s="1"/>
  <c r="O125" i="7" a="1"/>
  <c r="O125" i="7" s="1"/>
  <c r="P125" i="7" a="1"/>
  <c r="P125" i="7" s="1"/>
  <c r="Q125" i="7" a="1"/>
  <c r="Q125" i="7" s="1"/>
  <c r="R125" i="7" a="1"/>
  <c r="R125" i="7" s="1"/>
  <c r="S125" i="7" a="1"/>
  <c r="S125" i="7" s="1"/>
  <c r="T125" i="7" a="1"/>
  <c r="T125" i="7" s="1"/>
  <c r="U125" i="7" a="1"/>
  <c r="U125" i="7" s="1"/>
  <c r="V125" i="7" a="1"/>
  <c r="V125" i="7" s="1"/>
  <c r="B128" i="7" a="1"/>
  <c r="B128" i="7" s="1"/>
  <c r="B126" i="7" a="1"/>
  <c r="B126" i="7" s="1"/>
  <c r="B125" i="7" a="1"/>
  <c r="B125" i="7" s="1"/>
  <c r="C32" i="12" l="1"/>
  <c r="I32" i="12" l="1"/>
  <c r="H32" i="12" l="1"/>
  <c r="J32" i="12" s="1"/>
  <c r="C31" i="12" l="1"/>
  <c r="L40" i="8"/>
  <c r="I31" i="12" l="1"/>
  <c r="H31" i="12"/>
  <c r="J31" i="12" l="1"/>
  <c r="M28" i="48" l="1"/>
  <c r="M27" i="48"/>
  <c r="P14" i="48" l="1"/>
  <c r="P23" i="48"/>
  <c r="P10" i="48"/>
  <c r="P15" i="48"/>
  <c r="P6" i="48"/>
  <c r="P5" i="48"/>
  <c r="P16" i="48"/>
  <c r="P12" i="48"/>
  <c r="P20" i="48"/>
  <c r="P24" i="48"/>
  <c r="P18" i="48"/>
  <c r="P17" i="48"/>
  <c r="P7" i="48"/>
  <c r="P21" i="48"/>
  <c r="P13" i="48"/>
  <c r="P11" i="48"/>
  <c r="P9" i="48"/>
  <c r="P19" i="48"/>
  <c r="P4" i="48"/>
  <c r="P8" i="48"/>
  <c r="P22" i="48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AA8" i="1" l="1" a="1"/>
  <c r="AA8" i="1" s="1"/>
  <c r="AA21" i="1" a="1"/>
  <c r="AA21" i="1" s="1"/>
  <c r="AA18" i="1" a="1"/>
  <c r="AA18" i="1" s="1"/>
  <c r="AA13" i="1" a="1"/>
  <c r="AA13" i="1" s="1"/>
  <c r="AA10" i="1" a="1"/>
  <c r="AA10" i="1" s="1"/>
  <c r="AA5" i="1" a="1"/>
  <c r="AA5" i="1" s="1"/>
  <c r="AA23" i="1" a="1"/>
  <c r="AA23" i="1" s="1"/>
  <c r="AA20" i="1" a="1"/>
  <c r="AA20" i="1" s="1"/>
  <c r="AA15" i="1" a="1"/>
  <c r="AA15" i="1" s="1"/>
  <c r="AA12" i="1" a="1"/>
  <c r="AA12" i="1" s="1"/>
  <c r="AA7" i="1" a="1"/>
  <c r="AA7" i="1" s="1"/>
  <c r="AA4" i="1" a="1"/>
  <c r="AA4" i="1" s="1"/>
  <c r="AA22" i="1" a="1"/>
  <c r="AA22" i="1" s="1"/>
  <c r="AA17" i="1" a="1"/>
  <c r="AA17" i="1" s="1"/>
  <c r="AA14" i="1" a="1"/>
  <c r="AA14" i="1" s="1"/>
  <c r="AA9" i="1" a="1"/>
  <c r="AA9" i="1" s="1"/>
  <c r="AA6" i="1" a="1"/>
  <c r="AA6" i="1" s="1"/>
  <c r="AA3" i="1" a="1"/>
  <c r="AA3" i="1" s="1"/>
  <c r="AA19" i="1" a="1"/>
  <c r="AA19" i="1" s="1"/>
  <c r="AA16" i="1" a="1"/>
  <c r="AA16" i="1" s="1"/>
  <c r="AA11" i="1" a="1"/>
  <c r="AA11" i="1" s="1"/>
  <c r="R20" i="48" a="1"/>
  <c r="R20" i="48" s="1"/>
  <c r="R19" i="48" a="1"/>
  <c r="R19" i="48" s="1"/>
  <c r="R18" i="48" a="1"/>
  <c r="R18" i="48" s="1"/>
  <c r="R23" i="48" a="1"/>
  <c r="R23" i="48" s="1"/>
  <c r="R11" i="48" a="1"/>
  <c r="R11" i="48" s="1"/>
  <c r="R5" i="48" a="1"/>
  <c r="R5" i="48" s="1"/>
  <c r="R12" i="48" a="1"/>
  <c r="R12" i="48" s="1"/>
  <c r="R16" i="48" a="1"/>
  <c r="R16" i="48" s="1"/>
  <c r="R6" i="48" a="1"/>
  <c r="R6" i="48" s="1"/>
  <c r="R13" i="48" a="1"/>
  <c r="R13" i="48" s="1"/>
  <c r="R9" i="48" a="1"/>
  <c r="R9" i="48" s="1"/>
  <c r="R4" i="48" a="1"/>
  <c r="R4" i="48" s="1"/>
  <c r="R15" i="48" a="1"/>
  <c r="R15" i="48" s="1"/>
  <c r="R10" i="48" a="1"/>
  <c r="R10" i="48" s="1"/>
  <c r="R14" i="48" a="1"/>
  <c r="R14" i="48" s="1"/>
  <c r="R24" i="48" a="1"/>
  <c r="R24" i="48" s="1"/>
  <c r="R7" i="48" a="1"/>
  <c r="R7" i="48" s="1"/>
  <c r="R21" i="48" a="1"/>
  <c r="R21" i="48" s="1"/>
  <c r="R17" i="48" a="1"/>
  <c r="R17" i="48" s="1"/>
  <c r="R22" i="48" a="1"/>
  <c r="R22" i="48" s="1"/>
  <c r="R8" i="48" a="1"/>
  <c r="R8" i="48" s="1"/>
  <c r="B136" i="5" a="1"/>
  <c r="B136" i="5" s="1"/>
  <c r="R136" i="5" a="1"/>
  <c r="R136" i="5" s="1"/>
  <c r="C136" i="5" a="1"/>
  <c r="C136" i="5" s="1"/>
  <c r="P136" i="5" a="1"/>
  <c r="P136" i="5" s="1"/>
  <c r="M136" i="5" a="1"/>
  <c r="M136" i="5" s="1"/>
  <c r="U136" i="5" a="1"/>
  <c r="U136" i="5" s="1"/>
  <c r="F136" i="5" a="1"/>
  <c r="F136" i="5" s="1"/>
  <c r="V136" i="5" a="1"/>
  <c r="V136" i="5" s="1"/>
  <c r="E136" i="5" a="1"/>
  <c r="E136" i="5" s="1"/>
  <c r="T136" i="5" a="1"/>
  <c r="T136" i="5" s="1"/>
  <c r="G136" i="5" a="1"/>
  <c r="G136" i="5" s="1"/>
  <c r="O136" i="5" a="1"/>
  <c r="O136" i="5" s="1"/>
  <c r="J136" i="5" a="1"/>
  <c r="J136" i="5" s="1"/>
  <c r="D136" i="5" a="1"/>
  <c r="D136" i="5" s="1"/>
  <c r="H136" i="5" a="1"/>
  <c r="H136" i="5" s="1"/>
  <c r="I136" i="5" a="1"/>
  <c r="I136" i="5" s="1"/>
  <c r="Q136" i="5" a="1"/>
  <c r="Q136" i="5" s="1"/>
  <c r="N136" i="5" a="1"/>
  <c r="N136" i="5" s="1"/>
  <c r="L136" i="5" a="1"/>
  <c r="L136" i="5" s="1"/>
  <c r="K136" i="5" a="1"/>
  <c r="K136" i="5" s="1"/>
  <c r="S136" i="5" a="1"/>
  <c r="S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K127" i="47" a="1"/>
  <c r="K127" i="47" s="1"/>
  <c r="L127" i="47" a="1"/>
  <c r="L127" i="47" s="1"/>
  <c r="M127" i="47" a="1"/>
  <c r="M127" i="47" s="1"/>
  <c r="N127" i="47" a="1"/>
  <c r="N127" i="47" s="1"/>
  <c r="O127" i="47" a="1"/>
  <c r="O127" i="47" s="1"/>
  <c r="P127" i="47" a="1"/>
  <c r="P127" i="47" s="1"/>
  <c r="Q127" i="47" a="1"/>
  <c r="Q127" i="47" s="1"/>
  <c r="S127" i="47" a="1"/>
  <c r="S127" i="47" s="1"/>
  <c r="T127" i="47" a="1"/>
  <c r="T127" i="47" s="1"/>
  <c r="U127" i="47" a="1"/>
  <c r="U127" i="47" s="1"/>
  <c r="V127" i="47" a="1"/>
  <c r="V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K125" i="47" a="1"/>
  <c r="K125" i="47" s="1"/>
  <c r="L125" i="47" a="1"/>
  <c r="L125" i="47" s="1"/>
  <c r="M125" i="47" a="1"/>
  <c r="M125" i="47" s="1"/>
  <c r="N125" i="47" a="1"/>
  <c r="N125" i="47" s="1"/>
  <c r="O125" i="47" a="1"/>
  <c r="O125" i="47" s="1"/>
  <c r="P125" i="47" a="1"/>
  <c r="P125" i="47" s="1"/>
  <c r="Q125" i="47" a="1"/>
  <c r="Q125" i="47" s="1"/>
  <c r="S125" i="47" a="1"/>
  <c r="S125" i="47" s="1"/>
  <c r="T125" i="47" a="1"/>
  <c r="T125" i="47" s="1"/>
  <c r="U125" i="47" a="1"/>
  <c r="U125" i="47" s="1"/>
  <c r="V125" i="47" a="1"/>
  <c r="V125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K124" i="47" a="1"/>
  <c r="K124" i="47" s="1"/>
  <c r="L124" i="47" a="1"/>
  <c r="L124" i="47" s="1"/>
  <c r="M124" i="47" a="1"/>
  <c r="M124" i="47" s="1"/>
  <c r="N124" i="47" a="1"/>
  <c r="N124" i="47" s="1"/>
  <c r="O124" i="47" a="1"/>
  <c r="O124" i="47" s="1"/>
  <c r="P124" i="47" a="1"/>
  <c r="P124" i="47" s="1"/>
  <c r="Q124" i="47" a="1"/>
  <c r="Q124" i="47" s="1"/>
  <c r="S124" i="47" a="1"/>
  <c r="S124" i="47" s="1"/>
  <c r="T124" i="47" a="1"/>
  <c r="T124" i="47" s="1"/>
  <c r="U124" i="47" a="1"/>
  <c r="U124" i="47" s="1"/>
  <c r="V124" i="47" a="1"/>
  <c r="V124" i="47" s="1"/>
  <c r="B127" i="47" a="1"/>
  <c r="B127" i="47" s="1"/>
  <c r="B125" i="47" a="1"/>
  <c r="B125" i="47" s="1"/>
  <c r="B124" i="47" a="1"/>
  <c r="B124" i="47" s="1"/>
  <c r="S6" i="48" l="1"/>
  <c r="AG5" i="12"/>
  <c r="S11" i="48"/>
  <c r="AG10" i="12"/>
  <c r="S19" i="48"/>
  <c r="AG18" i="12"/>
  <c r="S22" i="48"/>
  <c r="AG21" i="12"/>
  <c r="S17" i="48"/>
  <c r="AG16" i="12"/>
  <c r="S21" i="48"/>
  <c r="AG20" i="12"/>
  <c r="S7" i="48"/>
  <c r="AG6" i="12"/>
  <c r="S24" i="48"/>
  <c r="AG23" i="12"/>
  <c r="S14" i="48"/>
  <c r="AG13" i="12"/>
  <c r="S9" i="48"/>
  <c r="AG8" i="12"/>
  <c r="S5" i="48"/>
  <c r="AG4" i="12"/>
  <c r="S18" i="48"/>
  <c r="AG17" i="12"/>
  <c r="S8" i="48"/>
  <c r="AG7" i="12"/>
  <c r="S10" i="48"/>
  <c r="AG9" i="12"/>
  <c r="S13" i="48"/>
  <c r="AG12" i="12"/>
  <c r="S12" i="48"/>
  <c r="AG11" i="12"/>
  <c r="S20" i="48"/>
  <c r="AG19" i="12"/>
  <c r="S15" i="48"/>
  <c r="AG14" i="12"/>
  <c r="S16" i="48"/>
  <c r="AG15" i="12"/>
  <c r="S23" i="48"/>
  <c r="AG22" i="12"/>
  <c r="S4" i="48"/>
  <c r="AG3" i="12"/>
  <c r="R124" i="47" a="1"/>
  <c r="R124" i="47" s="1"/>
  <c r="R125" i="47" a="1"/>
  <c r="R125" i="47" s="1"/>
  <c r="R127" i="47" a="1"/>
  <c r="R127" i="47" s="1"/>
  <c r="T15" i="48" l="1" a="1"/>
  <c r="T15" i="48" s="1"/>
  <c r="T9" i="48" a="1"/>
  <c r="T9" i="48" s="1"/>
  <c r="T13" i="48" a="1"/>
  <c r="T13" i="48" s="1"/>
  <c r="T20" i="48" a="1"/>
  <c r="T20" i="48" s="1"/>
  <c r="T24" i="48" a="1"/>
  <c r="T24" i="48" s="1"/>
  <c r="T4" i="48" a="1"/>
  <c r="T4" i="48" s="1"/>
  <c r="T23" i="48" a="1"/>
  <c r="T23" i="48" s="1"/>
  <c r="T21" i="48" a="1"/>
  <c r="T21" i="48" s="1"/>
  <c r="T10" i="48" a="1"/>
  <c r="T10" i="48" s="1"/>
  <c r="T8" i="48" a="1"/>
  <c r="T8" i="48" s="1"/>
  <c r="T7" i="48" a="1"/>
  <c r="T7" i="48" s="1"/>
  <c r="T18" i="48" a="1"/>
  <c r="T18" i="48" s="1"/>
  <c r="T5" i="48" a="1"/>
  <c r="T5" i="48" s="1"/>
  <c r="T6" i="48" a="1"/>
  <c r="T6" i="48" s="1"/>
  <c r="T19" i="48" a="1"/>
  <c r="T19" i="48" s="1"/>
  <c r="T17" i="48" a="1"/>
  <c r="T17" i="48" s="1"/>
  <c r="T11" i="48" a="1"/>
  <c r="T11" i="48" s="1"/>
  <c r="T16" i="48" a="1"/>
  <c r="T16" i="48" s="1"/>
  <c r="T14" i="48" a="1"/>
  <c r="T14" i="48" s="1"/>
  <c r="T22" i="48" a="1"/>
  <c r="T22" i="48" s="1"/>
  <c r="T12" i="48" a="1"/>
  <c r="T12" i="48" s="1"/>
  <c r="B127" i="46" a="1"/>
  <c r="B127" i="46" s="1"/>
  <c r="B125" i="46" a="1"/>
  <c r="B125" i="46" s="1"/>
  <c r="B124" i="46" a="1"/>
  <c r="B124" i="46" s="1"/>
  <c r="U127" i="46" a="1"/>
  <c r="U127" i="46" s="1"/>
  <c r="U125" i="46" a="1"/>
  <c r="U125" i="46" s="1"/>
  <c r="U124" i="46" a="1"/>
  <c r="U124" i="46" s="1"/>
  <c r="E127" i="46" a="1"/>
  <c r="E127" i="46" s="1"/>
  <c r="E125" i="46" a="1"/>
  <c r="E125" i="46" s="1"/>
  <c r="E124" i="46" a="1"/>
  <c r="E124" i="46" s="1"/>
  <c r="P127" i="46" a="1"/>
  <c r="P127" i="46" s="1"/>
  <c r="P125" i="46" a="1"/>
  <c r="P125" i="46" s="1"/>
  <c r="P124" i="46" a="1"/>
  <c r="P124" i="46" s="1"/>
  <c r="H127" i="46" a="1"/>
  <c r="H127" i="46" s="1"/>
  <c r="H125" i="46" a="1"/>
  <c r="H125" i="46" s="1"/>
  <c r="H124" i="46" a="1"/>
  <c r="H124" i="46" s="1"/>
  <c r="S127" i="46" a="1"/>
  <c r="S127" i="46" s="1"/>
  <c r="S124" i="46" a="1"/>
  <c r="S124" i="46" s="1"/>
  <c r="S125" i="46" a="1"/>
  <c r="S125" i="46" s="1"/>
  <c r="K125" i="46" a="1"/>
  <c r="K125" i="46" s="1"/>
  <c r="K127" i="46" a="1"/>
  <c r="K127" i="46" s="1"/>
  <c r="K124" i="46" a="1"/>
  <c r="K124" i="46" s="1"/>
  <c r="C127" i="46" a="1"/>
  <c r="C127" i="46" s="1"/>
  <c r="C124" i="46" a="1"/>
  <c r="C124" i="46" s="1"/>
  <c r="C125" i="46" a="1"/>
  <c r="C125" i="46" s="1"/>
  <c r="R125" i="46" a="1"/>
  <c r="R125" i="46" s="1"/>
  <c r="R124" i="46" a="1"/>
  <c r="R124" i="46" s="1"/>
  <c r="R127" i="46" a="1"/>
  <c r="R127" i="46" s="1"/>
  <c r="V127" i="46" a="1"/>
  <c r="V127" i="46" s="1"/>
  <c r="V124" i="46" a="1"/>
  <c r="V124" i="46" s="1"/>
  <c r="V125" i="46" a="1"/>
  <c r="V125" i="46" s="1"/>
  <c r="N127" i="46" a="1"/>
  <c r="N127" i="46" s="1"/>
  <c r="N124" i="46" a="1"/>
  <c r="N124" i="46" s="1"/>
  <c r="N125" i="46" a="1"/>
  <c r="N125" i="46" s="1"/>
  <c r="F127" i="46" a="1"/>
  <c r="F127" i="46" s="1"/>
  <c r="F124" i="46" a="1"/>
  <c r="F124" i="46" s="1"/>
  <c r="F125" i="46" a="1"/>
  <c r="F125" i="46" s="1"/>
  <c r="Q127" i="46" a="1"/>
  <c r="Q127" i="46" s="1"/>
  <c r="Q125" i="46" a="1"/>
  <c r="Q125" i="46" s="1"/>
  <c r="Q124" i="46" a="1"/>
  <c r="Q124" i="46" s="1"/>
  <c r="I127" i="46" a="1"/>
  <c r="I127" i="46" s="1"/>
  <c r="I124" i="46" a="1"/>
  <c r="I124" i="46" s="1"/>
  <c r="I125" i="46" a="1"/>
  <c r="I125" i="46" s="1"/>
  <c r="J127" i="46" a="1"/>
  <c r="J127" i="46" s="1"/>
  <c r="J124" i="46" a="1"/>
  <c r="J124" i="46" s="1"/>
  <c r="J125" i="46" a="1"/>
  <c r="J125" i="46" s="1"/>
  <c r="M127" i="46" a="1"/>
  <c r="M127" i="46" s="1"/>
  <c r="M125" i="46" a="1"/>
  <c r="M125" i="46" s="1"/>
  <c r="M124" i="46" a="1"/>
  <c r="M124" i="46" s="1"/>
  <c r="T127" i="46" a="1"/>
  <c r="T127" i="46" s="1"/>
  <c r="T124" i="46" a="1"/>
  <c r="T124" i="46" s="1"/>
  <c r="T125" i="46" a="1"/>
  <c r="T125" i="46" s="1"/>
  <c r="L127" i="46" a="1"/>
  <c r="L127" i="46" s="1"/>
  <c r="L125" i="46" a="1"/>
  <c r="L125" i="46" s="1"/>
  <c r="L124" i="46" a="1"/>
  <c r="L124" i="46" s="1"/>
  <c r="D127" i="46" a="1"/>
  <c r="D127" i="46" s="1"/>
  <c r="D124" i="46" a="1"/>
  <c r="D124" i="46" s="1"/>
  <c r="D125" i="46" a="1"/>
  <c r="D125" i="46" s="1"/>
  <c r="O127" i="46" a="1"/>
  <c r="O127" i="46" s="1"/>
  <c r="O125" i="46" a="1"/>
  <c r="O125" i="46" s="1"/>
  <c r="O124" i="46" a="1"/>
  <c r="O124" i="46" s="1"/>
  <c r="G127" i="46" a="1"/>
  <c r="G127" i="46" s="1"/>
  <c r="G124" i="46" a="1"/>
  <c r="G124" i="46" s="1"/>
  <c r="G125" i="46" a="1"/>
  <c r="G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K138" i="15" a="1"/>
  <c r="K138" i="15" s="1"/>
  <c r="I13" i="13" s="1"/>
  <c r="L138" i="15" a="1"/>
  <c r="L138" i="15" s="1"/>
  <c r="I14" i="13" s="1"/>
  <c r="M138" i="15" a="1"/>
  <c r="M138" i="15" s="1"/>
  <c r="I15" i="13" s="1"/>
  <c r="N138" i="15" a="1"/>
  <c r="N138" i="15" s="1"/>
  <c r="I16" i="13" s="1"/>
  <c r="O138" i="15" a="1"/>
  <c r="O138" i="15" s="1"/>
  <c r="I17" i="13" s="1"/>
  <c r="P138" i="15" a="1"/>
  <c r="P138" i="15" s="1"/>
  <c r="I18" i="13" s="1"/>
  <c r="Q138" i="15" a="1"/>
  <c r="Q138" i="15" s="1"/>
  <c r="I19" i="13" s="1"/>
  <c r="R138" i="15" a="1"/>
  <c r="R138" i="15" s="1"/>
  <c r="I20" i="13" s="1"/>
  <c r="S138" i="15" a="1"/>
  <c r="S138" i="15" s="1"/>
  <c r="I21" i="13" s="1"/>
  <c r="T138" i="15" a="1"/>
  <c r="T138" i="15" s="1"/>
  <c r="I22" i="13" s="1"/>
  <c r="U138" i="15" a="1"/>
  <c r="U138" i="15" s="1"/>
  <c r="I23" i="13" s="1"/>
  <c r="V138" i="15" a="1"/>
  <c r="V138" i="15" s="1"/>
  <c r="I24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N137" i="15" a="1"/>
  <c r="N137" i="15" s="1"/>
  <c r="O137" i="15" a="1"/>
  <c r="O137" i="15" s="1"/>
  <c r="P137" i="15" a="1"/>
  <c r="P137" i="15" s="1"/>
  <c r="Q137" i="15" a="1"/>
  <c r="Q137" i="15" s="1"/>
  <c r="R137" i="15" a="1"/>
  <c r="R137" i="15" s="1"/>
  <c r="S137" i="15" a="1"/>
  <c r="S137" i="15" s="1"/>
  <c r="T137" i="15" a="1"/>
  <c r="T137" i="15" s="1"/>
  <c r="U137" i="15" a="1"/>
  <c r="U137" i="15" s="1"/>
  <c r="V137" i="15" a="1"/>
  <c r="V137" i="15" s="1"/>
  <c r="V136" i="15" a="1"/>
  <c r="V136" i="15" s="1"/>
  <c r="U136" i="15" a="1"/>
  <c r="U136" i="15" s="1"/>
  <c r="T136" i="15" a="1"/>
  <c r="T136" i="15" s="1"/>
  <c r="S136" i="15" a="1"/>
  <c r="S136" i="15" s="1"/>
  <c r="R136" i="15" a="1"/>
  <c r="R136" i="15" s="1"/>
  <c r="Q136" i="15" a="1"/>
  <c r="Q136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F4" i="43" l="1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3" i="43" l="1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3" i="42"/>
  <c r="J9" i="43" l="1" a="1"/>
  <c r="J9" i="43" s="1"/>
  <c r="Q9" i="42" s="1"/>
  <c r="J12" i="43" a="1"/>
  <c r="J12" i="43" s="1"/>
  <c r="Q12" i="42" s="1"/>
  <c r="J15" i="43" a="1"/>
  <c r="J15" i="43" s="1"/>
  <c r="Q15" i="42" s="1"/>
  <c r="J19" i="43" a="1"/>
  <c r="J19" i="43" s="1"/>
  <c r="Q19" i="42" s="1"/>
  <c r="J13" i="43" a="1"/>
  <c r="J13" i="43" s="1"/>
  <c r="Q13" i="42" s="1"/>
  <c r="J22" i="43" a="1"/>
  <c r="J22" i="43" s="1"/>
  <c r="Q22" i="42" s="1"/>
  <c r="J18" i="43" a="1"/>
  <c r="J18" i="43" s="1"/>
  <c r="Q18" i="42" s="1"/>
  <c r="J6" i="43" a="1"/>
  <c r="J6" i="43" s="1"/>
  <c r="Q6" i="42" s="1"/>
  <c r="J10" i="43" a="1"/>
  <c r="J10" i="43" s="1"/>
  <c r="Q10" i="42" s="1"/>
  <c r="J16" i="43" a="1"/>
  <c r="J16" i="43" s="1"/>
  <c r="Q16" i="42" s="1"/>
  <c r="J3" i="43" a="1"/>
  <c r="J3" i="43" s="1"/>
  <c r="Q3" i="42" s="1"/>
  <c r="J4" i="43" a="1"/>
  <c r="J4" i="43" s="1"/>
  <c r="Q4" i="42" s="1"/>
  <c r="J7" i="43" a="1"/>
  <c r="J7" i="43" s="1"/>
  <c r="Q7" i="42" s="1"/>
  <c r="J11" i="43" a="1"/>
  <c r="J11" i="43" s="1"/>
  <c r="Q11" i="42" s="1"/>
  <c r="J17" i="43" a="1"/>
  <c r="J17" i="43" s="1"/>
  <c r="Q17" i="42" s="1"/>
  <c r="J20" i="43" a="1"/>
  <c r="J20" i="43" s="1"/>
  <c r="Q20" i="42" s="1"/>
  <c r="J23" i="43" a="1"/>
  <c r="J23" i="43" s="1"/>
  <c r="Q23" i="42" s="1"/>
  <c r="J5" i="43" a="1"/>
  <c r="J5" i="43" s="1"/>
  <c r="Q5" i="42" s="1"/>
  <c r="J8" i="43" a="1"/>
  <c r="J8" i="43" s="1"/>
  <c r="Q8" i="42" s="1"/>
  <c r="J14" i="43" a="1"/>
  <c r="J14" i="43" s="1"/>
  <c r="Q14" i="42" s="1"/>
  <c r="J21" i="43" a="1"/>
  <c r="J21" i="43" s="1"/>
  <c r="Q21" i="42" s="1"/>
  <c r="Q1" i="42"/>
  <c r="P1" i="42"/>
  <c r="O1" i="42"/>
  <c r="N1" i="42"/>
  <c r="M1" i="42"/>
  <c r="L1" i="42"/>
  <c r="O21" i="42" l="1"/>
  <c r="S21" i="42" s="1"/>
  <c r="O18" i="42"/>
  <c r="S18" i="42" s="1"/>
  <c r="C30" i="12"/>
  <c r="O23" i="42" l="1"/>
  <c r="S23" i="42" s="1"/>
  <c r="O17" i="42"/>
  <c r="S17" i="42" s="1"/>
  <c r="O13" i="42"/>
  <c r="O10" i="42"/>
  <c r="O7" i="42"/>
  <c r="O15" i="42"/>
  <c r="O22" i="42"/>
  <c r="O14" i="42"/>
  <c r="O5" i="42"/>
  <c r="O16" i="42"/>
  <c r="O11" i="42"/>
  <c r="D28" i="1"/>
  <c r="D27" i="1"/>
  <c r="O20" i="42" l="1"/>
  <c r="O19" i="42"/>
  <c r="O12" i="42"/>
  <c r="O8" i="42"/>
  <c r="O4" i="42"/>
  <c r="O9" i="42"/>
  <c r="O6" i="42"/>
  <c r="O3" i="42"/>
  <c r="I30" i="12"/>
  <c r="Y8" i="1" l="1" a="1"/>
  <c r="Y8" i="1" s="1"/>
  <c r="Y11" i="1" a="1"/>
  <c r="Y11" i="1" s="1"/>
  <c r="Y16" i="1" a="1"/>
  <c r="Y16" i="1" s="1"/>
  <c r="Y19" i="1" a="1"/>
  <c r="Y19" i="1" s="1"/>
  <c r="Y15" i="1" a="1"/>
  <c r="Y15" i="1" s="1"/>
  <c r="Y23" i="1" a="1"/>
  <c r="Y23" i="1" s="1"/>
  <c r="Y6" i="1" a="1"/>
  <c r="Y6" i="1" s="1"/>
  <c r="Y9" i="1" a="1"/>
  <c r="Y9" i="1" s="1"/>
  <c r="Y14" i="1" a="1"/>
  <c r="Y14" i="1" s="1"/>
  <c r="Y17" i="1" a="1"/>
  <c r="Y17" i="1" s="1"/>
  <c r="Y22" i="1" a="1"/>
  <c r="Y22" i="1" s="1"/>
  <c r="Y3" i="1" a="1"/>
  <c r="Y3" i="1" s="1"/>
  <c r="Y4" i="1" a="1"/>
  <c r="Y4" i="1" s="1"/>
  <c r="Y7" i="1" a="1"/>
  <c r="Y7" i="1" s="1"/>
  <c r="Y12" i="1" a="1"/>
  <c r="Y12" i="1" s="1"/>
  <c r="Y20" i="1" a="1"/>
  <c r="Y20" i="1" s="1"/>
  <c r="Y5" i="1" a="1"/>
  <c r="Y5" i="1" s="1"/>
  <c r="Y18" i="1" a="1"/>
  <c r="Y18" i="1" s="1"/>
  <c r="Y21" i="1" a="1"/>
  <c r="Y21" i="1" s="1"/>
  <c r="Y10" i="1" a="1"/>
  <c r="Y10" i="1" s="1"/>
  <c r="Y13" i="1" a="1"/>
  <c r="Y13" i="1" s="1"/>
  <c r="H30" i="12"/>
  <c r="X8" i="1" a="1"/>
  <c r="X8" i="1" s="1"/>
  <c r="X11" i="1" a="1"/>
  <c r="X11" i="1" s="1"/>
  <c r="X16" i="1" a="1"/>
  <c r="X16" i="1" s="1"/>
  <c r="X19" i="1" a="1"/>
  <c r="X19" i="1" s="1"/>
  <c r="X7" i="1" a="1"/>
  <c r="X7" i="1" s="1"/>
  <c r="X15" i="1" a="1"/>
  <c r="X15" i="1" s="1"/>
  <c r="X23" i="1" a="1"/>
  <c r="X23" i="1" s="1"/>
  <c r="X6" i="1" a="1"/>
  <c r="X6" i="1" s="1"/>
  <c r="X9" i="1" a="1"/>
  <c r="X9" i="1" s="1"/>
  <c r="X14" i="1" a="1"/>
  <c r="X14" i="1" s="1"/>
  <c r="X17" i="1" a="1"/>
  <c r="X17" i="1" s="1"/>
  <c r="X22" i="1" a="1"/>
  <c r="X22" i="1" s="1"/>
  <c r="X3" i="1" a="1"/>
  <c r="X3" i="1" s="1"/>
  <c r="X4" i="1" a="1"/>
  <c r="X4" i="1" s="1"/>
  <c r="X12" i="1" a="1"/>
  <c r="X12" i="1" s="1"/>
  <c r="X20" i="1" a="1"/>
  <c r="X20" i="1" s="1"/>
  <c r="X18" i="1" a="1"/>
  <c r="X18" i="1" s="1"/>
  <c r="X10" i="1" a="1"/>
  <c r="X10" i="1" s="1"/>
  <c r="X21" i="1" a="1"/>
  <c r="X21" i="1" s="1"/>
  <c r="X13" i="1" a="1"/>
  <c r="X13" i="1" s="1"/>
  <c r="X5" i="1" a="1"/>
  <c r="X5" i="1" s="1"/>
  <c r="J30" i="12" l="1"/>
  <c r="Q11" i="39" a="1"/>
  <c r="Q11" i="39" s="1"/>
  <c r="Q7" i="39" a="1"/>
  <c r="Q7" i="39" s="1"/>
  <c r="Q16" i="39" a="1"/>
  <c r="Q16" i="39" s="1"/>
  <c r="Q8" i="39" a="1"/>
  <c r="Q8" i="39" s="1"/>
  <c r="Q4" i="39" a="1"/>
  <c r="Q4" i="39" s="1"/>
  <c r="Q12" i="39" a="1"/>
  <c r="Q12" i="39" s="1"/>
  <c r="Q20" i="39" a="1"/>
  <c r="Q20" i="39" s="1"/>
  <c r="Q5" i="39" a="1"/>
  <c r="Q5" i="39" s="1"/>
  <c r="Q9" i="39" a="1"/>
  <c r="Q9" i="39" s="1"/>
  <c r="Q13" i="39" a="1"/>
  <c r="Q13" i="39" s="1"/>
  <c r="Q17" i="39" a="1"/>
  <c r="Q17" i="39" s="1"/>
  <c r="Q21" i="39" a="1"/>
  <c r="Q21" i="39" s="1"/>
  <c r="Q2" i="39" a="1"/>
  <c r="Q2" i="39" s="1"/>
  <c r="Q6" i="39" a="1"/>
  <c r="Q6" i="39" s="1"/>
  <c r="Q10" i="39" a="1"/>
  <c r="Q10" i="39" s="1"/>
  <c r="Q14" i="39" a="1"/>
  <c r="Q14" i="39" s="1"/>
  <c r="Q18" i="39" a="1"/>
  <c r="Q18" i="39" s="1"/>
  <c r="Q22" i="39" a="1"/>
  <c r="Q22" i="39" s="1"/>
  <c r="Q3" i="39" a="1"/>
  <c r="Q3" i="39" s="1"/>
  <c r="Q15" i="39" a="1"/>
  <c r="Q15" i="39" s="1"/>
  <c r="Q19" i="39" a="1"/>
  <c r="Q19" i="39" s="1"/>
  <c r="O7" i="39" a="1"/>
  <c r="O7" i="39" s="1"/>
  <c r="O10" i="39" a="1"/>
  <c r="O10" i="39" s="1"/>
  <c r="O15" i="39" a="1"/>
  <c r="O15" i="39" s="1"/>
  <c r="O18" i="39" a="1"/>
  <c r="O18" i="39" s="1"/>
  <c r="O5" i="39" a="1"/>
  <c r="O5" i="39" s="1"/>
  <c r="O8" i="39" a="1"/>
  <c r="O8" i="39" s="1"/>
  <c r="O13" i="39" a="1"/>
  <c r="O13" i="39" s="1"/>
  <c r="O16" i="39" a="1"/>
  <c r="O16" i="39" s="1"/>
  <c r="O21" i="39" a="1"/>
  <c r="O21" i="39" s="1"/>
  <c r="O2" i="39" a="1"/>
  <c r="O2" i="39" s="1"/>
  <c r="O3" i="39" a="1"/>
  <c r="O3" i="39" s="1"/>
  <c r="O6" i="39" a="1"/>
  <c r="O6" i="39" s="1"/>
  <c r="O11" i="39" a="1"/>
  <c r="O11" i="39" s="1"/>
  <c r="O14" i="39" a="1"/>
  <c r="O14" i="39" s="1"/>
  <c r="O19" i="39" a="1"/>
  <c r="O19" i="39" s="1"/>
  <c r="O22" i="39" a="1"/>
  <c r="O22" i="39" s="1"/>
  <c r="O4" i="39" a="1"/>
  <c r="O4" i="39" s="1"/>
  <c r="O9" i="39" a="1"/>
  <c r="O9" i="39" s="1"/>
  <c r="O12" i="39" a="1"/>
  <c r="O12" i="39" s="1"/>
  <c r="O17" i="39" a="1"/>
  <c r="O17" i="39" s="1"/>
  <c r="O20" i="39" a="1"/>
  <c r="O20" i="39" s="1"/>
  <c r="M2" i="13" l="1"/>
  <c r="N2" i="13"/>
  <c r="L2" i="13"/>
  <c r="V25" i="38" l="1"/>
  <c r="M23" i="1" s="1"/>
  <c r="T23" i="1" s="1"/>
  <c r="U25" i="38"/>
  <c r="M22" i="1" s="1"/>
  <c r="T22" i="1" s="1"/>
  <c r="T25" i="38"/>
  <c r="M21" i="1" s="1"/>
  <c r="T21" i="1" s="1"/>
  <c r="S25" i="38"/>
  <c r="M20" i="1" s="1"/>
  <c r="T20" i="1" s="1"/>
  <c r="R25" i="38"/>
  <c r="M19" i="1" s="1"/>
  <c r="T19" i="1" s="1"/>
  <c r="Q25" i="38"/>
  <c r="M18" i="1" s="1"/>
  <c r="T18" i="1" s="1"/>
  <c r="P25" i="38"/>
  <c r="M17" i="1" s="1"/>
  <c r="T17" i="1" s="1"/>
  <c r="O25" i="38"/>
  <c r="M16" i="1" s="1"/>
  <c r="T16" i="1" s="1"/>
  <c r="N25" i="38"/>
  <c r="M15" i="1" s="1"/>
  <c r="T15" i="1" s="1"/>
  <c r="M25" i="38"/>
  <c r="M14" i="1" s="1"/>
  <c r="T14" i="1" s="1"/>
  <c r="L25" i="38"/>
  <c r="M13" i="1" s="1"/>
  <c r="T13" i="1" s="1"/>
  <c r="K25" i="38"/>
  <c r="M12" i="1" s="1"/>
  <c r="T12" i="1" s="1"/>
  <c r="J25" i="38"/>
  <c r="M11" i="1" s="1"/>
  <c r="T11" i="1" s="1"/>
  <c r="I25" i="38"/>
  <c r="M10" i="1" s="1"/>
  <c r="T10" i="1" s="1"/>
  <c r="H25" i="38"/>
  <c r="M9" i="1" s="1"/>
  <c r="T9" i="1" s="1"/>
  <c r="G25" i="38"/>
  <c r="M8" i="1" s="1"/>
  <c r="T8" i="1" s="1"/>
  <c r="F25" i="38"/>
  <c r="M7" i="1" s="1"/>
  <c r="T7" i="1" s="1"/>
  <c r="E25" i="38"/>
  <c r="M6" i="1" s="1"/>
  <c r="T6" i="1" s="1"/>
  <c r="D25" i="38"/>
  <c r="M5" i="1" s="1"/>
  <c r="T5" i="1" s="1"/>
  <c r="C25" i="38"/>
  <c r="M4" i="1" s="1"/>
  <c r="T4" i="1" s="1"/>
  <c r="B25" i="38"/>
  <c r="M3" i="1" s="1"/>
  <c r="T3" i="1" s="1"/>
  <c r="Z4" i="1" l="1" a="1"/>
  <c r="Z4" i="1" s="1"/>
  <c r="Z7" i="1" a="1"/>
  <c r="Z7" i="1" s="1"/>
  <c r="Z12" i="1" a="1"/>
  <c r="Z12" i="1" s="1"/>
  <c r="Z15" i="1" a="1"/>
  <c r="Z15" i="1" s="1"/>
  <c r="Z20" i="1" a="1"/>
  <c r="Z20" i="1" s="1"/>
  <c r="Z23" i="1" a="1"/>
  <c r="Z23" i="1" s="1"/>
  <c r="Z5" i="1" a="1"/>
  <c r="Z5" i="1" s="1"/>
  <c r="Z10" i="1" a="1"/>
  <c r="Z10" i="1" s="1"/>
  <c r="Z13" i="1" a="1"/>
  <c r="Z13" i="1" s="1"/>
  <c r="Z18" i="1" a="1"/>
  <c r="Z18" i="1" s="1"/>
  <c r="Z21" i="1" a="1"/>
  <c r="Z21" i="1" s="1"/>
  <c r="Z8" i="1" a="1"/>
  <c r="Z8" i="1" s="1"/>
  <c r="Z11" i="1" a="1"/>
  <c r="Z11" i="1" s="1"/>
  <c r="Z16" i="1" a="1"/>
  <c r="Z16" i="1" s="1"/>
  <c r="Z19" i="1" a="1"/>
  <c r="Z19" i="1" s="1"/>
  <c r="Z3" i="1" a="1"/>
  <c r="Z3" i="1" s="1"/>
  <c r="Z6" i="1" a="1"/>
  <c r="Z6" i="1" s="1"/>
  <c r="Z9" i="1" a="1"/>
  <c r="Z9" i="1" s="1"/>
  <c r="Z14" i="1" a="1"/>
  <c r="Z14" i="1" s="1"/>
  <c r="Z17" i="1" a="1"/>
  <c r="Z17" i="1" s="1"/>
  <c r="Z22" i="1" a="1"/>
  <c r="Z2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V4" i="1" l="1" a="1"/>
  <c r="V4" i="1" s="1"/>
  <c r="V7" i="1" a="1"/>
  <c r="V7" i="1" s="1"/>
  <c r="V12" i="1" a="1"/>
  <c r="V12" i="1" s="1"/>
  <c r="V15" i="1" a="1"/>
  <c r="V15" i="1" s="1"/>
  <c r="V20" i="1" a="1"/>
  <c r="V20" i="1" s="1"/>
  <c r="V23" i="1" a="1"/>
  <c r="V23" i="1" s="1"/>
  <c r="V5" i="1" a="1"/>
  <c r="V5" i="1" s="1"/>
  <c r="V10" i="1" a="1"/>
  <c r="V10" i="1" s="1"/>
  <c r="V13" i="1" a="1"/>
  <c r="V13" i="1" s="1"/>
  <c r="V18" i="1" a="1"/>
  <c r="V18" i="1" s="1"/>
  <c r="V21" i="1" a="1"/>
  <c r="V21" i="1" s="1"/>
  <c r="V8" i="1" a="1"/>
  <c r="V8" i="1" s="1"/>
  <c r="V11" i="1" a="1"/>
  <c r="V11" i="1" s="1"/>
  <c r="V16" i="1" a="1"/>
  <c r="V16" i="1" s="1"/>
  <c r="V19" i="1" a="1"/>
  <c r="V19" i="1" s="1"/>
  <c r="V6" i="1" a="1"/>
  <c r="V6" i="1" s="1"/>
  <c r="V9" i="1" a="1"/>
  <c r="V9" i="1" s="1"/>
  <c r="V14" i="1" a="1"/>
  <c r="V14" i="1" s="1"/>
  <c r="V17" i="1" a="1"/>
  <c r="V17" i="1" s="1"/>
  <c r="V22" i="1" a="1"/>
  <c r="V22" i="1" s="1"/>
  <c r="V3" i="1" a="1"/>
  <c r="V3" i="1" s="1"/>
  <c r="V24" i="38"/>
  <c r="I22" i="39" s="1"/>
  <c r="M22" i="39" s="1"/>
  <c r="V23" i="38"/>
  <c r="J24" i="38"/>
  <c r="I10" i="39" s="1"/>
  <c r="M10" i="39" s="1"/>
  <c r="J23" i="38"/>
  <c r="Q23" i="38"/>
  <c r="Q24" i="38"/>
  <c r="I17" i="39" s="1"/>
  <c r="M17" i="39" s="1"/>
  <c r="S23" i="38"/>
  <c r="S24" i="38"/>
  <c r="I19" i="39" s="1"/>
  <c r="M19" i="39" s="1"/>
  <c r="E23" i="38"/>
  <c r="E24" i="38"/>
  <c r="I5" i="39" s="1"/>
  <c r="M5" i="39" s="1"/>
  <c r="T24" i="38"/>
  <c r="I20" i="39" s="1"/>
  <c r="M20" i="39" s="1"/>
  <c r="T23" i="38"/>
  <c r="M23" i="38"/>
  <c r="M24" i="38"/>
  <c r="I13" i="39" s="1"/>
  <c r="M13" i="39" s="1"/>
  <c r="R23" i="38"/>
  <c r="R24" i="38"/>
  <c r="I18" i="39" s="1"/>
  <c r="M18" i="39" s="1"/>
  <c r="O23" i="38"/>
  <c r="O24" i="38"/>
  <c r="I15" i="39" s="1"/>
  <c r="M15" i="39" s="1"/>
  <c r="N23" i="38"/>
  <c r="N24" i="38"/>
  <c r="I14" i="39" s="1"/>
  <c r="M14" i="39" s="1"/>
  <c r="G23" i="38"/>
  <c r="G24" i="38"/>
  <c r="I7" i="39" s="1"/>
  <c r="M7" i="39" s="1"/>
  <c r="L24" i="38"/>
  <c r="I12" i="39" s="1"/>
  <c r="M12" i="39" s="1"/>
  <c r="L23" i="38"/>
  <c r="H24" i="38"/>
  <c r="I8" i="39" s="1"/>
  <c r="M8" i="39" s="1"/>
  <c r="H23" i="38"/>
  <c r="B24" i="38"/>
  <c r="I2" i="39" s="1"/>
  <c r="M2" i="39" s="1"/>
  <c r="B23" i="38"/>
  <c r="F23" i="38"/>
  <c r="F24" i="38"/>
  <c r="I6" i="39" s="1"/>
  <c r="M6" i="39" s="1"/>
  <c r="K24" i="38"/>
  <c r="I11" i="39" s="1"/>
  <c r="M11" i="39" s="1"/>
  <c r="K23" i="38"/>
  <c r="U24" i="38"/>
  <c r="I21" i="39" s="1"/>
  <c r="M21" i="39" s="1"/>
  <c r="U23" i="38"/>
  <c r="P23" i="38"/>
  <c r="P24" i="38"/>
  <c r="I16" i="39" s="1"/>
  <c r="M16" i="39" s="1"/>
  <c r="C23" i="38"/>
  <c r="C24" i="38"/>
  <c r="I3" i="39" s="1"/>
  <c r="M3" i="39" s="1"/>
  <c r="I24" i="38"/>
  <c r="I9" i="39" s="1"/>
  <c r="M9" i="39" s="1"/>
  <c r="I23" i="38"/>
  <c r="D23" i="38"/>
  <c r="D24" i="38"/>
  <c r="I4" i="39" s="1"/>
  <c r="M4" i="39" s="1"/>
  <c r="Q20" i="1"/>
  <c r="Q16" i="1"/>
  <c r="Q12" i="1"/>
  <c r="Q8" i="1"/>
  <c r="Q23" i="1"/>
  <c r="Q19" i="1"/>
  <c r="Q15" i="1"/>
  <c r="Q11" i="1"/>
  <c r="Q7" i="1"/>
  <c r="Q4" i="1"/>
  <c r="Q22" i="1"/>
  <c r="Q18" i="1"/>
  <c r="Q14" i="1"/>
  <c r="Q10" i="1"/>
  <c r="Q6" i="1"/>
  <c r="Q3" i="1"/>
  <c r="Q21" i="1"/>
  <c r="Q17" i="1"/>
  <c r="Q13" i="1"/>
  <c r="Q9" i="1"/>
  <c r="Q5" i="1"/>
  <c r="N5" i="39" l="1" a="1"/>
  <c r="N5" i="39" s="1"/>
  <c r="N8" i="39" a="1"/>
  <c r="N8" i="39" s="1"/>
  <c r="N13" i="39" a="1"/>
  <c r="N13" i="39" s="1"/>
  <c r="N16" i="39" a="1"/>
  <c r="N16" i="39" s="1"/>
  <c r="N21" i="39" a="1"/>
  <c r="N21" i="39" s="1"/>
  <c r="N3" i="39" a="1"/>
  <c r="N3" i="39" s="1"/>
  <c r="N6" i="39" a="1"/>
  <c r="N6" i="39" s="1"/>
  <c r="N11" i="39" a="1"/>
  <c r="N11" i="39" s="1"/>
  <c r="N14" i="39" a="1"/>
  <c r="N14" i="39" s="1"/>
  <c r="N19" i="39" a="1"/>
  <c r="N19" i="39" s="1"/>
  <c r="N22" i="39" a="1"/>
  <c r="N22" i="39" s="1"/>
  <c r="N4" i="39" a="1"/>
  <c r="N4" i="39" s="1"/>
  <c r="N9" i="39" a="1"/>
  <c r="N9" i="39" s="1"/>
  <c r="N12" i="39" a="1"/>
  <c r="N12" i="39" s="1"/>
  <c r="N17" i="39" a="1"/>
  <c r="N17" i="39" s="1"/>
  <c r="N20" i="39" a="1"/>
  <c r="N20" i="39" s="1"/>
  <c r="N7" i="39" a="1"/>
  <c r="N7" i="39" s="1"/>
  <c r="N10" i="39" a="1"/>
  <c r="N10" i="39" s="1"/>
  <c r="N15" i="39" a="1"/>
  <c r="N15" i="39" s="1"/>
  <c r="N18" i="39" a="1"/>
  <c r="N18" i="39" s="1"/>
  <c r="N2" i="39" a="1"/>
  <c r="N2" i="39" s="1"/>
  <c r="N12" i="13"/>
  <c r="N8" i="13"/>
  <c r="N17" i="13"/>
  <c r="N16" i="13"/>
  <c r="N23" i="13"/>
  <c r="N13" i="13"/>
  <c r="N5" i="13"/>
  <c r="N7" i="13"/>
  <c r="N14" i="13"/>
  <c r="N9" i="13"/>
  <c r="N18" i="13"/>
  <c r="N24" i="13"/>
  <c r="N19" i="13"/>
  <c r="N15" i="13"/>
  <c r="N20" i="13"/>
  <c r="N22" i="13"/>
  <c r="N11" i="13"/>
  <c r="N4" i="13"/>
  <c r="N21" i="13"/>
  <c r="N6" i="13"/>
  <c r="N10" i="13"/>
  <c r="U6" i="1" a="1"/>
  <c r="U6" i="1" s="1"/>
  <c r="U9" i="1" a="1"/>
  <c r="U9" i="1" s="1"/>
  <c r="U14" i="1" a="1"/>
  <c r="U14" i="1" s="1"/>
  <c r="U17" i="1" a="1"/>
  <c r="U17" i="1" s="1"/>
  <c r="U22" i="1" a="1"/>
  <c r="U22" i="1" s="1"/>
  <c r="U7" i="1" a="1"/>
  <c r="U7" i="1" s="1"/>
  <c r="U12" i="1" a="1"/>
  <c r="U12" i="1" s="1"/>
  <c r="U15" i="1" a="1"/>
  <c r="U15" i="1" s="1"/>
  <c r="U20" i="1" a="1"/>
  <c r="U20" i="1" s="1"/>
  <c r="U23" i="1" a="1"/>
  <c r="U23" i="1" s="1"/>
  <c r="U3" i="1" a="1"/>
  <c r="U3" i="1" s="1"/>
  <c r="U5" i="1" a="1"/>
  <c r="U5" i="1" s="1"/>
  <c r="U10" i="1" a="1"/>
  <c r="U10" i="1" s="1"/>
  <c r="U13" i="1" a="1"/>
  <c r="U13" i="1" s="1"/>
  <c r="U18" i="1" a="1"/>
  <c r="U18" i="1" s="1"/>
  <c r="U21" i="1" a="1"/>
  <c r="U21" i="1" s="1"/>
  <c r="U4" i="1" a="1"/>
  <c r="U4" i="1" s="1"/>
  <c r="U8" i="1" a="1"/>
  <c r="U8" i="1" s="1"/>
  <c r="U11" i="1" a="1"/>
  <c r="U11" i="1" s="1"/>
  <c r="U16" i="1" a="1"/>
  <c r="U16" i="1" s="1"/>
  <c r="U19" i="1" a="1"/>
  <c r="U19" i="1" s="1"/>
  <c r="U2" i="12" l="1"/>
  <c r="U20" i="12" l="1"/>
  <c r="U8" i="12"/>
  <c r="U18" i="12"/>
  <c r="U6" i="12"/>
  <c r="U17" i="12"/>
  <c r="U3" i="12"/>
  <c r="U11" i="12"/>
  <c r="U21" i="12"/>
  <c r="U19" i="12"/>
  <c r="U7" i="12"/>
  <c r="U5" i="12"/>
  <c r="U16" i="12"/>
  <c r="U4" i="12"/>
  <c r="U13" i="12"/>
  <c r="U12" i="12"/>
  <c r="U10" i="12"/>
  <c r="U22" i="12"/>
  <c r="U14" i="12"/>
  <c r="U15" i="12"/>
  <c r="U9" i="12"/>
  <c r="U23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7" i="1"/>
  <c r="S17" i="1"/>
  <c r="S6" i="1"/>
  <c r="S16" i="1"/>
  <c r="S9" i="1"/>
  <c r="S21" i="1"/>
  <c r="S5" i="1"/>
  <c r="S13" i="1"/>
  <c r="S20" i="1" l="1"/>
  <c r="S11" i="1"/>
  <c r="S23" i="1"/>
  <c r="S8" i="1"/>
  <c r="S4" i="1"/>
  <c r="S12" i="1"/>
  <c r="S15" i="1"/>
  <c r="S3" i="1"/>
  <c r="S22" i="1"/>
  <c r="S18" i="1"/>
  <c r="S19" i="1"/>
  <c r="S10" i="1"/>
  <c r="S14" i="1"/>
  <c r="W4" i="1" l="1" a="1"/>
  <c r="W4" i="1" s="1"/>
  <c r="AB4" i="1" s="1"/>
  <c r="W8" i="1" a="1"/>
  <c r="W8" i="1" s="1"/>
  <c r="AB8" i="1" s="1"/>
  <c r="W11" i="1" a="1"/>
  <c r="W11" i="1" s="1"/>
  <c r="AB11" i="1" s="1"/>
  <c r="W16" i="1" a="1"/>
  <c r="W16" i="1" s="1"/>
  <c r="AB16" i="1" s="1"/>
  <c r="W19" i="1" a="1"/>
  <c r="W19" i="1" s="1"/>
  <c r="AB19" i="1" s="1"/>
  <c r="W6" i="1" a="1"/>
  <c r="W6" i="1" s="1"/>
  <c r="AB6" i="1" s="1"/>
  <c r="W9" i="1" a="1"/>
  <c r="W9" i="1" s="1"/>
  <c r="AB9" i="1" s="1"/>
  <c r="W14" i="1" a="1"/>
  <c r="W14" i="1" s="1"/>
  <c r="AB14" i="1" s="1"/>
  <c r="W17" i="1" a="1"/>
  <c r="W17" i="1" s="1"/>
  <c r="AB17" i="1" s="1"/>
  <c r="W22" i="1" a="1"/>
  <c r="W22" i="1" s="1"/>
  <c r="AB22" i="1" s="1"/>
  <c r="W7" i="1" a="1"/>
  <c r="W7" i="1" s="1"/>
  <c r="AB7" i="1" s="1"/>
  <c r="W12" i="1" a="1"/>
  <c r="W12" i="1" s="1"/>
  <c r="AB12" i="1" s="1"/>
  <c r="W15" i="1" a="1"/>
  <c r="W15" i="1" s="1"/>
  <c r="AB15" i="1" s="1"/>
  <c r="W20" i="1" a="1"/>
  <c r="W20" i="1" s="1"/>
  <c r="AB20" i="1" s="1"/>
  <c r="W23" i="1" a="1"/>
  <c r="W23" i="1" s="1"/>
  <c r="AB23" i="1" s="1"/>
  <c r="W3" i="1" a="1"/>
  <c r="W3" i="1" s="1"/>
  <c r="AB3" i="1" s="1"/>
  <c r="W5" i="1" a="1"/>
  <c r="W5" i="1" s="1"/>
  <c r="AB5" i="1" s="1"/>
  <c r="W10" i="1" a="1"/>
  <c r="W10" i="1" s="1"/>
  <c r="AB10" i="1" s="1"/>
  <c r="W13" i="1" a="1"/>
  <c r="W13" i="1" s="1"/>
  <c r="AB13" i="1" s="1"/>
  <c r="W18" i="1" a="1"/>
  <c r="W18" i="1" s="1"/>
  <c r="AB18" i="1" s="1"/>
  <c r="W21" i="1" a="1"/>
  <c r="W21" i="1" s="1"/>
  <c r="AB21" i="1" s="1"/>
  <c r="AC6" i="1" l="1" a="1"/>
  <c r="AC6" i="1" s="1"/>
  <c r="AC9" i="1" a="1"/>
  <c r="AC9" i="1" s="1"/>
  <c r="AC14" i="1" a="1"/>
  <c r="AC14" i="1" s="1"/>
  <c r="AC17" i="1" a="1"/>
  <c r="AC17" i="1" s="1"/>
  <c r="AC22" i="1" a="1"/>
  <c r="AC22" i="1" s="1"/>
  <c r="AC3" i="1" a="1"/>
  <c r="AC3" i="1" s="1"/>
  <c r="AC4" i="1" a="1"/>
  <c r="AC4" i="1" s="1"/>
  <c r="AC7" i="1" a="1"/>
  <c r="AC7" i="1" s="1"/>
  <c r="AC12" i="1" a="1"/>
  <c r="AC12" i="1" s="1"/>
  <c r="AC15" i="1" a="1"/>
  <c r="AC15" i="1" s="1"/>
  <c r="AC20" i="1" a="1"/>
  <c r="AC20" i="1" s="1"/>
  <c r="AC23" i="1" a="1"/>
  <c r="AC23" i="1" s="1"/>
  <c r="AC5" i="1" a="1"/>
  <c r="AC5" i="1" s="1"/>
  <c r="AC10" i="1" a="1"/>
  <c r="AC10" i="1" s="1"/>
  <c r="AC13" i="1" a="1"/>
  <c r="AC13" i="1" s="1"/>
  <c r="AC18" i="1" a="1"/>
  <c r="AC18" i="1" s="1"/>
  <c r="D25" i="40" s="1"/>
  <c r="AC21" i="1" a="1"/>
  <c r="AC21" i="1" s="1"/>
  <c r="AC8" i="1" a="1"/>
  <c r="AC8" i="1" s="1"/>
  <c r="AC11" i="1" a="1"/>
  <c r="AC11" i="1" s="1"/>
  <c r="AC16" i="1" a="1"/>
  <c r="AC16" i="1" s="1"/>
  <c r="AC19" i="1" a="1"/>
  <c r="AC19" i="1" s="1"/>
  <c r="D26" i="40" l="1"/>
  <c r="D20" i="40"/>
  <c r="D15" i="40"/>
  <c r="E12" i="49" s="1"/>
  <c r="D14" i="40"/>
  <c r="D13" i="40"/>
  <c r="D19" i="40"/>
  <c r="D21" i="40"/>
  <c r="E23" i="49" s="1"/>
  <c r="E20" i="49"/>
  <c r="D7" i="40"/>
  <c r="E17" i="49" s="1"/>
  <c r="D9" i="40"/>
  <c r="D11" i="40"/>
  <c r="D10" i="40"/>
  <c r="E4" i="49" s="1"/>
  <c r="D18" i="40"/>
  <c r="D8" i="40"/>
  <c r="E9" i="49" s="1"/>
  <c r="D17" i="40"/>
  <c r="E19" i="49" s="1"/>
  <c r="D12" i="40"/>
  <c r="E22" i="49" s="1"/>
  <c r="D23" i="40"/>
  <c r="D24" i="40"/>
  <c r="D22" i="40"/>
  <c r="D16" i="40"/>
  <c r="E18" i="49" l="1"/>
  <c r="E13" i="49"/>
  <c r="E7" i="49"/>
  <c r="E8" i="49"/>
  <c r="E15" i="49"/>
  <c r="E10" i="49"/>
  <c r="E11" i="49"/>
  <c r="E5" i="49"/>
  <c r="E21" i="49"/>
  <c r="E6" i="49"/>
  <c r="E14" i="49"/>
  <c r="E16" i="49"/>
  <c r="S7" i="42"/>
  <c r="S14" i="42"/>
  <c r="S13" i="42"/>
  <c r="S5" i="42" l="1"/>
  <c r="S4" i="42"/>
  <c r="S22" i="42"/>
  <c r="S16" i="42"/>
  <c r="S9" i="42"/>
  <c r="S11" i="42"/>
  <c r="S15" i="42"/>
  <c r="S19" i="42"/>
  <c r="S6" i="42"/>
  <c r="S8" i="42"/>
  <c r="S10" i="42"/>
  <c r="S20" i="42"/>
  <c r="S3" i="42"/>
  <c r="S12" i="42"/>
  <c r="U5" i="42" l="1" a="1"/>
  <c r="U5" i="42" s="1"/>
  <c r="L26" i="40" s="1"/>
  <c r="U10" i="42" a="1"/>
  <c r="U10" i="42" s="1"/>
  <c r="L10" i="40" s="1"/>
  <c r="U13" i="42" a="1"/>
  <c r="U13" i="42" s="1"/>
  <c r="L7" i="40" s="1"/>
  <c r="U18" i="42" a="1"/>
  <c r="U18" i="42" s="1"/>
  <c r="L25" i="40" s="1"/>
  <c r="U21" i="42" a="1"/>
  <c r="U21" i="42" s="1"/>
  <c r="L12" i="40" s="1"/>
  <c r="U12" i="42" a="1"/>
  <c r="U12" i="42" s="1"/>
  <c r="L9" i="40" s="1"/>
  <c r="U23" i="42" a="1"/>
  <c r="U23" i="42" s="1"/>
  <c r="L18" i="40" s="1"/>
  <c r="U8" i="42" a="1"/>
  <c r="U8" i="42" s="1"/>
  <c r="L20" i="40" s="1"/>
  <c r="U11" i="42" a="1"/>
  <c r="U11" i="42" s="1"/>
  <c r="L19" i="40" s="1"/>
  <c r="U16" i="42" a="1"/>
  <c r="U16" i="42" s="1"/>
  <c r="L11" i="40" s="1"/>
  <c r="U19" i="42" a="1"/>
  <c r="U19" i="42" s="1"/>
  <c r="U7" i="42" a="1"/>
  <c r="U7" i="42" s="1"/>
  <c r="U15" i="42" a="1"/>
  <c r="U15" i="42" s="1"/>
  <c r="U6" i="42" a="1"/>
  <c r="U6" i="42" s="1"/>
  <c r="L16" i="40" s="1"/>
  <c r="U9" i="42" a="1"/>
  <c r="U9" i="42" s="1"/>
  <c r="U14" i="42" a="1"/>
  <c r="U14" i="42" s="1"/>
  <c r="U17" i="42" a="1"/>
  <c r="U17" i="42" s="1"/>
  <c r="L13" i="40" s="1"/>
  <c r="U22" i="42" a="1"/>
  <c r="U22" i="42" s="1"/>
  <c r="U3" i="42" a="1"/>
  <c r="U3" i="42" s="1"/>
  <c r="U4" i="42" a="1"/>
  <c r="U4" i="42" s="1"/>
  <c r="U20" i="42" a="1"/>
  <c r="U20" i="42" s="1"/>
  <c r="K13" i="49" l="1"/>
  <c r="I23" i="55"/>
  <c r="I14" i="55"/>
  <c r="K18" i="49"/>
  <c r="K20" i="49"/>
  <c r="I24" i="55"/>
  <c r="P24" i="55" s="1"/>
  <c r="I29" i="55"/>
  <c r="K6" i="49"/>
  <c r="K17" i="49"/>
  <c r="I19" i="55"/>
  <c r="K21" i="49"/>
  <c r="I12" i="55"/>
  <c r="I22" i="55"/>
  <c r="K14" i="49"/>
  <c r="K11" i="49"/>
  <c r="I18" i="55"/>
  <c r="K4" i="49"/>
  <c r="I16" i="55"/>
  <c r="K7" i="49"/>
  <c r="I17" i="55"/>
  <c r="I27" i="55"/>
  <c r="K22" i="49"/>
  <c r="K8" i="49"/>
  <c r="I11" i="55"/>
  <c r="L23" i="40"/>
  <c r="L24" i="40"/>
  <c r="L22" i="40"/>
  <c r="L21" i="40"/>
  <c r="L15" i="40"/>
  <c r="L14" i="40"/>
  <c r="L17" i="40"/>
  <c r="L8" i="40"/>
  <c r="K16" i="49" l="1"/>
  <c r="I26" i="55"/>
  <c r="K23" i="49"/>
  <c r="I20" i="55"/>
  <c r="K19" i="49"/>
  <c r="I15" i="55"/>
  <c r="K5" i="49"/>
  <c r="I28" i="55"/>
  <c r="I13" i="55"/>
  <c r="K10" i="49"/>
  <c r="I9" i="55"/>
  <c r="K9" i="49"/>
  <c r="K15" i="49"/>
  <c r="I10" i="55"/>
  <c r="I25" i="55"/>
  <c r="I21" i="55"/>
  <c r="K12" i="49"/>
  <c r="U1" i="28"/>
  <c r="T1" i="28"/>
  <c r="S1" i="28"/>
  <c r="U23" i="28" l="1"/>
  <c r="T23" i="28" l="1"/>
  <c r="U22" i="28" l="1"/>
  <c r="T22" i="28" l="1"/>
  <c r="U21" i="28" l="1"/>
  <c r="T21" i="28" l="1"/>
  <c r="U20" i="28" l="1"/>
  <c r="T20" i="28" l="1"/>
  <c r="U19" i="28" l="1"/>
  <c r="T19" i="28" l="1"/>
  <c r="U18" i="28" l="1"/>
  <c r="T18" i="28" l="1"/>
  <c r="U17" i="28" l="1"/>
  <c r="T17" i="28" l="1"/>
  <c r="U16" i="28" l="1"/>
  <c r="T16" i="28" l="1"/>
  <c r="U15" i="28" l="1"/>
  <c r="T15" i="28" l="1"/>
  <c r="V15" i="28" s="1"/>
  <c r="U14" i="28" l="1"/>
  <c r="T14" i="28" l="1"/>
  <c r="U13" i="28" l="1"/>
  <c r="T13" i="28" l="1"/>
  <c r="U12" i="28" l="1"/>
  <c r="T12" i="28" l="1"/>
  <c r="U11" i="28" l="1"/>
  <c r="T11" i="28" l="1"/>
  <c r="U10" i="28" l="1"/>
  <c r="T10" i="28" l="1"/>
  <c r="U9" i="28" l="1"/>
  <c r="T9" i="28" l="1"/>
  <c r="U8" i="28" l="1"/>
  <c r="T8" i="28" l="1"/>
  <c r="U7" i="28" l="1"/>
  <c r="T7" i="28" l="1"/>
  <c r="U6" i="28" l="1"/>
  <c r="T6" i="28" l="1"/>
  <c r="U5" i="28" l="1"/>
  <c r="T5" i="28" l="1"/>
  <c r="U4" i="28" l="1"/>
  <c r="T4" i="28" l="1"/>
  <c r="U3" i="28" l="1"/>
  <c r="N17" i="8" l="1"/>
  <c r="J23" i="28" l="1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N12" i="28" l="1"/>
  <c r="N16" i="28"/>
  <c r="N20" i="28"/>
  <c r="N5" i="28"/>
  <c r="N9" i="28"/>
  <c r="N13" i="28"/>
  <c r="N17" i="28"/>
  <c r="N21" i="28"/>
  <c r="N4" i="28"/>
  <c r="N10" i="28"/>
  <c r="N18" i="28"/>
  <c r="N22" i="28"/>
  <c r="N8" i="28"/>
  <c r="N6" i="28"/>
  <c r="N14" i="28"/>
  <c r="N7" i="28"/>
  <c r="N11" i="28"/>
  <c r="N15" i="28"/>
  <c r="N19" i="28"/>
  <c r="N23" i="28"/>
  <c r="S5" i="28"/>
  <c r="V5" i="28" s="1"/>
  <c r="S9" i="28"/>
  <c r="V9" i="28" s="1"/>
  <c r="S13" i="28"/>
  <c r="V13" i="28" s="1"/>
  <c r="S10" i="28"/>
  <c r="V10" i="28" s="1"/>
  <c r="S14" i="28"/>
  <c r="V14" i="28" s="1"/>
  <c r="S11" i="28"/>
  <c r="V11" i="28" s="1"/>
  <c r="S4" i="28"/>
  <c r="V4" i="28" s="1"/>
  <c r="S8" i="28"/>
  <c r="V8" i="28" s="1"/>
  <c r="S12" i="28"/>
  <c r="V12" i="28" s="1"/>
  <c r="N16" i="8"/>
  <c r="S19" i="28"/>
  <c r="V19" i="28" s="1"/>
  <c r="S23" i="28"/>
  <c r="V23" i="28" s="1"/>
  <c r="S16" i="28"/>
  <c r="V16" i="28" s="1"/>
  <c r="S17" i="28"/>
  <c r="V17" i="28" s="1"/>
  <c r="S6" i="28"/>
  <c r="V6" i="28" s="1"/>
  <c r="S18" i="28"/>
  <c r="V18" i="28" s="1"/>
  <c r="S20" i="28"/>
  <c r="V20" i="28" s="1"/>
  <c r="O13" i="8"/>
  <c r="O21" i="8" s="1"/>
  <c r="T3" i="28"/>
  <c r="S21" i="28" l="1"/>
  <c r="V21" i="28" s="1"/>
  <c r="S7" i="28"/>
  <c r="V7" i="28" s="1"/>
  <c r="S22" i="28"/>
  <c r="V22" i="28" s="1"/>
  <c r="N22" i="8"/>
  <c r="N21" i="8"/>
  <c r="S3" i="28"/>
  <c r="V3" i="28" s="1"/>
  <c r="X13" i="28" s="1"/>
  <c r="I7" i="40" s="1"/>
  <c r="N3" i="28"/>
  <c r="I17" i="49" l="1"/>
  <c r="H19" i="55"/>
  <c r="X4" i="28"/>
  <c r="I24" i="40" s="1"/>
  <c r="X18" i="28"/>
  <c r="I25" i="40" s="1"/>
  <c r="X6" i="28"/>
  <c r="I16" i="40" s="1"/>
  <c r="X23" i="28"/>
  <c r="I18" i="40" s="1"/>
  <c r="X5" i="28"/>
  <c r="I26" i="40" s="1"/>
  <c r="X8" i="28"/>
  <c r="I20" i="40" s="1"/>
  <c r="X10" i="28"/>
  <c r="X7" i="28"/>
  <c r="I8" i="40" s="1"/>
  <c r="X17" i="28"/>
  <c r="I13" i="40" s="1"/>
  <c r="X9" i="28"/>
  <c r="I17" i="40" s="1"/>
  <c r="X12" i="28"/>
  <c r="X20" i="28"/>
  <c r="X21" i="28"/>
  <c r="I12" i="40" s="1"/>
  <c r="X22" i="28"/>
  <c r="X16" i="28"/>
  <c r="X3" i="28"/>
  <c r="X15" i="28"/>
  <c r="X19" i="28"/>
  <c r="X11" i="28"/>
  <c r="X14" i="28"/>
  <c r="H25" i="55" l="1"/>
  <c r="I19" i="49"/>
  <c r="H15" i="55"/>
  <c r="I18" i="49"/>
  <c r="H14" i="55"/>
  <c r="H24" i="55"/>
  <c r="I20" i="49"/>
  <c r="I22" i="49"/>
  <c r="H27" i="55"/>
  <c r="I13" i="49"/>
  <c r="H23" i="55"/>
  <c r="I8" i="49"/>
  <c r="H11" i="55"/>
  <c r="I15" i="49"/>
  <c r="H10" i="55"/>
  <c r="I10" i="49"/>
  <c r="H13" i="55"/>
  <c r="H29" i="55"/>
  <c r="I6" i="49"/>
  <c r="H12" i="55"/>
  <c r="I21" i="49"/>
  <c r="I11" i="40"/>
  <c r="I15" i="40"/>
  <c r="I23" i="40"/>
  <c r="I21" i="40"/>
  <c r="I19" i="40"/>
  <c r="I14" i="40"/>
  <c r="I22" i="40"/>
  <c r="I9" i="40"/>
  <c r="I10" i="40"/>
  <c r="H16" i="55" l="1"/>
  <c r="I4" i="49"/>
  <c r="H28" i="55"/>
  <c r="I5" i="49"/>
  <c r="H9" i="55"/>
  <c r="I9" i="49"/>
  <c r="H21" i="55"/>
  <c r="I12" i="49"/>
  <c r="I14" i="49"/>
  <c r="H22" i="55"/>
  <c r="I11" i="49"/>
  <c r="H18" i="55"/>
  <c r="H20" i="55"/>
  <c r="I23" i="49"/>
  <c r="I7" i="49"/>
  <c r="H17" i="55"/>
  <c r="I16" i="49"/>
  <c r="H26" i="55"/>
  <c r="F140" i="15"/>
  <c r="S140" i="15"/>
  <c r="P140" i="15"/>
  <c r="R140" i="15"/>
  <c r="B140" i="15"/>
  <c r="G140" i="15"/>
  <c r="Q140" i="15"/>
  <c r="H140" i="15"/>
  <c r="M140" i="15"/>
  <c r="J140" i="15"/>
  <c r="D140" i="15"/>
  <c r="I140" i="15"/>
  <c r="K140" i="15"/>
  <c r="V140" i="15"/>
  <c r="O140" i="15"/>
  <c r="U140" i="15"/>
  <c r="T140" i="15"/>
  <c r="C140" i="15"/>
  <c r="N140" i="15"/>
  <c r="L140" i="15"/>
  <c r="E140" i="15"/>
  <c r="E16" i="8" l="1"/>
  <c r="AC2" i="12" s="1"/>
  <c r="F16" i="8"/>
  <c r="AD2" i="12" s="1"/>
  <c r="C24" i="18" l="1"/>
  <c r="D24" i="18"/>
  <c r="J24" i="18"/>
  <c r="J26" i="18" s="1" a="1"/>
  <c r="J26" i="18" s="1"/>
  <c r="K10" i="39" s="1"/>
  <c r="P24" i="18"/>
  <c r="P26" i="18" s="1" a="1"/>
  <c r="P26" i="18" s="1"/>
  <c r="K16" i="39" s="1"/>
  <c r="V24" i="18"/>
  <c r="V26" i="18" s="1" a="1"/>
  <c r="V26" i="18" s="1"/>
  <c r="K22" i="39" s="1"/>
  <c r="H24" i="18"/>
  <c r="H26" i="18" s="1" a="1"/>
  <c r="H26" i="18" s="1"/>
  <c r="K8" i="39" s="1"/>
  <c r="K24" i="18"/>
  <c r="K26" i="18" s="1" a="1"/>
  <c r="K26" i="18" s="1"/>
  <c r="K11" i="39" s="1"/>
  <c r="Q24" i="18"/>
  <c r="Q26" i="18" s="1" a="1"/>
  <c r="Q26" i="18" s="1"/>
  <c r="K17" i="39" s="1"/>
  <c r="E24" i="18"/>
  <c r="E26" i="18" s="1" a="1"/>
  <c r="E26" i="18" s="1"/>
  <c r="K5" i="39" s="1"/>
  <c r="L24" i="18"/>
  <c r="L26" i="18" s="1" a="1"/>
  <c r="L26" i="18" s="1"/>
  <c r="K12" i="39" s="1"/>
  <c r="N24" i="18"/>
  <c r="F24" i="18"/>
  <c r="R24" i="18"/>
  <c r="R26" i="18" s="1" a="1"/>
  <c r="R26" i="18" s="1"/>
  <c r="K18" i="39" s="1"/>
  <c r="G24" i="18"/>
  <c r="G26" i="18" s="1" a="1"/>
  <c r="G26" i="18" s="1"/>
  <c r="M24" i="18"/>
  <c r="S24" i="18"/>
  <c r="T24" i="18"/>
  <c r="T26" i="18" s="1" a="1"/>
  <c r="T26" i="18" s="1"/>
  <c r="K20" i="39" s="1"/>
  <c r="I24" i="18"/>
  <c r="O24" i="18"/>
  <c r="O26" i="18" s="1" a="1"/>
  <c r="O26" i="18" s="1"/>
  <c r="K15" i="39" s="1"/>
  <c r="U24" i="18"/>
  <c r="U26" i="18" s="1" a="1"/>
  <c r="U26" i="18" s="1"/>
  <c r="K21" i="39" s="1"/>
  <c r="F26" i="18" l="1" a="1"/>
  <c r="F26" i="18" s="1"/>
  <c r="K6" i="39" s="1"/>
  <c r="I26" i="18" a="1"/>
  <c r="I26" i="18" s="1"/>
  <c r="K9" i="39" s="1"/>
  <c r="N26" i="18" a="1"/>
  <c r="N26" i="18" s="1"/>
  <c r="K14" i="39" s="1"/>
  <c r="S26" i="18" a="1"/>
  <c r="S26" i="18" s="1"/>
  <c r="K19" i="39" s="1"/>
  <c r="M26" i="18" a="1"/>
  <c r="M26" i="18" s="1"/>
  <c r="K13" i="39" s="1"/>
  <c r="D26" i="18" a="1"/>
  <c r="D26" i="18" s="1"/>
  <c r="K4" i="39" s="1"/>
  <c r="K7" i="39"/>
  <c r="C26" i="18" a="1"/>
  <c r="C26" i="18" s="1"/>
  <c r="K3" i="39" s="1"/>
  <c r="P2" i="39" l="1" a="1"/>
  <c r="P2" i="39" s="1"/>
  <c r="R2" i="39" s="1"/>
  <c r="P22" i="39" a="1"/>
  <c r="P22" i="39" s="1"/>
  <c r="R22" i="39" s="1"/>
  <c r="P18" i="39" a="1"/>
  <c r="P18" i="39" s="1"/>
  <c r="R18" i="39" s="1"/>
  <c r="P14" i="39" a="1"/>
  <c r="P14" i="39" s="1"/>
  <c r="R14" i="39" s="1"/>
  <c r="P10" i="39" a="1"/>
  <c r="P10" i="39" s="1"/>
  <c r="R10" i="39" s="1"/>
  <c r="P6" i="39" a="1"/>
  <c r="P6" i="39" s="1"/>
  <c r="R6" i="39" s="1"/>
  <c r="P15" i="39" a="1"/>
  <c r="P15" i="39" s="1"/>
  <c r="R15" i="39" s="1"/>
  <c r="P7" i="39" a="1"/>
  <c r="P7" i="39" s="1"/>
  <c r="R7" i="39" s="1"/>
  <c r="P21" i="39" a="1"/>
  <c r="P21" i="39" s="1"/>
  <c r="R21" i="39" s="1"/>
  <c r="P17" i="39" a="1"/>
  <c r="P17" i="39" s="1"/>
  <c r="R17" i="39" s="1"/>
  <c r="P13" i="39" a="1"/>
  <c r="P13" i="39" s="1"/>
  <c r="R13" i="39" s="1"/>
  <c r="P9" i="39" a="1"/>
  <c r="P9" i="39" s="1"/>
  <c r="R9" i="39" s="1"/>
  <c r="P5" i="39" a="1"/>
  <c r="P5" i="39" s="1"/>
  <c r="R5" i="39" s="1"/>
  <c r="P20" i="39" a="1"/>
  <c r="P20" i="39" s="1"/>
  <c r="R20" i="39" s="1"/>
  <c r="P16" i="39" a="1"/>
  <c r="P16" i="39" s="1"/>
  <c r="R16" i="39" s="1"/>
  <c r="P12" i="39" a="1"/>
  <c r="P12" i="39" s="1"/>
  <c r="R12" i="39" s="1"/>
  <c r="P8" i="39" a="1"/>
  <c r="P8" i="39" s="1"/>
  <c r="R8" i="39" s="1"/>
  <c r="P4" i="39" a="1"/>
  <c r="P4" i="39" s="1"/>
  <c r="R4" i="39" s="1"/>
  <c r="P19" i="39" a="1"/>
  <c r="P19" i="39" s="1"/>
  <c r="R19" i="39" s="1"/>
  <c r="P11" i="39" a="1"/>
  <c r="P11" i="39" s="1"/>
  <c r="R11" i="39" s="1"/>
  <c r="P3" i="39" a="1"/>
  <c r="P3" i="39" s="1"/>
  <c r="R3" i="39" s="1"/>
  <c r="D133" i="15"/>
  <c r="H6" i="13" s="1"/>
  <c r="E133" i="15"/>
  <c r="H7" i="13" s="1"/>
  <c r="F133" i="15"/>
  <c r="H8" i="13" s="1"/>
  <c r="G133" i="15"/>
  <c r="H9" i="13" s="1"/>
  <c r="J133" i="15"/>
  <c r="H12" i="13" s="1"/>
  <c r="K133" i="15"/>
  <c r="H13" i="13" s="1"/>
  <c r="N133" i="15"/>
  <c r="H16" i="13" s="1"/>
  <c r="O133" i="15"/>
  <c r="H17" i="13" s="1"/>
  <c r="Q133" i="15"/>
  <c r="H19" i="13" s="1"/>
  <c r="R133" i="15"/>
  <c r="H20" i="13" s="1"/>
  <c r="S133" i="15"/>
  <c r="H21" i="13" s="1"/>
  <c r="S3" i="39" l="1" a="1"/>
  <c r="S3" i="39" s="1"/>
  <c r="E24" i="40" s="1"/>
  <c r="F15" i="49" s="1"/>
  <c r="S6" i="39" a="1"/>
  <c r="S6" i="39" s="1"/>
  <c r="E8" i="40" s="1"/>
  <c r="S11" i="39" a="1"/>
  <c r="S11" i="39" s="1"/>
  <c r="E9" i="40" s="1"/>
  <c r="F11" i="49" s="1"/>
  <c r="S14" i="39" a="1"/>
  <c r="S14" i="39" s="1"/>
  <c r="E15" i="40" s="1"/>
  <c r="S19" i="39" a="1"/>
  <c r="S19" i="39" s="1"/>
  <c r="E23" i="40" s="1"/>
  <c r="S22" i="39" a="1"/>
  <c r="S22" i="39" s="1"/>
  <c r="E18" i="40" s="1"/>
  <c r="S4" i="39" a="1"/>
  <c r="S4" i="39" s="1"/>
  <c r="E26" i="40" s="1"/>
  <c r="F8" i="49" s="1"/>
  <c r="S9" i="39" a="1"/>
  <c r="S9" i="39" s="1"/>
  <c r="E10" i="40" s="1"/>
  <c r="S12" i="39" a="1"/>
  <c r="S12" i="39" s="1"/>
  <c r="E7" i="40" s="1"/>
  <c r="S17" i="39" a="1"/>
  <c r="S17" i="39" s="1"/>
  <c r="E25" i="40" s="1"/>
  <c r="S20" i="39" a="1"/>
  <c r="S20" i="39" s="1"/>
  <c r="E12" i="40" s="1"/>
  <c r="S7" i="39" a="1"/>
  <c r="S7" i="39" s="1"/>
  <c r="E20" i="40" s="1"/>
  <c r="S10" i="39" a="1"/>
  <c r="S10" i="39" s="1"/>
  <c r="E19" i="40" s="1"/>
  <c r="F7" i="49" s="1"/>
  <c r="S15" i="39" a="1"/>
  <c r="S15" i="39" s="1"/>
  <c r="E11" i="40" s="1"/>
  <c r="S18" i="39" a="1"/>
  <c r="S18" i="39" s="1"/>
  <c r="S2" i="39" a="1"/>
  <c r="S2" i="39" s="1"/>
  <c r="E14" i="40" s="1"/>
  <c r="S5" i="39" a="1"/>
  <c r="S5" i="39" s="1"/>
  <c r="E16" i="40" s="1"/>
  <c r="S8" i="39" a="1"/>
  <c r="S8" i="39" s="1"/>
  <c r="E17" i="40" s="1"/>
  <c r="S13" i="39" a="1"/>
  <c r="S13" i="39" s="1"/>
  <c r="E21" i="40" s="1"/>
  <c r="S16" i="39" a="1"/>
  <c r="S16" i="39" s="1"/>
  <c r="E13" i="40" s="1"/>
  <c r="F13" i="49" s="1"/>
  <c r="S21" i="39" a="1"/>
  <c r="S21" i="39" s="1"/>
  <c r="E22" i="40" s="1"/>
  <c r="T133" i="15"/>
  <c r="H22" i="13" s="1"/>
  <c r="M133" i="15"/>
  <c r="H15" i="13" s="1"/>
  <c r="P133" i="15"/>
  <c r="H18" i="13" s="1"/>
  <c r="V133" i="15"/>
  <c r="H24" i="13" s="1"/>
  <c r="H133" i="15"/>
  <c r="H10" i="13" s="1"/>
  <c r="U133" i="15"/>
  <c r="H23" i="13" s="1"/>
  <c r="I133" i="15"/>
  <c r="H11" i="13" s="1"/>
  <c r="L133" i="15"/>
  <c r="H14" i="13" s="1"/>
  <c r="F17" i="49" l="1"/>
  <c r="F5" i="49"/>
  <c r="F14" i="49"/>
  <c r="F21" i="49"/>
  <c r="F16" i="49"/>
  <c r="F4" i="49"/>
  <c r="F19" i="49"/>
  <c r="F12" i="49"/>
  <c r="F10" i="49"/>
  <c r="F6" i="49"/>
  <c r="F23" i="49"/>
  <c r="F20" i="49"/>
  <c r="F9" i="49"/>
  <c r="F18" i="49"/>
  <c r="F22" i="49"/>
  <c r="N24" i="55" l="1"/>
  <c r="C133" i="15"/>
  <c r="H5" i="13" s="1"/>
  <c r="B133" i="15"/>
  <c r="H4" i="13" s="1"/>
  <c r="M13" i="13" l="1"/>
  <c r="M17" i="13"/>
  <c r="M22" i="13"/>
  <c r="M14" i="13"/>
  <c r="M6" i="13"/>
  <c r="M9" i="13"/>
  <c r="M18" i="13"/>
  <c r="M8" i="13"/>
  <c r="M19" i="13"/>
  <c r="M24" i="13"/>
  <c r="M11" i="13"/>
  <c r="M21" i="13"/>
  <c r="M16" i="13"/>
  <c r="M10" i="13"/>
  <c r="M5" i="13"/>
  <c r="M15" i="13"/>
  <c r="M7" i="13"/>
  <c r="M20" i="13"/>
  <c r="M23" i="13"/>
  <c r="M12" i="13"/>
  <c r="M4" i="13"/>
  <c r="R132" i="5" l="1"/>
  <c r="E20" i="13" s="1"/>
  <c r="T132" i="5"/>
  <c r="E22" i="13" s="1"/>
  <c r="M132" i="5" l="1"/>
  <c r="E15" i="13" s="1"/>
  <c r="Q132" i="5"/>
  <c r="E19" i="13" s="1"/>
  <c r="F132" i="5"/>
  <c r="E8" i="13" s="1"/>
  <c r="N132" i="5"/>
  <c r="E16" i="13" s="1"/>
  <c r="S132" i="5"/>
  <c r="E21" i="13" s="1"/>
  <c r="O132" i="5"/>
  <c r="E17" i="13" s="1"/>
  <c r="U132" i="5"/>
  <c r="E23" i="13" s="1"/>
  <c r="P132" i="5"/>
  <c r="E18" i="13" s="1"/>
  <c r="G132" i="5"/>
  <c r="E9" i="13" s="1"/>
  <c r="E132" i="5"/>
  <c r="E7" i="13" s="1"/>
  <c r="D132" i="5"/>
  <c r="E6" i="13" s="1"/>
  <c r="I132" i="5"/>
  <c r="E11" i="13" s="1"/>
  <c r="H132" i="5"/>
  <c r="E10" i="13" s="1"/>
  <c r="V132" i="5"/>
  <c r="E24" i="13" s="1"/>
  <c r="J132" i="5"/>
  <c r="E12" i="13" s="1"/>
  <c r="C132" i="5"/>
  <c r="E5" i="13" s="1"/>
  <c r="B132" i="5"/>
  <c r="E4" i="13" s="1"/>
  <c r="L132" i="5"/>
  <c r="E14" i="13" s="1"/>
  <c r="K132" i="5"/>
  <c r="E13" i="13" s="1"/>
  <c r="Z2" i="12" l="1"/>
  <c r="H16" i="8"/>
  <c r="AB2" i="12" s="1"/>
  <c r="G16" i="8"/>
  <c r="AA2" i="12" s="1"/>
  <c r="F12" i="8"/>
  <c r="W2" i="12" s="1"/>
  <c r="G12" i="8"/>
  <c r="X2" i="12" s="1"/>
  <c r="E12" i="8"/>
  <c r="V2" i="12" s="1"/>
  <c r="AH2" i="12" l="1"/>
  <c r="L13" i="13"/>
  <c r="P13" i="13" s="1"/>
  <c r="L15" i="13"/>
  <c r="P15" i="13" s="1"/>
  <c r="L8" i="13"/>
  <c r="P8" i="13" s="1"/>
  <c r="L21" i="13"/>
  <c r="P21" i="13" s="1"/>
  <c r="L16" i="13"/>
  <c r="P16" i="13" s="1"/>
  <c r="L22" i="13"/>
  <c r="P22" i="13" s="1"/>
  <c r="L23" i="13"/>
  <c r="P23" i="13" s="1"/>
  <c r="L17" i="13"/>
  <c r="P17" i="13" s="1"/>
  <c r="L18" i="13"/>
  <c r="P18" i="13" s="1"/>
  <c r="L4" i="13"/>
  <c r="P4" i="13" s="1"/>
  <c r="L6" i="13"/>
  <c r="P6" i="13" s="1"/>
  <c r="L9" i="13"/>
  <c r="P9" i="13" s="1"/>
  <c r="L14" i="13"/>
  <c r="P14" i="13" s="1"/>
  <c r="L5" i="13"/>
  <c r="P5" i="13" s="1"/>
  <c r="L12" i="13"/>
  <c r="P12" i="13" s="1"/>
  <c r="L7" i="13"/>
  <c r="P7" i="13" s="1"/>
  <c r="L20" i="13"/>
  <c r="P20" i="13" s="1"/>
  <c r="L19" i="13"/>
  <c r="P19" i="13" s="1"/>
  <c r="L24" i="13"/>
  <c r="P24" i="13" s="1"/>
  <c r="L11" i="13"/>
  <c r="P11" i="13" s="1"/>
  <c r="L10" i="13"/>
  <c r="P10" i="13" s="1"/>
  <c r="R5" i="13" l="1" a="1"/>
  <c r="R5" i="13" s="1"/>
  <c r="F24" i="40" s="1"/>
  <c r="G24" i="40" s="1"/>
  <c r="R8" i="13" a="1"/>
  <c r="R8" i="13" s="1"/>
  <c r="F8" i="40" s="1"/>
  <c r="G8" i="40" s="1"/>
  <c r="R13" i="13" a="1"/>
  <c r="R13" i="13" s="1"/>
  <c r="F9" i="40" s="1"/>
  <c r="G9" i="40" s="1"/>
  <c r="R16" i="13" a="1"/>
  <c r="R16" i="13" s="1"/>
  <c r="F15" i="40" s="1"/>
  <c r="G15" i="40" s="1"/>
  <c r="R21" i="13" a="1"/>
  <c r="R21" i="13" s="1"/>
  <c r="F23" i="40" s="1"/>
  <c r="G23" i="40" s="1"/>
  <c r="R24" i="13" a="1"/>
  <c r="R24" i="13" s="1"/>
  <c r="F18" i="40" s="1"/>
  <c r="G18" i="40" s="1"/>
  <c r="R6" i="13" a="1"/>
  <c r="R6" i="13" s="1"/>
  <c r="F26" i="40" s="1"/>
  <c r="G26" i="40" s="1"/>
  <c r="R11" i="13" a="1"/>
  <c r="R11" i="13" s="1"/>
  <c r="F10" i="40" s="1"/>
  <c r="G10" i="40" s="1"/>
  <c r="R14" i="13" a="1"/>
  <c r="R14" i="13" s="1"/>
  <c r="F7" i="40" s="1"/>
  <c r="G7" i="40" s="1"/>
  <c r="R19" i="13" a="1"/>
  <c r="R19" i="13" s="1"/>
  <c r="F25" i="40" s="1"/>
  <c r="G25" i="40" s="1"/>
  <c r="R22" i="13" a="1"/>
  <c r="R22" i="13" s="1"/>
  <c r="F12" i="40" s="1"/>
  <c r="G12" i="40" s="1"/>
  <c r="R9" i="13" a="1"/>
  <c r="R9" i="13" s="1"/>
  <c r="F20" i="40" s="1"/>
  <c r="G20" i="40" s="1"/>
  <c r="R12" i="13" a="1"/>
  <c r="R12" i="13" s="1"/>
  <c r="F19" i="40" s="1"/>
  <c r="G19" i="40" s="1"/>
  <c r="R17" i="13" a="1"/>
  <c r="R17" i="13" s="1"/>
  <c r="F11" i="40" s="1"/>
  <c r="G11" i="40" s="1"/>
  <c r="R20" i="13" a="1"/>
  <c r="R20" i="13" s="1"/>
  <c r="R7" i="13" a="1"/>
  <c r="R7" i="13" s="1"/>
  <c r="F16" i="40" s="1"/>
  <c r="G16" i="40" s="1"/>
  <c r="R10" i="13" a="1"/>
  <c r="R10" i="13" s="1"/>
  <c r="F17" i="40" s="1"/>
  <c r="G17" i="40" s="1"/>
  <c r="R15" i="13" a="1"/>
  <c r="R15" i="13" s="1"/>
  <c r="F21" i="40" s="1"/>
  <c r="G21" i="40" s="1"/>
  <c r="R18" i="13" a="1"/>
  <c r="R18" i="13" s="1"/>
  <c r="F13" i="40" s="1"/>
  <c r="G13" i="40" s="1"/>
  <c r="R23" i="13" a="1"/>
  <c r="R23" i="13" s="1"/>
  <c r="F22" i="40" s="1"/>
  <c r="G22" i="40" s="1"/>
  <c r="R4" i="13" a="1"/>
  <c r="R4" i="13" s="1"/>
  <c r="F14" i="40" s="1"/>
  <c r="G14" i="40" s="1"/>
  <c r="G10" i="49"/>
  <c r="I21" i="12"/>
  <c r="I13" i="12"/>
  <c r="H5" i="12"/>
  <c r="K26" i="40" s="1"/>
  <c r="I5" i="12"/>
  <c r="I23" i="12"/>
  <c r="I3" i="12"/>
  <c r="H10" i="12"/>
  <c r="K10" i="40" s="1"/>
  <c r="G22" i="49" l="1"/>
  <c r="G8" i="49"/>
  <c r="H22" i="40" a="1"/>
  <c r="H22" i="40" s="1"/>
  <c r="H19" i="40" a="1"/>
  <c r="H19" i="40" s="1"/>
  <c r="H15" i="40" a="1"/>
  <c r="H15" i="40" s="1"/>
  <c r="H24" i="40" a="1"/>
  <c r="H24" i="40" s="1"/>
  <c r="H25" i="40" a="1"/>
  <c r="H25" i="40" s="1"/>
  <c r="H21" i="40" a="1"/>
  <c r="H21" i="40" s="1"/>
  <c r="H18" i="40" a="1"/>
  <c r="H18" i="40" s="1"/>
  <c r="H8" i="40" a="1"/>
  <c r="H8" i="40" s="1"/>
  <c r="H13" i="40" a="1"/>
  <c r="H13" i="40" s="1"/>
  <c r="H20" i="40" a="1"/>
  <c r="H20" i="40" s="1"/>
  <c r="H16" i="40" a="1"/>
  <c r="H16" i="40" s="1"/>
  <c r="H26" i="40" a="1"/>
  <c r="H26" i="40" s="1"/>
  <c r="H9" i="40" a="1"/>
  <c r="H9" i="40" s="1"/>
  <c r="H23" i="40" a="1"/>
  <c r="H23" i="40" s="1"/>
  <c r="H17" i="40" a="1"/>
  <c r="H17" i="40" s="1"/>
  <c r="H10" i="40" a="1"/>
  <c r="H10" i="40" s="1"/>
  <c r="H14" i="40" a="1"/>
  <c r="H14" i="40" s="1"/>
  <c r="H11" i="40" a="1"/>
  <c r="H11" i="40" s="1"/>
  <c r="H7" i="40" a="1"/>
  <c r="H7" i="40" s="1"/>
  <c r="H12" i="40" a="1"/>
  <c r="H12" i="40" s="1"/>
  <c r="G17" i="49"/>
  <c r="P16" i="55"/>
  <c r="N28" i="55"/>
  <c r="N12" i="55"/>
  <c r="N14" i="55"/>
  <c r="N16" i="55"/>
  <c r="N21" i="55"/>
  <c r="N23" i="55"/>
  <c r="N25" i="55"/>
  <c r="N27" i="55"/>
  <c r="N11" i="55"/>
  <c r="N18" i="55"/>
  <c r="P11" i="55"/>
  <c r="N20" i="55"/>
  <c r="N22" i="55"/>
  <c r="N29" i="55"/>
  <c r="N13" i="55"/>
  <c r="N9" i="55"/>
  <c r="N15" i="55"/>
  <c r="N17" i="55"/>
  <c r="N19" i="55"/>
  <c r="N26" i="55"/>
  <c r="N10" i="55"/>
  <c r="G16" i="49"/>
  <c r="G14" i="49"/>
  <c r="G15" i="49"/>
  <c r="G6" i="49"/>
  <c r="G21" i="49"/>
  <c r="G12" i="49"/>
  <c r="G4" i="49"/>
  <c r="G7" i="49"/>
  <c r="G18" i="49"/>
  <c r="G20" i="49"/>
  <c r="G19" i="49"/>
  <c r="G23" i="49"/>
  <c r="G5" i="49"/>
  <c r="G13" i="49"/>
  <c r="G11" i="49"/>
  <c r="G9" i="49"/>
  <c r="J5" i="12"/>
  <c r="H3" i="12"/>
  <c r="K14" i="40" s="1"/>
  <c r="H21" i="12"/>
  <c r="K12" i="40" s="1"/>
  <c r="I16" i="12"/>
  <c r="H19" i="12"/>
  <c r="I8" i="12"/>
  <c r="I18" i="12"/>
  <c r="I19" i="12"/>
  <c r="H13" i="12"/>
  <c r="K7" i="40" s="1"/>
  <c r="H8" i="12"/>
  <c r="K20" i="40" s="1"/>
  <c r="I22" i="12"/>
  <c r="H12" i="12"/>
  <c r="K9" i="40" s="1"/>
  <c r="I9" i="12"/>
  <c r="H18" i="12"/>
  <c r="K25" i="40" s="1"/>
  <c r="I4" i="12"/>
  <c r="I7" i="12"/>
  <c r="I12" i="12"/>
  <c r="I11" i="12"/>
  <c r="H4" i="12"/>
  <c r="K24" i="40" s="1"/>
  <c r="I14" i="12"/>
  <c r="H14" i="12"/>
  <c r="K21" i="40" s="1"/>
  <c r="I10" i="12"/>
  <c r="J10" i="12" s="1"/>
  <c r="I20" i="12"/>
  <c r="I6" i="12"/>
  <c r="I17" i="12"/>
  <c r="I15" i="12"/>
  <c r="H7" i="12"/>
  <c r="K8" i="40" s="1"/>
  <c r="H9" i="12"/>
  <c r="K17" i="40" s="1"/>
  <c r="H20" i="12"/>
  <c r="K23" i="40" s="1"/>
  <c r="H23" i="12"/>
  <c r="K18" i="40" s="1"/>
  <c r="H17" i="12"/>
  <c r="K13" i="40" s="1"/>
  <c r="H11" i="12"/>
  <c r="K19" i="40" s="1"/>
  <c r="H6" i="12"/>
  <c r="K16" i="40" s="1"/>
  <c r="H16" i="12"/>
  <c r="K11" i="40" s="1"/>
  <c r="H22" i="12"/>
  <c r="K22" i="40" s="1"/>
  <c r="H15" i="12"/>
  <c r="K15" i="40" s="1"/>
  <c r="H17" i="49" l="1"/>
  <c r="G19" i="55"/>
  <c r="L19" i="55" s="1"/>
  <c r="G16" i="55"/>
  <c r="L16" i="55" s="1"/>
  <c r="H4" i="49"/>
  <c r="G11" i="55"/>
  <c r="L11" i="55" s="1"/>
  <c r="H8" i="49"/>
  <c r="H10" i="49"/>
  <c r="G13" i="55"/>
  <c r="L13" i="55" s="1"/>
  <c r="H15" i="49"/>
  <c r="G10" i="55"/>
  <c r="L10" i="55" s="1"/>
  <c r="H14" i="49"/>
  <c r="G22" i="55"/>
  <c r="L22" i="55" s="1"/>
  <c r="G15" i="55"/>
  <c r="L15" i="55" s="1"/>
  <c r="H19" i="49"/>
  <c r="H21" i="49"/>
  <c r="G12" i="55"/>
  <c r="L12" i="55" s="1"/>
  <c r="H6" i="49"/>
  <c r="G29" i="55"/>
  <c r="L29" i="55" s="1"/>
  <c r="G21" i="55"/>
  <c r="L21" i="55" s="1"/>
  <c r="H12" i="49"/>
  <c r="H9" i="49"/>
  <c r="G9" i="55"/>
  <c r="L9" i="55" s="1"/>
  <c r="H16" i="49"/>
  <c r="G26" i="55"/>
  <c r="L26" i="55" s="1"/>
  <c r="H18" i="49"/>
  <c r="G14" i="55"/>
  <c r="L14" i="55" s="1"/>
  <c r="G20" i="55"/>
  <c r="L20" i="55" s="1"/>
  <c r="H23" i="49"/>
  <c r="H7" i="49"/>
  <c r="G17" i="55"/>
  <c r="L17" i="55" s="1"/>
  <c r="G27" i="55"/>
  <c r="L27" i="55" s="1"/>
  <c r="H22" i="49"/>
  <c r="G25" i="55"/>
  <c r="L25" i="55" s="1"/>
  <c r="H11" i="49"/>
  <c r="G18" i="55"/>
  <c r="L18" i="55" s="1"/>
  <c r="H13" i="49"/>
  <c r="G23" i="55"/>
  <c r="L23" i="55" s="1"/>
  <c r="G24" i="55"/>
  <c r="L24" i="55" s="1"/>
  <c r="H20" i="49"/>
  <c r="G28" i="55"/>
  <c r="L28" i="55" s="1"/>
  <c r="H5" i="49"/>
  <c r="P12" i="55"/>
  <c r="P21" i="55"/>
  <c r="P17" i="55"/>
  <c r="P15" i="55"/>
  <c r="P18" i="55"/>
  <c r="P23" i="55"/>
  <c r="P10" i="55"/>
  <c r="P27" i="55"/>
  <c r="P28" i="55"/>
  <c r="P13" i="55"/>
  <c r="P22" i="55"/>
  <c r="P29" i="55"/>
  <c r="P14" i="55"/>
  <c r="P9" i="55"/>
  <c r="N30" i="55"/>
  <c r="O19" i="55" s="1"/>
  <c r="P26" i="55"/>
  <c r="P20" i="55"/>
  <c r="P19" i="55"/>
  <c r="P25" i="55"/>
  <c r="AA6" i="12" a="1"/>
  <c r="AA6" i="12" s="1"/>
  <c r="AA9" i="12" a="1"/>
  <c r="AA9" i="12" s="1"/>
  <c r="AA14" i="12" a="1"/>
  <c r="AA14" i="12" s="1"/>
  <c r="AA17" i="12" a="1"/>
  <c r="AA17" i="12" s="1"/>
  <c r="AA22" i="12" a="1"/>
  <c r="AA22" i="12" s="1"/>
  <c r="AA3" i="12" a="1"/>
  <c r="AA3" i="12" s="1"/>
  <c r="AA4" i="12" a="1"/>
  <c r="AA4" i="12" s="1"/>
  <c r="AA7" i="12" a="1"/>
  <c r="AA7" i="12" s="1"/>
  <c r="AA12" i="12" a="1"/>
  <c r="AA12" i="12" s="1"/>
  <c r="AA15" i="12" a="1"/>
  <c r="AA15" i="12" s="1"/>
  <c r="AA20" i="12" a="1"/>
  <c r="AA20" i="12" s="1"/>
  <c r="AA23" i="12" a="1"/>
  <c r="AA23" i="12" s="1"/>
  <c r="AA5" i="12" a="1"/>
  <c r="AA5" i="12" s="1"/>
  <c r="AA10" i="12" a="1"/>
  <c r="AA10" i="12" s="1"/>
  <c r="AA13" i="12" a="1"/>
  <c r="AA13" i="12" s="1"/>
  <c r="AA18" i="12" a="1"/>
  <c r="AA18" i="12" s="1"/>
  <c r="AA21" i="12" a="1"/>
  <c r="AA21" i="12" s="1"/>
  <c r="AA8" i="12" a="1"/>
  <c r="AA8" i="12" s="1"/>
  <c r="AA11" i="12" a="1"/>
  <c r="AA11" i="12" s="1"/>
  <c r="AA16" i="12" a="1"/>
  <c r="AA16" i="12" s="1"/>
  <c r="AA19" i="12" a="1"/>
  <c r="AA19" i="12" s="1"/>
  <c r="J15" i="12"/>
  <c r="J23" i="12"/>
  <c r="J21" i="12"/>
  <c r="J9" i="12"/>
  <c r="J13" i="12"/>
  <c r="J11" i="12"/>
  <c r="J3" i="12"/>
  <c r="J22" i="12"/>
  <c r="J16" i="12"/>
  <c r="J14" i="12"/>
  <c r="J8" i="12"/>
  <c r="J6" i="12"/>
  <c r="J12" i="12"/>
  <c r="J7" i="12"/>
  <c r="J20" i="12"/>
  <c r="J4" i="12"/>
  <c r="J18" i="12"/>
  <c r="J19" i="12"/>
  <c r="J17" i="12"/>
  <c r="L30" i="55" l="1"/>
  <c r="M11" i="55" s="1"/>
  <c r="O12" i="55"/>
  <c r="O18" i="55"/>
  <c r="O21" i="55"/>
  <c r="O13" i="55"/>
  <c r="O16" i="55"/>
  <c r="O20" i="55"/>
  <c r="O17" i="55"/>
  <c r="O25" i="55"/>
  <c r="O15" i="55"/>
  <c r="O24" i="55"/>
  <c r="O23" i="55"/>
  <c r="O29" i="55"/>
  <c r="O26" i="55"/>
  <c r="O28" i="55"/>
  <c r="O11" i="55"/>
  <c r="O10" i="55"/>
  <c r="O27" i="55"/>
  <c r="O9" i="55"/>
  <c r="P30" i="55"/>
  <c r="Q22" i="55" s="1"/>
  <c r="O14" i="55"/>
  <c r="O22" i="55"/>
  <c r="AB6" i="12" a="1"/>
  <c r="AB6" i="12" s="1"/>
  <c r="AH6" i="12" s="1"/>
  <c r="AB9" i="12" a="1"/>
  <c r="AB9" i="12" s="1"/>
  <c r="AH9" i="12" s="1"/>
  <c r="AB14" i="12" a="1"/>
  <c r="AB14" i="12" s="1"/>
  <c r="AH14" i="12" s="1"/>
  <c r="AB17" i="12" a="1"/>
  <c r="AB17" i="12" s="1"/>
  <c r="AH17" i="12" s="1"/>
  <c r="AB22" i="12" a="1"/>
  <c r="AB22" i="12" s="1"/>
  <c r="AH22" i="12" s="1"/>
  <c r="AB3" i="12" a="1"/>
  <c r="AB3" i="12" s="1"/>
  <c r="AH3" i="12" s="1"/>
  <c r="AB4" i="12" a="1"/>
  <c r="AB4" i="12" s="1"/>
  <c r="AH4" i="12" s="1"/>
  <c r="AB7" i="12" a="1"/>
  <c r="AB7" i="12" s="1"/>
  <c r="AH7" i="12" s="1"/>
  <c r="AB12" i="12" a="1"/>
  <c r="AB12" i="12" s="1"/>
  <c r="AH12" i="12" s="1"/>
  <c r="AB15" i="12" a="1"/>
  <c r="AB15" i="12" s="1"/>
  <c r="AH15" i="12" s="1"/>
  <c r="AB20" i="12" a="1"/>
  <c r="AB20" i="12" s="1"/>
  <c r="AH20" i="12" s="1"/>
  <c r="AB23" i="12" a="1"/>
  <c r="AB23" i="12" s="1"/>
  <c r="AH23" i="12" s="1"/>
  <c r="AB5" i="12" a="1"/>
  <c r="AB5" i="12" s="1"/>
  <c r="AH5" i="12" s="1"/>
  <c r="AB10" i="12" a="1"/>
  <c r="AB10" i="12" s="1"/>
  <c r="AH10" i="12" s="1"/>
  <c r="AB13" i="12" a="1"/>
  <c r="AB13" i="12" s="1"/>
  <c r="AH13" i="12" s="1"/>
  <c r="AB18" i="12" a="1"/>
  <c r="AB18" i="12" s="1"/>
  <c r="AH18" i="12" s="1"/>
  <c r="AB21" i="12" a="1"/>
  <c r="AB21" i="12" s="1"/>
  <c r="AH21" i="12" s="1"/>
  <c r="AB8" i="12" a="1"/>
  <c r="AB8" i="12" s="1"/>
  <c r="AK8" i="12" s="1"/>
  <c r="AB11" i="12" a="1"/>
  <c r="AB11" i="12" s="1"/>
  <c r="AH11" i="12" s="1"/>
  <c r="AB16" i="12" a="1"/>
  <c r="AB16" i="12" s="1"/>
  <c r="AH16" i="12" s="1"/>
  <c r="AB19" i="12" a="1"/>
  <c r="AB19" i="12" s="1"/>
  <c r="AH19" i="12" s="1"/>
  <c r="AH8" i="12" l="1"/>
  <c r="M25" i="55"/>
  <c r="M12" i="55"/>
  <c r="M14" i="55"/>
  <c r="M27" i="55"/>
  <c r="M19" i="55"/>
  <c r="M26" i="55"/>
  <c r="M17" i="55"/>
  <c r="M20" i="55"/>
  <c r="M28" i="55"/>
  <c r="M13" i="55"/>
  <c r="M21" i="55"/>
  <c r="M16" i="55"/>
  <c r="M15" i="55"/>
  <c r="M29" i="55"/>
  <c r="M24" i="55"/>
  <c r="M22" i="55"/>
  <c r="M9" i="55"/>
  <c r="M23" i="55"/>
  <c r="M10" i="55"/>
  <c r="M18" i="55"/>
  <c r="AK17" i="12"/>
  <c r="AK18" i="12"/>
  <c r="Q18" i="55"/>
  <c r="Q12" i="55"/>
  <c r="Q29" i="55"/>
  <c r="Q28" i="55"/>
  <c r="Q9" i="55"/>
  <c r="Q20" i="55"/>
  <c r="Q21" i="55"/>
  <c r="Q24" i="55"/>
  <c r="Q11" i="55"/>
  <c r="Q16" i="55"/>
  <c r="Q25" i="55"/>
  <c r="Q10" i="55"/>
  <c r="Q15" i="55"/>
  <c r="Q14" i="55"/>
  <c r="Q26" i="55"/>
  <c r="Q23" i="55"/>
  <c r="Q17" i="55"/>
  <c r="Q13" i="55"/>
  <c r="Q19" i="55"/>
  <c r="Q27" i="55"/>
  <c r="AK14" i="12"/>
  <c r="AK21" i="12"/>
  <c r="AK23" i="12"/>
  <c r="AK20" i="12"/>
  <c r="AK7" i="12"/>
  <c r="AK22" i="12"/>
  <c r="AK3" i="12"/>
  <c r="AK19" i="12"/>
  <c r="AK5" i="12"/>
  <c r="AK12" i="12"/>
  <c r="AK11" i="12"/>
  <c r="AK6" i="12"/>
  <c r="AK15" i="12"/>
  <c r="AK16" i="12"/>
  <c r="AK9" i="12"/>
  <c r="AK13" i="12"/>
  <c r="AK4" i="12"/>
  <c r="AK10" i="12"/>
  <c r="AJ4" i="12" l="1" a="1"/>
  <c r="AJ4" i="12" s="1"/>
  <c r="J24" i="40" s="1"/>
  <c r="AJ8" i="12" a="1"/>
  <c r="AJ8" i="12" s="1"/>
  <c r="J20" i="40" s="1"/>
  <c r="AJ15" i="12" a="1"/>
  <c r="AJ15" i="12" s="1"/>
  <c r="J15" i="40" s="1"/>
  <c r="AJ22" i="12" a="1"/>
  <c r="AJ22" i="12" s="1"/>
  <c r="J22" i="40" s="1"/>
  <c r="AJ6" i="12" a="1"/>
  <c r="AJ6" i="12" s="1"/>
  <c r="J16" i="40" s="1"/>
  <c r="AJ19" i="12" a="1"/>
  <c r="AJ19" i="12" s="1"/>
  <c r="AJ13" i="12" a="1"/>
  <c r="AJ13" i="12" s="1"/>
  <c r="J7" i="40" s="1"/>
  <c r="AJ12" i="12" a="1"/>
  <c r="AJ12" i="12" s="1"/>
  <c r="J9" i="40" s="1"/>
  <c r="AJ9" i="12" a="1"/>
  <c r="AJ9" i="12" s="1"/>
  <c r="J17" i="40" s="1"/>
  <c r="AJ18" i="12" a="1"/>
  <c r="AJ18" i="12" s="1"/>
  <c r="J25" i="40" s="1"/>
  <c r="AJ3" i="12" a="1"/>
  <c r="AJ3" i="12" s="1"/>
  <c r="J14" i="40" s="1"/>
  <c r="AJ17" i="12" a="1"/>
  <c r="AJ17" i="12" s="1"/>
  <c r="J13" i="40" s="1"/>
  <c r="AJ16" i="12" a="1"/>
  <c r="AJ16" i="12" s="1"/>
  <c r="J11" i="40" s="1"/>
  <c r="AJ10" i="12" a="1"/>
  <c r="AJ10" i="12" s="1"/>
  <c r="J10" i="40" s="1"/>
  <c r="AJ23" i="12" a="1"/>
  <c r="AJ23" i="12" s="1"/>
  <c r="J18" i="40" s="1"/>
  <c r="AJ7" i="12" a="1"/>
  <c r="AJ7" i="12" s="1"/>
  <c r="J8" i="40" s="1"/>
  <c r="AJ14" i="12" a="1"/>
  <c r="AJ14" i="12" s="1"/>
  <c r="J21" i="40" s="1"/>
  <c r="AJ11" i="12" a="1"/>
  <c r="AJ11" i="12" s="1"/>
  <c r="J19" i="40" s="1"/>
  <c r="AJ21" i="12" a="1"/>
  <c r="AJ21" i="12" s="1"/>
  <c r="J12" i="40" s="1"/>
  <c r="AJ5" i="12" a="1"/>
  <c r="AJ5" i="12" s="1"/>
  <c r="J26" i="40" s="1"/>
  <c r="AJ20" i="12" a="1"/>
  <c r="AJ20" i="12" s="1"/>
  <c r="J23" i="40" s="1"/>
  <c r="M16" i="40" l="1"/>
  <c r="M24" i="40"/>
  <c r="J10" i="49"/>
  <c r="F13" i="55"/>
  <c r="J13" i="55" s="1"/>
  <c r="F18" i="55"/>
  <c r="J18" i="55" s="1"/>
  <c r="J11" i="49"/>
  <c r="J22" i="49"/>
  <c r="F27" i="55"/>
  <c r="J27" i="55" s="1"/>
  <c r="F29" i="55"/>
  <c r="J29" i="55" s="1"/>
  <c r="J6" i="49"/>
  <c r="F19" i="55"/>
  <c r="J19" i="55" s="1"/>
  <c r="J17" i="49"/>
  <c r="M15" i="40"/>
  <c r="F21" i="55"/>
  <c r="J21" i="55" s="1"/>
  <c r="J12" i="49"/>
  <c r="F11" i="55"/>
  <c r="J11" i="55" s="1"/>
  <c r="J8" i="49"/>
  <c r="M13" i="40"/>
  <c r="F23" i="55"/>
  <c r="J23" i="55" s="1"/>
  <c r="J13" i="49"/>
  <c r="F28" i="55"/>
  <c r="J28" i="55" s="1"/>
  <c r="J5" i="49"/>
  <c r="F17" i="55"/>
  <c r="J17" i="55" s="1"/>
  <c r="J7" i="49"/>
  <c r="J20" i="49"/>
  <c r="F24" i="55"/>
  <c r="J24" i="55" s="1"/>
  <c r="M25" i="40"/>
  <c r="F26" i="55"/>
  <c r="J26" i="55" s="1"/>
  <c r="J16" i="49"/>
  <c r="J23" i="49"/>
  <c r="F20" i="55"/>
  <c r="J20" i="55" s="1"/>
  <c r="J14" i="49"/>
  <c r="F22" i="55"/>
  <c r="J22" i="55" s="1"/>
  <c r="M18" i="40"/>
  <c r="M9" i="40"/>
  <c r="M12" i="40"/>
  <c r="M19" i="40"/>
  <c r="M21" i="40"/>
  <c r="M8" i="40"/>
  <c r="M7" i="40"/>
  <c r="M23" i="40"/>
  <c r="M11" i="40"/>
  <c r="M22" i="40"/>
  <c r="M26" i="40"/>
  <c r="J21" i="49" l="1"/>
  <c r="F10" i="55"/>
  <c r="J10" i="55" s="1"/>
  <c r="J15" i="49"/>
  <c r="F12" i="55"/>
  <c r="J12" i="55" s="1"/>
  <c r="M20" i="40"/>
  <c r="J18" i="49"/>
  <c r="F14" i="55"/>
  <c r="J14" i="55" s="1"/>
  <c r="F25" i="55"/>
  <c r="J25" i="55" s="1"/>
  <c r="M17" i="40"/>
  <c r="J19" i="49"/>
  <c r="F15" i="55"/>
  <c r="J15" i="55" s="1"/>
  <c r="M10" i="40"/>
  <c r="F16" i="55"/>
  <c r="J16" i="55" s="1"/>
  <c r="J4" i="49"/>
  <c r="M14" i="40"/>
  <c r="F9" i="55"/>
  <c r="J9" i="55" s="1"/>
  <c r="J9" i="49"/>
  <c r="N19" i="40" l="1" a="1"/>
  <c r="N19" i="40" s="1"/>
  <c r="L7" i="49" s="1"/>
  <c r="N14" i="40" a="1"/>
  <c r="N14" i="40" s="1"/>
  <c r="L9" i="49" s="1"/>
  <c r="N9" i="40" a="1"/>
  <c r="N9" i="40" s="1"/>
  <c r="L11" i="49" s="1"/>
  <c r="N17" i="40" a="1"/>
  <c r="N17" i="40" s="1"/>
  <c r="L19" i="49" s="1"/>
  <c r="N7" i="40" a="1"/>
  <c r="N7" i="40" s="1"/>
  <c r="L17" i="49" s="1"/>
  <c r="N13" i="40" a="1"/>
  <c r="N13" i="40" s="1"/>
  <c r="L13" i="49" s="1"/>
  <c r="N25" i="40" a="1"/>
  <c r="N25" i="40" s="1"/>
  <c r="L20" i="49" s="1"/>
  <c r="N26" i="40" a="1"/>
  <c r="N26" i="40" s="1"/>
  <c r="L8" i="49" s="1"/>
  <c r="N23" i="40" a="1"/>
  <c r="N23" i="40" s="1"/>
  <c r="L16" i="49" s="1"/>
  <c r="N20" i="40" a="1"/>
  <c r="N20" i="40" s="1"/>
  <c r="L18" i="49" s="1"/>
  <c r="N10" i="40" a="1"/>
  <c r="N10" i="40" s="1"/>
  <c r="L4" i="49" s="1"/>
  <c r="N15" i="40" a="1"/>
  <c r="N15" i="40" s="1"/>
  <c r="L12" i="49" s="1"/>
  <c r="N21" i="40" a="1"/>
  <c r="N21" i="40" s="1"/>
  <c r="L23" i="49" s="1"/>
  <c r="N8" i="40" a="1"/>
  <c r="N8" i="40" s="1"/>
  <c r="L10" i="49" s="1"/>
  <c r="N12" i="40" a="1"/>
  <c r="N12" i="40" s="1"/>
  <c r="L22" i="49" s="1"/>
  <c r="N18" i="40" a="1"/>
  <c r="N18" i="40" s="1"/>
  <c r="L6" i="49" s="1"/>
  <c r="N16" i="40" a="1"/>
  <c r="N16" i="40" s="1"/>
  <c r="L21" i="49" s="1"/>
  <c r="N24" i="40" a="1"/>
  <c r="N24" i="40" s="1"/>
  <c r="L15" i="49" s="1"/>
  <c r="N22" i="40" a="1"/>
  <c r="N22" i="40" s="1"/>
  <c r="L5" i="49" s="1"/>
  <c r="N11" i="40" a="1"/>
  <c r="N11" i="40" s="1"/>
  <c r="L14" i="49" s="1"/>
  <c r="J30" i="55"/>
  <c r="K27" i="55" l="1"/>
  <c r="R27" i="55" s="1"/>
  <c r="K12" i="55"/>
  <c r="R12" i="55" s="1"/>
  <c r="K18" i="55"/>
  <c r="R18" i="55" s="1"/>
  <c r="K20" i="55"/>
  <c r="R20" i="55" s="1"/>
  <c r="K23" i="55"/>
  <c r="R23" i="55" s="1"/>
  <c r="K9" i="55"/>
  <c r="R9" i="55" s="1"/>
  <c r="K21" i="55"/>
  <c r="R21" i="55" s="1"/>
  <c r="K17" i="55"/>
  <c r="R17" i="55" s="1"/>
  <c r="K10" i="55"/>
  <c r="R10" i="55" s="1"/>
  <c r="K26" i="55"/>
  <c r="R26" i="55" s="1"/>
  <c r="K28" i="55"/>
  <c r="R28" i="55" s="1"/>
  <c r="K24" i="55"/>
  <c r="R24" i="55" s="1"/>
  <c r="K13" i="55"/>
  <c r="R13" i="55" s="1"/>
  <c r="K14" i="55"/>
  <c r="R14" i="55" s="1"/>
  <c r="K29" i="55"/>
  <c r="R29" i="55" s="1"/>
  <c r="K25" i="55"/>
  <c r="R25" i="55" s="1"/>
  <c r="K16" i="55"/>
  <c r="R16" i="55" s="1"/>
  <c r="K11" i="55"/>
  <c r="R11" i="55" s="1"/>
  <c r="K15" i="55"/>
  <c r="R15" i="55" s="1"/>
  <c r="K19" i="55"/>
  <c r="R19" i="55" s="1"/>
  <c r="K22" i="55"/>
  <c r="R22" i="55" s="1"/>
  <c r="S11" i="55" l="1"/>
  <c r="S24" i="55"/>
  <c r="S18" i="55"/>
  <c r="S22" i="55"/>
  <c r="S16" i="55"/>
  <c r="S17" i="55"/>
  <c r="S25" i="55"/>
  <c r="S20" i="55"/>
  <c r="S19" i="55"/>
  <c r="S15" i="55"/>
  <c r="S29" i="55"/>
  <c r="S28" i="55"/>
  <c r="S21" i="55"/>
  <c r="S14" i="55"/>
  <c r="S26" i="55"/>
  <c r="S9" i="55"/>
  <c r="S12" i="55"/>
  <c r="S13" i="55"/>
  <c r="S10" i="55"/>
  <c r="S23" i="55"/>
  <c r="S27" i="55"/>
  <c r="R3" i="55"/>
  <c r="S3" i="5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2EFC43B4-EBCF-4B26-B345-A160F47437C6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Timestamp="1716542935"&gt;&lt;FQL&gt;&lt;Q&gt;FC0000ZA^FG_MCAP_IDX(0,,,USD)&lt;/Q&gt;&lt;R&gt;1&lt;/R&gt;&lt;C&gt;1&lt;/C&gt;&lt;D xsi:type="xsd:double"&gt;317343.2&lt;/D&gt;&lt;/FQL&gt;&lt;FQL&gt;&lt;Q&gt;FC0000CN^FMA_MCAP(0,,,USD,"PORTAGG")&lt;/Q&gt;&lt;R&gt;1&lt;/R&gt;&lt;C&gt;1&lt;/C&gt;&lt;D xsi:type="xsd:double"&gt;7678675&lt;/D&gt;&lt;/FQL&gt;&lt;FQL&gt;&lt;Q&gt;NQG00809^FMA_MCAP(0,,,USD,"PORTAGG")&lt;/Q&gt;&lt;R&gt;0&lt;/R&gt;&lt;C&gt;0&lt;/C&gt;&lt;/FQL&gt;&lt;FQL&gt;&lt;Q&gt;MCHI^FREF_MARKET_VALUE_COMPANY(0,,,USD,,0,,"LEGACY")&lt;/Q&gt;&lt;R&gt;1&lt;/R&gt;&lt;C&gt;1&lt;/C&gt;&lt;D xsi:type="xsd:double"&gt;5802.44&lt;/D&gt;&lt;/FQL&gt;&lt;FQL&gt;&lt;Q&gt;INDA^FREF_MARKET_VALUE_COMPANY(0,,,USD,,0,,"LEGACY")&lt;/Q&gt;&lt;R&gt;1&lt;/R&gt;&lt;C&gt;1&lt;/C&gt;&lt;D xsi:type="xsd:double"&gt;10323.4485&lt;/D&gt;&lt;/FQL&gt;&lt;FQL&gt;&lt;Q&gt;FC0000US^FMA_MCAP(0,,,USD,"PORTAGG")&lt;/Q&gt;&lt;R&gt;1&lt;/R&gt;&lt;C&gt;1&lt;/C&gt;&lt;D xsi:type="xsd:double"&gt;54820068&lt;/D&gt;&lt;/FQL&gt;&lt;FQL&gt;&lt;Q&gt;FC0000GR^FMA_MCAP(0,,,USD,"PORTAGG")&lt;/Q&gt;&lt;R&gt;1&lt;/R&gt;&lt;C&gt;1&lt;/C&gt;&lt;D xsi:type="xsd:double"&gt;84981.35&lt;/D&gt;&lt;/FQL&gt;&lt;FQL&gt;&lt;Q&gt;GREK^FREF_MARKET_VALUE_COMPANY(0,,,USD,,0,,"LEGACY")&lt;/Q&gt;&lt;R&gt;1&lt;/R&gt;&lt;C&gt;1&lt;/C&gt;&lt;D xsi:type="xsd:double"&gt;204.03743844&lt;/D&gt;&lt;/FQL&gt;&lt;FQL&gt;&lt;Q&gt;FC0000GB^FMA_MCAP(0,,,USD,"PORTAGG")&lt;/Q&gt;&lt;R&gt;1&lt;/R&gt;&lt;C&gt;1&lt;/C&gt;&lt;D xsi:type="xsd:double"&gt;3301653.3&lt;/D&gt;&lt;/FQL&gt;&lt;FQL&gt;&lt;Q&gt;FC0000ZA^FMA_MCAP(0,,,USD,"PORTAGG")&lt;/Q&gt;&lt;R&gt;1&lt;/R&gt;&lt;C&gt;1&lt;/C&gt;&lt;D xsi:type="xsd:double"&gt;317343.2&lt;/D&gt;&lt;/FQL&gt;&lt;FQL&gt;&lt;Q&gt;EZA^FREF_MARKET_VALUE_COMPANY(0,,,USD,,0,,"LEGACY")&lt;/Q&gt;&lt;R&gt;1&lt;/R&gt;&lt;C&gt;1&lt;/C&gt;&lt;D xsi:type="xsd:double"&gt;267.75&lt;/D&gt;&lt;/FQL&gt;&lt;FQL&gt;&lt;Q&gt;FC0000CH^FMA_MCAP(0,,,USD,"PORTAGG")&lt;/Q&gt;&lt;R&gt;1&lt;/R&gt;&lt;C&gt;1&lt;/C&gt;&lt;D xsi:type="xsd:double"&gt;2150157&lt;/D&gt;&lt;/FQL&gt;&lt;FQL&gt;&lt;Q&gt;EWL^FREF_MARKET_VALUE_COMPANY(0,,,USD,,0,,"LEGACY")&lt;/Q&gt;&lt;R&gt;1&lt;/R&gt;&lt;C&gt;1&lt;/C&gt;&lt;D xsi:type="xsd:double"&gt;1138.725&lt;/D&gt;&lt;/FQL&gt;&lt;FQL&gt;&lt;Q&gt;FC0000KR^FMA_MCAP(0,,,USD,"PORTAGG")&lt;/Q&gt;&lt;R&gt;1&lt;/R&gt;&lt;C&gt;1&lt;/C&gt;&lt;D xsi:type="xsd:double"&gt;1897331.5&lt;/D&gt;&lt;/FQL&gt;&lt;FQL&gt;&lt;Q&gt;EWJ^FREF_MARKET_VALUE_COMPANY(0,,,USD,,0,,"LEGACY")&lt;/Q&gt;&lt;R&gt;1&lt;/R&gt;&lt;C&gt;1&lt;/C&gt;&lt;D xsi:type="xsd:double"&gt;16222.326&lt;/D&gt;&lt;/FQL&gt;&lt;FQL&gt;&lt;Q&gt;FC0000DE^FMA_MCAP(0,,,USD,"PORTAGG")&lt;/Q&gt;&lt;R&gt;1&lt;/R&gt;&lt;C&gt;1&lt;/C&gt;&lt;D xsi:type="xsd:double"&gt;2305721&lt;/D&gt;&lt;/FQL&gt;&lt;FQL&gt;&lt;Q&gt;EWW^FREF_MARKET_VALUE_COMPANY(0,,,USD,,0,,"LEGACY")&lt;/Q&gt;&lt;R&gt;1&lt;/R&gt;&lt;C&gt;1&lt;/C&gt;&lt;D xsi:type="xsd:double"&gt;2054.232&lt;/D&gt;&lt;/FQL&gt;&lt;FQL&gt;&lt;Q&gt;FC0000CA^FMA_MCAP(0,,,USD,"PORTAGG")&lt;/Q&gt;&lt;R&gt;1&lt;/R&gt;&lt;C&gt;1&lt;/C&gt;&lt;D xsi:type="xsd:double"&gt;2734610.3&lt;/D&gt;&lt;/FQL&gt;&lt;FQL&gt;&lt;Q&gt;EWC^FREF_MARKET_VALUE_COMPANY(0,,,USD,,0,,"LEGACY")&lt;/Q&gt;&lt;R&gt;1&lt;/R&gt;&lt;C&gt;1&lt;/C&gt;&lt;D xsi:type="xsd:double"&gt;2693.496&lt;/D&gt;&lt;/FQL&gt;&lt;FQL&gt;&lt;Q&gt;FC0000AU^FMA_MCAP(0,,,USD,"PORTAGG")&lt;/Q&gt;&lt;R&gt;1&lt;/R&gt;&lt;C&gt;1&lt;/C&gt;&lt;D xsi:type="xsd:double"&gt;1703570.8&lt;/D&gt;&lt;/FQL&gt;&lt;FQL&gt;&lt;Q&gt;EWM^FREF_MARKET_VALUE_COMPANY(0,,,USD,,0,,"LEGACY")&lt;/Q&gt;&lt;R&gt;1&lt;/R&gt;&lt;C&gt;1&lt;/C&gt;&lt;D xsi:type="xsd:double"&gt;276.4215&lt;/D&gt;&lt;/FQL&gt;&lt;FQL&gt;&lt;Q&gt;FC0000PE^FMA_MCAP(0,,,USD,"PORTAGG")&lt;/Q&gt;&lt;R&gt;1&lt;/R&gt;&lt;C&gt;1&lt;/C&gt;&lt;D xsi:type="xsd:double"&gt;38030.86&lt;/D&gt;&lt;/FQL&gt;&lt;FQL&gt;&lt;Q&gt;FC0000PL^FMA_MCAP(0,,,USD,"PORTAGG")&lt;/Q&gt;&lt;R&gt;1&lt;/R&gt;&lt;C&gt;1&lt;/C&gt;&lt;D xsi:type="xsd:double"&gt;213421.28&lt;/D&gt;&lt;/FQL&gt;&lt;FQL&gt;&lt;Q&gt;KSA^FREF_MARKET_VALUE_COMPANY(0,,,USD,,0,,"LEGACY")&lt;/Q&gt;&lt;R&gt;1&lt;/R&gt;&lt;C&gt;1&lt;/C&gt;&lt;D xsi:type="xsd:double"&gt;771.188&lt;/D&gt;&lt;/FQL&gt;&lt;FQL&gt;&lt;Q&gt;EPOL^FREF_MARKET_VALUE_COMPANY(0,,,USD,,0,,"LEGACY")&lt;/Q&gt;&lt;R&gt;1&lt;/R&gt;&lt;C&gt;1&lt;/C&gt;&lt;D xsi:type="xsd:double"&gt;345.072&lt;/D&gt;&lt;/FQL&gt;&lt;FQL&gt;&lt;Q&gt;FTSEWIVNXXXX^FMA_MCAP(0,,,USD,"PORTAGG")&lt;/Q&gt;&lt;R&gt;1&lt;/R&gt;&lt;C&gt;1&lt;/C&gt;&lt;D xsi:type="xsd:double"&gt;24179.748738&lt;/D&gt;&lt;/FQL&gt;&lt;FQL&gt;&lt;Q&gt;VNM^FREF_MARKET_VALUE_COMPANY(0,,,USD,,0,,"LEGACY")&lt;/Q&gt;&lt;R&gt;1&lt;/R&gt;&lt;C&gt;1&lt;/C&gt;&lt;D xsi:type="xsd:double"&gt;522.588&lt;/D&gt;&lt;/FQL&gt;&lt;FQL&gt;&lt;Q&gt;FC0000AE^FMA_MCAP(0,,,USD,"PORTAGG")&lt;/Q&gt;&lt;R&gt;1&lt;/R&gt;&lt;C&gt;1&lt;/C&gt;&lt;D xsi:type="xsd:double"&gt;845751.25&lt;/D&gt;&lt;/FQL&gt;&lt;FQL&gt;&lt;Q&gt;UAE^FREF_MARKET_VALUE_COMPANY(0,,,USD,,0,,"LEGACY")&lt;/Q&gt;&lt;R&gt;1&lt;/R&gt;&lt;C&gt;1&lt;/C&gt;&lt;D xsi:type="xsd:double"&gt;37.8&lt;/D&gt;&lt;/FQL&gt;&lt;FQL&gt;&lt;Q&gt;FC0000CL^FMA_MCAP(0,,,USD,"PORTAGG")&lt;/Q&gt;&lt;R&gt;1&lt;/R&gt;&lt;C&gt;1&lt;/C&gt;&lt;D xsi:type="xsd:double"&gt;152863.9&lt;/D&gt;&lt;/FQL&gt;&lt;FQL&gt;&lt;Q&gt;ECH^FREF_MARKET_VALUE_COMPANY(0,,,USD,,0,,"LEGACY")&lt;/Q&gt;&lt;R&gt;1&lt;/R&gt;&lt;C&gt;1&lt;/C&gt;&lt;D xsi:type="xsd:double"&gt;625.381&lt;/D&gt;&lt;/FQL&gt;&lt;FQL&gt;&lt;Q&gt;SET-BKK^FMA_MCAP(0,,,USD,"PORTAGG")&lt;/Q&gt;&lt;R&gt;1&lt;/R&gt;&lt;C&gt;1&lt;/C&gt;&lt;D xsi:type="xsd:double"&gt;462556.198286568&lt;/D&gt;&lt;/FQL&gt;&lt;FQL&gt;&lt;Q&gt;QAT^FREF_MARKET_VALUE_COMPANY(0,,,USD,,0,,"LEGACY")&lt;/Q&gt;&lt;R&gt;1&lt;/R&gt;&lt;C&gt;1&lt;/C&gt;&lt;D xsi:type="xsd:double"&gt;77.1225&lt;/D&gt;&lt;/FQL&gt;&lt;FQL&gt;&lt;Q&gt;FC0000IN^FMA_MCAP(0,,,USD,"PORTAGG")&lt;/Q&gt;&lt;R&gt;1&lt;/R&gt;&lt;C&gt;1&lt;/C&gt;&lt;D xsi:type="xsd:double"&gt;4966062&lt;/D&gt;&lt;/FQL&gt;&lt;FQL&gt;&lt;Q&gt;SPY^FREF_MARKET_VALUE_COMPANY(0,,,USD,,0,,"LEGACY")&lt;/Q&gt;&lt;R&gt;1&lt;/R&gt;&lt;C&gt;1&lt;/C&gt;&lt;D xsi:type="xsd:double"&gt;529395.623316&lt;/D&gt;&lt;/FQL&gt;&lt;FQL&gt;&lt;Q&gt;QQQ^FREF_MARKET_VALUE_COMPANY(0,,,USD,,0,,"LEGACY")&lt;/Q&gt;&lt;R&gt;1&lt;/R&gt;&lt;C&gt;1&lt;/C&gt;&lt;D xsi:type="xsd:double"&gt;268362.573&lt;/D&gt;&lt;/FQL&gt;&lt;FQL&gt;&lt;Q&gt;EWU^FREF_MARKET_VALUE_COMPANY(0,,,USD,,0,,"LEGACY")&lt;/Q&gt;&lt;R&gt;1&lt;/R&gt;&lt;C&gt;1&lt;/C&gt;&lt;D xsi:type="xsd:double"&gt;2826.63&lt;/D&gt;&lt;/FQL&gt;&lt;FQL&gt;&lt;Q&gt;FC0000BR^FMA_MCAP(0,,,USD,"PORTAGG")&lt;/Q&gt;&lt;R&gt;1&lt;/R&gt;&lt;C&gt;1&lt;/C&gt;&lt;D xsi:type="xsd:double"&gt;718581.25&lt;/D&gt;&lt;/FQL&gt;&lt;FQL&gt;&lt;Q&gt;EWZ^FREF_MARKET_VALUE_COMPANY(0,,,USD,,0,,"LEGACY")&lt;/Q&gt;&lt;R&gt;1&lt;/R&gt;&lt;C&gt;1&lt;/C&gt;&lt;D xsi:type="xsd:double"&gt;4812.012&lt;/D&gt;&lt;/FQL&gt;&lt;FQL&gt;&lt;Q&gt;FC0000JP^FMA_MCAP(0,,,USD,"PORTAGG")&lt;/Q&gt;&lt;R&gt;1&lt;/R&gt;&lt;C&gt;1&lt;/C&gt;&lt;D xsi:type="xsd:double"&gt;6370980&lt;/D&gt;&lt;/FQL&gt;&lt;FQL&gt;&lt;Q&gt;EWY^FREF_MARKET_VALUE_COMPANY(0,,,USD,,0,,"LEGACY")&lt;/Q&gt;&lt;R&gt;1&lt;/R&gt;&lt;C&gt;1&lt;/C&gt;&lt;D xsi:type="xsd:double"&gt;5429.8&lt;/D&gt;&lt;/FQL&gt;&lt;FQL&gt;&lt;Q&gt;FC0000MX^FMA_MCAP(0,,,USD,"PORTAGG")&lt;/Q&gt;&lt;R&gt;1&lt;/R&gt;&lt;C&gt;1&lt;/C&gt;&lt;D xsi:type="xsd:double"&gt;527432.5&lt;/D&gt;&lt;/FQL&gt;&lt;FQL&gt;&lt;Q&gt;EWG^FREF_MARKET_VALUE_COMPANY(0,,,USD,,0,,"LEGACY")&lt;/Q&gt;&lt;R&gt;1&lt;/R&gt;&lt;C&gt;1&lt;/C&gt;&lt;D xsi:type="xsd:double"&gt;967.479&lt;/D&gt;&lt;/FQL&gt;&lt;FQL&gt;&lt;Q&gt;FC0000TW^FMA_MCAP(0,,,USD,"PORTAGG")&lt;/Q&gt;&lt;R&gt;1&lt;/R&gt;&lt;C&gt;1&lt;/C&gt;&lt;D xsi:type="xsd:double"&gt;2315017&lt;/D&gt;&lt;/FQL&gt;&lt;FQL&gt;&lt;Q&gt;EWT^FREF_MARKET_VALUE_COMPANY(0,,,USD,,0,,"LEGACY")&lt;/Q&gt;&lt;R&gt;1&lt;/R&gt;&lt;C&gt;1&lt;/C&gt;&lt;D xsi:type="xsd:double"&gt;4950.88&lt;/D&gt;&lt;/FQL&gt;&lt;FQL&gt;&lt;Q&gt;FC0000MY^FMA_MCAP(0,,,USD,"PORTAGG")&lt;/Q&gt;&lt;R&gt;1&lt;/R&gt;&lt;C&gt;1&lt;/C&gt;&lt;D xsi:type="xsd:double"&gt;403622.03&lt;/D&gt;&lt;/FQL&gt;&lt;FQL&gt;&lt;Q&gt;EWA^FREF_MARKET_VALUE_COMPANY(0,,,USD,,0,,"LEGACY")&lt;/Q&gt;&lt;R&gt;1&lt;/R&gt;&lt;C&gt;1&lt;/C&gt;&lt;D xsi:type="xsd:double"&gt;1724.8&lt;/D&gt;&lt;/FQL&gt;&lt;FQL&gt;&lt;Q&gt;FC0000NZ^FMA_MCAP(0,,,USD,"PORTAGG")&lt;/Q&gt;&lt;R&gt;1&lt;/R&gt;&lt;C&gt;1&lt;/C&gt;&lt;D xsi:type="xsd:double"&gt;91706.85&lt;/D&gt;&lt;/FQL&gt;&lt;FQL&gt;&lt;Q&gt;ENZL^FREF_MARKET_VALUE_COMPANY(0,,,USD,,0,,"LEGACY")&lt;/Q&gt;&lt;R&gt;1&lt;/R&gt;&lt;C&gt;1&lt;/C&gt;&lt;D xsi:type="xsd:double"&gt;83.509&lt;/D&gt;&lt;/FQL&gt;&lt;FQL&gt;&lt;Q&gt;EPU^FREF_MARKET_VALUE_COMPANY(0,,,USD,,0,,"LEGACY")&lt;/Q&gt;&lt;R&gt;1&lt;/R&gt;&lt;C&gt;1&lt;/C&gt;&lt;D xsi:type="xsd:double"&gt;123.9315&lt;/D&gt;&lt;/FQL&gt;&lt;FQL&gt;&lt;Q&gt;FC0000SA^FMA_MCAP(0,,,USD,"PORTAGG")&lt;/Q&gt;&lt;R&gt;1&lt;/R&gt;&lt;C&gt;1&lt;/C&gt;&lt;D xsi:type="xsd:double"&gt;2840998.5&lt;/D&gt;&lt;/FQL&gt;&lt;FQL&gt;&lt;Q&gt;FC0000PH^FMA_MCAP(0,,,USD,"PORTAGG")&lt;/Q&gt;&lt;R&gt;1&lt;/R&gt;&lt;C&gt;1&lt;/C&gt;&lt;D xsi:type="xsd:double"&gt;207000.22&lt;/D&gt;&lt;/FQL&gt;&lt;FQL&gt;&lt;Q&gt;EPHE^FREF_MARKET_VALUE_COMPANY(0,,,USD,,0,,"LEGACY")&lt;/Q&gt;&lt;R&gt;1&lt;/R&gt;&lt;C&gt;1&lt;/C&gt;&lt;D xsi:type="xsd:double"&gt;110.664&lt;/D&gt;&lt;/FQL&gt;&lt;FQL&gt;&lt;Q&gt;FC0000ID^FMA_MCAP(0,,,USD,"PORTAGG")&lt;/Q&gt;&lt;R&gt;1&lt;/R&gt;&lt;C&gt;1&lt;/C&gt;&lt;D xsi:type="xsd:double"&gt;677971.3&lt;/D&gt;&lt;/FQL&gt;&lt;FQL&gt;&lt;Q&gt;EIDO^FREF_MARKET_VALUE_COMPANY(0,,,USD,,0,,"LEGACY")&lt;/Q&gt;&lt;R&gt;1&lt;/R&gt;&lt;C&gt;1&lt;/C&gt;&lt;D xsi:type="xsd:double"&gt;401.88&lt;/D&gt;&lt;/FQL&gt;&lt;FQL&gt;&lt;Q&gt;FC0000TR^FMA_MCAP(0,,,USD,"PORTAGG")&lt;/Q&gt;&lt;R&gt;1&lt;/R&gt;&lt;C&gt;1&lt;/C&gt;&lt;D xsi:type="xsd:double"&gt;433880.8&lt;/D&gt;&lt;/FQL&gt;&lt;FQL&gt;&lt;Q&gt;TUR^FREF_MARKET_VALUE_COMPANY(0,,,USD,,0,,"LEGACY")&lt;/Q&gt;&lt;R&gt;1&lt;/R&gt;&lt;C&gt;1&lt;/C&gt;&lt;D xsi:type="xsd:double"&gt;256.414&lt;/D&gt;&lt;/FQL&gt;&lt;FQL&gt;&lt;Q&gt;SET-BKK^FG_MCAP_IDX(0,,,USD)&lt;/Q&gt;&lt;R&gt;1&lt;/R&gt;&lt;C&gt;1&lt;/C&gt;&lt;D xsi:type="xsd:double"&gt;462556.198286568&lt;/D&gt;&lt;/FQL&gt;&lt;FQL&gt;&lt;Q&gt;CNYA^FREF_MARKET_VALUE_COMPANY(0,,,USD,,0,,"LEGACY")&lt;/Q&gt;&lt;R&gt;1&lt;/R&gt;&lt;C&gt;1&lt;/C&gt;&lt;D xsi:type="xsd:double"&gt;289.1525&lt;/D&gt;&lt;/FQL&gt;&lt;FQL&gt;&lt;Q&gt;FC0000QA^FMA_MCAP(0,,,USD,"PORTAGG")&lt;/Q&gt;&lt;R&gt;1&lt;/R&gt;&lt;C&gt;1&lt;/C&gt;&lt;D xsi:type="xsd:double"&gt;151261.67&lt;/D&gt;&lt;/FQL&gt;&lt;FQL&gt;&lt;Q&gt;CC_ZA^FG_COMPANY_NAME&lt;/Q&gt;&lt;R&gt;1&lt;/R&gt;&lt;C&gt;1&lt;/C&gt;&lt;D xsi:type="xsd:string"&gt;South Africa&lt;/D&gt;&lt;/FQL&gt;&lt;FQL&gt;&lt;Q&gt;NQG00809^FG_COMPANY_NAME&lt;/Q&gt;&lt;R&gt;1&lt;/R&gt;&lt;C&gt;1&lt;/C&gt;&lt;D xsi:type="xsd:string"&gt;Nasdaq South Africa&lt;/D&gt;&lt;/FQL&gt;&lt;FQL&gt;&lt;Q&gt;DUMMY^ECON_EXPR_DATA('FDS_ECON[NTCPMIMFGSA@PL]',,,M)&lt;/Q&gt;&lt;R&gt;1&lt;/R&gt;&lt;C&gt;1&lt;/C&gt;&lt;D xsi:type="xsd:double"&gt;45.918358&lt;/D&gt;&lt;/FQL&gt;&lt;FQL&gt;&lt;Q&gt;DUMMY^ECON_EXPR_DATA('FDS_ECON[NTCPMIMFGSA@CN]',,,M)&lt;/Q&gt;&lt;R&gt;1&lt;/R&gt;&lt;C&gt;1&lt;/C&gt;&lt;D xsi:type="xsd:double"&gt;51.441467&lt;/D&gt;&lt;/FQL&gt;&lt;FQL&gt;&lt;Q&gt;DUMMY^ECON_EXPR_DATA('FDS_ECON[NTCPMIMFGSA@BR]',,,M)&lt;/Q&gt;&lt;R&gt;1&lt;/R&gt;&lt;C&gt;1&lt;/C&gt;&lt;D xsi:type="xsd:double"&gt;55.87442&lt;/D&gt;&lt;/FQL&gt;&lt;FQL&gt;&lt;Q&gt;DUMMY^ECON_EXPR_DATA('FDS_ECON[NTCPMIMFGSA@PE]',,,M)&lt;/Q&gt;&lt;R&gt;0&lt;/R&gt;&lt;C&gt;0&lt;/C&gt;&lt;/FQL&gt;&lt;FQL&gt;&lt;Q&gt;DUMMY^ECON_EXPR_DATA('FDS_ECON[NTCPMIINDEXSA@SA]',,,M)&lt;/Q&gt;&lt;R&gt;1&lt;/R&gt;&lt;C&gt;1&lt;/C&gt;&lt;D xsi:type="xsd:double"&gt;57.00393&lt;/D&gt;&lt;/FQL&gt;&lt;FQL&gt;&lt;Q&gt;DUMMY^ECON_EXPR_DATA('FDS_ECON[NTCPMIPHMANHE]',,,M)&lt;/Q&gt;&lt;R&gt;1&lt;/R&gt;&lt;C&gt;1&lt;/C&gt;&lt;D xsi:type="xsd:double"&gt;52.15867&lt;/D&gt;&lt;/FQL&gt;&lt;FQL&gt;&lt;Q&gt;DUMMY^ECON_EXPR_DATA('FDS_ECON[NTCPMIMFGSA@IN]',,,M)&lt;/Q&gt;&lt;R&gt;1&lt;/R&gt;&lt;C&gt;1&lt;/C&gt;&lt;D xsi:type="xsd:double"&gt;58.847507&lt;/D&gt;&lt;/FQL&gt;&lt;FQL&gt;&lt;Q&gt;DUMMY^ECON_EXPR_DATA('FDS_ECON[NTCPMIMFGSA@VN]',,,M)&lt;/Q&gt;&lt;R&gt;1&lt;/R&gt;&lt;C&gt;1&lt;/C&gt;&lt;D xsi:type="xsd:double"&gt;50.335735&lt;/D&gt;&lt;/FQL&gt;&lt;FQL&gt;&lt;Q&gt;DUMMY^ECON_EXPR_DATA('FDS_ECON[NTCPMIMFGSA@GR]',,,M)&lt;/Q&gt;&lt;R&gt;1&lt;/R&gt;&lt;C&gt;1&lt;/C&gt;&lt;D xsi:type="xsd:double"&gt;55.152985&lt;/D&gt;&lt;/FQL&gt;&lt;FQL&gt;&lt;Q&gt;DUMMY^ECON_EXPR_DATA('FDS_ECON[NTCPMIMFGSA@KR]',,,M)&lt;/Q&gt;&lt;R&gt;1&lt;/R&gt;&lt;C&gt;1&lt;/C&gt;&lt;D xsi:type="xsd:double"&gt;49.449905&lt;/D&gt;&lt;/FQL&gt;&lt;FQL&gt;&lt;Q&gt;DUMMY^ECON_EXPR_DATA('FDS_ECON[PMIMYMANHE]',,,M)&lt;/Q&gt;&lt;R&gt;1&lt;/R&gt;&lt;C&gt;1&lt;/C&gt;&lt;D xsi:type="xsd:double"&gt;48.95158&lt;/D&gt;&lt;/FQL&gt;&lt;FQL&gt;&lt;Q&gt;DUMMY^ECON_EXPR_DATA('FDS_ECON[NTCPMIMFGSA@ID]',,,M)&lt;/Q&gt;&lt;R&gt;1&lt;/R&gt;&lt;C&gt;1&lt;/C&gt;&lt;D xsi:type="xsd:double"&gt;52.886288&lt;/D&gt;&lt;/FQL&gt;&lt;FQL&gt;&lt;Q&gt;DUMMY^ECON_EXPR_DATA('FDS_ECON[PMIMFGSA@ZA]',,,M)&lt;/Q&gt;&lt;R&gt;1&lt;/R&gt;&lt;C&gt;1&lt;/C&gt;&lt;D xsi:type="xsd:double"&gt;50.2902&lt;/D&gt;&lt;/FQL&gt;&lt;FQL&gt;&lt;Q&gt;DUMMY^ECON_EXPR_DATA('FDS_ECON[NTCPMIMFGSA@MX]',,,M)&lt;/Q&gt;&lt;R&gt;1&lt;/R&gt;&lt;C&gt;1&lt;/C&gt;&lt;D xsi:type="xsd:double"&gt;50.965843&lt;/D&gt;&lt;/FQL&gt;&lt;FQL&gt;&lt;Q&gt;DUMMY^ECON_EXPR_DATA('FDS_ECON[NTCPMIMFGSA@AE]',,,M)&lt;/Q&gt;&lt;R&gt;0&lt;/R&gt;&lt;C&gt;0&lt;/C&gt;&lt;/FQL&gt;&lt;FQL&gt;&lt;Q&gt;DUMMY^ECON_EXPR_DATA('FDS_ECON[NTCPMIMFGSA@CL]',,,M)&lt;/Q&gt;&lt;R&gt;0&lt;/R&gt;&lt;C&gt;0&lt;/C&gt;&lt;/FQL&gt;&lt;FQL&gt;&lt;Q&gt;DUMMY^ECON_EXPR_DATA('FDS_ECON[NTCPMIMFGSA@TW]',,,M)&lt;/Q&gt;&lt;R&gt;1&lt;/R&gt;&lt;C&gt;1&lt;/C&gt;&lt;D xsi:type="xsd:double"&gt;50.2&lt;/D&gt;&lt;/FQL&gt;&lt;FQL&gt;&lt;Q&gt;DUMMY^ECON_EXPR_DATA('FDS_ECON[NTCPMIMFGSA@TR]',,,M)&lt;/Q&gt;&lt;R&gt;1&lt;/R&gt;&lt;C&gt;1&lt;/C&gt;&lt;D xsi:type="xsd:double"&gt;49.32495&lt;/D&gt;&lt;/FQL&gt;&lt;FQL&gt;&lt;Q&gt;DUMMY^ECON_EXPR_DATA('FDS_ECON[NTCPMITHMANHE]',,,M)&lt;/Q&gt;&lt;R&gt;1&lt;/R&gt;&lt;C&gt;1&lt;/C&gt;&lt;D xsi:type="xsd:double"&gt;48.607918&lt;/D&gt;&lt;/FQL&gt;&lt;FQL&gt;&lt;Q&gt;DUMMY^ECON_EXPR_DATA('FDS_ECON[PMIQAWHEHE]',,,M)&lt;/Q&gt;&lt;R&gt;1&lt;/R&gt;&lt;C&gt;1&lt;/C&gt;&lt;D xsi:type="xsd:double"&gt;52.043175&lt;/D&gt;&lt;/FQL&gt;&lt;FQL&gt;&lt;Q&gt;CAGDPY@QA^EE_ACTUAL_ANNUAL(MED,0)&lt;/Q&gt;&lt;R&gt;1&lt;/R&gt;&lt;C&gt;1&lt;/C&gt;&lt;D xsi:type="xsd:double"&gt;17.15&lt;/D&gt;&lt;/FQL&gt;&lt;FQL&gt;&lt;Q&gt;CAGDPY@TW^EE_ACTUAL_ANNUAL(MED,0)&lt;/Q&gt;&lt;R&gt;1&lt;/R&gt;&lt;C&gt;1&lt;/C&gt;&lt;D xsi:type="xsd:double"&gt;13.5640592219203&lt;/D&gt;&lt;/FQL&gt;&lt;FQL&gt;&lt;Q&gt;CC_VN^FG_COMPANY_NAME&lt;/Q&gt;&lt;R&gt;1&lt;/R&gt;&lt;C&gt;1&lt;/C&gt;&lt;D xsi:type="xsd:string"&gt;Vietnam&lt;/D&gt;&lt;/FQL&gt;&lt;FQL&gt;&lt;Q&gt;CC_PH^FG_COMPANY_NAME&lt;/Q&gt;&lt;R&gt;1&lt;/R&gt;&lt;C&gt;1&lt;/C&gt;&lt;D xsi:type="xsd:string"&gt;Philippines&lt;/D&gt;&lt;/FQL&gt;&lt;FQL&gt;&lt;Q&gt;USDVND^FG_PRICE_CHANGE(0,-1AM)&lt;/Q&gt;&lt;R&gt;1&lt;/R&gt;&lt;C&gt;1&lt;/C&gt;&lt;D xsi:type="xsd:double"&gt;0.09628534&lt;/D&gt;&lt;/FQL&gt;&lt;FQL&gt;&lt;Q&gt;USDTRY^FG_PRICE_CHANGE(0,-1AM)&lt;/Q&gt;&lt;R&gt;1&lt;/R&gt;&lt;C&gt;1&lt;/C&gt;&lt;D xsi:type="xsd:double"&gt;-1.0658622&lt;/D&gt;&lt;/FQL&gt;&lt;FQL&gt;&lt;Q&gt;USDQAR^FG_PRICE_CHANGE(0,-1AM)&lt;/Q&gt;&lt;R&gt;1&lt;/R&gt;&lt;C&gt;1&lt;/C&gt;&lt;D xsi:type="xsd:double"&gt;0&lt;/D&gt;&lt;/FQL&gt;&lt;FQL&gt;&lt;Q&gt;USDINR^FG_PRICE_CHANGE(0,-1AM)&lt;/Q&gt;&lt;R&gt;1&lt;/R&gt;&lt;C&gt;1&lt;/C&gt;&lt;D xsi:type="xsd:double"&gt;-0.0749886&lt;/D&gt;&lt;/FQL&gt;&lt;FQL&gt;&lt;Q&gt;USDZAR^FG_PRICE_CHANGE(0,-1AM)&lt;/Q&gt;&lt;R&gt;1&lt;/R&gt;&lt;C&gt;1&lt;/C&gt;&lt;D xsi:type="xsd:double"&gt;-3.5208046&lt;/D&gt;&lt;/FQL&gt;&lt;FQL&gt;&lt;Q&gt;USDKRW^FG_PRICE_CHANGE(0,-1AM)&lt;/Q&gt;&lt;R&gt;1&lt;/R&gt;&lt;C&gt;1&lt;/C&gt;&lt;D xsi:type="xsd:double"&gt;-1.1427522&lt;/D&gt;&lt;/FQL&gt;&lt;FQL&gt;&lt;Q&gt;DUMMY^ECON_EXPR_DATA('FDS_ECON[NTCPMIMFGSA@EME]',,,M)&lt;/Q&gt;&lt;R&gt;1&lt;/R&gt;&lt;C&gt;1&lt;/C&gt;&lt;D xsi:type="xsd:double"&gt;51.99054&lt;/D&gt;&lt;/FQL&gt;&lt;FQL&gt;&lt;Q&gt;EWM^FMA_ROE(NTMA,-20AY,NOW,FY,"PORTAGG","MEANR")&lt;/Q&gt;&lt;R&gt;20&lt;/R&gt;&lt;C&gt;1&lt;/C&gt;&lt;D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xsi:type="xsd:double"&gt;9.33280715475934&lt;/D&gt;&lt;D xsi:type="xsd:double"&gt;10.6153952262209&lt;/D&gt;&lt;D xsi:type="xsd:double"&gt;9.47363114651142&lt;/D&gt;&lt;D xsi:type="xsd:double"&gt;10.1683466984571&lt;/D&gt;&lt;D xsi:type="xsd:double"&gt;9.55885733911211&lt;/D&gt;&lt;/FQL&gt;&lt;FQL&gt;&lt;Q&gt;TRYMX10Y-FDS^FG_YIELD(-10AY,0,Y,,"YTM")&lt;/Q&gt;&lt;R&gt;10&lt;/R&gt;&lt;C&gt;1&lt;/C&gt;&lt;D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xsi:type="xsd:double"&gt;6.6087&lt;/D&gt;&lt;/FQL&gt;&lt;FQL&gt;&lt;Q&gt;CAGDPY@CN^EE_ACTUAL_ANNUAL(MED,+1)&lt;/Q&gt;&lt;R&gt;1&lt;/R&gt;&lt;C&gt;1&lt;/C&gt;&lt;D xsi:type="xsd:double"&gt;1.3&lt;/D&gt;&lt;/FQL&gt;&lt;FQL&gt;&lt;Q&gt;CAGDPY@MY^EE_ACTUAL_ANNUAL(MED,+1)&lt;/Q&gt;&lt;R&gt;1&lt;/R&gt;&lt;C&gt;1&lt;/C&gt;&lt;D xsi:type="xsd:double"&gt;2.3&lt;/D&gt;&lt;/FQL&gt;&lt;FQL&gt;&lt;Q&gt;CC_AE^FG_COMPANY_NAME&lt;/Q&gt;&lt;R&gt;1&lt;/R&gt;&lt;C&gt;1&lt;/C&gt;&lt;D xsi:type="xsd:string"&gt;United Arab Emirates&lt;/D&gt;&lt;/FQL&gt;&lt;FQL&gt;&lt;Q&gt;CC_ID^FG_COMPANY_NAME&lt;/Q&gt;&lt;R&gt;1&lt;/R&gt;&lt;C&gt;1&lt;/C&gt;&lt;D xsi:type="xsd:string"&gt;Indonesia&lt;/D&gt;&lt;/FQL&gt;&lt;FQL&gt;&lt;Q&gt;USDVND^FG_PRICE_CHANGE(0,-1AY)&lt;/Q&gt;&lt;R&gt;1&lt;/R&gt;&lt;C&gt;1&lt;/C&gt;&lt;D xsi:type="xsd:double"&gt;8.5217&lt;/D&gt;&lt;/FQL&gt;&lt;FQL&gt;&lt;Q&gt;USDTRY^FG_PRICE_CHANGE(0,-1AY)&lt;/Q&gt;&lt;R&gt;1&lt;/R&gt;&lt;C&gt;1&lt;/C&gt;&lt;D xsi:type="xsd:double"&gt;62.21782&lt;/D&gt;&lt;/FQL&gt;&lt;FQL&gt;&lt;Q&gt;USDQAR^FG_PRICE_CHANGE(0,-1AY)&lt;/Q&gt;&lt;R&gt;1&lt;/R&gt;&lt;C&gt;1&lt;/C&gt;&lt;D xsi:type="xsd:double"&gt;0.02746582&lt;/D&gt;&lt;/FQL&gt;&lt;FQL&gt;&lt;Q&gt;USDINR^FG_PRICE_CHANGE(0,-1AY)&lt;/Q&gt;&lt;R&gt;1&lt;/R&gt;&lt;C&gt;1&lt;/C&gt;&lt;D xsi:type="xsd:double"&gt;0.5781889&lt;/D&gt;&lt;/FQL&gt;&lt;FQL&gt;&lt;Q&gt;USDZAR^FG_PRICE_CHANGE(0,-1AY)&lt;/Q&gt;&lt;R&gt;1&lt;/R&gt;&lt;C&gt;1&lt;/C&gt;&lt;D xsi:type="xsd:double"&gt;-3.8661838&lt;/D&gt;&lt;/FQL&gt;&lt;FQL&gt;&lt;Q&gt;USDKRW^FG_PRICE_CHANGE(0,-1AY)&lt;/Q&gt;&lt;R&gt;1&lt;/R&gt;&lt;C&gt;1&lt;/C&gt;&lt;D xsi:type="xsd:double"&gt;3.7976623&lt;/D&gt;&lt;/FQL&gt;&lt;FQL&gt;&lt;Q&gt;USDTWD^FG_PRICE_CHANGE(0,-1AY)&lt;/Q&gt;&lt;R&gt;1&lt;/R&gt;&lt;C&gt;1&lt;/C&gt;&lt;D xsi:type="xsd:double"&gt;4.8437&lt;/D&gt;&lt;/FQL&gt;&lt;FQL&gt;&lt;Q&gt;USDPEN^FG_PRICE_CHANGE(0,-1AY)&lt;/Q&gt;&lt;R&gt;1&lt;/R&gt;&lt;C&gt;1&lt;/C&gt;&lt;D xsi:type="xsd:double"&gt;1.4407992&lt;/D&gt;&lt;/FQL&gt;&lt;FQL&gt;&lt;Q&gt;USDPHP^FG_PRICE_CHANGE(0,-1AY)&lt;/Q&gt;&lt;R&gt;1&lt;/R&gt;&lt;C&gt;1&lt;/C&gt;&lt;D xsi:type="xsd:double"&gt;4.3412685&lt;/D&gt;&lt;/FQL&gt;&lt;FQL&gt;&lt;Q&gt;USDCLP^FG_PRICE_CHANGE(0,-1AY)&lt;/Q&gt;&lt;R&gt;1&lt;/R&gt;&lt;C&gt;1&lt;/C&gt;&lt;D xsi:type="xsd:double"&gt;13.772381&lt;/D&gt;&lt;/FQL&gt;&lt;FQL&gt;&lt;Q&gt;FC0000QA^FMA_EPS(NTMA,-20AY,0,CY,,"PORTAGG","MEANR")&lt;/Q&gt;&lt;R&gt;20&lt;/R&gt;&lt;C&gt;1&lt;/C&gt;&lt;D xsi:type="xsd:string"&gt;@NA&lt;/D&gt;&lt;D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xsi:type="xsd:double"&gt;7.78465315909482&lt;/D&gt;&lt;D xsi:type="xsd:double"&gt;9.35773101457557&lt;/D&gt;&lt;D xsi:type="xsd:double"&gt;9.97398745950005&lt;/D&gt;&lt;D xsi:type="xsd:double"&gt;9.61320801792281&lt;/D&gt;&lt;/FQL&gt;&lt;FQL&gt;&lt;Q&gt;DUMMY^ECON_EXPR_DATA('FDS_ECON[PMIDMMANHE]',,,M)&lt;/Q&gt;&lt;R&gt;1&lt;/R&gt;&lt;C&gt;1&lt;/C&gt;&lt;D xsi:type="xsd:double"&gt;48.59645&lt;/D&gt;&lt;/FQL&gt;&lt;FQL&gt;&lt;Q&gt;EPU^FMA_ROE(NTMA,-20AY,NOW,FY,"PORTAGG","MEANR")&lt;/Q&gt;&lt;R&gt;20&lt;/R&gt;&lt;C&gt;1&lt;/C&gt;&lt;D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xsi:type="xsd:double"&gt;11.9146021952872&lt;/D&gt;&lt;D xsi:type="xsd:double"&gt;12.0860263629473&lt;/D&gt;&lt;D xsi:type="xsd:double"&gt;15.0555657499397&lt;/D&gt;&lt;D xsi:type="xsd:double"&gt;13.6225814495131&lt;/D&gt;&lt;D xsi:type="xsd:double"&gt;12.9324474391171&lt;/D&gt;&lt;/FQL&gt;&lt;FQL&gt;&lt;Q&gt;TRYIN10Y-FDS^FG_YIELD(-10AY,0,Y,,"YTM")&lt;/Q&gt;&lt;R&gt;10&lt;/R&gt;&lt;C&gt;1&lt;/C&gt;&lt;D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xsi:type="xsd:double"&gt;3.099&lt;/D&gt;&lt;/FQL&gt;&lt;FQL&gt;&lt;Q&gt;CAGDPY@CN^EE_ACTUAL_ANNUAL(MED,0)&lt;/Q&gt;&lt;R&gt;1&lt;/R&gt;&lt;C&gt;1&lt;/C&gt;&lt;D xsi:type="xsd:double"&gt;1.41410583295463&lt;/D&gt;&lt;/FQL&gt;&lt;FQL&gt;&lt;Q&gt;CAGDPY@MY^EE_ACTUAL_ANNUAL(MED,0)&lt;/Q&gt;&lt;R&gt;1&lt;/R&gt;&lt;C&gt;1&lt;/C&gt;&lt;D xsi:type="xsd:double"&gt;1.54712272286418&lt;/D&gt;&lt;/FQL&gt;&lt;FQL&gt;&lt;Q&gt;CC_TR^FG_COMPANY_NAME&lt;/Q&gt;&lt;R&gt;1&lt;/R&gt;&lt;C&gt;1&lt;/C&gt;&lt;D xsi:type="xsd:string"&gt;Turkey&lt;/D&gt;&lt;/FQL&gt;&lt;FQL&gt;&lt;Q&gt;CC_CL^FG_COMPANY_NAME&lt;/Q&gt;&lt;R&gt;1&lt;/R&gt;&lt;C&gt;1&lt;/C&gt;&lt;D xsi:type="xsd:string"&gt;Chile&lt;/D&gt;&lt;/FQL&gt;&lt;FQL&gt;&lt;Q&gt;USDVND^FG_PRICE(0)&lt;/Q&gt;&lt;R&gt;1&lt;/R&gt;&lt;C&gt;1&lt;/C&gt;&lt;D xsi:type="xsd:double"&gt;25469.5&lt;/D&gt;&lt;/FQL&gt;&lt;FQL&gt;&lt;Q&gt;USDTRY^FG_PRICE(0)&lt;/Q&gt;&lt;R&gt;1&lt;/R&gt;&lt;C&gt;1&lt;/C&gt;&lt;D xsi:type="xsd:double"&gt;32.20875&lt;/D&gt;&lt;/FQL&gt;&lt;FQL&gt;&lt;Q&gt;USDQAR^FG_PRICE(0)&lt;/Q&gt;&lt;R&gt;1&lt;/R&gt;&lt;C&gt;1&lt;/C&gt;&lt;D xsi:type="xsd:double"&gt;3.641&lt;/D&gt;&lt;/FQL&gt;&lt;FQL&gt;&lt;Q&gt;USDINR^FG_PRICE(0)&lt;/Q&gt;&lt;R&gt;1&lt;/R&gt;&lt;C&gt;1&lt;/C&gt;&lt;D xsi:type="xsd:double"&gt;83.28125&lt;/D&gt;&lt;/FQL&gt;&lt;FQL&gt;&lt;Q&gt;USDZAR^FG_PRICE(0)&lt;/Q&gt;&lt;R&gt;1&lt;/R&gt;&lt;C&gt;1&lt;/C&gt;&lt;D xsi:type="xsd:double"&gt;18.4625&lt;/D&gt;&lt;/FQL&gt;&lt;FQL&gt;&lt;Q&gt;USDKRW^FG_PRICE(0)&lt;/Q&gt;&lt;R&gt;1&lt;/R&gt;&lt;C&gt;1&lt;/C&gt;&lt;D xsi:type="xsd:double"&gt;1362.5&lt;/D&gt;&lt;/FQL&gt;&lt;FQL&gt;&lt;Q&gt;USDTWD^FG_PRICE(0)&lt;/Q&gt;&lt;R&gt;1&lt;/R&gt;&lt;C&gt;1&lt;/C&gt;&lt;D xsi:type="xsd:double"&gt;32.23&lt;/D&gt;&lt;/FQL&gt;&lt;FQL&gt;&lt;Q&gt;USDPEN^FG_PRICE(0)&lt;/Q&gt;&lt;R&gt;1&lt;/R&gt;&lt;C&gt;1&lt;/C&gt;&lt;D xsi:type="xsd:double"&gt;3.7456&lt;/D&gt;&lt;/FQL&gt;&lt;FQL&gt;&lt;Q&gt;USDPHP^FG_PRICE(0)&lt;/Q&gt;&lt;R&gt;1&lt;/R&gt;&lt;C&gt;1&lt;/C&gt;&lt;D xsi:type="xsd:double"&gt;58.14&lt;/D&gt;&lt;/FQL&gt;&lt;FQL&gt;&lt;Q&gt;USDCLP^FG_PRICE(0)&lt;/Q&gt;&lt;R&gt;1&lt;/R&gt;&lt;C&gt;1&lt;/C&gt;&lt;D xsi:type="xsd:double"&gt;908.7&lt;/D&gt;&lt;/FQL&gt;&lt;FQL&gt;&lt;Q&gt;FC0000CN^FMA_EPS(NTMA,-20AY,0,CY,,"PORTAGG","MEANR")&lt;/Q&gt;&lt;R&gt;20&lt;/R&gt;&lt;C&gt;1&lt;/C&gt;&lt;D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xsi:type="xsd:double"&gt;17.6373597183251&lt;/D&gt;&lt;D xsi:type="xsd:double"&gt;17.4920004693225&lt;/D&gt;&lt;D xsi:type="xsd:double"&gt;21.2730178266387&lt;/D&gt;&lt;D xsi:type="xsd:double"&gt;20.3689427990632&lt;/D&gt;&lt;D xsi:type="xsd:double"&gt;19.1075295934196&lt;/D&gt;&lt;/FQL&gt;&lt;FQL&gt;&lt;Q&gt;KSA^P_PRICE_RETURNS_PR('52W',2,-10AY,0,AM)&lt;/Q&gt;&lt;R&gt;121&lt;/R&gt;&lt;C&gt;1&lt;/C&gt;&lt;D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xsi:type="xsd:double"&gt;-12.648153&lt;/D&gt;&lt;D xsi:type="xsd:double"&gt;-16.474884&lt;/D&gt;&lt;D xsi:type="xsd:double"&gt;-1.2315631&lt;/D&gt;&lt;D xsi:type="xsd:double"&gt;6.45746&lt;/D&gt;&lt;D xsi:type="xsd:double"&gt;27.108335&lt;/D&gt;&lt;D xsi:type="xsd:double"&gt;22.2875&lt;/D&gt;&lt;D xsi:type="xsd:double"&gt;11.895061&lt;/D&gt;&lt;D xsi:type="xsd:double"&gt;10.886562&lt;/D&gt;&lt;D xsi:type="xsd:double"&gt;10.44718&lt;/D&gt;&lt;D xsi:type="xsd:double"&gt;20.191181&lt;/D&gt;&lt;D xsi:type="xsd:double"&gt;15.758967&lt;/D&gt;&lt;D xsi:type="xsd:double"&gt;22.624731&lt;/D&gt;&lt;D xsi:type="xsd:double"&gt;24.769247&lt;/D&gt;&lt;D xsi:type="xsd:double"&gt;21.26342&lt;/D&gt;&lt;D xsi:type="xsd:double"&gt;7.8478694&lt;/D&gt;&lt;D xsi:type="xsd:double"&gt;5.1704526&lt;/D&gt;&lt;D xsi:type="xsd:double"&gt;12.488138&lt;/D&gt;&lt;D xsi:type="xsd:double"&gt;11.901987&lt;/D&gt;&lt;D xsi:type="xsd:double"&gt;20.28867&lt;/D&gt;&lt;D xsi:type="xsd:double"&gt;29.006863&lt;/D&gt;&lt;D xsi:type="xsd:double"&gt;24.78931&lt;/D&gt;&lt;D xsi:type="xsd:double"&gt;16.360128&lt;/D&gt;&lt;D xsi:type="xsd:double"&gt;22.254955&lt;/D&gt;&lt;D xsi:type="xsd:double"&gt;16.552103&lt;/D&gt;&lt;D xsi:type="xsd:double"&gt;12.613546&lt;/D&gt;&lt;D xsi:type="xsd:double"&gt;15.453375&lt;/D&gt;&lt;D xsi:type="xsd:double"&gt;15.037071&lt;/D&gt;&lt;D xsi:type="xsd:double"&gt;11.894608&lt;/D&gt;&lt;D xsi:type="xsd:double"&gt;19.256855&lt;/D&gt;&lt;D xsi:type="xsd:double"&gt;19.855202&lt;/D&gt;&lt;D xsi:type="xsd:double"&gt;16.157639&lt;/D&gt;&lt;D xsi:type="xsd:double"&gt;15.506291&lt;/D&gt;&lt;D xsi:type="xsd:double"&gt;7.4856997&lt;/D&gt;&lt;D xsi:type="xsd:double"&gt;9.904898&lt;/D&gt;&lt;D xsi:type="xsd:double"&gt;8.356703&lt;/D&gt;&lt;D xsi:type="xsd:double"&gt;7.6173067&lt;/D&gt;&lt;D xsi:type="xsd:double"&gt;6.514251&lt;/D&gt;&lt;D xsi:type="xsd:double"&gt;7.636547&lt;/D&gt;&lt;D xsi:type="xsd:double"&gt;12.222231&lt;/D&gt;&lt;D xsi:type="xsd:double"&gt;14.309036&lt;/D&gt;&lt;D xsi:type="xsd:double"&gt;-1.7742991&lt;/D&gt;&lt;D xsi:type="xsd:double"&gt;-7.277608&lt;/D&gt;&lt;D xsi:type="xsd:double"&gt;-34.632786&lt;/D&gt;&lt;D xsi:type="xsd:double"&gt;-29.749006&lt;/D&gt;&lt;D xsi:type="xsd:double"&gt;-19.089228&lt;/D&gt;&lt;D xsi:type="xsd:double"&gt;-18.283403&lt;/D&gt;&lt;D xsi:type="xsd:double"&gt;-16.26057&lt;/D&gt;&lt;D xsi:type="xsd:double"&gt;-7.9525414&lt;/D&gt;&lt;D xsi:type="xsd:double"&gt;-0.4750371&lt;/D&gt;&lt;D xsi:type="xsd:double"&gt;6.9496512&lt;/D&gt;&lt;D xsi:type="xsd:double"&gt;3.815782&lt;/D&gt;&lt;D xsi:type="xsd:double"&gt;2.0998955&lt;/D&gt;&lt;D xsi:type="xsd:double"&gt;4.1689873&lt;/D&gt;&lt;D xsi:type="xsd:double"&gt;15.895617&lt;/D&gt;&lt;D xsi:type="xsd:double"&gt;65.980515&lt;/D&gt;&lt;D xsi:type="xsd:double"&gt;56.04062&lt;/D&gt;&lt;D xsi:type="xsd:double"&gt;47.110294&lt;/D&gt;&lt;D xsi:type="xsd:double"&gt;50.569546&lt;/D&gt;&lt;D xsi:type="xsd:double"&gt;45.56482&lt;/D&gt;&lt;D xsi:type="xsd:double"&gt;42.611027&lt;/D&gt;&lt;D xsi:type="xsd:double"&gt;43.216206&lt;/D&gt;&lt;D xsi:type="xsd:double"&gt;45.72452&lt;/D&gt;&lt;D xsi:type="xsd:double"&gt;37.023533&lt;/D&gt;&lt;D xsi:type="xsd:double"&gt;33.1774&lt;/D&gt;&lt;D xsi:type="xsd:double"&gt;42.97067&lt;/D&gt;&lt;D xsi:type="xsd:double"&gt;41.244423&lt;/D&gt;&lt;D xsi:type="xsd:double"&gt;42.678867&lt;/D&gt;&lt;D xsi:type="xsd:double"&gt;36.420547&lt;/D&gt;&lt;D xsi:type="xsd:double"&gt;19.627296&lt;/D&gt;&lt;D xsi:type="xsd:double"&gt;4.975927&lt;/D&gt;&lt;D xsi:type="xsd:double"&gt;12.63851&lt;/D&gt;&lt;D xsi:type="xsd:double"&gt;12.88197&lt;/D&gt;&lt;D xsi:type="xsd:double"&gt;-0.046479702&lt;/D&gt;&lt;D xsi:type="xsd:double"&gt;2.2372127&lt;/D&gt;&lt;D xsi:type="xsd:double"&gt;-2.1838605&lt;/D&gt;&lt;D xsi:type="xsd:double"&gt;-8.74486&lt;/D&gt;&lt;D xsi:type="xsd:double"&gt;-10.9652815&lt;/D&gt;&lt;D xsi:type="xsd:double"&gt;-18.687075&lt;/D&gt;&lt;D xsi:type="xsd:double"&gt;-18.874973&lt;/D&gt;&lt;D xsi:type="xsd:double"&gt;-17.352646&lt;/D&gt;&lt;D xsi:type="xsd:double"&gt;-5.827135&lt;/D&gt;&lt;D xsi:type="xsd:double"&gt;2.82892&lt;/D&gt;&lt;D xsi:type="xsd:double"&gt;0.042164326&lt;/D&gt;&lt;D xsi:type="xsd:double"&gt;-8.080774&lt;/D&gt;&lt;D xsi:type="xsd:double"&gt;-3.588897&lt;/D&gt;&lt;D xsi:type="xsd:double"&gt;-16.151655&lt;/D&gt;&lt;D xsi:type="xsd:double"&gt;0.99790096&lt;/D&gt;&lt;D xsi:type="xsd:double"&gt;15.15106&lt;/D&gt;&lt;D xsi:type="xsd:double"&gt;12.634087&lt;/D&gt;&lt;D xsi:type="xsd:double"&gt;25.695335&lt;/D&gt;&lt;D xsi:type="xsd:double"&gt;23.239971&lt;/D&gt;&lt;D xsi:type="xsd:double"&gt;10.128307&lt;/D&gt;&lt;D xsi:type="xsd:double"&gt;3.4082294&lt;/D&gt;&lt;/FQL&gt;&lt;FQL&gt;&lt;Q&gt;EPOL^P_PRICE_RETURNS_PR('52W',2,-10AY,0,AM)&lt;/Q&gt;&lt;R&gt;121&lt;/R&gt;&lt;C&gt;1&lt;/C&gt;&lt;D xsi:type="xsd:double"&gt;20.043087&lt;/D&gt;&lt;D xsi:type="xsd:double"&gt;26.218367&lt;/D&gt;&lt;D xsi:type="xsd:double"&gt;12.606692&lt;/D&gt;&lt;D xsi:type="xsd:double"&gt;5.127156&lt;/D&gt;&lt;D xsi:type="xsd:double"&gt;4.1240573&lt;/D&gt;&lt;D xsi:type="xsd:double"&gt;-9.67229&lt;/D&gt;&lt;D xsi:type="xsd:double"&gt;-11.176187&lt;/D&gt;&lt;D xsi:type="xsd:double"&gt;-14.875662&lt;/D&gt;&lt;D xsi:type="xsd:double"&gt;-19.43869&lt;/D&gt;&lt;D xsi:type="xsd:double"&gt;-20.517672&lt;/D&gt;&lt;D xsi:type="xsd:double"&gt;-14.321131&lt;/D&gt;&lt;D xsi:type="xsd:double"&gt;-12.9286585&lt;/D&gt;&lt;D xsi:type="xsd:double"&gt;-15.108705&lt;/D&gt;&lt;D xsi:type="xsd:double"&gt;-19.291693&lt;/D&gt;&lt;D xsi:type="xsd:double"&gt;-22.1299&lt;/D&gt;&lt;D xsi:type="xsd:double"&gt;-22.141737&lt;/D&gt;&lt;D xsi:type="xsd:double"&gt;-24.732376&lt;/D&gt;&lt;D xsi:type="xsd:double"&gt;-20.452648&lt;/D&gt;&lt;D xsi:type="xsd:double"&gt;-27.128864&lt;/D&gt;&lt;D xsi:type="xsd:double"&gt;-21.646326&lt;/D&gt;&lt;D xsi:type="xsd:double"&gt;-28.407944&lt;/D&gt;&lt;D xsi:type="xsd:double"&gt;-22.961288&lt;/D&gt;&lt;D xsi:type="xsd:double"&gt;-17.76042&lt;/D&gt;&lt;D xsi:type="xsd:double"&gt;-23.176474&lt;/D&gt;&lt;D xsi:type="xsd:double"&gt;-28.708738&lt;/D&gt;&lt;D xsi:type="xsd:double"&gt;-20.05772&lt;/D&gt;&lt;D xsi:type="xsd:double"&gt;-18.739487&lt;/D&gt;&lt;D xsi:type="xsd:double"&gt;-14.828706&lt;/D&gt;&lt;D xsi:type="xsd:double"&gt;-11.3794565&lt;/D&gt;&lt;D xsi:type="xsd:double"&gt;-15.42145&lt;/D&gt;&lt;D xsi:type="xsd:double"&gt;-8.123011&lt;/D&gt;&lt;D xsi:type="xsd:double"&gt;-1.4852703&lt;/D&gt;&lt;D xsi:type="xsd:double"&gt;22.363842&lt;/D&gt;&lt;D xsi:type="xsd:double"&gt;25.105894&lt;/D&gt;&lt;D xsi:type="xsd:double"&gt;17.04073&lt;/D&gt;&lt;D xsi:type="xsd:double"&gt;17.268515&lt;/D&gt;&lt;D xsi:type="xsd:double"&gt;40.396107&lt;/D&gt;&lt;D xsi:type="xsd:double"&gt;31.877018&lt;/D&gt;&lt;D xsi:type="xsd:double"&gt;47.052048&lt;/D&gt;&lt;D xsi:type="xsd:double"&gt;44.501556&lt;/D&gt;&lt;D xsi:type="xsd:double"&gt;49.7411&lt;/D&gt;&lt;D xsi:type="xsd:double"&gt;54.04557&lt;/D&gt;&lt;D xsi:type="xsd:double"&gt;62.08016&lt;/D&gt;&lt;D xsi:type="xsd:double"&gt;52.735565&lt;/D&gt;&lt;D xsi:type="xsd:double"&gt;57.13755&lt;/D&gt;&lt;D xsi:type="xsd:double"&gt;28.044558&lt;/D&gt;&lt;D xsi:type="xsd:double"&gt;15.723801&lt;/D&gt;&lt;D xsi:type="xsd:double"&gt;17.74218&lt;/D&gt;&lt;D xsi:type="xsd:double"&gt;-0.52239895&lt;/D&gt;&lt;D xsi:type="xsd:double"&gt;-4.437959&lt;/D&gt;&lt;D xsi:type="xsd:double"&gt;-6.9405613&lt;/D&gt;&lt;D xsi:type="xsd:double"&gt;-6.03621&lt;/D&gt;&lt;D xsi:type="xsd:double"&gt;-9.200441&lt;/D&gt;&lt;D xsi:type="xsd:double"&gt;-15.120888&lt;/D&gt;&lt;D xsi:type="xsd:double"&gt;-15.998775&lt;/D&gt;&lt;D xsi:type="xsd:double"&gt;-13.727819&lt;/D&gt;&lt;D xsi:type="xsd:double"&gt;-17.173332&lt;/D&gt;&lt;D xsi:type="xsd:double"&gt;-12.941795&lt;/D&gt;&lt;D xsi:type="xsd:double"&gt;-7.9862833&lt;/D&gt;&lt;D xsi:type="xsd:double"&gt;-6.2546434&lt;/D&gt;&lt;D xsi:type="xsd:double"&gt;-6.9060802&lt;/D&gt;&lt;D xsi:type="xsd:double"&gt;7.928407&lt;/D&gt;&lt;D xsi:type="xsd:double"&gt;2.6590943&lt;/D&gt;&lt;D xsi:type="xsd:double"&gt;-13.273692&lt;/D&gt;&lt;D xsi:type="xsd:double"&gt;-12.866688&lt;/D&gt;&lt;D xsi:type="xsd:double"&gt;-0.39226413&lt;/D&gt;&lt;D xsi:type="xsd:double"&gt;-3.67167&lt;/D&gt;&lt;D xsi:type="xsd:double"&gt;-6.143242&lt;/D&gt;&lt;D xsi:type="xsd:double"&gt;-10.550857&lt;/D&gt;&lt;D xsi:type="xsd:double"&gt;-13.5055485&lt;/D&gt;&lt;D xsi:type="xsd:double"&gt;-44.3106&lt;/D&gt;&lt;D xsi:type="xsd:double"&gt;-36.770527&lt;/D&gt;&lt;D xsi:type="xsd:double"&gt;-29.473412&lt;/D&gt;&lt;D xsi:type="xsd:double"&gt;-23.068958&lt;/D&gt;&lt;D xsi:type="xsd:double"&gt;-20.931154&lt;/D&gt;&lt;D xsi:type="xsd:double"&gt;-10.166198&lt;/D&gt;&lt;D xsi:type="xsd:double"&gt;-19.125622&lt;/D&gt;&lt;D xsi:type="xsd:double"&gt;-26.374716&lt;/D&gt;&lt;D xsi:type="xsd:double"&gt;-15.418726&lt;/D&gt;&lt;D xsi:type="xsd:double"&gt;-7.4010253&lt;/D&gt;&lt;D xsi:type="xsd:double"&gt;-8.221495&lt;/D&gt;&lt;D xsi:type="xsd:double"&gt;-1.0326207&lt;/D&gt;&lt;D xsi:type="xsd:double"&gt;45.36843&lt;/D&gt;&lt;D xsi:type="xsd:double"&gt;35.91944&lt;/D&gt;&lt;D xsi:type="xsd:double"&gt;43.415916&lt;/D&gt;&lt;D xsi:type="xsd:double"&gt;26.04804&lt;/D&gt;&lt;D xsi:type="xsd:double"&gt;21.19925&lt;/D&gt;&lt;D xsi:type="xsd:double"&gt;22.739887&lt;/D&gt;&lt;D xsi:type="xsd:double"&gt;39.895176&lt;/D&gt;&lt;D xsi:type="xsd:double"&gt;51.869595&lt;/D&gt;&lt;D xsi:type="xsd:double"&gt;20.350492&lt;/D&gt;&lt;D xsi:type="xsd:double"&gt;10.132515&lt;/D&gt;&lt;D xsi:type="xsd:double"&gt;12.849951&lt;/D&gt;&lt;D xsi:type="xsd:double"&gt;0.6055355&lt;/D&gt;&lt;D xsi:type="xsd:double"&gt;3.8883686&lt;/D&gt;&lt;D xsi:type="xsd:double"&gt;-8.850211&lt;/D&gt;&lt;D xsi:type="xsd:double"&gt;-22.526842&lt;/D&gt;&lt;D xsi:type="xsd:double"&gt;-33.535076&lt;/D&gt;&lt;D xsi:type="xsd:double"&gt;-33.44895&lt;/D&gt;&lt;D xsi:type="xsd:double"&gt;-38.10653&lt;/D&gt;&lt;D xsi:type="xsd:double"&gt;-47.360813&lt;/D&gt;&lt;D xsi:type="xsd:double"&gt;-50.217155&lt;/D&gt;&lt;D xsi:type="xsd:double"&gt;-28.467209&lt;/D&gt;&lt;D xsi:type="xsd:double"&gt;-22.889816&lt;/D&gt;&lt;D xsi:type="xsd:double"&gt;-18.347622&lt;/D&gt;&lt;D xsi:type="xsd:double"&gt;-15.60514&lt;/D&gt;&lt;D xsi:type="xsd:double"&gt;-17.353434&lt;/D&gt;&lt;D xsi:type="xsd:double"&gt;-0.27317405&lt;/D&gt;&lt;D xsi:type="xsd:double"&gt;14.341461&lt;/D&gt;&lt;D xsi:type="xsd:double"&gt;35.4812&lt;/D&gt;&lt;D xsi:type="xsd:double"&gt;51.456978&lt;/D&gt;&lt;D xsi:type="xsd:double"&gt;47.13141&lt;/D&gt;&lt;D xsi:type="xsd:double"&gt;47.04348&lt;/D&gt;&lt;D xsi:type="xsd:double"&gt;66.104355&lt;/D&gt;&lt;D xsi:type="xsd:double"&gt;51.899338&lt;/D&gt;&lt;D xsi:type="xsd:double"&gt;51.224564&lt;/D&gt;&lt;D xsi:type="xsd:double"&gt;27.118946&lt;/D&gt;&lt;D xsi:type="xsd:double"&gt;57.749557&lt;/D&gt;&lt;D xsi:type="xsd:double"&gt;60.71316&lt;/D&gt;&lt;D xsi:type="xsd:double"&gt;43.745792&lt;/D&gt;&lt;D xsi:type="xsd:double"&gt;43.4343&lt;/D&gt;&lt;/FQL&gt;&lt;FQL&gt;&lt;Q&gt;EWZ^FG_TOTAL_RETURNC(-10AY,0,AM)&lt;/Q&gt;&lt;R&gt;121&lt;/R&gt;&lt;C&gt;1&lt;/C&gt;&lt;D xsi:type="xsd:double"&gt;1.5930295&lt;/D&gt;&lt;D xsi:type="xsd:double"&gt;3.4915328&lt;/D&gt;&lt;D xsi:type="xsd:double"&gt;5.0476193&lt;/D&gt;&lt;D xsi:type="xsd:double"&gt;-1.1180878&lt;/D&gt;&lt;D xsi:type="xsd:double"&gt;-8.33168&lt;/D&gt;&lt;D xsi:type="xsd:double"&gt;-13.784891&lt;/D&gt;&lt;D xsi:type="xsd:double"&gt;10.316265&lt;/D&gt;&lt;D xsi:type="xsd:double"&gt;-16.028101&lt;/D&gt;&lt;D xsi:type="xsd:double"&gt;0.9048462&lt;/D&gt;&lt;D xsi:type="xsd:double"&gt;-5.57065&lt;/D&gt;&lt;D xsi:type="xsd:double"&gt;-7.424468&lt;/D&gt;&lt;D xsi:type="xsd:double"&gt;12.744797&lt;/D&gt;&lt;D xsi:type="xsd:double"&gt;-5.7071924&lt;/D&gt;&lt;D xsi:type="xsd:double"&gt;-0.23392439&lt;/D&gt;&lt;D xsi:type="xsd:double"&gt;-12.755752&lt;/D&gt;&lt;D xsi:type="xsd:double"&gt;-14.099926&lt;/D&gt;&lt;D xsi:type="xsd:double"&gt;-16.374504&lt;/D&gt;&lt;D xsi:type="xsd:double"&gt;12.434494&lt;/D&gt;&lt;D xsi:type="xsd:double"&gt;5.296612&lt;/D&gt;&lt;D xsi:type="xsd:double"&gt;-12.408596&lt;/D&gt;&lt;D xsi:type="xsd:double"&gt;-16.004646&lt;/D&gt;&lt;D xsi:type="xsd:double"&gt;13.661504&lt;/D&gt;&lt;D xsi:type="xsd:double"&gt;24.914848&lt;/D&gt;&lt;D xsi:type="xsd:double"&gt;9.232569&lt;/D&gt;&lt;D xsi:type="xsd:double"&gt;-7.0970116&lt;/D&gt;&lt;D xsi:type="xsd:double"&gt;12.27057&lt;/D&gt;&lt;D xsi:type="xsd:double"&gt;13.19325&lt;/D&gt;&lt;D xsi:type="xsd:double"&gt;1.8259287&lt;/D&gt;&lt;D xsi:type="xsd:double"&gt;1.2253404&lt;/D&gt;&lt;D xsi:type="xsd:double"&gt;11.514616&lt;/D&gt;&lt;D xsi:type="xsd:double"&gt;-10.48451&lt;/D&gt;&lt;D xsi:type="xsd:double"&gt;-3.3490837&lt;/D&gt;&lt;D xsi:type="xsd:double"&gt;16.7338&lt;/D&gt;&lt;D xsi:type="xsd:double"&gt;4.990709&lt;/D&gt;&lt;D xsi:type="xsd:double"&gt;-7.534766&lt;/D&gt;&lt;D xsi:type="xsd:double"&gt;-1.1211395&lt;/D&gt;&lt;D xsi:type="xsd:double"&gt;-3.761065&lt;/D&gt;&lt;D xsi:type="xsd:double"&gt;-4.256958&lt;/D&gt;&lt;D xsi:type="xsd:double"&gt;12.167072&lt;/D&gt;&lt;D xsi:type="xsd:double"&gt;8.175921&lt;/D&gt;&lt;D xsi:type="xsd:double"&gt;6.5851808&lt;/D&gt;&lt;D xsi:type="xsd:double"&gt;-3.5104156&lt;/D&gt;&lt;D xsi:type="xsd:double"&gt;-0.8974016&lt;/D&gt;&lt;D xsi:type="xsd:double"&gt;-2.3932338&lt;/D&gt;&lt;D xsi:type="xsd:double"&gt;10.641825&lt;/D&gt;&lt;D xsi:type="xsd:double"&gt;7.0545197&lt;/D&gt;&lt;D xsi:type="xsd:double"&gt;-6.1617494&lt;/D&gt;&lt;D xsi:type="xsd:double"&gt;-2.872783&lt;/D&gt;&lt;D xsi:type="xsd:double"&gt;-9.2957735&lt;/D&gt;&lt;D xsi:type="xsd:double"&gt;-15.73525&lt;/D&gt;&lt;D xsi:type="xsd:double"&gt;10.268414&lt;/D&gt;&lt;D xsi:type="xsd:double"&gt;-10.755735&lt;/D&gt;&lt;D xsi:type="xsd:double"&gt;7.0726275&lt;/D&gt;&lt;D xsi:type="xsd:double"&gt;17.180109&lt;/D&gt;&lt;D xsi:type="xsd:double"&gt;-2.1739125&lt;/D&gt;&lt;D xsi:type="xsd:double"&gt;-2.5672197&lt;/D&gt;&lt;D xsi:type="xsd:double"&gt;16.55897&lt;/D&gt;&lt;D xsi:type="xsd:double"&gt;1.986599&lt;/D&gt;&lt;D xsi:type="xsd:double"&gt;-8.425826&lt;/D&gt;&lt;D xsi:type="xsd:double"&gt;1.7561197&lt;/D&gt;&lt;D xsi:type="xsd:double"&gt;-4.982984&lt;/D&gt;&lt;D xsi:type="xsd:double"&gt;14.952744&lt;/D&gt;&lt;D xsi:type="xsd:double"&gt;2.9975295&lt;/D&gt;&lt;D xsi:type="xsd:double"&gt;-13.544864&lt;/D&gt;&lt;D xsi:type="xsd:double"&gt;5.897248&lt;/D&gt;&lt;D xsi:type="xsd:double"&gt;6.261945&lt;/D&gt;&lt;D xsi:type="xsd:double"&gt;-2.9239774&lt;/D&gt;&lt;D xsi:type="xsd:double"&gt;9.5733529999999991&lt;/D&gt;&lt;D xsi:type="xsd:double"&gt;0.9785414&lt;/D&gt;&lt;D xsi:type="xsd:double"&gt;-9.774762&lt;/D&gt;&lt;D xsi:type="xsd:double"&gt;-50.965614&lt;/D&gt;&lt;D xsi:type="xsd:double"&gt;15.273773&lt;/D&gt;&lt;D xsi:type="xsd:double"&gt;2.7500033&lt;/D&gt;&lt;D xsi:type="xsd:double"&gt;25.302076&lt;/D&gt;&lt;D xsi:type="xsd:double"&gt;5.40452&lt;/D&gt;&lt;D xsi:type="xsd:double"&gt;-7.8620253&lt;/D&gt;&lt;D xsi:type="xsd:double"&gt;-5.362564&lt;/D&gt;&lt;D xsi:type="xsd:double"&gt;5.096221&lt;/D&gt;&lt;D xsi:type="xsd:double"&gt;9.6982&lt;/D&gt;&lt;D xsi:type="xsd:double"&gt;14.187157&lt;/D&gt;&lt;D xsi:type="xsd:double"&gt;-4.418981&lt;/D&gt;&lt;D xsi:type="xsd:double"&gt;-1.8835604&lt;/D&gt;&lt;D xsi:type="xsd:double"&gt;-3.403145&lt;/D&gt;&lt;D xsi:type="xsd:double"&gt;7.0159674&lt;/D&gt;&lt;D xsi:type="xsd:double"&gt;4.164326&lt;/D&gt;&lt;D xsi:type="xsd:double"&gt;12.693477&lt;/D&gt;&lt;D xsi:type="xsd:double"&gt;-6.643951&lt;/D&gt;&lt;D xsi:type="xsd:double"&gt;-9.332645&lt;/D&gt;&lt;D xsi:type="xsd:double"&gt;-2.501434&lt;/D&gt;&lt;D xsi:type="xsd:double"&gt;-11.294603&lt;/D&gt;&lt;D xsi:type="xsd:double"&gt;-1.8284559&lt;/D&gt;&lt;D xsi:type="xsd:double"&gt;0.5358577&lt;/D&gt;&lt;D xsi:type="xsd:double"&gt;8.440471&lt;/D&gt;&lt;D xsi:type="xsd:double"&gt;11.998653&lt;/D&gt;&lt;D xsi:type="xsd:double"&gt;8.863031&lt;/D&gt;&lt;D xsi:type="xsd:double"&gt;-4.7423244&lt;/D&gt;&lt;D xsi:type="xsd:double"&gt;0.2589941&lt;/D&gt;&lt;D xsi:type="xsd:double"&gt;-18.391382&lt;/D&gt;&lt;D xsi:type="xsd:double"&gt;-4.0162144&lt;/D&gt;&lt;D xsi:type="xsd:double"&gt;23.224567&lt;/D&gt;&lt;D xsi:type="xsd:double"&gt;-4.2367578&lt;/D&gt;&lt;D xsi:type="xsd:double"&gt;10.897851&lt;/D&gt;&lt;D xsi:type="xsd:double"&gt;-13.171017&lt;/D&gt;&lt;D xsi:type="xsd:double"&gt;4.683888&lt;/D&gt;&lt;D xsi:type="xsd:double"&gt;1.3546348&lt;/D&gt;&lt;D xsi:type="xsd:double"&gt;-2.1590173&lt;/D&gt;&lt;D xsi:type="xsd:double"&gt;-11.52364&lt;/D&gt;&lt;D xsi:type="xsd:double"&gt;9.65954&lt;/D&gt;&lt;D xsi:type="xsd:double"&gt;7.6173186&lt;/D&gt;&lt;D xsi:type="xsd:double"&gt;12.352777&lt;/D&gt;&lt;D xsi:type="xsd:double"&gt;1.0094881&lt;/D&gt;&lt;D xsi:type="xsd:double"&gt;-3.3313155&lt;/D&gt;&lt;D xsi:type="xsd:double"&gt;-2.349627&lt;/D&gt;&lt;D xsi:type="xsd:double"&gt;-4.3631735&lt;/D&gt;&lt;D xsi:type="xsd:double"&gt;13.250589&lt;/D&gt;&lt;D xsi:type="xsd:double"&gt;6.2539577&lt;/D&gt;&lt;D xsi:type="xsd:double"&gt;-4.8526883&lt;/D&gt;&lt;D xsi:type="xsd:double"&gt;0.546</t>
        </r>
      </text>
    </comment>
    <comment ref="A2" authorId="0" shapeId="0" xr:uid="{6CC1A382-D011-442B-8B90-A00F14A5C06C}">
      <text>
        <r>
          <rPr>
            <b/>
            <sz val="9"/>
            <color indexed="81"/>
            <rFont val="Tahoma"/>
            <charset val="1"/>
          </rPr>
          <t>44346&lt;/D&gt;&lt;D xsi:type="xsd:double"&gt;-2.9891253&lt;/D&gt;&lt;D xsi:type="xsd:double"&gt;-3.0189872&lt;/D&gt;&lt;D xsi:type="xsd:double"&gt;-1.6688049&lt;/D&gt;&lt;/FQL&gt;&lt;FQL&gt;&lt;Q&gt;SET-BKK^FMA_DIV_YLD(NTMA,-10AY,0,AM,"PORTAGG","MEANR")&lt;/Q&gt;&lt;R&gt;121&lt;/R&gt;&lt;C&gt;1&lt;/C&gt;&lt;D xsi:type="xsd:double"&gt;3.7965740993802&lt;/D&gt;&lt;D xsi:type="xsd:double"&gt;5.50775386718067&lt;/D&gt;&lt;D xsi:type="xsd:double"&gt;5.55331117911904&lt;/D&gt;&lt;D xsi:type="xsd:double"&gt;3.41482837894858&lt;/D&gt;&lt;D xsi:type="xsd:double"&gt;3.33675187515173&lt;/D&gt;&lt;D xsi:type="xsd:double"&gt;3.48264475537857&lt;/D&gt;&lt;D xsi:type="xsd:double"&gt;3.34533014178547&lt;/D&gt;&lt;D xsi:type="xsd:double"&gt;3.41875887030128&lt;/D&gt;&lt;D xsi:type="xsd:double"&gt;3.20519322128538&lt;/D&gt;&lt;D xsi:type="xsd:double"&gt;3.17658966771311&lt;/D&gt;&lt;D xsi:type="xsd:double"&gt;3.40652451596602&lt;/D&gt;&lt;D xsi:type="xsd:double"&gt;3.35591288442643&lt;/D&gt;&lt;D xsi:type="xsd:double"&gt;3.37764455102818&lt;/D&gt;&lt;D xsi:type="xsd:double"&gt;3.44705241992533&lt;/D&gt;&lt;D xsi:type="xsd:double"&gt;3.53742170572996&lt;/D&gt;&lt;D xsi:type="xsd:double"&gt;3.7091754992078&lt;/D&gt;&lt;D xsi:type="xsd:double"&gt;3.66861663600208&lt;/D&gt;&lt;D xsi:type="xsd:double"&gt;3.56142676504902&lt;/D&gt;&lt;D xsi:type="xsd:double"&gt;3.61645370249196&lt;/D&gt;&lt;D xsi:type="xsd:double"&gt;3.89936834524797&lt;/D&gt;&lt;D xsi:type="xsd:double"&gt;3.79919783748315&lt;/D&gt;&lt;D xsi:type="xsd:double"&gt;3.56194501349808&lt;/D&gt;&lt;D xsi:type="xsd:double"&gt;3.33963789689693&lt;/D&gt;&lt;D xsi:type="xsd:double"&gt;3.35875766503303&lt;/D&gt;&lt;D xsi:type="xsd:double"&gt;3.44743535819088&lt;/D&gt;&lt;D xsi:type="xsd:double"&gt;3.30713560573412&lt;/D&gt;&lt;D xsi:type="xsd:double"&gt;3.16078149970591&lt;/D&gt;&lt;D xsi:type="xsd:double"&gt;3.12946773395066&lt;/D&gt;&lt;D xsi:type="xsd:double"&gt;3.28329876495072&lt;/D&gt;&lt;D xsi:type="xsd:double"&gt;3.28204970873953&lt;/D&gt;&lt;D xsi:type="xsd:double"&gt;3.2847330350275&lt;/D&gt;&lt;D xsi:type="xsd:double"&gt;3.28713557019482&lt;/D&gt;&lt;D xsi:type="xsd:double"&gt;3.15868333780549&lt;/D&gt;&lt;D xsi:type="xsd:double"&gt;3.13790597114004&lt;/D&gt;&lt;D xsi:type="xsd:double"&gt;3.14428302904268&lt;/D&gt;&lt;D xsi:type="xsd:double"&gt;3.14927787384715&lt;/D&gt;&lt;D xsi:type="xsd:double"&gt;3.18096969735848&lt;/D&gt;&lt;D xsi:type="xsd:double"&gt;3.18871074576656&lt;/D&gt;&lt;D xsi:type="xsd:double"&gt;3.25822824661163&lt;/D&gt;&lt;D xsi:type="xsd:double"&gt;3.22142504861107&lt;/D&gt;&lt;D xsi:type="xsd:double"&gt;3.033143319883&lt;/D&gt;&lt;D xsi:type="xsd:double"&gt;3.03004291595158&lt;/D&gt;&lt;D xsi:type="xsd:double"&gt;3.02973735183428&lt;/D&gt;&lt;D xsi:type="xsd:double"&gt;3.00492532891274&lt;/D&gt;&lt;D xsi:type="xsd:double"&gt;2.86353751931616&lt;/D&gt;&lt;D xsi:type="xsd:double"&gt;2.97726955602335&lt;/D&gt;&lt;D xsi:type="xsd:double"&gt;3.01490758023182&lt;/D&gt;&lt;D xsi:type="xsd:double"&gt;3.03511973736058&lt;/D&gt;&lt;D xsi:type="xsd:double"&gt;3.12931397918363&lt;/D&gt;&lt;D xsi:type="xsd:double"&gt;3.37347968727113&lt;/D&gt;&lt;D xsi:type="xsd:double"&gt;3.30438091254341&lt;/D&gt;&lt;D xsi:type="xsd:double"&gt;3.25135044160367&lt;/D&gt;&lt;D xsi:type="xsd:double"&gt;3.18440195752139&lt;/D&gt;&lt;D xsi:type="xsd:double"&gt;3.38009933295097&lt;/D&gt;&lt;D xsi:type="xsd:double"&gt;3.48565041395046&lt;/D&gt;&lt;D xsi:type="xsd:double"&gt;3.52292948880895&lt;/D&gt;&lt;D xsi:type="xsd:double"&gt;3.40606449944211&lt;/D&gt;&lt;D xsi:type="xsd:double"&gt;3.24327782518759&lt;/D&gt;&lt;D xsi:type="xsd:double"&gt;3.2924141497992&lt;/D&gt;&lt;D xsi:type="xsd:double"&gt;3.24761107314206&lt;/D&gt;&lt;D xsi:type="xsd:double"&gt;3.36045268481581&lt;/D&gt;&lt;D xsi:type="xsd:double"&gt;3.13560111138077&lt;/D&gt;&lt;D xsi:type="xsd:double"&gt;3.12649651903848&lt;/D&gt;&lt;D xsi:type="xsd:double"&gt;3.25981774781681&lt;/D&gt;&lt;D xsi:type="xsd:double"&gt;3.29376149347778&lt;/D&gt;&lt;D xsi:type="xsd:double"&gt;3.2549575507053&lt;/D&gt;&lt;D xsi:type="xsd:double"&gt;3.21827308807694&lt;/D&gt;&lt;D xsi:type="xsd:double"&gt;3.24425657924638&lt;/D&gt;&lt;D xsi:type="xsd:double"&gt;3.25154528129854&lt;/D&gt;&lt;D xsi:type="xsd:double"&gt;3.34269544784013&lt;/D&gt;&lt;D xsi:type="xsd:double"&gt;4.65977954290008&lt;/D&gt;&lt;D xsi:type="xsd:double"&gt;3.42439310153316&lt;/D&gt;&lt;D xsi:type="xsd:double"&gt;3.17168223127023&lt;/D&gt;&lt;D xsi:type="xsd:double"&gt;3.04526335215559&lt;/D&gt;&lt;D xsi:type="xsd:double"&gt;2.99933866128781&lt;/D&gt;&lt;D xsi:type="xsd:double"&gt;3.13602672276147&lt;/D&gt;&lt;D xsi:type="xsd:double"&gt;3.19666608606031&lt;/D&gt;&lt;D xsi:type="xsd:double"&gt;3.28115261064182&lt;/D&gt;&lt;D xsi:type="xsd:double"&gt;2.7611983307339&lt;/D&gt;&lt;D xsi:type="xsd:double"&gt;2.88059131997678&lt;/D&gt;&lt;D xsi:type="xsd:double"&gt;2.76285362599864&lt;/D&gt;&lt;D xsi:type="xsd:double"&gt;2.83123093033774&lt;/D&gt;&lt;D xsi:type="xsd:double"&gt;2.77932745387193&lt;/D&gt;&lt;D xsi:type="xsd:double"&gt;2.88694704794689&lt;/D&gt;&lt;D xsi:type="xsd:double"&gt;2.93575359369379&lt;/D&gt;&lt;D xsi:type="xsd:double"&gt;2.87933552322297&lt;/D&gt;&lt;D xsi:type="xsd:double"&gt;3.00183224205381&lt;/D&gt;&lt;D xsi:type="xsd:double"&gt;2.90384061367946&lt;/D&gt;&lt;D xsi:type="xsd:double"&gt;2.84104075760643&lt;/D&gt;&lt;D xsi:type="xsd:double"&gt;2.82413656681515&lt;/D&gt;&lt;D xsi:type="xsd:double"&gt;2.81167242489693&lt;/D&gt;&lt;D xsi:type="xsd:double"&gt;2.88626647023874&lt;/D&gt;&lt;D xsi:type="xsd:double"&gt;2.87689793127442&lt;/D&gt;&lt;D xsi:type="xsd:double"&gt;2.85687695928514&lt;/D&gt;&lt;D xsi:type="xsd:double"&gt;2.90290249908429&lt;/D&gt;&lt;D xsi:type="xsd:double"&gt;2.96936815343083&lt;/D&gt;&lt;D xsi:type="xsd:double"&gt;3.02247782443761&lt;/D&gt;&lt;D xsi:type="xsd:double"&gt;3.18447484023892&lt;/D&gt;&lt;D xsi:type="xsd:double"&gt;3.2005647161148&lt;/D&gt;&lt;D xsi:type="xsd:double"&gt;3.08668436444&lt;/D&gt;&lt;D xsi:type="xsd:double"&gt;3.08703305600309&lt;/D&gt;&lt;D xsi:type="xsd:double"&gt;3.16697710787999&lt;/D&gt;&lt;D xsi:type="xsd:double"&gt;3.05384128036012&lt;/D&gt;&lt;D xsi:type="xsd:double"&gt;3.04947098446481&lt;/D&gt;&lt;D xsi:type="xsd:double"&gt;2.95543459315403&lt;/D&gt;&lt;D xsi:type="xsd:double"&gt;3.06219377165677&lt;/D&gt;&lt;D xsi:type="xsd:double"&gt;3.13015677106453&lt;/D&gt;&lt;D xsi:type="xsd:double"&gt;3.17375960224731&lt;/D&gt;&lt;D xsi:type="xsd:double"&gt;3.16093632891952&lt;/D&gt;&lt;D xsi:type="xsd:double"&gt;3.21433395835212&lt;/D&gt;&lt;D xsi:type="xsd:double"&gt;3.11961229516756&lt;/D&gt;&lt;D xsi:type="xsd:double"&gt;3.07888202697504&lt;/D&gt;&lt;D xsi:type="xsd:double"&gt;3.15022575133254&lt;/D&gt;&lt;D xsi:type="xsd:double"&gt;3.44423980163512&lt;/D&gt;&lt;D xsi:type="xsd:double"&gt;3.36208805810095&lt;/D&gt;&lt;D xsi:type="xsd:double"&gt;3.38190964362138&lt;/D&gt;&lt;D xsi:type="xsd:double"&gt;3.56850345337896&lt;/D&gt;&lt;D xsi:type="xsd:double"&gt;3.41162215981154&lt;/D&gt;&lt;D xsi:type="xsd:double"&gt;3.5040411739374&lt;/D&gt;&lt;D xsi:type="xsd:double"&gt;3.59657292242196&lt;/D&gt;&lt;D xsi:type="xsd:double"&gt;3.66113896309334&lt;/D&gt;&lt;/FQL&gt;&lt;FQL&gt;&lt;Q&gt;CNYA^FMA_DIV_YLD(NTMA,-10AY,0,AM,"PORTAGG","MEANR")&lt;/Q&gt;&lt;R&gt;121&lt;/R&gt;&lt;C&gt;1&lt;/C&gt;&lt;D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xsi:type="xsd:double"&gt;2.23846875616636&lt;/D&gt;&lt;D xsi:type="xsd:double"&gt;2.19923014036122&lt;/D&gt;&lt;D xsi:type="xsd:double"&gt;2.25758450192336&lt;/D&gt;&lt;D xsi:type="xsd:double"&gt;2.26969493364237&lt;/D&gt;&lt;D xsi:type="xsd:double"&gt;2.19475191486642&lt;/D&gt;&lt;D xsi:type="xsd:double"&gt;2.32787349277474&lt;/D&gt;&lt;D xsi:type="xsd:double"&gt;2.28877765038257&lt;/D&gt;&lt;D xsi:type="xsd:double"&gt;2.28414869002895&lt;/D&gt;&lt;D xsi:type="xsd:double"&gt;2.29678595075747&lt;/D&gt;&lt;D xsi:type="xsd:double"&gt;2.2731745851082&lt;/D&gt;&lt;D xsi:type="xsd:double"&gt;2.24668410787437&lt;/D&gt;&lt;D xsi:type="xsd:double"&gt;2.11662588959685&lt;/D&gt;&lt;D xsi:type="xsd:double"&gt;2.13293937407846&lt;/D&gt;&lt;D xsi:type="xsd:double"&gt;2.17904342802297&lt;/D&gt;&lt;D xsi:type="xsd:double"&gt;2.1496256930706&lt;/D&gt;&lt;D xsi:type="xsd:double"&gt;2.14762219949512&lt;/D&gt;&lt;D xsi:type="xsd:double"&gt;2.03850998062752&lt;/D&gt;&lt;D xsi:type="xsd:double"&gt;2.19763541707257&lt;/D&gt;&lt;D xsi:type="xsd:double"&gt;2.06068917718885&lt;/D&gt;&lt;D xsi:type="xsd:double"&gt;2.26271576793038&lt;/D&gt;&lt;D xsi:type="xsd:double"&gt;2.42983457804494&lt;/D&gt;&lt;D xsi:type="xsd:double"&gt;2.54933162532313&lt;/D&gt;&lt;D xsi:type="xsd:double"&gt;2.69852866546336&lt;/D&gt;&lt;D xsi:type="xsd:double"&gt;2.851197328952&lt;/D&gt;&lt;D xsi:type="xsd:double"&gt;2.9915827270405&lt;/D&gt;&lt;D xsi:type="xsd:double"&gt;3.23465218710926&lt;/D&gt;&lt;D xsi:type="xsd:double"&gt;3.08525838637041&lt;/D&gt;&lt;D xsi:type="xsd:double"&gt;3.35156650517697&lt;/D&gt;&lt;D xsi:type="xsd:double"&gt;3.32215675963281&lt;/D&gt;&lt;D xsi:type="xsd:double"&gt;3.37162681718002&lt;/D&gt;&lt;D xsi:type="xsd:double"&gt;3.24289815953438&lt;/D&gt;&lt;D xsi:type="xsd:double"&gt;2.9325028373957&lt;/D&gt;&lt;D xsi:type="xsd:double"&gt;2.75059320803261&lt;/D&gt;&lt;D xsi:type="xsd:double"&gt;2.63809386958884&lt;/D&gt;&lt;D xsi:type="xsd:double"&gt;2.94405714634148&lt;/D&gt;&lt;D xsi:type="xsd:double"&gt;2.67056090515305&lt;/D&gt;&lt;D xsi:type="xsd:double"&gt;2.73168251305146&lt;/D&gt;&lt;D xsi:type="xsd:double"&gt;2.72065983975923&lt;/D&gt;&lt;D xsi:type="xsd:double"&gt;2.67920720366455&lt;/D&gt;&lt;D xsi:type="xsd:double"&gt;2.73108916746717&lt;/D&gt;&lt;D xsi:type="xsd:double"&gt;2.82130137457778&lt;/D&gt;&lt;D xsi:type="xsd:double"&gt;2.52544636751829&lt;/D&gt;&lt;D xsi:type="xsd:double"&gt;2.50754057499472&lt;/D&gt;&lt;D xsi:type="xsd:double"&gt;2.38979350718717&lt;/D&gt;&lt;D xsi:type="xsd:double"&gt;2.7727044617012&lt;/D&gt;&lt;D xsi:type="xsd:double"&gt;2.46055430377318&lt;/D&gt;&lt;D xsi:type="xsd:double"&gt;2.3902421036714&lt;/D&gt;&lt;D xsi:type="xsd:double"&gt;2.15269642700471&lt;/D&gt;&lt;D xsi:type="xsd:double"&gt;1.91730030550441&lt;/D&gt;&lt;D xsi:type="xsd:double"&gt;1.95358036866205&lt;/D&gt;&lt;D xsi:type="xsd:double"&gt;1.96065211213291&lt;/D&gt;&lt;D xsi:type="xsd:double"&gt;1.97819612584151&lt;/D&gt;&lt;D xsi:type="xsd:double"&gt;1.9003129435221&lt;/D&gt;&lt;D xsi:type="xsd:double"&gt;1.8331567539433&lt;/D&gt;&lt;D xsi:type="xsd:double"&gt;1.65620090358921&lt;/D&gt;&lt;D xsi:type="xsd:double"&gt;1.66836080887008&lt;/D&gt;&lt;D xsi:type="xsd:double"&gt;1.91395816733999&lt;/D&gt;&lt;D xsi:type="xsd:double"&gt;1.89457035727522&lt;/D&gt;&lt;D xsi:type="xsd:double"&gt;1.8887263828525&lt;/D&gt;&lt;D xsi:type="xsd:double"&gt;1.84486235677841&lt;/D&gt;&lt;D xsi:type="xsd:double"&gt;1.87134020443241&lt;/D&gt;&lt;D xsi:type="xsd:double"&gt;2.01103062674917&lt;/D&gt;&lt;D xsi:type="xsd:double"&gt;1.99302859807939&lt;/D&gt;&lt;D xsi:type="xsd:double"&gt;1.98839521274203&lt;/D&gt;&lt;D xsi:type="xsd:double"&gt;1.98151601158289&lt;/D&gt;&lt;D xsi:type="xsd:double"&gt;1.96672618635209&lt;/D&gt;&lt;D xsi:type="xsd:double"&gt;2.10024243989207&lt;/D&gt;&lt;D xsi:type="xsd:double"&gt;2.18884618950431&lt;/D&gt;&lt;D xsi:type="xsd:double"&gt;2.35241440882166&lt;/D&gt;&lt;D xsi:type="xsd:double"&gt;2.52666335754579&lt;/D&gt;&lt;D xsi:type="xsd:double"&gt;2.43304117908352&lt;/D&gt;&lt;D xsi:type="xsd:double"&gt;2.29343072031772&lt;/D&gt;&lt;D xsi:type="xsd:double"&gt;2.39085647589238&lt;/D&gt;&lt;D xsi:type="xsd:double"&gt;2.38419693402586&lt;/D&gt;&lt;D xsi:type="xsd:double"&gt;2.63124270664721&lt;/D&gt;&lt;D xsi:type="xsd:double"&gt;2.71159195934433&lt;/D&gt;&lt;D xsi:type="xsd:double"&gt;2.62952424984515&lt;/D&gt;&lt;D xsi:type="xsd:double"&gt;2.58984422133409&lt;/D&gt;&lt;D xsi:type="xsd:double"&gt;2.3728889602543&lt;/D&gt;&lt;D xsi:type="xsd:double"&gt;2.41259091675739&lt;/D&gt;&lt;D xsi:type="xsd:double"&gt;2.48194094087122&lt;/D&gt;&lt;D xsi:type="xsd:double"&gt;2.49244266574137&lt;/D&gt;&lt;D xsi:type="xsd:double"&gt;2.5765297795492&lt;/D&gt;&lt;D xsi:type="xsd:double"&gt;2.59153582062504&lt;/D&gt;&lt;D xsi:type="xsd:double"&gt;2.61789787186736&lt;/D&gt;&lt;D xsi:type="xsd:double"&gt;2.6955279355228&lt;/D&gt;&lt;D xsi:type="xsd:double"&gt;2.6179399398579&lt;/D&gt;&lt;D xsi:type="xsd:double"&gt;2.83868870351736&lt;/D&gt;&lt;D xsi:type="xsd:double"&gt;2.72442788525559&lt;/D&gt;&lt;D xsi:type="xsd:double"&gt;2.84146052001207&lt;/D&gt;&lt;D xsi:type="xsd:double"&gt;2.96732019119589&lt;/D&gt;&lt;D xsi:type="xsd:double"&gt;2.73650485667584&lt;/D&gt;&lt;D xsi:type="xsd:double"&gt;2.75687663168258&lt;/D&gt;&lt;D xsi:type="xsd:double"&gt;2.87268824198382&lt;/D&gt;&lt;D xsi:type="xsd:double"&gt;2.77375962942337&lt;/D&gt;&lt;/FQL&gt;&lt;FQL&gt;&lt;Q&gt;EWM^FMA_PE(NTMA,-10AY,0,AM,"PORTAGG","MEANR")&lt;/Q&gt;&lt;R&gt;121&lt;/R&gt;&lt;C&gt;1&lt;/C&gt;&lt;D xsi:type="xsd:double"&gt;15.6935045498372&lt;/D&gt;&lt;D xsi:type="xsd:double"&gt;15.8100670160297&lt;/D&gt;&lt;D xsi:type="xsd:double"&gt;15.6303385698394&lt;/D&gt;&lt;D xsi:type="xsd:double"&gt;15.8180666643468&lt;/D&gt;&lt;D xsi:type="xsd:double"&gt;15.6471611619759&lt;/D&gt;&lt;D xsi:type="xsd:double"&gt;15.3349019595302&lt;/D&gt;&lt;D xsi:type="xsd:double"&gt;15.3608828487965&lt;/D&gt;&lt;D xsi:type="xsd:double"&gt;15.0529535004222&lt;/D&gt;&lt;D xsi:type="xsd:double"&gt;15.3300659955877&lt;/D&gt;&lt;D xsi:type="xsd:double"&gt;15.5721296794234&lt;/D&gt;&lt;D xsi:type="xsd:double"&gt;15.656060418419&lt;/D&gt;&lt;D xsi:type="xsd:double"&gt;16.0687119188913&lt;/D&gt;&lt;D xsi:type="xsd:double"&gt;15.7029746634745&lt;/D&gt;&lt;D xsi:type="xsd:double"&gt;15.2770500605409&lt;/D&gt;&lt;D xsi:type="xsd:double"&gt;15.3293034166424&lt;/D&gt;&lt;D xsi:type="xsd:double"&gt;13.9361291894743&lt;/D&gt;&lt;D xsi:type="xsd:double"&gt;14.6672770035828&lt;/D&gt;&lt;D xsi:type="xsd:double"&gt;15.6368099332884&lt;/D&gt;&lt;D xsi:type="xsd:double"&gt;15.182863632779&lt;/D&gt;&lt;D xsi:type="xsd:double"&gt;15.3660594122042&lt;/D&gt;&lt;D xsi:type="xsd:double"&gt;14.9669600648524&lt;/D&gt;&lt;D xsi:type="xsd:double"&gt;15.5355196202973&lt;/D&gt;&lt;D xsi:type="xsd:double"&gt;16.208189071629&lt;/D&gt;&lt;D xsi:type="xsd:double"&gt;16.1982409011317&lt;/D&gt;&lt;D xsi:type="xsd:double"&gt;15.4917259070292&lt;/D&gt;&lt;D xsi:type="xsd:double"&gt;16.1583172598644&lt;/D&gt;&lt;D xsi:type="xsd:double"&gt;16.3956406726898&lt;/D&gt;&lt;D xsi:type="xsd:double"&gt;16.5986941902803&lt;/D&gt;&lt;D xsi:type="xsd:double"&gt;16.7854983082635&lt;/D&gt;&lt;D xsi:type="xsd:double"&gt;16.7280627880257&lt;/D&gt;&lt;D xsi:type="xsd:double"&gt;16.2807693581811&lt;/D&gt;&lt;D xsi:type="xsd:double"&gt;16.1832009872588&lt;/D&gt;&lt;D xsi:type="xsd:double"&gt;16.5618286389085&lt;/D&gt;&lt;D xsi:type="xsd:double"&gt;16.7460502917562&lt;/D&gt;&lt;D xsi:type="xsd:double"&gt;16.9738530672571&lt;/D&gt;&lt;D xsi:type="xsd:double"&gt;16.9399435379578&lt;/D&gt;&lt;D xsi:type="xsd:double"&gt;16.9046406912368&lt;/D&gt;&lt;D xsi:type="xsd:double"&gt;16.6063549596212&lt;/D&gt;&lt;D xsi:type="xsd:double"&gt;16.3308094737684&lt;/D&gt;&lt;D xsi:type="xsd:double"&gt;16.3613461318613&lt;/D&gt;&lt;D xsi:type="xsd:double"&gt;16.3563221709967&lt;/D&gt;&lt;D xsi:type="xsd:double"&gt;15.9616877929135&lt;/D&gt;&lt;D xsi:type="xsd:double"&gt;15.6090040156225&lt;/D&gt;&lt;D xsi:type="xsd:double"&gt;16.1166246940021&lt;/D&gt;&lt;D xsi:type="xsd:double"&gt;16.8226717888529&lt;/D&gt;&lt;D xsi:type="xsd:double"&gt;16.7707431620716&lt;/D&gt;&lt;D xsi:type="xsd:double"&gt;16.4953707554576&lt;/D&gt;&lt;D xsi:type="xsd:double"&gt;16.4993813281106&lt;/D&gt;&lt;D xsi:type="xsd:double"&gt;15.985042076439&lt;/D&gt;&lt;D xsi:type="xsd:double"&gt;15.4868791549696&lt;/D&gt;&lt;D xsi:type="xsd:double"&gt;16.0849126559969&lt;/D&gt;&lt;D xsi:type="xsd:double"&gt;16.5837067435624&lt;/D&gt;&lt;D xsi:type="xsd:double"&gt;16.5265916307609&lt;/D&gt;&lt;D xsi:type="xsd:double"&gt;15.465514664714&lt;/D&gt;&lt;D xsi:type="xsd:double"&gt;15.7027751167531&lt;/D&gt;&lt;D xsi:type="xsd:double"&gt;15.79411908923&lt;/D&gt;&lt;D xsi:type="xsd:double"&gt;16.1634805090699&lt;/D&gt;&lt;D xsi:type="xsd:double"&gt;16.7192413315587&lt;/D&gt;&lt;D xsi:type="xsd:double"&gt;16.3003245203922&lt;/D&gt;&lt;D xsi:type="xsd:double"&gt;15.9911477273158&lt;/D&gt;&lt;D xsi:type="xsd:double"&gt;15.6691216860897&lt;/D&gt;&lt;D xsi:type="xsd:double"&gt;16.8556511650211&lt;/D&gt;&lt;D xsi:type="xsd:double"&gt;16.5391582376453&lt;/D&gt;&lt;D xsi:type="xsd:double"&gt;16.1001438803301&lt;/D&gt;&lt;D xsi:type="xsd:double"&gt;16.0214233342814&lt;/D&gt;&lt;D xsi:type="xsd:double"&gt;15.7482592562348&lt;/D&gt;&lt;D xsi:type="xsd:double"&gt;16.0268705124063&lt;/D&gt;&lt;D xsi:type="xsd:double"&gt;16.3245564209939&lt;/D&gt;&lt;D xsi:type="xsd:double"&gt;15.8323691155722&lt;/D&gt;&lt;D xsi:type="xsd:double"&gt;15.4701670136492&lt;/D&gt;&lt;D xsi:type="xsd:double"&gt;13.5048622076298&lt;/D&gt;&lt;D xsi:type="xsd:double"&gt;15.7678401481936&lt;/D&gt;&lt;D xsi:type="xsd:double"&gt;17.8274196846611&lt;/D&gt;&lt;D xsi:type="xsd:double"&gt;19.0708885450923&lt;/D&gt;&lt;D xsi:type="xsd:double"&gt;19.7446398756306&lt;/D&gt;&lt;D xsi:type="xsd:double"&gt;18.7940593839057&lt;/D&gt;&lt;D xsi:type="xsd:double"&gt;17.2338510483476&lt;/D&gt;&lt;D xsi:type="xsd:double"&gt;16.8412923728248&lt;/D&gt;&lt;D xsi:type="xsd:double"&gt;16.3379862383053&lt;/D&gt;&lt;D xsi:type="xsd:double"&gt;15.2001932801598&lt;/D&gt;&lt;D xsi:type="xsd:double"&gt;14.5822531303672&lt;/D&gt;&lt;D xsi:type="xsd:double"&gt;13.8886894740562&lt;/D&gt;&lt;D xsi:type="xsd:double"&gt;14.1883724073704&lt;/D&gt;&lt;D xsi:type="xsd:double"&gt;14.1998709442267&lt;/D&gt;&lt;D xsi:type="xsd:double"&gt;13.7703119095374&lt;/D&gt;&lt;D xsi:type="xsd:double"&gt;13.8439072027825&lt;/D&gt;&lt;D xsi:type="xsd:double"&gt;13.5858843135938&lt;/D&gt;&lt;D xsi:type="xsd:double"&gt;13.5637582527298&lt;/D&gt;&lt;D xsi:type="xsd:double"&gt;14.0139761924447&lt;/D&gt;&lt;D xsi:type="xsd:double"&gt;14.7442659318366&lt;/D&gt;&lt;D xsi:type="xsd:double"&gt;14.1446084131947&lt;/D&gt;&lt;D xsi:type="xsd:double"&gt;15.2440116502222&lt;/D&gt;&lt;D xsi:type="xsd:double"&gt;15.2573653664035&lt;/D&gt;&lt;D xsi:type="xsd:double"&gt;15.3811389452798&lt;/D&gt;&lt;D xsi:type="xsd:double"&gt;15.3699255722453&lt;/D&gt;&lt;D xsi:type="xsd:double"&gt;15.1188756359054&lt;/D&gt;&lt;D xsi:type="xsd:double"&gt;14.3357254437845&lt;/D&gt;&lt;D xsi:type="xsd:double"&gt;13.3467261004412&lt;/D&gt;&lt;D xsi:type="xsd:double"&gt;13.6591438349859&lt;/D&gt;&lt;D xsi:type="xsd:double"&gt;13.7370296236686&lt;/D&gt;&lt;D xsi:type="xsd:double"&gt;13.0737548915178&lt;/D&gt;&lt;D xsi:type="xsd:double"&gt;13.1714549678101&lt;/D&gt;&lt;D xsi:type="xsd:double"&gt;13.0613507844427&lt;/D&gt;&lt;D xsi:type="xsd:double"&gt;13.4007227639379&lt;/D&gt;&lt;D xsi:type="xsd:double"&gt;13.6150694283162&lt;/D&gt;&lt;D xsi:type="xsd:double"&gt;13.3001429548493&lt;/D&gt;&lt;D xsi:type="xsd:double"&gt;12.9295407130076&lt;/D&gt;&lt;D xsi:type="xsd:double"&gt;13.0733858350812&lt;/D&gt;&lt;D xsi:type="xsd:double"&gt;13.0247559513252&lt;/D&gt;&lt;D xsi:type="xsd:double"&gt;13.331197853908&lt;/D&gt;&lt;D xsi:type="xsd:double"&gt;13.5222550800425&lt;/D&gt;&lt;D xsi:type="xsd:double"&gt;13.7295849714243&lt;/D&gt;&lt;D xsi:type="xsd:double"&gt;13.8016419373421&lt;/D&gt;&lt;D xsi:type="xsd:double"&gt;13.5813881125776&lt;/D&gt;&lt;D xsi:type="xsd:double"&gt;13.621309981344&lt;/D&gt;&lt;D xsi:type="xsd:double"&gt;13.6587156957706&lt;/D&gt;&lt;D xsi:type="xsd:double"&gt;13.7609079101645&lt;/D&gt;&lt;D xsi:type="xsd:double"&gt;14.207045638177&lt;/D&gt;&lt;D xsi:type="xsd:double"&gt;13.9722655845202&lt;/D&gt;&lt;D xsi:type="xsd:double"&gt;14.0765557739515&lt;/D&gt;&lt;D xsi:type="xsd:double"&gt;14.5061298747999&lt;/D&gt;&lt;/FQL&gt;&lt;FQL&gt;&lt;Q&gt;GREK^FMA_PE(LTMA,-10AY,0,AM,"PORTAGG","MEANR")&lt;/Q&gt;&lt;R&gt;121&lt;/R&gt;&lt;C&gt;1&lt;/C&gt;&lt;D xsi:type="xsd:double"&gt;31.8884403761456&lt;/D&gt;&lt;D xsi:type="xsd:double"&gt;25.9822612436239&lt;/D&gt;&lt;D xsi:type="xsd:double"&gt;23.3493246436901&lt;/D&gt;&lt;D xsi:type="xsd:double"&gt;21.3770962068327&lt;/D&gt;&lt;D xsi:type="xsd:double"&gt;19.1302736907147&lt;/D&gt;&lt;D xsi:type="xsd:double"&gt;17.4143359926892&lt;/D&gt;&lt;D xsi:type="xsd:double"&gt;17.6594810874558&lt;/D&gt;&lt;D xsi:type="xsd:double"&gt;16.6137489819915&lt;/D&gt;&lt;D xsi:type="xsd:double"&gt;15.5232226611608&lt;/D&gt;&lt;D xsi:type="xsd:double"&gt;16.8102175241876&lt;/D&gt;&lt;D xsi:type="xsd:double"&gt;17.1448168210486&lt;/D&gt;&lt;D xsi:type="xsd:double"&gt;15.9624132166018&lt;/D&gt;&lt;D xsi:type="xsd:double"&gt;14.9058525258881&lt;/D&gt;&lt;D xsi:type="xsd:double"&gt;14.230987368432&lt;/D&gt;&lt;D xsi:type="xsd:double"&gt;12.832095136004&lt;/D&gt;&lt;D xsi:type="xsd:double"&gt;11.7578927208001&lt;/D&gt;&lt;D xsi:type="xsd:double"&gt;11.205602018012&lt;/D&gt;&lt;D xsi:type="xsd:double"&gt;11.7130509950933&lt;/D&gt;&lt;D xsi:type="xsd:double"&gt;12.5899751205468&lt;/D&gt;&lt;D xsi:type="xsd:double"&gt;-3.97637065382579&lt;/D&gt;&lt;D xsi:type="xsd:double"&gt;-0.890535367537807&lt;/D&gt;&lt;D xsi:type="xsd:double"&gt;-0.186658346309151&lt;/D&gt;&lt;D xsi:type="xsd:double"&gt;0.565753363490864&lt;/D&gt;&lt;D xsi:type="xsd:double"&gt;2.47497927286384&lt;/D&gt;&lt;D xsi:type="xsd:double"&gt;3.97647583619735&lt;/D&gt;&lt;D xsi:type="xsd:double"&gt;4.90659630658365&lt;/D&gt;&lt;D xsi:type="xsd:double"&gt;5.6001226968003&lt;/D&gt;&lt;D xsi:type="xsd:double"&gt;6.66237513824665&lt;/D&gt;&lt;D xsi:type="xsd:double"&gt;9.17066626602029&lt;/D&gt;&lt;D xsi:type="xsd:double"&gt;11.0110608929594&lt;/D&gt;&lt;D xsi:type="xsd:double"&gt;14.4182031055255&lt;/D&gt;&lt;D xsi:type="xsd:double"&gt;14.0853332104815&lt;/D&gt;&lt;D xsi:type="xsd:double"&gt;14.2396813376202&lt;/D&gt;&lt;D xsi:type="xsd:double"&gt;14.16301782768&lt;/D&gt;&lt;D xsi:type="xsd:double"&gt;14.0364451333569&lt;/D&gt;&lt;D xsi:type="xsd:double"&gt;14.1509615741752&lt;/D&gt;&lt;D xsi:type="xsd:double"&gt;15.2261072130365&lt;/D&gt;&lt;D xsi:type="xsd:double"&gt;15.1678755336706&lt;/D&gt;&lt;D xsi:type="xsd:double"&gt;15.5271081687946&lt;/D&gt;&lt;D xsi:type="xsd:double"&gt;15.3928873434403&lt;/D&gt;&lt;D xsi:type="xsd:double"&gt;15.1207922244847&lt;/D&gt;&lt;D xsi:type="xsd:double"&gt;16.0204019523863&lt;/D&gt;&lt;D xsi:type="xsd:double"&gt;16.5232058634734&lt;/D&gt;&lt;D xsi:type="xsd:double"&gt;20.3944115610003&lt;/D&gt;&lt;D xsi:type="xsd:double"&gt;22.978248636475&lt;/D&gt;&lt;D xsi:type="xsd:double"&gt;24.1745536475709&lt;/D&gt;&lt;D xsi:type="xsd:double"&gt;23.0772783517815&lt;/D&gt;&lt;D xsi:type="xsd:double"&gt;22.8755749251077&lt;/D&gt;&lt;D xsi:type="xsd:double"&gt;21.5947756688733&lt;/D&gt;&lt;D xsi:type="xsd:double"&gt;21.7880012006478&lt;/D&gt;&lt;D xsi:type="xsd:double"&gt;21.0317489882803&lt;/D&gt;&lt;D xsi:type="xsd:double"&gt;21.1866458410957&lt;/D&gt;&lt;D xsi:type="xsd:double"&gt;21.7288105618307&lt;/D&gt;&lt;D xsi:type="xsd:double"&gt;18.7799991154867&lt;/D&gt;&lt;D xsi:type="xsd:double"&gt;17.663303063924&lt;/D&gt;&lt;D xsi:type="xsd:double"&gt;14.9292065694907&lt;/D&gt;&lt;D xsi:type="xsd:double"&gt;15.1945170252433&lt;/D&gt;&lt;D xsi:type="xsd:double"&gt;17.6540805256276&lt;/D&gt;&lt;D xsi:type="xsd:double"&gt;18.5189306443562&lt;/D&gt;&lt;D xsi:type="xsd:double"&gt;18.2830721701543&lt;/D&gt;&lt;D xsi:type="xsd:double"&gt;17.4149205363576&lt;/D&gt;&lt;D xsi:type="xsd:double"&gt;17.6486568314499&lt;/D&gt;&lt;D xsi:type="xsd:double"&gt;18.1474606850686&lt;/D&gt;&lt;D xsi:type="xsd:double"&gt;18.5363978086043&lt;/D&gt;&lt;D xsi:type="xsd:double"&gt;19.9021712626174&lt;/D&gt;&lt;D xsi:type="xsd:double"&gt;15.7963611335493&lt;/D&gt;&lt;D xsi:type="xsd:double"&gt;15.3909518524434&lt;/D&gt;&lt;D xsi:type="xsd:double"&gt;17.2434794639167&lt;/D&gt;&lt;D xsi:type="xsd:double"&gt;18.7121863097195&lt;/D&gt;&lt;D xsi:type="xsd:double"&gt;15.3211177096004&lt;/D&gt;&lt;D xsi:type="xsd:double"&gt;11.6016477336684&lt;/D&gt;&lt;D xsi:type="xsd:double"&gt;11.941755656495&lt;/D&gt;&lt;D xsi:type="xsd:double"&gt;12.2947824046008&lt;/D&gt;&lt;D xsi:type="xsd:double"&gt;14.915095171765&lt;/D&gt;&lt;D xsi:type="xsd:double"&gt;15.4680404624542&lt;/D&gt;&lt;D xsi:type="xsd:double"&gt;14.9563177479133&lt;/D&gt;&lt;D xsi:type="xsd:double"&gt;15.4010834392384&lt;/D&gt;&lt;D xsi:type="xsd:double"&gt;14.033700973864&lt;/D&gt;&lt;D xsi:type="xsd:double"&gt;15.5285503393543&lt;/D&gt;&lt;D xsi:type="xsd:double"&gt;17.9582979617225&lt;/D&gt;&lt;D xsi:type="xsd:double"&gt;17.1300793727452&lt;/D&gt;&lt;D xsi:type="xsd:double"&gt;16.8543788641611&lt;/D&gt;&lt;D xsi:type="xsd:double"&gt;17.4447187329635&lt;/D&gt;&lt;D xsi:type="xsd:double"&gt;17.316685723632&lt;/D&gt;&lt;D xsi:type="xsd:double"&gt;15.5708454179595&lt;/D&gt;&lt;D xsi:type="xsd:double"&gt;17.1320543752425&lt;/D&gt;&lt;D xsi:type="xsd:double"&gt;15.8349922355048&lt;/D&gt;&lt;D xsi:type="xsd:double"&gt;15.6082096130729&lt;/D&gt;&lt;D xsi:type="xsd:double"&gt;13.8097253644021&lt;/D&gt;&lt;D xsi:type="xsd:double"&gt;14.2937538291846&lt;/D&gt;&lt;D xsi:type="xsd:double"&gt;13.6379717538401&lt;/D&gt;&lt;D xsi:type="xsd:double"&gt;12.6892422733482&lt;/D&gt;&lt;D xsi:type="xsd:double"&gt;-91.678092074452&lt;/D&gt;&lt;D xsi:type="xsd:double"&gt;-124.994042972581&lt;/D&gt;&lt;D xsi:type="xsd:double"&gt;-88.5845438753466&lt;/D&gt;&lt;D xsi:type="xsd:double"&gt;-77.769005346812&lt;/D&gt;&lt;D xsi:type="xsd:double"&gt;-67.4454181582301&lt;/D&gt;&lt;D xsi:type="xsd:double"&gt;-56.9093899347644&lt;/D&gt;&lt;D xsi:type="xsd:double"&gt;-47.1885088816486&lt;/D&gt;&lt;D xsi:type="xsd:double"&gt;-36.0634143626146&lt;/D&gt;&lt;D xsi:type="xsd:double"&gt;-27.1588179927489&lt;/D&gt;&lt;D xsi:type="xsd:double"&gt;-17.1855019598685&lt;/D&gt;&lt;D xsi:type="xsd:double"&gt;-6.63194806413291&lt;/D&gt;&lt;D xsi:type="xsd:double"&gt;3.46074956612448&lt;/D&gt;&lt;D xsi:type="xsd:double"&gt;6.61682821588724&lt;/D&gt;&lt;D xsi:type="xsd:double"&gt;7.93961605281245&lt;/D&gt;&lt;D xsi:type="xsd:double"&gt;7.67065738655413&lt;/D&gt;&lt;D xsi:type="xsd:double"&gt;7.66549130264626&lt;/D&gt;&lt;D xsi:type="xsd:double"&gt;7.69298012976801&lt;/D&gt;&lt;D xsi:type="xsd:double"&gt;7.87315992711254&lt;/D&gt;&lt;D xsi:type="xsd:double"&gt;8.1458870163836&lt;/D&gt;&lt;D xsi:type="xsd:double"&gt;7.58748959867424&lt;/D&gt;&lt;D xsi:type="xsd:double"&gt;7.15210649354119&lt;/D&gt;&lt;D xsi:type="xsd:double"&gt;6.70050875039957&lt;/D&gt;&lt;D xsi:type="xsd:double"&gt;6.66691670093773&lt;/D&gt;&lt;D xsi:type="xsd:double"&gt;6.2981121597929&lt;/D&gt;&lt;D xsi:type="xsd:double"&gt;6.39711275051507&lt;/D&gt;&lt;D xsi:type="xsd:double"&gt;6.72948236915735&lt;/D&gt;&lt;D xsi:type="xsd:double"&gt;6.78064023621127&lt;/D&gt;&lt;D xsi:type="xsd:double"&gt;6.85502972480887&lt;/D&gt;&lt;D xsi:type="xsd:double"&gt;6.91860000203625&lt;/D&gt;&lt;/FQL&gt;&lt;FQL&gt;&lt;Q&gt;DDR3512M-FDS^FG_PRICE_CHANGE(0,-1AY)&lt;/Q&gt;&lt;R&gt;1&lt;/R&gt;&lt;C&gt;1&lt;/C&gt;&lt;D xsi:type="xsd:double"&gt;-7.03476960179014&lt;/D&gt;&lt;/FQL&gt;&lt;FQL&gt;&lt;Q&gt;PASP-FDS^FG_PRICE_CHANGE(0,-1AY)&lt;/Q&gt;&lt;R&gt;1&lt;/R&gt;&lt;C&gt;1&lt;/C&gt;&lt;D xsi:type="xsd:double"&gt;-31.9727891156463&lt;/D&gt;&lt;/FQL&gt;&lt;FQL&gt;&lt;Q&gt;PLATI-FDS^FG_PRICE_CHANGE(0,-1AY)&lt;/Q&gt;&lt;R&gt;1&lt;/R&gt;&lt;C&gt;1&lt;/C&gt;&lt;D xsi:type="xsd:double"&gt;-2.70522388059702&lt;/D&gt;&lt;/FQL&gt;&lt;FQL&gt;&lt;Q&gt;W-FDS^FG_PRICE_CHANGE(0,-1AY)&lt;/Q&gt;&lt;R&gt;1&lt;/R&gt;&lt;C&gt;1&lt;/C&gt;&lt;D xsi:type="xsd:double"&gt;12.1735636801928&lt;/D&gt;&lt;/FQL&gt;&lt;FQL&gt;&lt;Q&gt;COPP-FDS^FG_PRICE_CHANGE(0,-1AY)&lt;/Q&gt;&lt;R&gt;1&lt;/R&gt;&lt;C&gt;1&lt;/C&gt;&lt;D xsi:type="xsd:double"&gt;32.266922971303&lt;/D&gt;&lt;/FQL&gt;&lt;FQL&gt;&lt;Q&gt;FC0000SA^FG_PRICE(0)&lt;/Q&gt;&lt;R&gt;1&lt;/R&gt;&lt;C&gt;1&lt;/C&gt;&lt;D xsi:type="xsd:double"&gt;50.58567&lt;/D&gt;&lt;/FQL&gt;&lt;FQL&gt;&lt;Q&gt;KSA^FMA_ROE(NTMA,-20AY,NOW,FY,"PORTAGG","MEANR")&lt;/Q&gt;&lt;R&gt;20&lt;/R&gt;&lt;C&gt;1&lt;/C&gt;&lt;D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xsi:type="xsd:double"&gt;11.2305559842023&lt;/D&gt;&lt;D xsi:type="xsd:double"&gt;10.1469870541411&lt;/D&gt;&lt;D xsi:type="xsd:double"&gt;12.7997878070165&lt;/D&gt;&lt;D xsi:type="xsd:double"&gt;13.7729696634709&lt;/D&gt;&lt;D xsi:type="xsd:double"&gt;11.7634573001407&lt;/D&gt;&lt;/FQL&gt;&lt;FQL&gt;&lt;Q&gt;EPOL^FMA_ROE(NTMA,-20AY,NOW,FY,"PORTAGG","MEANR")&lt;/Q&gt;&lt;R&gt;20&lt;/R&gt;&lt;C&gt;1&lt;/C&gt;&lt;D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xsi:type="xsd:double"&gt;7.20768650788903&lt;/D&gt;&lt;D xsi:type="xsd:double"&gt;10.1460102201106&lt;/D&gt;&lt;D xsi:type="xsd:double"&gt;10.9641857238333&lt;/D&gt;&lt;D xsi:type="xsd:double"&gt;12.3945793275799&lt;/D&gt;&lt;/FQL&gt;&lt;FQL&gt;&lt;Q&gt;TRYQA10Y-FDS^FG_YIELD(-10AY,0,Y,,"YTM")&lt;/Q&gt;&lt;R&gt;10&lt;/R&gt;&lt;C&gt;1&lt;/C&gt;&lt;D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xsi:type="xsd:double"&gt;0.703&lt;/D&gt;&lt;/FQL&gt;&lt;FQL&gt;&lt;Q&gt;CAGDPY@IN^EE_ACTUAL_ANNUAL(MED,+1)&lt;/Q&gt;&lt;R&gt;1&lt;/R&gt;&lt;C&gt;1&lt;/C&gt;&lt;D xsi:type="xsd:double"&gt;-1.2&lt;/D&gt;&lt;/FQL&gt;&lt;FQL&gt;&lt;Q&gt;CAGDPY@PE^EE_ACTUAL_ANNUAL(MED,+1)&lt;/Q&gt;&lt;R&gt;1&lt;/R&gt;&lt;C&gt;1&lt;/C&gt;&lt;D xsi:type="xsd:double"&gt;-0.45&lt;/D&gt;&lt;/FQL&gt;&lt;FQL&gt;&lt;Q&gt;CC_TH^FG_COMPANY_NAME&lt;/Q&gt;&lt;R&gt;1&lt;/R&gt;&lt;C&gt;1&lt;/C&gt;&lt;D xsi:type="xsd:string"&gt;Thailand&lt;/D&gt;&lt;/FQL&gt;&lt;FQL&gt;&lt;Q&gt;CC_CN^FG_COMPANY_NAME&lt;/Q&gt;&lt;R&gt;1&lt;/R&gt;&lt;C&gt;1&lt;/C&gt;&lt;D xsi:type="xsd:string"&gt;China&lt;/D&gt;&lt;/FQL&gt;&lt;FQL&gt;&lt;Q&gt;USDVND^FG_COMPANY_NAME&lt;/Q&gt;&lt;R&gt;1&lt;/R&gt;&lt;C&gt;1&lt;/C&gt;&lt;D xsi:type="xsd:string"&gt;Vietnam Dong per U.S. Dollar&lt;/D&gt;&lt;/FQL&gt;&lt;FQL&gt;&lt;Q&gt;USDTRY^FG_COMPANY_NAME&lt;/Q&gt;&lt;R&gt;1&lt;/R&gt;&lt;C&gt;1&lt;/C&gt;&lt;D xsi:type="xsd:string"&gt;Turkish New Lira per U.S. Dollar&lt;/D&gt;&lt;/FQL&gt;&lt;FQL&gt;&lt;Q&gt;USDQAR^FG_COMPANY_NAME&lt;/Q&gt;&lt;R&gt;1&lt;/R&gt;&lt;C&gt;1&lt;/C&gt;&lt;D xsi:type="xsd:string"&gt;Qatari Rial per U.S. Dollar&lt;/D&gt;&lt;/FQL&gt;&lt;FQL&gt;&lt;Q&gt;USDINR^FG_COMPANY_NAME&lt;/Q&gt;&lt;R&gt;1&lt;/R&gt;&lt;C&gt;1&lt;/C&gt;&lt;D xsi:type="xsd:string"&gt;Indian Rupee per U.S. Dollar&lt;/D&gt;&lt;/FQL&gt;&lt;FQL&gt;&lt;Q&gt;USDZAR^FG_COMPANY_NAME&lt;/Q&gt;&lt;R&gt;1&lt;/R&gt;&lt;C&gt;1&lt;/C&gt;&lt;D xsi:type="xsd:string"&gt;South African Rand per U.S. Dollar&lt;/D&gt;&lt;/FQL&gt;&lt;FQL&gt;&lt;Q&gt;USDKRW^FG_COMPANY_NAME&lt;/Q&gt;&lt;R&gt;1&lt;/R&gt;&lt;C&gt;1&lt;/C&gt;&lt;D xsi:type="xsd:string"&gt;South Korean Won per U.S. Dollar&lt;/D&gt;&lt;/FQL&gt;&lt;FQL&gt;&lt;Q&gt;USDTWD^FG_COMPANY_NAME&lt;/Q&gt;&lt;R&gt;1&lt;/R&gt;&lt;C&gt;1&lt;/C&gt;&lt;D xsi:type="xsd:string"&gt;Taiwan Dollar per U.S. Dollar&lt;/D&gt;&lt;/FQL&gt;&lt;FQL&gt;&lt;Q&gt;USDPEN^FG_COMPANY_NAME&lt;/Q&gt;&lt;R&gt;1&lt;/R&gt;&lt;C&gt;1&lt;/C&gt;&lt;D xsi:type="xsd:string"&gt;Peruvian New Sol per U.S. Dollar&lt;/D&gt;&lt;/FQL&gt;&lt;FQL&gt;&lt;Q&gt;USDPHP^FG_COMPANY_NAME&lt;/Q&gt;&lt;R&gt;1&lt;/R&gt;&lt;C&gt;1&lt;/C&gt;&lt;D xsi:type="xsd:string"&gt;Philippines Peso per U.S. Dollar&lt;/D&gt;&lt;/FQL&gt;&lt;FQL&gt;&lt;Q&gt;USDCLP^FG_COMPANY_NAME&lt;/Q&gt;&lt;R&gt;1&lt;/R&gt;&lt;C&gt;1&lt;/C&gt;&lt;D xsi:type="xsd:string"&gt;Chilean Peso per U.S. Dollar&lt;/D&gt;&lt;/FQL&gt;&lt;FQL&gt;&lt;Q&gt;FC0000IN^FMA_EPS(NTMA,-20AY,0,CY,,"PORTAGG","MEANR")&lt;/Q&gt;&lt;R&gt;20&lt;/R&gt;&lt;C&gt;1&lt;/C&gt;&lt;D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xsi:type="xsd:double"&gt;36.3147882909564&lt;/D&gt;&lt;D xsi:type="xsd:double"&gt;33.7104852000639&lt;/D&gt;&lt;D xsi:type="xsd:double"&gt;47.0115895528156&lt;/D&gt;&lt;D xsi:type="xsd:double"&gt;46.0412578319875&lt;/D&gt;&lt;D xsi:type="xsd:double"&gt;54.6849336628711&lt;/D&gt;&lt;/FQL&gt;&lt;FQL&gt;&lt;Q&gt;VNM^P_PRICE_RETURNS_PR('52W',2,-10AY,0,AM)&lt;/Q&gt;&lt;R&gt;121&lt;/R&gt;&lt;C&gt;1&lt;/C&gt;&lt;D xsi:type="xsd:double"&gt;2.3659468&lt;/D&gt;&lt;D xsi:type="xsd:double"&gt;9.917105&lt;/D&gt;&lt;D xsi:type="xsd:double"&gt;17.941772&lt;/D&gt;&lt;D xsi:type="xsd:double"&gt;28.337025&lt;/D&gt;&lt;D xsi:type="xsd:double"&gt;26.715172&lt;/D&gt;&lt;D xsi:type="xsd:double"&gt;13.965761&lt;/D&gt;&lt;D xsi:type="xsd:double"&gt;12.602854&lt;/D&gt;&lt;D xsi:type="xsd:double"&gt;3.3113003&lt;/D&gt;&lt;D xsi:type="xsd:double"&gt;-8.393234&lt;/D&gt;&lt;D xsi:type="xsd:double"&gt;-7.6370296&lt;/D&gt;&lt;D xsi:type="xsd:double"&gt;-17.25896&lt;/D&gt;&lt;D xsi:type="xsd:double"&gt;-6.561494&lt;/D&gt;&lt;D xsi:type="xsd:double"&gt;-8.888668&lt;/D&gt;&lt;D xsi:type="xsd:double"&gt;-7.725543&lt;/D&gt;&lt;D xsi:type="xsd:double"&gt;-12.069774&lt;/D&gt;&lt;D xsi:type="xsd:double"&gt;-27.268362&lt;/D&gt;&lt;D xsi:type="xsd:double"&gt;-27.739096&lt;/D&gt;&lt;D xsi:type="xsd:double"&gt;-15.236616&lt;/D&gt;&lt;D xsi:type="xsd:double"&gt;-20.418179&lt;/D&gt;&lt;D xsi:type="xsd:double"&gt;-20.509922&lt;/D&gt;&lt;D xsi:type="xsd:double"&gt;-27.91872&lt;/D&gt;&lt;D xsi:type="xsd:double"&gt;-24.329346&lt;/D&gt;&lt;D xsi:type="xsd:double"&gt;-17.702728&lt;/D&gt;&lt;D xsi:type="xsd:double"&gt;-18.47983&lt;/D&gt;&lt;D xsi:type="xsd:double"&gt;-16.059637&lt;/D&gt;&lt;D xsi:type="xsd:double"&gt;-15.632725&lt;/D&gt;&lt;D xsi:type="xsd:double"&gt;-17.103916&lt;/D&gt;&lt;D xsi:type="xsd:double"&gt;1.5521884&lt;/D&gt;&lt;D xsi:type="xsd:double"&gt;-1.7360628&lt;/D&gt;&lt;D xsi:type="xsd:double"&gt;-9.015524&lt;/D&gt;&lt;D xsi:type="xsd:double"&gt;-12.853849&lt;/D&gt;&lt;D xsi:type="xsd:double"&gt;-8.345824&lt;/D&gt;&lt;D xsi:type="xsd:double"&gt;6.6502094&lt;/D&gt;&lt;D xsi:type="xsd:double"&gt;-0.98817945&lt;/D&gt;&lt;D xsi:type="xsd:double"&gt;2.2430182&lt;/D&gt;&lt;D xsi:type="xsd:double"&gt;1.3638139&lt;/D&gt;&lt;D xsi:type="xsd:double"&gt;0.10855198&lt;/D&gt;&lt;D xsi:type="xsd:double"&gt;1.8434763&lt;/D&gt;&lt;D xsi:type="xsd:double"&gt;-0.40193796&lt;/D&gt;&lt;D xsi:type="xsd:double"&gt;-4.922742&lt;/D&gt;&lt;D xsi:type="xsd:double"&gt;1.7122984&lt;/D&gt;&lt;D xsi:type="xsd:double"&gt;6.9090724&lt;/D&gt;&lt;D xsi:type="xsd:double"&gt;25.274097&lt;/D&gt;&lt;D xsi:type="xsd:double"&gt;36.83728&lt;/D&gt;&lt;D xsi:type="xsd:double"&gt;46.778034&lt;/D&gt;&lt;D xsi:type="xsd:double"&gt;40.304363&lt;/D&gt;&lt;D xsi:type="xsd:double"&gt;34.993385&lt;/D&gt;&lt;D xsi:type="xsd:double"&gt;33.04696&lt;/D&gt;&lt;D xsi:type="xsd:double"&gt;20.419216&lt;/D&gt;&lt;D xsi:type="xsd:double"&gt;11.649525&lt;/D&gt;&lt;D xsi:type="xsd:double"&gt;9.489096&lt;/D&gt;&lt;D xsi:type="xsd:double"&gt;17.45832&lt;/D&gt;&lt;D xsi:type="xsd:double"&gt;11.912847&lt;/D&gt;&lt;D xsi:type="xsd:double"&gt;1.2425184&lt;/D&gt;&lt;D xsi:type="xsd:double"&gt;-8.783317&lt;/D&gt;&lt;D xsi:type="xsd:double"&gt;-12.805486&lt;/D&gt;&lt;D xsi:type="xsd:double"&gt;-20.159447&lt;/D&gt;&lt;D xsi:type="xsd:double"&gt;-8.593452&lt;/D&gt;&lt;D xsi:type="xsd:double"&gt;-13.209618&lt;/D&gt;&lt;D xsi:type="xsd:double"&gt;-6.6579523&lt;/D&gt;&lt;D xsi:type="xsd:double"&gt;-0.9928465&lt;/D&gt;&lt;D xsi:type="xsd:double"&gt;3.0186534&lt;/D&gt;&lt;D xsi:type="xsd:double"&gt;4.830861&lt;/D&gt;&lt;D xsi:type="xsd:double"&gt;-4.5126143&lt;/D&gt;&lt;D xsi:type="xsd:double"&gt;-2.7106822&lt;/D&gt;&lt;D xsi:type="xsd:double"&gt;5.981064&lt;/D&gt;&lt;D xsi:type="xsd:double"&gt;5.3508043&lt;/D&gt;&lt;D xsi:type="xsd:double"&gt;8.647299&lt;/D&gt;&lt;D xsi:type="xsd:double"&gt;4.3017864&lt;/D&gt;&lt;D xsi:type="xsd:double"&gt;-9.841317&lt;/D&gt;&lt;D xsi:type="xsd:double"&gt;-40.61809&lt;/D&gt;&lt;D xsi:type="xsd:double"&gt;-28.220957&lt;/D&gt;&lt;D xsi:type="xsd:double"&gt;-17.232632&lt;/D&gt;&lt;D xsi:type="xsd:double"&gt;-14.50007&lt;/D&gt;&lt;D xsi:type="xsd:double"&gt;-12.771922&lt;/D&gt;&lt;D xsi:type="xsd:double"&gt;-10.169231&lt;/D&gt;&lt;D xsi:type="xsd:double"&gt;-8.6811905&lt;/D&gt;&lt;D xsi:type="xsd:double"&gt;-4.020935&lt;/D&gt;&lt;D xsi:type="xsd:double"&gt;1.2056112&lt;/D&gt;&lt;D xsi:type="xsd:double"&gt;6.6904545&lt;/D&gt;&lt;D xsi:type="xsd:double"&gt;14.877319&lt;/D&gt;&lt;D xsi:type="xsd:double"&gt;21.224033&lt;/D&gt;&lt;D xsi:type="xsd:double"&gt;81.78388&lt;/D&gt;&lt;D xsi:type="xsd:double"&gt;62.538338&lt;/D&gt;&lt;D xsi:type="xsd:double"&gt;41.337086&lt;/D&gt;&lt;D xsi:type="xsd:double"&gt;45.093407&lt;/D&gt;&lt;D xsi:type="xsd:double"&gt;34.47553&lt;/D&gt;&lt;D xsi:type="xsd:double"&gt;37.65439&lt;/D&gt;&lt;D xsi:type="xsd:double"&gt;36.6349&lt;/D&gt;&lt;D xsi:type="xsd:double"&gt;30.090284&lt;/D&gt;&lt;D xsi:type="xsd:double"&gt;28.233004&lt;/D&gt;&lt;D xsi:type="xsd:double"&gt;23.886633&lt;/D&gt;&lt;D xsi:type="xsd:double"&gt;8.542717&lt;/D&gt;&lt;D xsi:type="xsd:double"&gt;9.515488&lt;/D&gt;&lt;D xsi:type="xsd:double"&gt;10.001099&lt;/D&gt;&lt;D xsi:type="xsd:double"&gt;-9.982437&lt;/D&gt;&lt;D xsi:type="xsd:double"&gt;-19.44176&lt;/D&gt;&lt;D xsi:type="xsd:double"&gt;-26.640152&lt;/D&gt;&lt;D xsi:type="xsd:double"&gt;-24.533558&lt;/D&gt;&lt;D xsi:type="xsd:double"&gt;-19.734509&lt;/D&gt;&lt;D xsi:type="xsd:double"&gt;-28.432243&lt;/D&gt;&lt;D xsi:type="xsd:double"&gt;-39.04237&lt;/D&gt;&lt;D xsi:type="xsd:double"&gt;-45.6437&lt;/D&gt;&lt;D xsi:type="xsd:double"&gt;-40.704216&lt;/D&gt;&lt;D xsi:type="xsd:double"&gt;-33.198982&lt;/D&gt;&lt;D xsi:type="xsd:double"&gt;-39.990395&lt;/D&gt;&lt;D xsi:type="xsd:double"&gt;-38.081497&lt;/D&gt;&lt;D xsi:type="xsd:double"&gt;-30.807781&lt;/D&gt;&lt;D xsi:type="xsd:double"&gt;-18.642044&lt;/D&gt;&lt;D xsi:type="xsd:double"&gt;-6.7087054&lt;/D&gt;&lt;D xsi:type="xsd:double"&gt;-1.3329268&lt;/D&gt;&lt;D xsi:type="xsd:double"&gt;-6.5643253&lt;/D&gt;&lt;D xsi:type="xsd:double"&gt;0.797081&lt;/D&gt;&lt;D xsi:type="xsd:double"&gt;7.742226&lt;/D&gt;&lt;D xsi:type="xsd:double"&gt;22.666084&lt;/D&gt;&lt;D xsi:type="xsd:double"&gt;11.223221&lt;/D&gt;&lt;D xsi:type="xsd:double"&gt;2.910471&lt;/D&gt;&lt;D xsi:type="xsd:double"&gt;17.69637&lt;/D&gt;&lt;D xsi:type="xsd:double"&gt;23.207855&lt;/D&gt;&lt;D xsi:type="xsd:double"&gt;6.414747&lt;/D&gt;&lt;D xsi:type="xsd:double"&gt;9.712374&lt;/D&gt;&lt;/FQL&gt;&lt;FQL&gt;&lt;Q&gt;EPHE^P_PRICE_RETURNS_PR('52W',2,-10AY,0,AM)&lt;/Q&gt;&lt;R&gt;121&lt;/R&gt;&lt;C&gt;1&lt;/C&gt;&lt;D xsi:type="xsd:double"&gt;-10.02934&lt;/D&gt;&lt;D xsi:type="xsd:double"&gt;11.038947&lt;/D&gt;&lt;D xsi:type="xsd:double"&gt;2.2866845&lt;/D&gt;&lt;D xsi:type="xsd:double"&gt;20.760715&lt;/D&gt;&lt;D xsi:type="xsd:double"&gt;9.529436&lt;/D&gt;&lt;D xsi:type="xsd:double"&gt;8.150255&lt;/D&gt;&lt;D xsi:type="xsd:double"&gt;20.36072&lt;/D&gt;&lt;D xsi:type="xsd:double"&gt;24.518036&lt;/D&gt;&lt;D xsi:type="xsd:double"&gt;29.61768&lt;/D&gt;&lt;D xsi:type="xsd:double"&gt;26.025845&lt;/D&gt;&lt;D xsi:type="xsd</t>
        </r>
      </text>
    </comment>
    <comment ref="A3" authorId="0" shapeId="0" xr:uid="{4DD8905A-61FB-4525-9CC6-21A1DEDEAE0A}">
      <text>
        <r>
          <rPr>
            <b/>
            <sz val="9"/>
            <color indexed="81"/>
            <rFont val="Tahoma"/>
            <charset val="1"/>
          </rPr>
          <t>:double"&gt;23.905766&lt;/D&gt;&lt;D xsi:type="xsd:double"&gt;18.863619&lt;/D&gt;&lt;D xsi:type="xsd:double"&gt;10.968363&lt;/D&gt;&lt;D xsi:type="xsd:double"&gt;8.96914&lt;/D&gt;&lt;D xsi:type="xsd:double"&gt;3.2736182&lt;/D&gt;&lt;D xsi:type="xsd:double"&gt;-9.120482&lt;/D&gt;&lt;D xsi:type="xsd:double"&gt;-9.492469&lt;/D&gt;&lt;D xsi:type="xsd:double"&gt;-1.178664&lt;/D&gt;&lt;D xsi:type="xsd:double"&gt;-11.061102&lt;/D&gt;&lt;D xsi:type="xsd:double"&gt;-8.885264&lt;/D&gt;&lt;D xsi:type="xsd:double"&gt;-25.209755&lt;/D&gt;&lt;D xsi:type="xsd:double"&gt;-20.631844&lt;/D&gt;&lt;D xsi:type="xsd:double"&gt;-11.568194&lt;/D&gt;&lt;D xsi:type="xsd:double"&gt;-13.048196&lt;/D&gt;&lt;D xsi:type="xsd:double"&gt;-10.516572&lt;/D&gt;&lt;D xsi:type="xsd:double"&gt;2.6398182&lt;/D&gt;&lt;D xsi:type="xsd:double"&gt;4.5036793&lt;/D&gt;&lt;D xsi:type="xsd:double"&gt;15.435303&lt;/D&gt;&lt;D xsi:type="xsd:double"&gt;9.405338&lt;/D&gt;&lt;D xsi:type="xsd:double"&gt;4.3055058&lt;/D&gt;&lt;D xsi:type="xsd:double"&gt;-6.5763416&lt;/D&gt;&lt;D xsi:type="xsd:double"&gt;-10.367316&lt;/D&gt;&lt;D xsi:type="xsd:double"&gt;17.66671&lt;/D&gt;&lt;D xsi:type="xsd:double"&gt;4.7238946&lt;/D&gt;&lt;D xsi:type="xsd:double"&gt;-4.9430075&lt;/D&gt;&lt;D xsi:type="xsd:double"&gt;0.8424401&lt;/D&gt;&lt;D xsi:type="xsd:double"&gt;1.0877132&lt;/D&gt;&lt;D xsi:type="xsd:double"&gt;-8.551961&lt;/D&gt;&lt;D xsi:type="xsd:double"&gt;-9.440052&lt;/D&gt;&lt;D xsi:type="xsd:double"&gt;-8.821559&lt;/D&gt;&lt;D xsi:type="xsd:double"&gt;-1.7000914&lt;/D&gt;&lt;D xsi:type="xsd:double"&gt;0.38775206&lt;/D&gt;&lt;D xsi:type="xsd:double"&gt;15.296459&lt;/D&gt;&lt;D xsi:type="xsd:double"&gt;25.671696&lt;/D&gt;&lt;D xsi:type="xsd:double"&gt;13.2111435&lt;/D&gt;&lt;D xsi:type="xsd:double"&gt;8.146548&lt;/D&gt;&lt;D xsi:type="xsd:double"&gt;-1.3462067&lt;/D&gt;&lt;D xsi:type="xsd:double"&gt;-7.9957604&lt;/D&gt;&lt;D xsi:type="xsd:double"&gt;-10.349936&lt;/D&gt;&lt;D xsi:type="xsd:double"&gt;-18.270731&lt;/D&gt;&lt;D xsi:type="xsd:double"&gt;-13.9316025&lt;/D&gt;&lt;D xsi:type="xsd:double"&gt;-8.694392&lt;/D&gt;&lt;D xsi:type="xsd:double"&gt;-17.630762&lt;/D&gt;&lt;D xsi:type="xsd:double"&gt;-18.32698&lt;/D&gt;&lt;D xsi:type="xsd:double"&gt;-15.847832&lt;/D&gt;&lt;D xsi:type="xsd:double"&gt;-16.050858&lt;/D&gt;&lt;D xsi:type="xsd:double"&gt;-12.653196&lt;/D&gt;&lt;D xsi:type="xsd:double"&gt;-6.236476&lt;/D&gt;&lt;D xsi:type="xsd:double"&gt;0.9332776&lt;/D&gt;&lt;D xsi:type="xsd:double"&gt;5.329895&lt;/D&gt;&lt;D xsi:type="xsd:double"&gt;3.2936454&lt;/D&gt;&lt;D xsi:type="xsd:double"&gt;22.231806&lt;/D&gt;&lt;D xsi:type="xsd:double"&gt;18.229008&lt;/D&gt;&lt;D xsi:type="xsd:double"&gt;1.4668822&lt;/D&gt;&lt;D xsi:type="xsd:double"&gt;11.3313675&lt;/D&gt;&lt;D xsi:type="xsd:double"&gt;17.791998&lt;/D&gt;&lt;D xsi:type="xsd:double"&gt;12.127268&lt;/D&gt;&lt;D xsi:type="xsd:double"&gt;9.102715&lt;/D&gt;&lt;D xsi:type="xsd:double"&gt;-2.661097&lt;/D&gt;&lt;D xsi:type="xsd:double"&gt;-5.4782987&lt;/D&gt;&lt;D xsi:type="xsd:double"&gt;-41.63761&lt;/D&gt;&lt;D xsi:type="xsd:double"&gt;-29.47188&lt;/D&gt;&lt;D xsi:type="xsd:double"&gt;-28.607786&lt;/D&gt;&lt;D xsi:type="xsd:double"&gt;-22.359627&lt;/D&gt;&lt;D xsi:type="xsd:double"&gt;-26.491415&lt;/D&gt;&lt;D xsi:type="xsd:double"&gt;-18.733156&lt;/D&gt;&lt;D xsi:type="xsd:double"&gt;-21.771729&lt;/D&gt;&lt;D xsi:type="xsd:double"&gt;-15.766311&lt;/D&gt;&lt;D xsi:type="xsd:double"&gt;-4.7512474&lt;/D&gt;&lt;D xsi:type="xsd:double"&gt;-3.8354695&lt;/D&gt;&lt;D xsi:type="xsd:double"&gt;-1.0402799&lt;/D&gt;&lt;D xsi:type="xsd:double"&gt;-4.5063376&lt;/D&gt;&lt;D xsi:type="xsd:double"&gt;45.44587&lt;/D&gt;&lt;D xsi:type="xsd:double"&gt;21.584642&lt;/D&gt;&lt;D xsi:type="xsd:double"&gt;18.727434&lt;/D&gt;&lt;D xsi:type="xsd:double"&gt;14.685726&lt;/D&gt;&lt;D xsi:type="xsd:double"&gt;7.2894096&lt;/D&gt;&lt;D xsi:type="xsd:double"&gt;8.519244&lt;/D&gt;&lt;D xsi:type="xsd:double"&gt;17.383623&lt;/D&gt;&lt;D xsi:type="xsd:double"&gt;15.172625&lt;/D&gt;&lt;D xsi:type="xsd:double"&gt;0.99294186&lt;/D&gt;&lt;D xsi:type="xsd:double"&gt;-0.21868348&lt;/D&gt;&lt;D xsi:type="xsd:double"&gt;-1.8592477&lt;/D&gt;&lt;D xsi:type="xsd:double"&gt;8.851564&lt;/D&gt;&lt;D xsi:type="xsd:double"&gt;4.9259543&lt;/D&gt;&lt;D xsi:type="xsd:double"&gt;4.088044&lt;/D&gt;&lt;D xsi:type="xsd:double"&gt;2.8978467&lt;/D&gt;&lt;D xsi:type="xsd:double"&gt;-18.48092&lt;/D&gt;&lt;D xsi:type="xsd:double"&gt;-11.597699&lt;/D&gt;&lt;D xsi:type="xsd:double"&gt;-6.9645586&lt;/D&gt;&lt;D xsi:type="xsd:double"&gt;-20.904137&lt;/D&gt;&lt;D xsi:type="xsd:double"&gt;-27.281834&lt;/D&gt;&lt;D xsi:type="xsd:double"&gt;-19.015629&lt;/D&gt;&lt;D xsi:type="xsd:double"&gt;-17.11126&lt;/D&gt;&lt;D xsi:type="xsd:double"&gt;-5.739623&lt;/D&gt;&lt;D xsi:type="xsd:double"&gt;-15.817171&lt;/D&gt;&lt;D xsi:type="xsd:double"&gt;-9.274316&lt;/D&gt;&lt;D xsi:type="xsd:double"&gt;-12.433899&lt;/D&gt;&lt;D xsi:type="xsd:double"&gt;-7.6882124&lt;/D&gt;&lt;D xsi:type="xsd:double"&gt;2.772987&lt;/D&gt;&lt;D xsi:type="xsd:double"&gt;9.859383&lt;/D&gt;&lt;D xsi:type="xsd:double"&gt;-7.209736&lt;/D&gt;&lt;D xsi:type="xsd:double"&gt;1.5952826&lt;/D&gt;&lt;D xsi:type="xsd:double"&gt;3.9895773&lt;/D&gt;&lt;D xsi:type="xsd:double"&gt;-0.46765208&lt;/D&gt;&lt;D xsi:type="xsd:double"&gt;1.8053889&lt;/D&gt;&lt;D xsi:type="xsd:double"&gt;-7.6061487&lt;/D&gt;&lt;D xsi:type="xsd:double"&gt;5.0590873&lt;/D&gt;&lt;D xsi:type="xsd:double"&gt;3.599453&lt;/D&gt;&lt;D xsi:type="xsd:double"&gt;-0.67516565&lt;/D&gt;&lt;D xsi:type="xsd:double"&gt;-1.2965322&lt;/D&gt;&lt;/FQL&gt;&lt;FQL&gt;&lt;Q&gt;EWY^FG_TOTAL_RETURNC(-10AY,0,AM)&lt;/Q&gt;&lt;R&gt;121&lt;/R&gt;&lt;C&gt;1&lt;/C&gt;&lt;D xsi:type="xsd:double"&gt;2.715075&lt;/D&gt;&lt;D xsi:type="xsd:double"&gt;-1.7673314&lt;/D&gt;&lt;D xsi:type="xsd:double"&gt;2.1902442&lt;/D&gt;&lt;D xsi:type="xsd:double"&gt;0.71953535&lt;/D&gt;&lt;D xsi:type="xsd:double"&gt;-5.4415584&lt;/D&gt;&lt;D xsi:type="xsd:double"&gt;-7.362157&lt;/D&gt;&lt;D xsi:type="xsd:double"&gt;-1.457572&lt;/D&gt;&lt;D xsi:type="xsd:double"&gt;-1.4545679&lt;/D&gt;&lt;D xsi:type="xsd:double"&gt;3.7613034&lt;/D&gt;&lt;D xsi:type="xsd:double"&gt;-2.4050236&lt;/D&gt;&lt;D xsi:type="xsd:double"&gt;3.4285665&lt;/D&gt;&lt;D xsi:type="xsd:double"&gt;8.632601&lt;/D&gt;&lt;D xsi:type="xsd:double"&gt;-4.8474255&lt;/D&gt;&lt;D xsi:type="xsd:double"&gt;-5.1110687&lt;/D&gt;&lt;D xsi:type="xsd:double"&gt;-9.346951&lt;/D&gt;&lt;D xsi:type="xsd:double"&gt;-11.3203945&lt;/D&gt;&lt;D xsi:type="xsd:double"&gt;5.6054354&lt;/D&gt;&lt;D xsi:type="xsd:double"&gt;13.51856&lt;/D&gt;&lt;D xsi:type="xsd:double"&gt;-3.1415522&lt;/D&gt;&lt;D xsi:type="xsd:double"&gt;-0.46536922&lt;/D&gt;&lt;D xsi:type="xsd:double"&gt;-8.223433&lt;/D&gt;&lt;D xsi:type="xsd:double"&gt;-1.0777652&lt;/D&gt;&lt;D xsi:type="xsd:double"&gt;10.147405&lt;/D&gt;&lt;D xsi:type="xsd:double"&gt;2.6376963&lt;/D&gt;&lt;D xsi:type="xsd:double"&gt;-6.9349947&lt;/D&gt;&lt;D xsi:type="xsd:double"&gt;8.446705&lt;/D&gt;&lt;D xsi:type="xsd:double"&gt;1.6850829&lt;/D&gt;&lt;D xsi:type="xsd:double"&gt;4.7136784&lt;/D&gt;&lt;D xsi:type="xsd:double"&gt;1.3715506&lt;/D&gt;&lt;D xsi:type="xsd:double"&gt;-2.5325298&lt;/D&gt;&lt;D xsi:type="xsd:double"&gt;-6.0330987&lt;/D&gt;&lt;D xsi:type="xsd:double"&gt;1.7656326&lt;/D&gt;&lt;D xsi:type="xsd:double"&gt;7.289505&lt;/D&gt;&lt;D xsi:type="xsd:double"&gt;4.494381&lt;/D&gt;&lt;D xsi:type="xsd:double"&gt;4.301083&lt;/D&gt;&lt;D xsi:type="xsd:double"&gt;-1.8041253&lt;/D&gt;&lt;D xsi:type="xsd:double"&gt;9.580064&lt;/D&gt;&lt;D xsi:type="xsd:double"&gt;1.8562794&lt;/D&gt;&lt;D xsi:type="xsd:double"&gt;5.026448&lt;/D&gt;&lt;D xsi:type="xsd:double"&gt;-4.3240905&lt;/D&gt;&lt;D xsi:type="xsd:double"&gt;1.4041185&lt;/D&gt;&lt;D xsi:type="xsd:double"&gt;4.3704033&lt;/D&gt;&lt;D xsi:type="xsd:double"&gt;6.9790006&lt;/D&gt;&lt;D xsi:type="xsd:double"&gt;-3.4519196&lt;/D&gt;&lt;D xsi:type="xsd:double"&gt;6.2698126&lt;/D&gt;&lt;D xsi:type="xsd:double"&gt;-3.6825776&lt;/D&gt;&lt;D xsi:type="xsd:double"&gt;-3.2983243&lt;/D&gt;&lt;D xsi:type="xsd:double"&gt;3.1880856&lt;/D&gt;&lt;D xsi:type="xsd:double"&gt;0.43172836&lt;/D&gt;&lt;D xsi:type="xsd:double"&gt;-8.543796&lt;/D&gt;&lt;D xsi:type="xsd:double"&gt;-4.553467&lt;/D&gt;&lt;D xsi:type="xsd:double"&gt;0.41550398&lt;/D&gt;&lt;D xsi:type="xsd:double"&gt;4.030645&lt;/D&gt;&lt;D xsi:type="xsd:double"&gt;-10.975247&lt;/D&gt;&lt;D xsi:type="xsd:double"&gt;-3.0117512&lt;/D&gt;&lt;D xsi:type="xsd:double"&gt;0.19373894&lt;/D&gt;&lt;D xsi:type="xsd:double"&gt;5.212295&lt;/D&gt;&lt;D xsi:type="xsd:double"&gt;5.7742834&lt;/D&gt;&lt;D xsi:type="xsd:double"&gt;-5.055833&lt;/D&gt;&lt;D xsi:type="xsd:double"&gt;3.2669067&lt;/D&gt;&lt;D xsi:type="xsd:double"&gt;-12.432777&lt;/D&gt;&lt;D xsi:type="xsd:double"&gt;7.22543&lt;/D&gt;&lt;D xsi:type="xsd:double"&gt;-2.156335&lt;/D&gt;&lt;D xsi:type="xsd:double"&gt;-11.0365095&lt;/D&gt;&lt;D xsi:type="xsd:double"&gt;10.97349&lt;/D&gt;&lt;D xsi:type="xsd:double"&gt;2.9298902&lt;/D&gt;&lt;D xsi:type="xsd:double"&gt;-0.0169456&lt;/D&gt;&lt;D xsi:type="xsd:double"&gt;6.790948&lt;/D&gt;&lt;D xsi:type="xsd:double"&gt;2.5453925&lt;/D&gt;&lt;D xsi:type="xsd:double"&gt;-7.715416&lt;/D&gt;&lt;D xsi:type="xsd:double"&gt;-33.236248&lt;/D&gt;&lt;D xsi:type="xsd:double"&gt;27.687954&lt;/D&gt;&lt;D xsi:type="xsd:double"&gt;2.954185&lt;/D&gt;&lt;D xsi:type="xsd:double"&gt;12.648832&lt;/D&gt;&lt;D xsi:type="xsd:double"&gt;2.2179961&lt;/D&gt;&lt;D xsi:type="xsd:double"&gt;6.3400507&lt;/D&gt;&lt;D xsi:type="xsd:double"&gt;1.1158943&lt;/D&gt;&lt;D xsi:type="xsd:double"&gt;7.6777577&lt;/D&gt;&lt;D xsi:type="xsd:double"&gt;11.434841&lt;/D&gt;&lt;D xsi:type="xsd:double"&gt;7.024348&lt;/D&gt;&lt;D xsi:type="xsd:double"&gt;16.070759&lt;/D&gt;&lt;D xsi:type="xsd:double"&gt;-3.0164182&lt;/D&gt;&lt;D xsi:type="xsd:double"&gt;-4.956585&lt;/D&gt;&lt;D xsi:type="xsd:double"&gt;7.3542953&lt;/D&gt;&lt;D xsi:type="xsd:double"&gt;-3.5975814&lt;/D&gt;&lt;D xsi:type="xsd:double"&gt;3.1843543&lt;/D&gt;&lt;D xsi:type="xsd:double"&gt;-2.3822367&lt;/D&gt;&lt;D xsi:type="xsd:double"&gt;-6.8774343&lt;/D&gt;&lt;D xsi:type="xsd:double"&gt;0.011909008&lt;/D&gt;&lt;D xsi:type="xsd:double"&gt;-4.2877555&lt;/D&gt;&lt;D xsi:type="xsd:double"&gt;-1.1821747&lt;/D&gt;&lt;D xsi:type="xsd:double"&gt;1.3278246&lt;/D&gt;&lt;D xsi:type="xsd:double"&gt;-5.3954544&lt;/D&gt;&lt;D xsi:type="xsd:double"&gt;-3.6097646&lt;/D&gt;&lt;D xsi:type="xsd:double"&gt;-1.8098354&lt;/D&gt;&lt;D xsi:type="xsd:double"&gt;-4.2818604&lt;/D&gt;&lt;D xsi:type="xsd:double"&gt;-0.5628884&lt;/D&gt;&lt;D xsi:type="xsd:double"&gt;-14.762396&lt;/D&gt;&lt;D xsi:type="xsd:double"&gt;2.184546&lt;/D&gt;&lt;D xsi:type="xsd:double"&gt;-0.6670058&lt;/D&gt;&lt;D xsi:type="xsd:double"&gt;-12.930447&lt;/D&gt;&lt;D xsi:type="xsd:double"&gt;-0.45481324&lt;/D&gt;&lt;D xsi:type="xsd:double"&gt;15.117205&lt;/D&gt;&lt;D xsi:type="xsd:double"&gt;-0.39184093&lt;/D&gt;&lt;D xsi:type="xsd:double"&gt;12.026644&lt;/D&gt;&lt;D xsi:type="xsd:double"&gt;-5.289519&lt;/D&gt;&lt;D xsi:type="xsd:double"&gt;-0.082618&lt;/D&gt;&lt;D xsi:type="xsd:double"&gt;1.8025517&lt;/D&gt;&lt;D xsi:type="xsd:double"&gt;1.2832999&lt;/D&gt;&lt;D xsi:type="xsd:double"&gt;1.5396953&lt;/D&gt;&lt;D xsi:type="xsd:double"&gt;4.2963147&lt;/D&gt;&lt;D xsi:type="xsd:double"&gt;-6.7847967&lt;/D&gt;&lt;D xsi:type="xsd:double"&gt;-1.2185216&lt;/D&gt;&lt;D xsi:type="xsd:double"&gt;-6.069076&lt;/D&gt;&lt;D xsi:type="xsd:double"&gt;10.155832&lt;/D&gt;&lt;D xsi:type="xsd:double"&gt;4.3447137&lt;/D&gt;&lt;D xsi:type="xsd:double"&gt;-7.894331&lt;/D&gt;&lt;D xsi:type="xsd:double"&gt;10.590637&lt;/D&gt;&lt;D xsi:type="xsd:double"&gt;2.9005527&lt;/D&gt;&lt;D xsi:type="xsd:double"&gt;-6.0551825&lt;/D&gt;&lt;D xsi:type="xsd:double"&gt;1.4129162&lt;/D&gt;&lt;/FQL&gt;&lt;FQL&gt;&lt;Q&gt;QAT^FMA_DIV_YLD(NTMA,-10AY,0,AM,"PORTAGG","MEANR")&lt;/Q&gt;&lt;R&gt;121&lt;/R&gt;&lt;C&gt;1&lt;/C&gt;&lt;D xsi:type="xsd:string"&gt;@NA&lt;/D&gt;&lt;D xsi:type="xsd:double"&gt;4.1351631920293&lt;/D&gt;&lt;D xsi:type="xsd:double"&gt;3.98385618395598&lt;/D&gt;&lt;D xsi:type="xsd:double"&gt;3.8905287470104&lt;/D&gt;&lt;D xsi:type="xsd:double"&gt;3.97297795462142&lt;/D&gt;&lt;D xsi:type="xsd:double"&gt;4.08275248614207&lt;/D&gt;&lt;D xsi:type="xsd:double"&gt;3.84837892559511&lt;/D&gt;&lt;D xsi:type="xsd:double"&gt;4.49655799321115&lt;/D&gt;&lt;D xsi:type="xsd:double"&gt;4.54838824516164&lt;/D&gt;&lt;D xsi:type="xsd:double"&gt;4.10044881170585&lt;/D&gt;&lt;D xsi:type="xsd:double"&gt;4.53269840511895&lt;/D&gt;&lt;D xsi:type="xsd:double"&gt;4.56120962143531&lt;/D&gt;&lt;D xsi:type="xsd:double"&gt;4.53352499347926&lt;/D&gt;&lt;D xsi:type="xsd:double"&gt;4.64819677215814&lt;/D&gt;&lt;D xsi:type="xsd:double"&gt;4.67109705152746&lt;/D&gt;&lt;D xsi:type="xsd:double"&gt;4.9931173180956&lt;/D&gt;&lt;D xsi:type="xsd:double"&gt;4.93255797566582&lt;/D&gt;&lt;D xsi:type="xsd:double"&gt;4.85031846800225&lt;/D&gt;&lt;D xsi:type="xsd:double"&gt;5.32536151839024&lt;/D&gt;&lt;D xsi:type="xsd:double"&gt;5.54432853091561&lt;/D&gt;&lt;D xsi:type="xsd:double"&gt;6.33553406813802&lt;/D&gt;&lt;D xsi:type="xsd:double"&gt;5.03417191147621&lt;/D&gt;&lt;D xsi:type="xsd:double"&gt;4.18372229796272&lt;/D&gt;&lt;D xsi:type="xsd:double"&gt;4.29695276019346&lt;/D&gt;&lt;D xsi:type="xsd:double"&gt;4.40275593711776&lt;/D&gt;&lt;D xsi:type="xsd:double"&gt;4.20240259412656&lt;/D&gt;&lt;D xsi:type="xsd:double"&gt;4.06865822883985&lt;/D&gt;&lt;D xsi:type="xsd:double"&gt;3.63518800544516&lt;/D&gt;&lt;D xsi:type="xsd:double"&gt;3.94447718189471&lt;/D&gt;&lt;D xsi:type="xsd:double"&gt;3.89760748322186&lt;/D&gt;&lt;D xsi:type="xsd:double"&gt;4.21135178872036&lt;/D&gt;&lt;D xsi:type="xsd:double"&gt;3.85110332093447&lt;/D&gt;&lt;D xsi:type="xsd:double"&gt;3.52127818187677&lt;/D&gt;&lt;D xsi:type="xsd:double"&gt;3.66750917778815&lt;/D&gt;&lt;D xsi:type="xsd:double"&gt;3.89731424272816&lt;/D&gt;&lt;D xsi:type="xsd:double"&gt;3.92919382139168&lt;/D&gt;&lt;D xsi:type="xsd:double"&gt;3.90736355483166&lt;/D&gt;&lt;D xsi:type="xsd:double"&gt;4.45769860849517&lt;/D&gt;&lt;D xsi:type="xsd:double"&gt;4.14204335678406&lt;/D&gt;&lt;D xsi:type="xsd:double"&gt;4.37981504523713&lt;/D&gt;&lt;D xsi:type="xsd:double"&gt;4.6935300842173&lt;/D&gt;&lt;D xsi:type="xsd:double"&gt;4.5013453374052&lt;/D&gt;&lt;D xsi:type="xsd:double"&gt;4.64235757066155&lt;/D&gt;&lt;D xsi:type="xsd:double"&gt;4.26995430244028&lt;/D&gt;&lt;D xsi:type="xsd:double"&gt;4.05992547580999&lt;/D&gt;&lt;D xsi:type="xsd:double"&gt;4.60165193305149&lt;/D&gt;&lt;D xsi:type="xsd:double"&gt;4.84021072247289&lt;/D&gt;&lt;D xsi:type="xsd:double"&gt;4.6492132662638&lt;/D&gt;&lt;D xsi:type="xsd:double"&gt;4.79345115420315&lt;/D&gt;&lt;D xsi:type="xsd:double"&gt;4.95118193031087&lt;/D&gt;&lt;D xsi:type="xsd:double"&gt;4.63493730587893&lt;/D&gt;&lt;D xsi:type="xsd:double"&gt;4.57835031840203&lt;/D&gt;&lt;D xsi:type="xsd:double"&gt;4.42574304369882&lt;/D&gt;&lt;D xsi:type="xsd:double"&gt;4.24914134676318&lt;/D&gt;&lt;D xsi:type="xsd:double"&gt;4.32107775316927&lt;/D&gt;&lt;D xsi:type="xsd:double"&gt;4.53235529080227&lt;/D&gt;&lt;D xsi:type="xsd:double"&gt;4.40414063931083&lt;/D&gt;&lt;D xsi:type="xsd:double"&gt;4.60512745297616&lt;/D&gt;&lt;D xsi:type="xsd:double"&gt;4.58444100099845&lt;/D&gt;&lt;D xsi:type="xsd:double"&gt;4.25716774019958&lt;/D&gt;&lt;D xsi:type="xsd:double"&gt;4.53213072297039&lt;/D&gt;&lt;D xsi:type="xsd:double"&gt;3.97244434070396&lt;/D&gt;&lt;D xsi:type="xsd:double"&gt;4.13981159883352&lt;/D&gt;&lt;D xsi:type="xsd:double"&gt;4.33804025772387&lt;/D&gt;&lt;D xsi:type="xsd:double"&gt;4.14230951638376&lt;/D&gt;&lt;D xsi:type="xsd:double"&gt;4.08677539798142&lt;/D&gt;&lt;D xsi:type="xsd:double"&gt;4.09625272596429&lt;/D&gt;&lt;D xsi:type="xsd:double"&gt;3.98591514940158&lt;/D&gt;&lt;D xsi:type="xsd:double"&gt;4.00224396836364&lt;/D&gt;&lt;D xsi:type="xsd:double"&gt;4.30388258571554&lt;/D&gt;&lt;D xsi:type="xsd:double"&gt;4.76054498022127&lt;/D&gt;&lt;D xsi:type="xsd:double"&gt;4.49820721526572&lt;/D&gt;&lt;D xsi:type="xsd:double"&gt;4.19999714062238&lt;/D&gt;&lt;D xsi:type="xsd:double"&gt;3.91598384734823&lt;/D&gt;&lt;D xsi:type="xsd:double"&gt;3.71433093207157&lt;/D&gt;&lt;D xsi:type="xsd:double"&gt;3.5125601279414&lt;/D&gt;&lt;D xsi:type="xsd:double"&gt;3.57664198404709&lt;/D&gt;&lt;D xsi:type="xsd:double"&gt;3.60234826645864&lt;/D&gt;&lt;D xsi:type="xsd:double"&gt;3.62198284937327&lt;/D&gt;&lt;D xsi:type="xsd:double"&gt;3.68805258568325&lt;/D&gt;&lt;D xsi:type="xsd:double"&gt;3.76739720668272&lt;/D&gt;&lt;D xsi:type="xsd:double"&gt;3.98637875325765&lt;/D&gt;&lt;D xsi:type="xsd:double"&gt;3.92712295105143&lt;/D&gt;&lt;D xsi:type="xsd:double"&gt;3.77400096540004&lt;/D&gt;&lt;D xsi:type="xsd:double"&gt;3.84211745205454&lt;/D&gt;&lt;D xsi:type="xsd:double"&gt;3.80811633735225&lt;/D&gt;&lt;D xsi:type="xsd:double"&gt;3.91241305270764&lt;/D&gt;&lt;D xsi:type="xsd:double"&gt;3.8545281749633&lt;/D&gt;&lt;D xsi:type="xsd:double"&gt;4.04427955376124&lt;/D&gt;&lt;D xsi:type="xsd:double"&gt;3.71317822035705&lt;/D&gt;&lt;D xsi:type="xsd:double"&gt;3.86724194649909&lt;/D&gt;&lt;D xsi:type="xsd:double"&gt;4.05328480553417&lt;/D&gt;&lt;D xsi:type="xsd:double"&gt;3.93889514903387&lt;/D&gt;&lt;D xsi:type="xsd:double"&gt;3.90076698814287&lt;/D&gt;&lt;D xsi:type="xsd:double"&gt;3.71140039819053&lt;/D&gt;&lt;D xsi:type="xsd:double"&gt;3.69923113097441&lt;/D&gt;&lt;D xsi:type="xsd:double"&gt;4.13397010184095&lt;/D&gt;&lt;D xsi:type="xsd:double"&gt;4.49180129999777&lt;/D&gt;&lt;D xsi:type="xsd:double"&gt;4.04180691300079&lt;/D&gt;&lt;D xsi:type="xsd:double"&gt;3.84435623373112&lt;/D&gt;&lt;D xsi:type="xsd:double"&gt;4.05746277277948&lt;/D&gt;&lt;D xsi:type="xsd:double"&gt;4.03456824006739&lt;/D&gt;&lt;D xsi:type="xsd:double"&gt;4.28865343282304&lt;/D&gt;&lt;D xsi:type="xsd:double"&gt;4.69660097407766&lt;/D&gt;&lt;D xsi:type="xsd:double"&gt;4.53486882791262&lt;/D&gt;&lt;D xsi:type="xsd:double"&gt;4.78509646755936&lt;/D&gt;&lt;D xsi:type="xsd:double"&gt;4.99362127754967&lt;/D&gt;&lt;D xsi:type="xsd:double"&gt;5.07453361700567&lt;/D&gt;&lt;D xsi:type="xsd:double"&gt;4.65290629094838&lt;/D&gt;&lt;D xsi:type="xsd:double"&gt;4.75718521416361&lt;/D&gt;&lt;D xsi:type="xsd:double"&gt;4.57927312615145&lt;/D&gt;&lt;D xsi:type="xsd:double"&gt;4.6095811734171&lt;/D&gt;&lt;D xsi:type="xsd:double"&gt;4.68981008032532&lt;/D&gt;&lt;D xsi:type="xsd:double"&gt;4.97827404397387&lt;/D&gt;&lt;D xsi:type="xsd:double"&gt;4.85578039568074&lt;/D&gt;&lt;D xsi:type="xsd:double"&gt;4.84660527953365&lt;/D&gt;&lt;D xsi:type="xsd:double"&gt;4.81027276042984&lt;/D&gt;&lt;D xsi:type="xsd:double"&gt;4.79820258880194&lt;/D&gt;&lt;D xsi:type="xsd:double"&gt;4.83038465194954&lt;/D&gt;&lt;D xsi:type="xsd:double"&gt;5.78036408823593&lt;/D&gt;&lt;D xsi:type="xsd:double"&gt;5.81117697370974&lt;/D&gt;&lt;/FQL&gt;&lt;FQL&gt;&lt;Q&gt;ECH^JULIAN(FMA_DIV_YLD(NTMA,-10AY,0,AM,"PORTAGG","MEANR").DATES)&lt;/Q&gt;&lt;R&gt;121&lt;/R&gt;&lt;C&gt;1&lt;/C&gt;&lt;D xsi:type="xsd:long"&gt;41782&lt;/D&gt;&lt;D xsi:type="xsd:long"&gt;41813&lt;/D&gt;&lt;D xsi:type="xsd:long"&gt;41843&lt;/D&gt;&lt;D xsi:type="xsd:long"&gt;41873&lt;/D&gt;&lt;D xsi:type="xsd:long"&gt;41905&lt;/D&gt;&lt;D xsi:type="xsd:long"&gt;41935&lt;/D&gt;&lt;D xsi:type="xsd:long"&gt;41964&lt;/D&gt;&lt;D xsi:type="xsd:long"&gt;41996&lt;/D&gt;&lt;D xsi:type="xsd:long"&gt;42027&lt;/D&gt;&lt;D xsi:type="xsd:long"&gt;42058&lt;/D&gt;&lt;D xsi:type="xsd:long"&gt;42086&lt;/D&gt;&lt;D xsi:type="xsd:long"&gt;42117&lt;/D&gt;&lt;D xsi:type="xsd:long"&gt;42146&lt;/D&gt;&lt;D xsi:type="xsd:long"&gt;42178&lt;/D&gt;&lt;D xsi:type="xsd:long"&gt;42208&lt;/D&gt;&lt;D xsi:type="xsd:long"&gt;42237&lt;/D&gt;&lt;D xsi:type="xsd:long"&gt;42270&lt;/D&gt;&lt;D xsi:type="xsd:long"&gt;42300&lt;/D&gt;&lt;D xsi:type="xsd:long"&gt;42331&lt;/D&gt;&lt;D xsi:type="xsd:long"&gt;42361&lt;/D&gt;&lt;D xsi:type="xsd:long"&gt;42391&lt;/D&gt;&lt;D xsi:type="xsd:long"&gt;42423&lt;/D&gt;&lt;D xsi:type="xsd:long"&gt;42452&lt;/D&gt;&lt;D xsi:type="xsd:long"&gt;42482&lt;/D&gt;&lt;D xsi:type="xsd:long"&gt;42513&lt;/D&gt;&lt;D xsi:type="xsd:long"&gt;42544&lt;/D&gt;&lt;D xsi:type="xsd:long"&gt;42573&lt;/D&gt;&lt;D xsi:type="xsd:long"&gt;42605&lt;/D&gt;&lt;D xsi:type="xsd:long"&gt;42636&lt;/D&gt;&lt;D xsi:type="xsd:long"&gt;42664&lt;/D&gt;&lt;D xsi:type="xsd:long"&gt;42697&lt;/D&gt;&lt;D xsi:type="xsd:long"&gt;42727&lt;/D&gt;&lt;D xsi:type="xsd:long"&gt;42758&lt;/D&gt;&lt;D xsi:type="xsd:long"&gt;42789&lt;/D&gt;&lt;D xsi:type="xsd:long"&gt;42817&lt;/D&gt;&lt;D xsi:type="xsd:long"&gt;42846&lt;/D&gt;&lt;D xsi:type="xsd:long"&gt;42878&lt;/D&gt;&lt;D xsi:type="xsd:long"&gt;42909&lt;/D&gt;&lt;D xsi:type="xsd:long"&gt;42937&lt;/D&gt;&lt;D xsi:type="xsd:long"&gt;42970&lt;/D&gt;&lt;D xsi:type="xsd:long"&gt;43000&lt;/D&gt;&lt;D xsi:type="xsd:long"&gt;43031&lt;/D&gt;&lt;D xsi:type="xsd:long"&gt;43061&lt;/D&gt;&lt;D xsi:type="xsd:long"&gt;43091&lt;/D&gt;&lt;D xsi:type="xsd:long"&gt;43123&lt;/D&gt;&lt;D xsi:type="xsd:long"&gt;43154&lt;/D&gt;&lt;D xsi:type="xsd:long"&gt;43182&lt;/D&gt;&lt;D xsi:type="xsd:long"&gt;43213&lt;/D&gt;&lt;D xsi:type="xsd:long"&gt;43243&lt;/D&gt;&lt;D xsi:type="xsd:long"&gt;43273&lt;/D&gt;&lt;D xsi:type="xsd:long"&gt;43304&lt;/D&gt;&lt;D xsi:type="xsd:long"&gt;43335&lt;/D&gt;&lt;D xsi:type="xsd:long"&gt;43364&lt;/D&gt;&lt;D xsi:type="xsd:long"&gt;43396&lt;/D&gt;&lt;D xsi:type="xsd:long"&gt;43427&lt;/D&gt;&lt;D xsi:type="xsd:long"&gt;43455&lt;/D&gt;&lt;D xsi:type="xsd:long"&gt;43488&lt;/D&gt;&lt;D xsi:type="xsd:long"&gt;43518&lt;/D&gt;&lt;D xsi:type="xsd:long"&gt;43546&lt;/D&gt;&lt;D xsi:type="xsd:long"&gt;43578&lt;/D&gt;&lt;D xsi:type="xsd:long"&gt;43608&lt;/D&gt;&lt;D xsi:type="xsd:long"&gt;43637&lt;/D&gt;&lt;D xsi:type="xsd:long"&gt;43669&lt;/D&gt;&lt;D xsi:type="xsd:long"&gt;43700&lt;/D&gt;&lt;D xsi:type="xsd:long"&gt;43731&lt;/D&gt;&lt;D xsi:type="xsd:long"&gt;43761&lt;/D&gt;&lt;D xsi:type="xsd:long"&gt;43791&lt;/D&gt;&lt;D xsi:type="xsd:long"&gt;43822&lt;/D&gt;&lt;D xsi:type="xsd:long"&gt;43853&lt;/D&gt;&lt;D xsi:type="xsd:long"&gt;43882&lt;/D&gt;&lt;D xsi:type="xsd:long"&gt;43913&lt;/D&gt;&lt;D xsi:type="xsd:long"&gt;43944&lt;/D&gt;&lt;D xsi:type="xsd:long"&gt;43973&lt;/D&gt;&lt;D xsi:type="xsd:long"&gt;44005&lt;/D&gt;&lt;D xsi:type="xsd:long"&gt;44035&lt;/D&gt;&lt;D xsi:type="xsd:long"&gt;44064&lt;/D&gt;&lt;D xsi:type="xsd:long"&gt;44097&lt;/D&gt;&lt;D xsi:type="xsd:long"&gt;44127&lt;/D&gt;&lt;D xsi:type="xsd:long"&gt;44158&lt;/D&gt;&lt;D xsi:type="xsd:long"&gt;44188&lt;/D&gt;&lt;D xsi:type="xsd:long"&gt;44218&lt;/D&gt;&lt;D xsi:type="xsd:long"&gt;44250&lt;/D&gt;&lt;D xsi:type="xsd:long"&gt;44278&lt;/D&gt;&lt;D xsi:type="xsd:long"&gt;44309&lt;/D&gt;&lt;D xsi:type="xsd:long"&gt;44337&lt;/D&gt;&lt;D xsi:type="xsd:long"&gt;44370&lt;/D&gt;&lt;D xsi:type="xsd:long"&gt;44400&lt;/D&gt;&lt;D xsi:type="xsd:long"&gt;44431&lt;/D&gt;&lt;D xsi:type="xsd:long"&gt;44462&lt;/D&gt;&lt;D xsi:type="xsd:long"&gt;44491&lt;/D&gt;&lt;D xsi:type="xsd:long"&gt;44523&lt;/D&gt;&lt;D xsi:type="xsd:long"&gt;44553&lt;/D&gt;&lt;D xsi:type="xsd:long"&gt;44582&lt;/D&gt;&lt;D xsi:type="xsd:long"&gt;44615&lt;/D&gt;&lt;D xsi:type="xsd:long"&gt;44643&lt;/D&gt;&lt;D xsi:type="xsd:long"&gt;44673&lt;/D&gt;&lt;D xsi:type="xsd:long"&gt;44704&lt;/D&gt;&lt;D xsi:type="xsd:long"&gt;44735&lt;/D&gt;&lt;D xsi:type="xsd:long"&gt;44764&lt;/D&gt;&lt;D xsi:type="xsd:long"&gt;44796&lt;/D&gt;&lt;D xsi:type="xsd:long"&gt;44827&lt;/D&gt;&lt;D xsi:type="xsd:long"&gt;44855&lt;/D&gt;&lt;D xsi:type="xsd:long"&gt;44888&lt;/D&gt;&lt;D xsi:type="xsd:long"&gt;44918&lt;/D&gt;&lt;D xsi:type="xsd:long"&gt;44949&lt;/D&gt;&lt;D xsi:type="xsd:long"&gt;44980&lt;/D&gt;&lt;D xsi:type="xsd:long"&gt;45008&lt;/D&gt;&lt;D xsi:type="xsd:long"&gt;45037&lt;/D&gt;&lt;D xsi:type="xsd:long"&gt;45069&lt;/D&gt;&lt;D xsi:type="xsd:long"&gt;45100&lt;/D&gt;&lt;D xsi:type="xsd:long"&gt;45128&lt;/D&gt;&lt;D xsi:type="xsd:long"&gt;45161&lt;/D&gt;&lt;D xsi:type="xsd:long"&gt;45191&lt;/D&gt;&lt;D xsi:type="xsd:long"&gt;45222&lt;/D&gt;&lt;D xsi:type="xsd:long"&gt;45252&lt;/D&gt;&lt;D xsi:type="xsd:long"&gt;45282&lt;/D&gt;&lt;D xsi:type="xsd:long"&gt;45314&lt;/D&gt;&lt;D xsi:type="xsd:long"&gt;45345&lt;/D&gt;&lt;D xsi:type="xsd:long"&gt;45373&lt;/D&gt;&lt;D xsi:type="xsd:long"&gt;45405&lt;/D&gt;&lt;D xsi:type="xsd:long"&gt;45433&lt;/D&gt;&lt;/FQL&gt;&lt;FQL&gt;&lt;Q&gt;EPU^FMA_PE(NTMA,-10AY,0,AM,"PORTAGG","MEANR")&lt;/Q&gt;&lt;R&gt;121&lt;/R&gt;&lt;C&gt;1&lt;/C&gt;&lt;D xsi:type="xsd:double"&gt;12.3689291378615&lt;/D&gt;&lt;D xsi:type="xsd:double"&gt;13.9109739161281&lt;/D&gt;&lt;D xsi:type="xsd:double"&gt;14.6803072065072&lt;/D&gt;&lt;D xsi:type="xsd:double"&gt;13.7448988105063&lt;/D&gt;&lt;D xsi:type="xsd:double"&gt;13.0231586907433&lt;/D&gt;&lt;D xsi:type="xsd:double"&gt;12.1081161181119&lt;/D&gt;&lt;D xsi:type="xsd:double"&gt;12.4711345643041&lt;/D&gt;&lt;D xsi:type="xsd:double"&gt;12.2288374929389&lt;/D&gt;&lt;D xsi:type="xsd:double"&gt;12.7125952298058&lt;/D&gt;&lt;D xsi:type="xsd:double"&gt;13.0164636443509&lt;/D&gt;&lt;D xsi:type="xsd:double"&gt;12.647603265118&lt;/D&gt;&lt;D xsi:type="xsd:double"&gt;12.3090968391638&lt;/D&gt;&lt;D xsi:type="xsd:double"&gt;13.1664720818032&lt;/D&gt;&lt;D xsi:type="xsd:double"&gt;13.9391261025842&lt;/D&gt;&lt;D xsi:type="xsd:double"&gt;12.4151292001105&lt;/D&gt;&lt;D xsi:type="xsd:double"&gt;10.8050359999361&lt;/D&gt;&lt;D xsi:type="xsd:double"&gt;11.0161192320786&lt;/D&gt;&lt;D xsi:type="xsd:double"&gt;8.24093934373833&lt;/D&gt;&lt;D xsi:type="xsd:double"&gt;7.67996432599862&lt;/D&gt;&lt;D xsi:type="xsd:double"&gt;7.4676521598486&lt;/D&gt;&lt;D xsi:type="xsd:double"&gt;10.8582032625134&lt;/D&gt;&lt;D xsi:type="xsd:double"&gt;13.6865443455406&lt;/D&gt;&lt;D xsi:type="xsd:double"&gt;15.041494791227&lt;/D&gt;&lt;D xsi:type="xsd:double"&gt;15.1776218637464&lt;/D&gt;&lt;D xsi:type="xsd:double"&gt;14.644176683472&lt;/D&gt;&lt;D xsi:type="xsd:double"&gt;14.1390350530374&lt;/D&gt;&lt;D xsi:type="xsd:double"&gt;14.4120024024121&lt;/D&gt;&lt;D xsi:type="xsd:double"&gt;14.535429699993&lt;/D&gt;&lt;D xsi:type="xsd:double"&gt;13.7083350997218&lt;/D&gt;&lt;D xsi:type="xsd:double"&gt;12.4860073869372&lt;/D&gt;&lt;D xsi:type="xsd:double"&gt;11.5089761859957&lt;/D&gt;&lt;D xsi:type="xsd:double"&gt;11.276230115901&lt;/D&gt;&lt;D xsi:type="xsd:double"&gt;12.7710684976707&lt;/D&gt;&lt;D xsi:type="xsd:double"&gt;13.3844143973979&lt;/D&gt;&lt;D xsi:type="xsd:double"&gt;13.2007369563767&lt;/D&gt;&lt;D xsi:type="xsd:double"&gt;11.8127725975555&lt;/D&gt;&lt;D xsi:type="xsd:double"&gt;11.9438205840925&lt;/D&gt;&lt;D xsi:type="xsd:double"&gt;11.765827776559&lt;/D&gt;&lt;D xsi:type="xsd:double"&gt;12.347428760527&lt;/D&gt;&lt;D xsi:type="xsd:double"&gt;12.2417399810979&lt;/D&gt;&lt;D xsi:type="xsd:double"&gt;12.6593315429638&lt;/D&gt;&lt;D xsi:type="xsd:double"&gt;13.236954631969&lt;/D&gt;&lt;D xsi:type="xsd:double"&gt;12.7412822740108&lt;/D&gt;&lt;D xsi:type="xsd:double"&gt;13.3753140744086&lt;/D&gt;&lt;D xsi:type="xsd:double"&gt;14.2793217669665&lt;/D&gt;&lt;D xsi:type="xsd:double"&gt;13.8489746642733&lt;/D&gt;&lt;D xsi:type="xsd:double"&gt;13.4368109616424&lt;/D&gt;&lt;D xsi:type="xsd:double"&gt;13.9996004718531&lt;/D&gt;&lt;D xsi:type="xsd:double"&gt;13.4390181595343&lt;/D&gt;&lt;D xsi:type="xsd:double"&gt;13.5753669136514&lt;/D&gt;&lt;D xsi:type="xsd:double"&gt;13.4333596465311&lt;/D&gt;&lt;D xsi:type="xsd:double"&gt;13.2955092078783&lt;/D&gt;&lt;D xsi:type="xsd:double"&gt;13.1340460734896&lt;/D&gt;&lt;D xsi:type="xsd:double"&gt;12.7604697855625&lt;/D&gt;&lt;D xsi:type="xsd:double"&gt;12.8291167623039&lt;/D&gt;&lt;D xsi:type="xsd:double"&gt;12.9861721542914&lt;/D&gt;&lt;D xsi:type="xsd:double"&gt;14.4987888427054&lt;/D&gt;&lt;D xsi:type="xsd:double"&gt;15.8129942853562&lt;/D&gt;&lt;D xsi:type="xsd:double"&gt;15.6778787999304&lt;/D&gt;&lt;D xsi:type="xsd:double"&gt;14.7305254627974&lt;/D&gt;&lt;D xsi:type="xsd:double"&gt;12.8721661228885&lt;/D&gt;&lt;D xsi:type="xsd:double"&gt;13.5078968004352&lt;/D&gt;&lt;D xsi:type="xsd:double"&gt;15.1395037629249&lt;/D&gt;&lt;D xsi:type="xsd:double"&gt;14.1619482421183&lt;/D&gt;&lt;D xsi:type="xsd:double"&gt;14.0908871041916&lt;/D&gt;&lt;D xsi:type="xsd:double"&gt;13.8252907167108&lt;/D&gt;&lt;D xsi:type="xsd:double"&gt;13.7205502848975&lt;/D&gt;&lt;D xsi:type="xsd:double"&gt;14.9532396400164&lt;/D&gt;&lt;D xsi:type="xsd:double"&gt;14.6506059501785&lt;/D&gt;&lt;D xsi:type="xsd:double"&gt;14.5583399989542&lt;/D&gt;&lt;D xsi:type="xsd:double"&gt;9.57936098091304&lt;/D&gt;&lt;D xsi:type="xsd:double"&gt;12.3128038282552&lt;/D&gt;&lt;D xsi:type="xsd:double"&gt;16.0411662866122&lt;/D&gt;&lt;D xsi:type="xsd:double"&gt;19.3832220671081&lt;/D&gt;&lt;D xsi:type="xsd:double"&gt;20.0520499317794&lt;/D&gt;&lt;D xsi:type="xsd:double"&gt;23.2577469121372&lt;/D&gt;&lt;D xsi:type="xsd:double"&gt;20.56353618162&lt;/D&gt;&lt;D xsi:type="xsd:double"&gt;18.6392478417073&lt;/D&gt;&lt;D xsi:type="xsd:double"&gt;17.5129873104886&lt;/D&gt;&lt;D xsi:type="xsd:double"&gt;15.137899920992&lt;/D&gt;&lt;D xsi:type="xsd:double"&gt;14.5470868908491&lt;/D&gt;&lt;D xsi:type="xsd:double"&gt;16.0097630481145&lt;/D&gt;&lt;D xsi:type="xsd:double"&gt;13.5910339881703&lt;/D&gt;&lt;D xsi:type="xsd:double"&gt;11.0408084670627&lt;/D&gt;&lt;D xsi:type="xsd:double"&gt;11.0945255999452&lt;/D&gt;&lt;D xsi:type="xsd:double"&gt;8.81221720783737&lt;/D&gt;&lt;D xsi:type="xsd:double"&gt;9.12444961294474&lt;/D&gt;&lt;D xsi:type="xsd:double"&gt;8.81032001263527&lt;/D&gt;&lt;D xsi:type="xsd:double"&gt;8.83687004116866&lt;/D&gt;&lt;D xsi:type="xsd:double"&gt;10.2035184238518&lt;/D&gt;&lt;D xsi:type="xsd:double"&gt;9.81089067701636&lt;/D&gt;&lt;D xsi:type="xsd:double"&gt;9.84261910889938&lt;/D&gt;&lt;D xsi:type="xsd:double"&gt;11.2585736787506&lt;/D&gt;&lt;D xsi:type="xsd:double"&gt;10.8801187483261&lt;/D&gt;&lt;D xsi:type="xsd:double"&gt;11.765350274549&lt;/D&gt;&lt;D xsi:type="xsd:double"&gt;9.52790527746358&lt;/D&gt;&lt;D xsi:type="xsd:double"&gt;8.24668600529954&lt;/D&gt;&lt;D xsi:type="xsd:double"&gt;7.24387246199111&lt;/D&gt;&lt;D xsi:type="xsd:double"&gt;7.19965513721418&lt;/D&gt;&lt;D xsi:type="xsd:double"&gt;7.63736552874705&lt;/D&gt;&lt;D xsi:type="xsd:double"&gt;7.76767088735512&lt;/D&gt;&lt;D xsi:type="xsd:double"&gt;8.59715292028651&lt;/D&gt;&lt;D xsi:type="xsd:double"&gt;9.69445995927414&lt;/D&gt;&lt;D xsi:type="xsd:double"&gt;9.09732916229541&lt;/D&gt;&lt;D xsi:type="xsd:double"&gt;10.299886646581&lt;/D&gt;&lt;D xsi:type="xsd:double"&gt;9.51254919049143&lt;/D&gt;&lt;D xsi:type="xsd:double"&gt;9.44725077252639&lt;/D&gt;&lt;D xsi:type="xsd:double"&gt;9.79016070279562&lt;/D&gt;&lt;D xsi:type="xsd:double"&gt;9.33303362689261&lt;/D&gt;&lt;D xsi:type="xsd:double"&gt;9.88959630999794&lt;/D&gt;&lt;D xsi:type="xsd:double"&gt;10.5548834318486&lt;/D&gt;&lt;D xsi:type="xsd:double"&gt;10.4804555962248&lt;/D&gt;&lt;D xsi:type="xsd:double"&gt;9.88993531583204&lt;/D&gt;&lt;D xsi:type="xsd:double"&gt;9.48046364002588&lt;/D&gt;&lt;D xsi:type="xsd:double"&gt;10.1682477827013&lt;/D&gt;&lt;D xsi:type="xsd:double"&gt;11.8740570253458&lt;/D&gt;&lt;D xsi:type="xsd:double"&gt;11.2385804554681&lt;/D&gt;&lt;D xsi:type="xsd:double"&gt;11.730998863152&lt;/D&gt;&lt;D xsi:type="xsd:double"&gt;12.9398956565133&lt;/D&gt;&lt;D xsi:type="xsd:double"&gt;12.7946461883876&lt;/D&gt;&lt;D xsi:type="xsd:double"&gt;14.2227670864903&lt;/D&gt;&lt;/FQL&gt;&lt;FQL&gt;&lt;Q&gt;EZA^FMA_PE(LTMA,-10AY,0,AM,"PORTAGG","MEANR")&lt;/Q&gt;&lt;R&gt;121&lt;/R&gt;&lt;C&gt;1&lt;/C&gt;&lt;D xsi:type="xsd:double"&gt;15.7846144005561&lt;/D&gt;&lt;D xsi:type="xsd:double"&gt;15.846290244539&lt;/D&gt;&lt;D xsi:type="xsd:double"&gt;16.1789513837452&lt;/D&gt;&lt;D xsi:type="xsd:double"&gt;16.3373973978876&lt;/D&gt;&lt;D xsi:type="xsd:double"&gt;16.1012511599193&lt;/D&gt;&lt;D xsi:type="xsd:double"&gt;16.1717716678695&lt;/D&gt;&lt;D xsi:type="xsd:double"&gt;16.9530039659265&lt;/D&gt;&lt;D xsi:type="xsd:double"&gt;16.8408815491163&lt;/D&gt;&lt;D xsi:type="xsd:double"&gt;17.7274915993382&lt;/D&gt;&lt;D xsi:type="xsd:double"&gt;18.7646459982559&lt;/D&gt;&lt;D xsi:type="xsd:double"&gt;18.3818984122153&lt;/D&gt;&lt;D xsi:type="xsd:double"&gt;18.6150160239226&lt;/D&gt;&lt;D xsi:type="xsd:double"&gt;18.3951322667711&lt;/D&gt;&lt;D xsi:type="xsd:double"&gt;18.0658283814823&lt;/D&gt;&lt;D xsi:type="xsd:double"&gt;17.9849018402109&lt;/D&gt;&lt;D xsi:type="xsd:double"&gt;16.9581820636973&lt;/D&gt;&lt;D xsi:type="xsd:double"&gt;16.9181831921264&lt;/D&gt;&lt;D xsi:type="xsd:double"&gt;18.1130351498966&lt;/D&gt;&lt;D xsi:type="xsd:double"&gt;17.776959729627&lt;/D&gt;&lt;D xsi:type="xsd:double"&gt;16.8593358066059&lt;/D&gt;&lt;D xsi:type="xsd:double"&gt;15.1632905685823&lt;/D&gt;&lt;D xsi:type="xsd:double"&gt;15.7743755003447&lt;/D&gt;&lt;D xsi:type="xsd:double"&gt;16.0217014151007&lt;/D&gt;&lt;D xsi:type="xsd:double"&gt;16.0131552285408&lt;/D&gt;&lt;D xsi:type="xsd:double"&gt;15.673054053847&lt;/D&gt;&lt;D xsi:type="xsd:double"&gt;16.0718229888779&lt;/D&gt;&lt;D xsi:type="xsd:double"&gt;16.3465681007281&lt;/D&gt;&lt;D xsi:type="xsd:double"&gt;16.869083422315&lt;/D&gt;&lt;D xsi:type="xsd:double"&gt;16.8131605309079&lt;/D&gt;&lt;D xsi:type="xsd:double"&gt;16.6755056585245&lt;/D&gt;&lt;D xsi:type="xsd:double"&gt;16.255530450494&lt;/D&gt;&lt;D xsi:type="xsd:double"&gt;16.4339471437406&lt;/D&gt;&lt;D xsi:type="xsd:double"&gt;17.4504942437511&lt;/D&gt;&lt;D xsi:type="xsd:double"&gt;18.7988721459736&lt;/D&gt;&lt;D xsi:type="xsd:double"&gt;18.4513091924253&lt;/D&gt;&lt;D xsi:type="xsd:double"&gt;18.2448247989527&lt;/D&gt;&lt;D xsi:type="xsd:double"&gt;18.4189059165942&lt;/D&gt;&lt;D xsi:type="xsd:double"&gt;17.7675272757806&lt;/D&gt;&lt;D xsi:type="xsd:double"&gt;18.0165006143403&lt;/D&gt;&lt;D xsi:type="xsd:double"&gt;18.2158275125174&lt;/D&gt;&lt;D xsi:type="xsd:double"&gt;17.6342104910835&lt;/D&gt;&lt;D xsi:type="xsd:double"&gt;18.1071609811511&lt;/D&gt;&lt;D xsi:type="xsd:double"&gt;19.0807399296038&lt;/D&gt;&lt;D xsi:type="xsd:double"&gt;18.4194676889352&lt;/D&gt;&lt;D xsi:type="xsd:double"&gt;19.1583445836235&lt;/D&gt;&lt;D xsi:type="xsd:double"&gt;18.3078973023629&lt;/D&gt;&lt;D xsi:type="xsd:double"&gt;18.0628581548001&lt;/D&gt;&lt;D xsi:type="xsd:double"&gt;17.8376287309248&lt;/D&gt;&lt;D xsi:type="xsd:double"&gt;17.3618161621779&lt;/D&gt;&lt;D xsi:type="xsd:double"&gt;16.981937194199&lt;/D&gt;&lt;D xsi:type="xsd:double"&gt;16.6219226682842&lt;/D&gt;&lt;D xsi:type="xsd:double"&gt;16.5503223916275&lt;/D&gt;&lt;D xsi:type="xsd:double"&gt;15.937134053954&lt;/D&gt;&lt;D xsi:type="xsd:double"&gt;14.3133954412842&lt;/D&gt;&lt;D xsi:type="xsd:double"&gt;14.5327706532773&lt;/D&gt;&lt;D xsi:type="xsd:double"&gt;14.5519830500839&lt;/D&gt;&lt;D xsi:type="xsd:double"&gt;15.3845544823575&lt;/D&gt;&lt;D xsi:type="xsd:double"&gt;15.3990759076661&lt;/D&gt;&lt;D xsi:type="xsd:double"&gt;15.2681344279226&lt;/D&gt;&lt;D xsi:type="xsd:double"&gt;15.3727125530041&lt;/D&gt;&lt;D xsi:type="xsd:double"&gt;14.7684851751308&lt;/D&gt;&lt;D xsi:type="xsd:double"&gt;15.1500203174308&lt;/D&gt;&lt;D xsi:type="xsd:double"&gt;14.8361279775983&lt;/D&gt;&lt;D xsi:type="xsd:double"&gt;13.9545071137621&lt;/D&gt;&lt;D xsi:type="xsd:double"&gt;13.7691403858013&lt;/D&gt;&lt;D xsi:type="xsd:double"&gt;13.6128290732681&lt;/D&gt;&lt;D xsi:type="xsd:double"&gt;13.751823544158&lt;/D&gt;&lt;D xsi:type="xsd:double"&gt;14.5351808079832&lt;/D&gt;&lt;D xsi:type="xsd:double"&gt;14.0947679885755&lt;/D&gt;&lt;D xsi:type="xsd:double"&gt;14.4041029286252&lt;/D&gt;&lt;D xsi:type="xsd:double"&gt;11.7698840599702&lt;/D&gt;&lt;D xsi:type="xsd:double"&gt;12.2762189629124&lt;/D&gt;&lt;D xsi:type="xsd:double"&gt;12.5319739704575&lt;/D&gt;&lt;D xsi:type="xsd:double"&gt;13.0807856781595&lt;/D&gt;&lt;D xsi:type="xsd:double"&gt;13.5231104249856&lt;/D&gt;&lt;D xsi:type="xsd:double"&gt;13.4068972399485&lt;/D&gt;&lt;D xsi:type="xsd:double"&gt;12.9482562314442&lt;/D&gt;&lt;D xsi:type="xsd:double"&gt;13.5132000211049&lt;/D&gt;&lt;D xsi:type="xsd:double"&gt;13.5477665513651&lt;/D&gt;&lt;D xsi:type="xsd:double"&gt;13.910039023229&lt;/D&gt;&lt;D xsi:type="xsd:double"&gt;14.1246224053697&lt;/D&gt;&lt;D xsi:type="xsd:double"&gt;13.9736935929856&lt;/D&gt;&lt;D xsi:type="xsd:double"&gt;13.3464779906806&lt;/D&gt;&lt;D xsi:type="xsd:double"&gt;12.9188587421422&lt;/D&gt;&lt;D xsi:type="xsd:double"&gt;12.5877990692787&lt;/D&gt;&lt;D xsi:type="xsd:double"&gt;12.1279595021446&lt;/D&gt;&lt;D xsi:type="xsd:double"&gt;11.7153836146181&lt;/D&gt;&lt;D xsi:type="xsd:double"&gt;10.9447855247226&lt;/D&gt;&lt;D xsi:type="xsd:double"&gt;10.8719331612579&lt;/D&gt;&lt;D xsi:type="xsd:double"&gt;10.8232280633602&lt;/D&gt;&lt;D xsi:type="xsd:double"&gt;10.4701261255076&lt;/D&gt;&lt;D xsi:type="xsd:double"&gt;10.3598286149548&lt;/D&gt;&lt;D xsi:type="xsd:double"&gt;10.7948310281202&lt;/D&gt;&lt;D xsi:type="xsd:double"&gt;11.0113699774911&lt;/D&gt;&lt;D xsi:type="xsd:double"&gt;11.11484161765&lt;/D&gt;&lt;D xsi:type="xsd:double"&gt;10.8371671317503&lt;/D&gt;&lt;D xsi:type="xsd:double"&gt;10.5293364902653&lt;/D&gt;&lt;D xsi:type="xsd:double"&gt;10.1384774410808&lt;/D&gt;&lt;D xsi:type="xsd:double"&gt;10.2744591885483&lt;/D&gt;&lt;D xsi:type="xsd:double"&gt;10.1478867554659&lt;/D&gt;&lt;D xsi:type="xsd:double"&gt;9.31569937616943&lt;/D&gt;&lt;D xsi:type="xsd:double"&gt;9.50829753827087&lt;/D&gt;&lt;D xsi:type="xsd:double"&gt;10.3458194416882&lt;/D&gt;&lt;D xsi:type="xsd:double"&gt;10.2215359522502&lt;/D&gt;&lt;D xsi:type="xsd:double"&gt;11.0739839988398&lt;/D&gt;&lt;D xsi:type="xsd:double"&gt;10.3863511210084&lt;/D&gt;&lt;D xsi:type="xsd:double"&gt;10.208663190722&lt;/D&gt;&lt;D xsi:type="xsd:double"&gt;10.209969049324&lt;/D&gt;&lt;D xsi:type="xsd:double"&gt;10.0202438953556&lt;/D&gt;&lt;D xsi:type="xsd:double"&gt;10.011212785067&lt;/D&gt;&lt;D xsi:type="xsd:double"&gt;10.5523585602955&lt;/D&gt;&lt;D xsi:type="xsd:double"&gt;10.4369461026302&lt;/D&gt;&lt;D xsi:type="xsd:double"&gt;10.5833880685814&lt;/D&gt;&lt;D xsi:type="xsd:double"&gt;10.4486797124632&lt;/D&gt;&lt;D xsi:type="xsd:double"&gt;11.0675631079619&lt;/D&gt;&lt;D xsi:type="xsd:double"&gt;11.2662420525924&lt;/D&gt;&lt;D xsi:type="xsd:double"&gt;10.958339448928&lt;/D&gt;&lt;D xsi:type="xsd:double"&gt;10.8836020432905&lt;/D&gt;&lt;D xsi:type="xsd:double"&gt;10.6506345185375&lt;/D&gt;&lt;D xsi:type="xsd:double"&gt;10.4729117600767&lt;/D&gt;&lt;D xsi:type="xsd:double"&gt;10.7899163567431&lt;/D&gt;&lt;/FQL&gt;&lt;FQL&gt;&lt;Q&gt;DDR3512M-FDS^FG_PRICE_CHANGE(0,-6AM)&lt;/Q&gt;&lt;R&gt;1&lt;/R&gt;&lt;C&gt;1&lt;/C&gt;&lt;D xsi:type="xsd:double"&gt;-6.35211244429181&lt;/D&gt;&lt;/FQL&gt;&lt;FQL&gt;&lt;Q&gt;PASP-FDS^FG_PRICE_CHANGE(0,-6AM)&lt;/Q&gt;&lt;R&gt;1&lt;/R&gt;&lt;C&gt;1&lt;/C&gt;&lt;D xsi:type="xsd:double"&gt;-7.40740740740741&lt;/D&gt;&lt;/FQL&gt;&lt;FQL&gt;&lt;Q&gt;PLATI-FDS^FG_PRICE_CHANGE(0,-6AM)&lt;/Q&gt;&lt;R&gt;1&lt;/R&gt;&lt;C&gt;1&lt;/C&gt;&lt;D xsi:type="xsd:double"&gt;11.0756123535676&lt;/D&gt;&lt;/FQL&gt;&lt;FQL&gt;&lt;Q&gt;W-FDS^FG_PRICE_CHANGE(0,-6AM)&lt;/Q&gt;&lt;R&gt;1&lt;/R&gt;&lt;C&gt;1&lt;/C&gt;&lt;D xsi:type="xsd:double"&gt;25.5960413855151&lt;/D&gt;&lt;/FQL&gt;&lt;FQL&gt;&lt;Q&gt;COPP-FDS^FG_PRICE_CHANGE(0,-6AM)&lt;/Q&gt;&lt;R&gt;1&lt;/R&gt;&lt;C&gt;1&lt;/C&gt;&lt;D xsi:type="xsd:double"&gt;27.8773397052967&lt;/D&gt;&lt;/FQL&gt;&lt;FQL&gt;&lt;Q&gt;SET-BKK^FG_PRICE(0)&lt;/Q&gt;&lt;R&gt;1&lt;/R&gt;&lt;C&gt;1&lt;/C&gt;&lt;D xsi:type="xsd:double"&gt;1367.84&lt;/D&gt;&lt;/FQL&gt;&lt;FQL&gt;&lt;Q&gt;FC0000GR^FG_PRICE(0)&lt;/Q&gt;&lt;R&gt;1&lt;/R&gt;&lt;C&gt;1&lt;/C&gt;&lt;D xsi:type="xsd:double"&gt;9.9094515&lt;/D&gt;&lt;/FQL&gt;&lt;FQL&gt;&lt;Q&gt;FC0000MX^FG_PRICE(0)&lt;/Q&gt;&lt;R&gt;1&lt;/R&gt;&lt;C&gt;1&lt;/C&gt;&lt;D xsi:type="xsd:double"&gt;527.8493&lt;/D&gt;&lt;/FQL&gt;&lt;FQL&gt;&lt;Q&gt;FC0000PL^FG_PRICE(0)&lt;/Q&gt;&lt;R&gt;1&lt;/R&gt;&lt;C&gt;1&lt;/C&gt;&lt;D xsi:type="xsd:double"&gt;222.35672&lt;/D&gt;&lt;/FQL&gt;&lt;FQL&gt;&lt;Q&gt;FC0000CN^FG_PRICE(0)&lt;/Q&gt;&lt;R&gt;1&lt;/R&gt;&lt;C&gt;1&lt;/C&gt;&lt;D xsi:type="xsd:double"&gt;255.66893&lt;/D&gt;&lt;/FQL&gt;&lt;FQL&gt;&lt;Q&gt;TUR^FG_PRICE(0)&lt;/Q&gt;&lt;R&gt;1&lt;/R&gt;&lt;C&gt;1&lt;/C&gt;&lt;D xsi:type="xsd:double"&gt;43.46&lt;/D&gt;&lt;/FQL&gt;&lt;FQL&gt;&lt;Q&gt;INDA^FG_PRICE(0)&lt;/Q&gt;&lt;R&gt;1&lt;/R&gt;&lt;C&gt;1&lt;/C&gt;&lt;D xsi:type="xsd:double"&gt;53.81&lt;/D&gt;&lt;/FQL&gt;&lt;FQL&gt;&lt;Q&gt;EWY^FG_PRICE(0)&lt;/Q&gt;&lt;R&gt;1&lt;/R&gt;&lt;C&gt;1&lt;/C&gt;&lt;D xsi:type="xsd:double"&gt;63.88&lt;/D&gt;&lt;/FQL&gt;&lt;FQL&gt;&lt;Q&gt;EPU^FG_PRICE(0)&lt;/Q&gt;&lt;R&gt;1&lt;/R&gt;&lt;C&gt;1&lt;/C&gt;&lt;D xsi:type="xsd:double"&gt;42.735&lt;/D&gt;&lt;/FQL&gt;&lt;FQL&gt;&lt;Q&gt;ECH^FG_PRICE(0)&lt;/Q&gt;&lt;R&gt;1&lt;/R&gt;&lt;C&gt;1&lt;/C&gt;&lt;D xsi:type="xsd:double"&gt;29.02&lt;/D&gt;&lt;/FQL&gt;&lt;FQL&gt;&lt;Q&gt;VNM^P_PRICE(0)/P_PRICE_HIGH_PR(0,,,,,,"PRICE","INTRA","52W")&lt;/Q&gt;&lt;R&gt;1&lt;/R&gt;&lt;C&gt;1&lt;/C&gt;&lt;D xsi:type="xsd:double"&gt;0.82070947&lt;/D&gt;&lt;/FQL&gt;&lt;FQL&gt;&lt;Q&gt;TUR^FG_TOTAL_RETURNC(0,-12AM)&lt;/Q&gt;&lt;R&gt;1&lt;/R&gt;&lt;C&gt;1&lt;/C&gt;&lt;D xsi:type="xsd:double"&gt;55.717243&lt;/D&gt;&lt;/FQL&gt;&lt;FQL&gt;&lt;Q&gt;SET-BKK^PERCENT_CHANGE(FMA_EPS(+1,0,,,,"PORTAGG","MEAN"),FMA_EPS(+1,-1AM,,,,"PORTAGG","MEAN"))&lt;/Q&gt;&lt;R&gt;1&lt;/R&gt;&lt;C&gt;1&lt;/C&gt;&lt;D xsi:type="xsd:double"&gt;-0.643950787192931&lt;/D&gt;&lt;/FQL&gt;&lt;FQL&gt;&lt;Q&gt;MCHI^FG_TOTAL_RETURNC(0,-1AM)&lt;/Q&gt;&lt;R&gt;1&lt;/R&gt;&lt;C&gt;1&lt;/C&gt;&lt;D xsi:type="xsd:double"&gt;10.660768&lt;/D&gt;&lt;/FQL&gt;&lt;FQL&gt;&lt;Q&gt;GREK^FG_TOTAL_RETURNC(0,-6AM)&lt;/Q&gt;&lt;R&gt;1&lt;/R&gt;&lt;C&gt;1&lt;/C&gt;&lt;D xsi:type="xsd:double"&gt;16.49847&lt;/D&gt;&lt;/FQL&gt;&lt;FQL&gt;&lt;Q&gt;EWZ^P_PRICE(0)/P_PRICE_LOW_PR(0,,,,,,"PRICE","INTRA","52W")-1&lt;/Q&gt;&lt;R&gt;1&lt;/R&gt;&lt;C&gt;1&lt;/C&gt;&lt;D xsi:type="xsd:double"&gt;0.078303695&lt;/D&gt;&lt;/FQL&gt;&lt;FQL&gt;&lt;Q&gt;EWY^FMA_PCT_ABOVE_MAVG(200,0,,,,"PORTAGG")&lt;/Q&gt;&lt;R&gt;1&lt;/R&gt;&lt;C&gt;1&lt;/C&gt;&lt;D xsi:type="xsd:double"&gt;58&lt;/D&gt;&lt;/FQL&gt;&lt;FQL&gt;&lt;Q&gt;VNM^FMA_ROE(NTMA,-20AY,NOW,FY,"PORTAGG","MEANR")&lt;/Q&gt;&lt;R&gt;20&lt;/R&gt;&lt;C&gt;1&lt;/C&gt;&lt;D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xsi:type="xsd:double"&gt;15.4807939433741&lt;/D&gt;&lt;D xsi:type="xsd:double"&gt;17.0889112010564&lt;/D&gt;&lt;D xsi:type="xsd:double"&gt;18.3844906020794&lt;/D&gt;&lt;D xsi:type="xsd:double"&gt;14.7334622550631&lt;/D&gt;&lt;D xsi:type="xsd:double"&gt;10.7325513465194&lt;/D&gt;&lt;/FQL&gt;&lt;FQL&gt;&lt;Q&gt;EPHE^FMA_ROE(NTMA,-20AY,NOW,FY,"PORTAGG","MEANR")&lt;/Q&gt;&lt;R&gt;20&lt;/R&gt;&lt;C&gt;1&lt;/C&gt;&lt;D xsi:type="xsd:string"&gt;@NA&lt;/D&gt;&lt;D xs</t>
        </r>
      </text>
    </comment>
    <comment ref="A4" authorId="0" shapeId="0" xr:uid="{B8DB5065-F552-4743-8983-FD6ECB4C49BA}">
      <text>
        <r>
          <rPr>
            <b/>
            <sz val="9"/>
            <color indexed="81"/>
            <rFont val="Tahoma"/>
            <charset val="1"/>
          </rPr>
          <t>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xsi:type="xsd:double"&gt;12.0539318308439&lt;/D&gt;&lt;D xsi:type="xsd:double"&gt;8.91575729801009&lt;/D&gt;&lt;D xsi:type="xsd:double"&gt;9.59945410063992&lt;/D&gt;&lt;D xsi:type="xsd:double"&gt;10.6731246326263&lt;/D&gt;&lt;D xsi:type="xsd:double"&gt;11.9407094450378&lt;/D&gt;&lt;/FQL&gt;&lt;FQL&gt;&lt;Q&gt;TRYZA10Y-FDS^JULIAN(FG_YIELD(-10AY,0,CY,,"YTM").DATES)&lt;/Q&gt;&lt;R&gt;10&lt;/R&gt;&lt;C&gt;1&lt;/C&gt;&lt;D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xsi:type="xsd:double"&gt;8.128455158546&lt;/D&gt;&lt;D xsi:type="xsd:double"&gt;6.76201762780835&lt;/D&gt;&lt;D xsi:type="xsd:double"&gt;11.234942553465&lt;/D&gt;&lt;D xsi:type="xsd:double"&gt;12.9338493595798&lt;/D&gt;&lt;D xsi:type="xsd:double"&gt;13.2251182354264&lt;/D&gt;&lt;/FQL&gt;&lt;FQL&gt;&lt;Q&gt;EIDO^FMA_ROE(NTMA,-20AY,NOW,FY,"PORTAGG","MEANR")&lt;/Q&gt;&lt;R&gt;20&lt;/R&gt;&lt;C&gt;1&lt;/C&gt;&lt;D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xsi:type="xsd:double"&gt;14.4300103255066&lt;/D&gt;&lt;D xsi:type="xsd:double"&gt;11.4814604181015&lt;/D&gt;&lt;D xsi:type="xsd:double"&gt;13.6928560106707&lt;/D&gt;&lt;D xsi:type="xsd:double"&gt;15.6524440626644&lt;/D&gt;&lt;D xsi:type="xsd:double"&gt;14.0234033144087&lt;/D&gt;&lt;/FQL&gt;&lt;FQL&gt;&lt;Q&gt;TRYUS10Y-FDS^FG_YIELD(-10AY,0,Y,,"YTM")&lt;/Q&gt;&lt;R&gt;10&lt;/R&gt;&lt;C&gt;1&lt;/C&gt;&lt;D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xsi:type="xsd:double"&gt;3.8791&lt;/D&gt;&lt;/FQL&gt;&lt;FQL&gt;&lt;Q&gt;CAGDPY@SA^EE_ACTUAL_ANNUAL(MED,+1)&lt;/Q&gt;&lt;R&gt;1&lt;/R&gt;&lt;C&gt;1&lt;/C&gt;&lt;D xsi:type="xsd:double"&gt;2.6&lt;/D&gt;&lt;/FQL&gt;&lt;FQL&gt;&lt;Q&gt;CAGDPY@GR^EE_ACTUAL_ANNUAL(MED,+1)&lt;/Q&gt;&lt;R&gt;1&lt;/R&gt;&lt;C&gt;1&lt;/C&gt;&lt;D xsi:type="xsd:double"&gt;-6&lt;/D&gt;&lt;/FQL&gt;&lt;FQL&gt;&lt;Q&gt;TUR^FMA_ROE(NTMA,-20AY,NOW,FY,"PORTAGG","MEANR")&lt;/Q&gt;&lt;R&gt;20&lt;/R&gt;&lt;C&gt;1&lt;/C&gt;&lt;D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xsi:type="xsd:double"&gt;14.8395467674489&lt;/D&gt;&lt;D xsi:type="xsd:double"&gt;12.8830286544733&lt;/D&gt;&lt;D xsi:type="xsd:double"&gt;18.5724934178429&lt;/D&gt;&lt;D xsi:type="xsd:double"&gt;24.1409635144245&lt;/D&gt;&lt;D xsi:type="xsd:double"&gt;25.8460088493027&lt;/D&gt;&lt;/FQL&gt;&lt;FQL&gt;&lt;Q&gt;ECH^FMA_ROE(NTMA,-20AY,NOW,FY,"PORTAGG","MEANR")&lt;/Q&gt;&lt;R&gt;20&lt;/R&gt;&lt;C&gt;1&lt;/C&gt;&lt;D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xsi:type="xsd:double"&gt;11.2778516938703&lt;/D&gt;&lt;D xsi:type="xsd:double"&gt;9.83590954451218&lt;/D&gt;&lt;D xsi:type="xsd:double"&gt;8.75463942854793&lt;/D&gt;&lt;D xsi:type="xsd:double"&gt;10.6038911838351&lt;/D&gt;&lt;D xsi:type="xsd:double"&gt;12.7874449833902&lt;/D&gt;&lt;D xsi:type="xsd:double"&gt;13.9108390560816&lt;/D&gt;&lt;/FQL&gt;&lt;FQL&gt;&lt;Q&gt;CAGDPY@SA^EE_ACTUAL_ANNUAL(MED,0)&lt;/Q&gt;&lt;R&gt;1&lt;/R&gt;&lt;C&gt;1&lt;/C&gt;&lt;D xsi:type="xsd:double"&gt;3.19136442056759&lt;/D&gt;&lt;/FQL&gt;&lt;FQL&gt;&lt;Q&gt;CAGDPY@GR^EE_ACTUAL_ANNUAL(MED,0)&lt;/Q&gt;&lt;R&gt;1&lt;/R&gt;&lt;C&gt;1&lt;/C&gt;&lt;D xsi:type="xsd:double"&gt;-6.34147154305661&lt;/D&gt;&lt;/FQL&gt;&lt;FQL&gt;&lt;Q&gt;CAGDPY@PL^EE_ACTUAL_ANNUAL(MED,0)&lt;/Q&gt;&lt;R&gt;1&lt;/R&gt;&lt;C&gt;1&lt;/C&gt;&lt;D xsi:type="xsd:double"&gt;1.58176511984872&lt;/D&gt;&lt;/FQL&gt;&lt;FQL&gt;&lt;Q&gt;SET-BKK^FMA_ROE(NTMA,-20AY,NOW,FY,"PORTAGG","MEANR")&lt;/Q&gt;&lt;R&gt;20&lt;/R&gt;&lt;C&gt;1&lt;/C&gt;&lt;D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xsi:type="xsd:double"&gt;10.9395949217405&lt;/D&gt;&lt;D xsi:type="xsd:double"&gt;8.38849749810761&lt;/D&gt;&lt;D xsi:type="xsd:double"&gt;9.94747027091188&lt;/D&gt;&lt;D xsi:type="xsd:double"&gt;10.1243577068579&lt;/D&gt;&lt;D xsi:type="xsd:double"&gt;9.34877442177023&lt;/D&gt;&lt;/FQL&gt;&lt;FQL&gt;&lt;Q&gt;CNYA^FMA_ROE(NTMA,-20AY,NOW,FY,"PORTAGG","MEANR")&lt;/Q&gt;&lt;R&gt;20&lt;/R&gt;&lt;C&gt;1&lt;/C&gt;&lt;D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xsi:type="xsd:double"&gt;13.4756717158229&lt;/D&gt;&lt;D xsi:type="xsd:double"&gt;12.9923016395817&lt;/D&gt;&lt;D xsi:type="xsd:double"&gt;13.7663180618798&lt;/D&gt;&lt;D xsi:type="xsd:double"&gt;13.3712255061331&lt;/D&gt;&lt;D xsi:type="xsd:double"&gt;12.0077667934377&lt;/D&gt;&lt;/FQL&gt;&lt;FQL&gt;&lt;Q&gt;QAT^FMA_ROE(NTMA,-20AY,NOW,FY,"PORTAGG","MEANR")&lt;/Q&gt;&lt;R&gt;20&lt;/R&gt;&lt;C&gt;1&lt;/C&gt;&lt;D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CAGDPY@VN^EE_ACTUAL_ANNUAL(MED,0)&lt;/Q&gt;&lt;R&gt;0&lt;/R&gt;&lt;C&gt;0&lt;/C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xsi:type="xsd:double"&gt;12.8854511837074&lt;/D&gt;&lt;D xsi:type="xsd:double"&gt;12.3572373310687&lt;/D&gt;&lt;D xsi:type="xsd:double"&gt;11.9739138767707&lt;/D&gt;&lt;D xsi:type="xsd:double"&gt;11.5500903476445&lt;/D&gt;&lt;D xsi:type="xsd:double"&gt;11.5611834350638&lt;/D&gt;&lt;/FQL&gt;&lt;FQL&gt;&lt;Q&gt;CAGDPY@AE^EE_ACTUAL_ANNUAL(MED,+1)&lt;/Q&gt;&lt;R&gt;1&lt;/R&gt;&lt;C&gt;1&lt;/C&gt;&lt;D xsi:type="xsd:double"&gt;8.85&lt;/D&gt;&lt;/FQL&gt;&lt;FQL&gt;&lt;Q&gt;INDA^FMA_ROE(NTMA,-20AY,NOW,FY,"PORTAGG","MEANR")&lt;/Q&gt;&lt;R&gt;20&lt;/R&gt;&lt;C&gt;1&lt;/C&gt;&lt;D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xsi:type="xsd:double"&gt;14.5354845941958&lt;/D&gt;&lt;D xsi:type="xsd:double"&gt;12.8423838581616&lt;/D&gt;&lt;D xsi:type="xsd:double"&gt;15.1612835327609&lt;/D&gt;&lt;D xsi:type="xsd:double"&gt;14.9254235326562&lt;/D&gt;&lt;D xsi:type="xsd:double"&gt;16.0848706505016&lt;/D&gt;&lt;/FQL&gt;&lt;FQL&gt;&lt;Q&gt;CAGDPY@AE^EE_ACTUAL_ANNUAL(MED,0)&lt;/Q&gt;&lt;R&gt;1&lt;/R&gt;&lt;C&gt;1&lt;/C&gt;&lt;D xsi:type="xsd:double"&gt;12.15&lt;/D&gt;&lt;/FQL&gt;&lt;FQL&gt;&lt;Q&gt;CAGDPY@BR^EE_ACTUAL_ANNUAL(MED,0)&lt;/Q&gt;&lt;R&gt;1&lt;/R&gt;&lt;C&gt;1&lt;/C&gt;&lt;D xsi:type="xsd:double"&gt;-1.41835074191142&lt;/D&gt;&lt;/FQL&gt;&lt;FQL&gt;&lt;Q&gt;CAGDPY@ID^EE_ACTUAL_ANNUAL(MED,0)&lt;/Q&gt;&lt;R&gt;1&lt;/R&gt;&lt;C&gt;1&lt;/C&gt;&lt;D xsi:type="xsd:double"&gt;-0.14&lt;/D&gt;&lt;/FQL&gt;&lt;FQL&gt;&lt;Q&gt;CC_KR^FG_COMPANY_NAME&lt;/Q&gt;&lt;R&gt;1&lt;/R&gt;&lt;C&gt;1&lt;/C&gt;&lt;D xsi:type="xsd:string"&gt;South Korea&lt;/D&gt;&lt;/FQL&gt;&lt;FQL&gt;&lt;Q&gt;USDSAR^FG_PRICE(0)&lt;/Q&gt;&lt;R&gt;1&lt;/R&gt;&lt;C&gt;1&lt;/C&gt;&lt;D xsi:type="xsd:double"&gt;3.75055&lt;/D&gt;&lt;/FQL&gt;&lt;FQL&gt;&lt;Q&gt;USDAED^FG_PRICE(0)&lt;/Q&gt;&lt;R&gt;1&lt;/R&gt;&lt;C&gt;1&lt;/C&gt;&lt;D xsi:type="xsd:double"&gt;3.673&lt;/D&gt;&lt;/FQL&gt;&lt;FQL&gt;&lt;Q&gt;USDTHB^FG_PRICE(0)&lt;/Q&gt;&lt;R&gt;1&lt;/R&gt;&lt;C&gt;1&lt;/C&gt;&lt;D xsi:type="xsd:double"&gt;36.5275&lt;/D&gt;&lt;/FQL&gt;&lt;FQL&gt;&lt;Q&gt;USDCNH^FG_PRICE(0)&lt;/Q&gt;&lt;R&gt;1&lt;/R&gt;&lt;C&gt;1&lt;/C&gt;&lt;D xsi:type="xsd:double"&gt;7.2591&lt;/D&gt;&lt;/FQL&gt;&lt;FQL&gt;&lt;Q&gt;USDEUR^FG_PRICE(0)&lt;/Q&gt;&lt;R&gt;1&lt;/R&gt;&lt;C&gt;1&lt;/C&gt;&lt;D xsi:type="xsd:double"&gt;0.92365956&lt;/D&gt;&lt;/FQL&gt;&lt;FQL&gt;&lt;Q&gt;USDBRL^FG_PRICE(0)&lt;/Q&gt;&lt;R&gt;1&lt;/R&gt;&lt;C&gt;1&lt;/C&gt;&lt;D xsi:type="xsd:double"&gt;5.15285&lt;/D&gt;&lt;/FQL&gt;&lt;FQL&gt;&lt;Q&gt;USDMXN^FG_PRICE(0)&lt;/Q&gt;&lt;R&gt;1&lt;/R&gt;&lt;C&gt;1&lt;/C&gt;&lt;D xsi:type="xsd:double"&gt;16.732&lt;/D&gt;&lt;/FQL&gt;&lt;FQL&gt;&lt;Q&gt;USDMYR^FG_PRICE(0)&lt;/Q&gt;&lt;R&gt;1&lt;/R&gt;&lt;C&gt;1&lt;/C&gt;&lt;D xsi:type="xsd:double"&gt;4.7045&lt;/D&gt;&lt;/FQL&gt;&lt;FQL&gt;&lt;Q&gt;USDPLN^FG_PRICE(0)&lt;/Q&gt;&lt;R&gt;1&lt;/R&gt;&lt;C&gt;1&lt;/C&gt;&lt;D xsi:type="xsd:double"&gt;3.9364&lt;/D&gt;&lt;/FQL&gt;&lt;FQL&gt;&lt;Q&gt;USDIDR^FG_PRICE(0)&lt;/Q&gt;&lt;R&gt;1&lt;/R&gt;&lt;C&gt;1&lt;/C&gt;&lt;D xsi:type="xsd:double"&gt;15992.5&lt;/D&gt;&lt;/FQL&gt;&lt;FQL&gt;&lt;Q&gt;FC0000MY^FMA_EPS(NTMA,-20AY,0,CY,,"PORTAGG","MEANR")&lt;/Q&gt;&lt;R&gt;20&lt;/R&gt;&lt;C&gt;1&lt;/C&gt;&lt;D xsi:type="xsd:double"&gt;10.1502703335633&lt;/D&gt;&lt;D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xsi:type="xsd:double"&gt;15.698795472227&lt;/D&gt;&lt;D xsi:type="xsd:double"&gt;16.3882261570195&lt;/D&gt;&lt;D xsi:type="xsd:double"&gt;16.0085524503313&lt;/D&gt;&lt;D xsi:type="xsd:double"&gt;16.6997810143762&lt;/D&gt;&lt;D xsi:type="xsd:double"&gt;16.7568420392787&lt;/D&gt;&lt;/FQL&gt;&lt;FQL&gt;&lt;Q&gt;GREK^P_PRICE_RETURNS_PR('52W',2,-10AY,0,AM)&lt;/Q&gt;&lt;R&gt;121&lt;/R&gt;&lt;C&gt;1&lt;/C&gt;&lt;D xsi:type="xsd:double"&gt;12.576448&lt;/D&gt;&lt;D xsi:type="xsd:double"&gt;59.26255&lt;/D&gt;&lt;D xsi:type="xsd:double"&gt;36.87457&lt;/D&gt;&lt;D xsi:type="xsd:double"&gt;23.743092999999998&lt;/D&gt;&lt;D xsi:type="xsd:double"&gt;2.6743293&lt;/D&gt;&lt;D xsi:type="xsd:double"&gt;-21.751976&lt;/D&gt;&lt;D xsi:type="xsd:double"&gt;-21.991999&lt;/D&gt;&lt;D xsi:type="xsd:double"&gt;-33.332027&lt;/D&gt;&lt;D xsi:type="xsd:double"&gt;-42.606754&lt;/D&gt;&lt;D xsi:type="xsd:double"&gt;-40.418888&lt;/D&gt;&lt;D xsi:type="xsd:double"&gt;-53.516693&lt;/D&gt;&lt;D xsi:type="xsd:double"&gt;-53.64074&lt;/D&gt;&lt;D xsi:type="xsd:double"&gt;-41.554005&lt;/D&gt;&lt;D xsi:type="xsd:double"&gt;-48.227512&lt;/D&gt;&lt;D xsi:type="xsd:double"&gt;-52.704773&lt;/D&gt;&lt;D xsi:type="xsd:double"&gt;-54.62126&lt;/D&gt;&lt;D xsi:type="xsd:double"&gt;-49.188084&lt;/D&gt;&lt;D xsi:type="xsd:double"&gt;-37.319202&lt;/D&gt;&lt;D xsi:type="xsd:double"&gt;-46.50703&lt;/D&gt;&lt;D xsi:type="xsd:double"&gt;-41.240738&lt;/D&gt;&lt;D xsi:type="xsd:double"&gt;-45.622593&lt;/D&gt;&lt;D xsi:type="xsd:double"&gt;-54.267223&lt;/D&gt;&lt;D xsi:type="xsd:double"&gt;-36.35332&lt;/D&gt;&lt;D xsi:type="xsd:double"&gt;-19.569904&lt;/D&gt;&lt;D xsi:type="xsd:double"&gt;-25.794489&lt;/D&gt;&lt;D xsi:type="xsd:double"&gt;-30.687935&lt;/D&gt;&lt;D xsi:type="xsd:double"&gt;-25.924725&lt;/D&gt;&lt;D xsi:type="xsd:double"&gt;-20.752853&lt;/D&gt;&lt;D xsi:type="xsd:double"&gt;-24.014526&lt;/D&gt;&lt;D xsi:type="xsd:double"&gt;-30.280525&lt;/D&gt;&lt;D xsi:type="xsd:double"&gt;-9.863215&lt;/D&gt;&lt;D xsi:type="xsd:double"&gt;-4.6551824&lt;/D&gt;&lt;D xsi:type="xsd:double"&gt;20.95945&lt;/D&gt;&lt;D xsi:type="xsd:double"&gt;28.460014&lt;/D&gt;&lt;D xsi:type="xsd:double"&gt;12.930429&lt;/D&gt;&lt;D xsi:type="xsd:double"&gt;0.3266096&lt;/D&gt;&lt;D xsi:type="xsd:double"&gt;9.426618&lt;/D&gt;&lt;D xsi:type="xsd:double"&gt;21.76149&lt;/D&gt;&lt;D xsi:type="xsd:double"&gt;48.90908&lt;/D&gt;&lt;D xsi:type="xsd:double"&gt;44.624413&lt;/D&gt;&lt;D xsi:type="xsd:double"&gt;38.36225&lt;/D&gt;&lt;D xsi:type="xsd:double"&gt;24.17897&lt;/D&gt;&lt;D xsi:type="xsd:double"&gt;12.740767&lt;/D&gt;&lt;D xsi:type="xsd:double"&gt;35.439587&lt;/D&gt;&lt;D xsi:type="xsd:double"&gt;46.09778&lt;/D&gt;&lt;D xsi:type="xsd:double"&gt;40.441356999999996&lt;/D&gt;&lt;D xsi:type="xsd:double"&gt;26.45172&lt;/D&gt;&lt;D xsi:type="xsd:double"&gt;36.18554&lt;/D&gt;&lt;D xsi:type="xsd:double"&gt;0.2418518&lt;/D&gt;&lt;D xsi:type="xsd:double"&gt;-1.8416464&lt;/D&gt;&lt;D xsi:type="xsd:double"&gt;-12.903845&lt;/D&gt;&lt;D xsi:type="xsd:double"&gt;-13.363236&lt;/D&gt;&lt;D xsi:type="xsd:double"&gt;-10.601902&lt;/D&gt;&lt;D xsi:type="xsd:double"&gt;-14.094877&lt;/D&gt;&lt;D xsi:type="xsd:double"&gt;-18.632954&lt;/D&gt;&lt;D xsi:type="xsd:double"&gt;-30.454231&lt;/D&gt;&lt;D xsi:type="xsd:double"&gt;-35.8096&lt;/D&gt;&lt;D xsi:type="xsd:double"&gt;-26.765942&lt;/D&gt;&lt;D xsi:type="xsd:double"&gt;-16.70583&lt;/D&gt;&lt;D xsi:type="xsd:double"&gt;-16.661722&lt;/D&gt;&lt;D xsi:type="xsd:double"&gt;-15.432334&lt;/D&gt;&lt;D xsi:type="xsd:double"&gt;2.5617838&lt;/D&gt;&lt;D xsi:type="xsd:double"&gt;6.9823384&lt;/D&gt;&lt;D xsi:type="xsd:double"&gt;2.3241282&lt;/D&gt;&lt;D xsi:type="xsd:double"&gt;13.93689&lt;/D&gt;&lt;D xsi:type="xsd:double"&gt;32.752514&lt;/D&gt;&lt;D xsi:type="xsd:double"&gt;41.397606&lt;/D&gt;&lt;D xsi:type="xsd:double"&gt;48.203457&lt;/D&gt;&lt;D xsi:type="xsd:double"&gt;44.20997&lt;/D&gt;&lt;D xsi:type="xsd:double"&gt;21.714973&lt;/D&gt;&lt;D xsi:type="xsd:double"&gt;-35.392982&lt;/D&gt;&lt;D xsi:type="xsd:double"&gt;-30.684889&lt;/D&gt;&lt;D xsi:type="xsd:double"&gt;-22.982138&lt;/D&gt;&lt;D xsi:type="xsd:double"&gt;-23.898369&lt;/D&gt;&lt;D xsi:type="xsd:double"&gt;-26.613443&lt;/D&gt;&lt;D xsi:type="xsd:double"&gt;-21.333403&lt;/D&gt;&lt;D xsi:type="xsd:double"&gt;-29.568321&lt;/D&gt;&lt;D xsi:type="xsd:double"&gt;-32.232018&lt;/D&gt;&lt;D xsi:type="xsd:double"&gt;-23.15712&lt;/D&gt;&lt;D xsi:type="xsd:double"&gt;-13.283348&lt;/D&gt;&lt;D xsi:type="xsd:double"&gt;-16.781992&lt;/D&gt;&lt;D xsi:type="xsd:double"&gt;-7.669121&lt;/D&gt;&lt;D xsi:type="xsd:double"&gt;75.68213&lt;/D&gt;&lt;D xsi:type="xsd:double"&gt;66.38605&lt;/D&gt;&lt;D xsi:type="xsd:double"&gt;57.687378&lt;/D&gt;&lt;D xsi:type="xsd:double"&gt;42.631638&lt;/D&gt;&lt;D xsi:type="xsd:double"&gt;34.17077&lt;/D&gt;&lt;D xsi:type="xsd:double"&gt;39.314438&lt;/D&gt;&lt;D xsi:type="xsd:double"&gt;46.550835&lt;/D&gt;&lt;D xsi:type="xsd:double"&gt;52.367355&lt;/D&gt;&lt;D xsi:type="xsd:double"&gt;24.103212&lt;/D&gt;&lt;D xsi:type="xsd:double"&gt;7.2477937&lt;/D&gt;&lt;D xsi:type="xsd:double"&gt;13.736666&lt;/D&gt;&lt;D xsi:type="xsd:double"&gt;20.531607&lt;/D&gt;&lt;D xsi:type="xsd:double"&gt;3.1473994&lt;/D&gt;&lt;D xsi:type="xsd:double"&gt;-0.30972958&lt;/D&gt;&lt;D xsi:type="xsd:double"&gt;-5.333245&lt;/D&gt;&lt;D xsi:type="xsd:double"&gt;-12.631947&lt;/D&gt;&lt;D xsi:type="xsd:double"&gt;-11.006069&lt;/D&gt;&lt;D xsi:type="xsd:double"&gt;-10.460204&lt;/D&gt;&lt;D xsi:type="xsd:double"&gt;-20.872265&lt;/D&gt;&lt;D xsi:type="xsd:double"&gt;-15.49179&lt;/D&gt;&lt;D xsi:type="xsd:double"&gt;0.110816956&lt;/D&gt;&lt;D xsi:type="xsd:double"&gt;3.3204079&lt;/D&gt;&lt;D xsi:type="xsd:double"&gt;8.173264&lt;/D&gt;&lt;D xsi:type="xsd:double"&gt;15.184629&lt;/D&gt;&lt;D xsi:type="xsd:double"&gt;20.409811&lt;/D&gt;&lt;D xsi:type="xsd:double"&gt;20.233286&lt;/D&gt;&lt;D xsi:type="xsd:double"&gt;37.83084&lt;/D&gt;&lt;D xsi:type="xsd:double"&gt;54.058872&lt;/D&gt;&lt;D xsi:type="xsd:double"&gt;75.28236&lt;/D&gt;&lt;D xsi:type="xsd:double"&gt;58.361935&lt;/D&gt;&lt;D xsi:type="xsd:double"&gt;57.66753&lt;/D&gt;&lt;D xsi:type="xsd:double"&gt;47.404682&lt;/D&gt;&lt;D xsi:type="xsd:double"&gt;46.74604&lt;/D&gt;&lt;D xsi:type="xsd:double"&gt;44.77612&lt;/D&gt;&lt;D xsi:type="xsd:double"&gt;33.693897&lt;/D&gt;&lt;D xsi:type="xsd:double"&gt;28.385592&lt;/D&gt;&lt;D xsi:type="xsd:double"&gt;38.440144&lt;/D&gt;&lt;D xsi:type="xsd:double"&gt;30.437778&lt;/D&gt;&lt;D xsi:type="xsd:double"&gt;25.90723&lt;/D&gt;&lt;/FQL&gt;&lt;FQL&gt;&lt;Q&gt;UAE^FG_TOTAL_RETURNC(-10AY,0,AM)&lt;/Q&gt;&lt;R&gt;121&lt;/R&gt;&lt;C&gt;1&lt;/C&gt;&lt;D xsi:type="xsd:string"&gt;@NA&lt;/D&gt;&lt;D xsi:type="xsd:double"&gt;-8.623958&lt;/D&gt;&lt;D xsi:type="xsd:double"&gt;4.11036&lt;/D&gt;&lt;D xsi:type="xsd:double"&gt;4.673302&lt;/D&gt;&lt;D xsi:type="xsd:double"&gt;2.4803638&lt;/D&gt;&lt;D xsi:type="xsd:double"&gt;-9.963697&lt;/D&gt;&lt;D xsi:type="xsd:double"&gt;3.0013442&lt;/D&gt;&lt;D xsi:type="xsd:double"&gt;-15.789109&lt;/D&gt;&lt;D xsi:type="xsd:double"&gt;2.3017526&lt;/D&gt;&lt;D xsi:type="xsd:double"&gt;1.5509129&lt;/D&gt;&lt;D xsi:type="xsd:double"&gt;-6.1760845&lt;/D&gt;&lt;D xsi:type="xsd:double"&gt;15.3628235&lt;/D&gt;&lt;D xsi:type="xsd:double"&gt;-2.2293746&lt;/D&gt;&lt;D xsi:type="xsd:double"&gt;0.47658682&lt;/D&gt;&lt;D xsi:type="xsd:double"&gt;1.7707825&lt;/D&gt;&lt;D xsi:type="xsd:double"&gt;-15.273076&lt;/D&gt;&lt;D xsi:type="xsd:double"&gt;2.3787737&lt;/D&gt;&lt;D xsi:type="xsd:double"&gt;0.28973818&lt;/D&gt;&lt;D xsi:type="xsd:double"&gt;-12.272906&lt;/D&gt;&lt;D xsi:type="xsd:double"&gt;0.18999577&lt;/D&gt;&lt;D xsi:type="xsd:double"&gt;-11.408109&lt;/D&gt;&lt;D xsi:type="xsd:double"&gt;12.106013&lt;/D&gt;&lt;D xsi:type="xsd:double"&gt;5.4313183&lt;/D&gt;&lt;D xsi:type="xsd:double"&gt;7.1515203&lt;/D&gt;&lt;D xsi:type="xsd:double"&gt;-9.501701&lt;/D&gt;&lt;D xsi:type="xsd:double"&gt;8.8390465&lt;/D&gt;&lt;D xsi:type="xsd:double"&gt;4.2312264&lt;/D&gt;&lt;D xsi:type="xsd:double"&gt;-1.9777&lt;/D&gt;&lt;D xsi:type="xsd:double"&gt;-0.19423962&lt;/D&gt;&lt;D xsi:type="xsd:double"&gt;-4.2417645&lt;/D&gt;&lt;D xsi:type="xsd:double"&gt;-4.180658&lt;/D&gt;&lt;D xsi:type="xsd:double"&gt;8.710504&lt;/D&gt;&lt;D xsi:type="xsd:double"&gt;3.550303&lt;/D&gt;&lt;D xsi:type="xsd:double"&gt;-1.5428603&lt;/D&gt;&lt;D xsi:type="xsd:double"&gt;-2.0156682&lt;/D&gt;&lt;D xsi:type="xsd:double"&gt;0.6942034&lt;/D&gt;&lt;D xsi:type="xsd:double"&gt;1.4123559&lt;/D&gt;&lt;D xsi:type="xsd:double"&gt;1.0630131&lt;/D&gt;&lt;D xsi:type="xsd:double"&gt;3.5966992&lt;/D&gt;&lt;D xsi:type="xsd:double"&gt;0.70062876&lt;/D&gt;&lt;D xsi:type="xsd:double"&gt;-0.86530447&lt;/D&gt;&lt;D xsi:type="xsd:double"&gt;1.083231&lt;/D&gt;&lt;D xsi:type="xsd:double"&gt;-5.809355&lt;/D&gt;&lt;D xsi:type="xsd:double"&gt;0.12801886&lt;/D&gt;&lt;D xsi:type="xsd:double"&gt;7.3273063&lt;/D&gt;&lt;D xsi:type="xsd:double"&gt;-4.528576&lt;/D&gt;&lt;D xsi:type="xsd:double"&gt;-3.6993623&lt;/D&gt;&lt;D xsi:type="xsd:double"&gt;0.6737828&lt;/D&gt;&lt;D xsi:type="xsd:double"&gt;-0.42699575&lt;/D&gt;&lt;D xsi:type="xsd:double"&gt;-1.0727942&lt;/D&gt;&lt;D xsi:type="xsd:double"&gt;0.06418228&lt;/D&gt;&lt;D xsi:type="xsd:double"&gt;0.28672218&lt;/D&gt;&lt;D xsi:type="xsd:double"&gt;-2.1407485&lt;/D&gt;&lt;D xsi:type="xsd:double"&gt;-1.9862711&lt;/D&gt;&lt;D xsi:type="xsd:double"&gt;-1.14097&lt;/D&gt;&lt;D xsi:type="xsd:double"&gt;-6.9619775&lt;/D&gt;&lt;D xsi:type="xsd:double"&gt;1.0932922&lt;/D&gt;&lt;D xsi:type="xsd:double"&gt;4.1095853&lt;/D&gt;&lt;D xsi:type="xsd:double"&gt;-0.034618378&lt;/D&gt;&lt;D xsi:type="xsd:double"&gt;8.694136&lt;/D&gt;&lt;D xsi:type="xsd:double"&gt;-13.193112&lt;/D&gt;&lt;D xsi:type="xsd:double"&gt;2.328527&lt;/D&gt;&lt;D xsi:type="xsd:double"&gt;7.0260286&lt;/D&gt;&lt;D xsi:type="xsd:double"&gt;-5.241406&lt;/D&gt;&lt;D xsi:type="xsd:double"&gt;1.5358686&lt;/D&gt;&lt;D xsi:type="xsd:double"&gt;3.6823034&lt;/D&gt;&lt;D xsi:type="xsd:double"&gt;-4.9442887&lt;/D&gt;&lt;D xsi:type="xsd:double"&gt;-2.051282&lt;/D&gt;&lt;D xsi:type="xsd:double"&gt;1.346302&lt;/D&gt;&lt;D xsi:type="xsd:double"&gt;-4.8819184&lt;/D&gt;&lt;D xsi:type="xsd:double"&gt;-31.877254&lt;/D&gt;&lt;D xsi:type="xsd:double"&gt;12.984061&lt;/D&gt;&lt;D xsi:type="xsd:double"&gt;2.167344&lt;/D&gt;&lt;D xsi:type="xsd:double"&gt;6.7849755&lt;/D&gt;&lt;D xsi:type="xsd:double"&gt;-1.3157904&lt;/D&gt;&lt;D xsi:type="xsd:double"&gt;7.50618&lt;/D&gt;&lt;D xsi:type="xsd:double"&gt;-2.2508025&lt;/D&gt;&lt;D xsi:type="xsd:double"&gt;-0.67575574&lt;/D&gt;&lt;D xsi:type="xsd:double"&gt;6.925559&lt;/D&gt;&lt;D xsi:type="xsd:double"&gt;6.438005&lt;/D&gt;&lt;D xsi:type="xsd:double"&gt;9.276199&lt;/D&gt;&lt;D xsi:type="xsd:double"&gt;-0.9516537&lt;/D&gt;&lt;D xsi:type="xsd:double"&gt;1.1529565&lt;/D&gt;&lt;D xsi:type="xsd:double"&gt;2.8784275&lt;/D&gt;&lt;D xsi:type="xsd:double"&gt;7.0249915&lt;/D&gt;&lt;D xsi:type="xsd:double"&gt;1.6538262&lt;/D&gt;&lt;D xsi:type="xsd:double"&gt;-2.4595857&lt;/D&gt;&lt;D xsi:type="xsd:double"&gt;6.8443775&lt;/D&gt;&lt;D xsi:type="xsd:double"&gt;0.8091688&lt;/D&gt;&lt;D xsi:type="xsd:double"&gt;-1.2795925&lt;/D&gt;&lt;D xsi:type="xsd:double"&gt;12.476027&lt;/D&gt;&lt;D xsi:type="xsd:double"&gt;-1.1665106&lt;/D&gt;&lt;D xsi:type="xsd:double"&gt;3.356886&lt;/D&gt;&lt;D xsi:type="xsd:double"&gt;1.6676784&lt;/D&gt;&lt;D xsi:type="xsd:double"&gt;8.72643&lt;/D&gt;&lt;D xsi:type="xsd:double"&gt;2.6030302&lt;/D&gt;&lt;D xsi:type="xsd:double"&gt;-11.575055&lt;/D&gt;&lt;D xsi:type="xsd:double"&gt;-6.596279&lt;/D&gt;&lt;D xsi:type="xsd:double"&gt;5.8900595&lt;/D&gt;&lt;D xsi:type="xsd:double"&gt;1.8541336&lt;/D&gt;&lt;D xsi:type="xsd:double"&gt;-4.1868925&lt;/D&gt;&lt;D xsi:type="xsd:double"&gt;-1.709938&lt;/D&gt;&lt;D xsi:type="xsd:double"&gt;0.6443262&lt;/D&gt;&lt;D xsi:type="xsd:double"&gt;-2.7973354&lt;/D&gt;&lt;D xsi:type="xsd:double"&gt;-0.19801855&lt;/D&gt;&lt;D xsi:type="xsd:double"&gt;-3.3068776&lt;/D&gt;&lt;D xsi:type="xsd:double"&gt;-4.5827627&lt;/D&gt;&lt;D xsi:type="xsd:double"&gt;7.455194&lt;/D&gt;&lt;D xsi:type="xsd:double"&gt;-2.5350213&lt;/D&gt;&lt;D xsi:type="xsd:double"&gt;2.7918577&lt;/D&gt;&lt;D xsi:type="xsd:double"&gt;2.188778&lt;/D&gt;&lt;D xsi:type="xsd:double"&gt;1.6064286&lt;/D&gt;&lt;D xsi:type="xsd:double"&gt;2.4374127&lt;/D&gt;&lt;D xsi:type="xsd:double"&gt;-13.054663&lt;/D&gt;&lt;D xsi:type="xsd:double"&gt;8.505917&lt;/D&gt;&lt;D xsi:type="xsd:double"&gt;0.10420084&lt;/D&gt;&lt;D xsi:type="xsd:double"&gt;3.2213807&lt;/D&gt;&lt;D xsi:type="xsd:double"&gt;-3.519261&lt;/D&gt;&lt;D xsi:type="xsd:double"&gt;3.028226&lt;/D&gt;&lt;D xsi:type="xsd:double"&gt;-4.5424223&lt;/D&gt;&lt;D xsi:type="xsd:double"&gt;-2.0293891&lt;/D&gt;&lt;/FQL&gt;&lt;FQL&gt;&lt;Q&gt;EIDO^FG_TOTAL_RETURNC(-10AY,0,AM)&lt;/Q&gt;&lt;R&gt;121&lt;/R&gt;&lt;C&gt;1&lt;/C&gt;&lt;D xsi:type="xsd:double"&gt;4.2568803&lt;/D&gt;&lt;D xsi:type="xsd:double"&gt;-6.7933855&lt;/D&gt;&lt;D xsi:type="xsd:double"&gt;11.830818&lt;/D&gt;&lt;D xsi:type="xsd:double"&gt;-1.6046464&lt;/D&gt;&lt;D xsi:type="xsd:double"&gt;-2.9146433&lt;/D&gt;&lt;D xsi:type="xsd:double"&gt;-0.4288733&lt;/D&gt;&lt;D xsi:type="xsd:double"&gt;1.1126995&lt;/D&gt;&lt;D xsi:type="xsd:double"&gt;-4.583907&lt;/D&gt;&lt;D xsi:type="xsd:double"&gt;4.6641827&lt;/D&gt;&lt;D xsi:type="xsd:double"&gt;-1.7825305&lt;/D&gt;&lt;D xsi:type="xsd:double"&gt;-0.9800315&lt;/D&gt;&lt;D xsi:type="xsd:double"&gt;1.3196468&lt;/D&gt;&lt;D xsi:type="xsd:double"&gt;-4.7756853&lt;/D&gt;&lt;D xsi:type="xsd:double"&gt;-7.9027357&lt;/D&gt;&lt;D xsi:type="xsd:double"&gt;-3.9910913&lt;/D&gt;&lt;D xsi:type="xsd:double"&gt;-19.068348&lt;/D&gt;&lt;D xsi:type="xsd:double"&gt;-5.5944085&lt;/D&gt;&lt;D xsi:type="xsd:double"&gt;25.12821&lt;/D&gt;&lt;D xsi:type="xsd:double"&gt;-4.5992613&lt;/D&gt;&lt;D xsi:type="xsd:double"&gt;1.1464953&lt;/D&gt;&lt;D xsi:type="xsd:double"&gt;-1.7021239&lt;/D&gt;&lt;D xsi:type="xsd:double"&gt;4.5694947&lt;/D&gt;&lt;D xsi:type="xsd:double"&gt;6.7617297&lt;/D&gt;&lt;D xsi:type="xsd:double"&gt;2.4558425&lt;/D&gt;&lt;D xsi:type="xsd:double"&gt;-7.947862&lt;/D&gt;&lt;D xsi:type="xsd:double"&gt;10.68511&lt;/D&gt;&lt;D xsi:type="xsd:double"&gt;5.8406353&lt;/D&gt;&lt;D xsi:type="xsd:double"&gt;2.4044037&lt;/D&gt;&lt;D xsi:type="xsd:double"&gt;1.0392666&lt;/D&gt;&lt;D xsi:type="xsd:double"&gt;0.91428757&lt;/D&gt;&lt;D xsi:type="xsd:double"&gt;-11.36278&lt;/D&gt;&lt;D xsi:type="xsd:double"&gt;-2.7887225&lt;/D&gt;&lt;D xsi:type="xsd:double"&gt;6.3157916&lt;/D&gt;&lt;D xsi:type="xsd:double"&gt;2.1452188&lt;/D&gt;&lt;D xsi:type="xsd:double"&gt;4.6041965&lt;/D&gt;&lt;D xsi:type="xsd:double"&gt;1.2741327&lt;/D&gt;&lt;D xsi:type="xsd:double"&gt;2.9355764&lt;/D&gt;&lt;D xsi:type="xsd:double"&gt;2.1237135&lt;/D&gt;&lt;D xsi:type="xsd:double"&gt;-2.3127735&lt;/D&gt;&lt;D xsi:type="xsd:double"&gt;2.818489&lt;/D&gt;&lt;D xsi:type="xsd:double"&gt;-1.4985383&lt;/D&gt;&lt;D xsi:type="xsd:double"&gt;-1.2615979&lt;/D&gt;&lt;D xsi:type="xsd:double"&gt;2.8936386&lt;/D&gt;&lt;D xsi:type="xsd:double"&gt;2.193427&lt;/D&gt;&lt;D xsi:type="xsd:double"&gt;7.6923013&lt;/D&gt;&lt;D xsi:type="xsd:double"&gt;-1.9269109&lt;/D&gt;&lt;D xsi:type="xsd:double"&gt;-10.806232&lt;/D&gt;&lt;D xsi:type="xsd:double"&gt;2.4686694&lt;/D&gt;&lt;D xsi:type="xsd:double"&gt;-10.489249&lt;/D&gt;&lt;D xsi:type="xsd:double"&gt;-0.95219016&lt;/D&gt;&lt;D xsi:type="xsd:double"&gt;-0.085181&lt;/D&gt;&lt;D xsi:type="xsd:double"&gt;-0.04261732&lt;/D&gt;&lt;D xsi:type="xsd:double"&gt;-0.93817115&lt;/D&gt;&lt;D xsi:type="xsd:double"&gt;-6.3280225&lt;/D&gt;&lt;D xsi:type="xsd:double"&gt;11.075365&lt;/D&gt;&lt;D xsi:type="xsd:double"&gt;0.93779564&lt;/D&gt;&lt;D xsi:type="xsd:double"&gt;10.554409&lt;/D&gt;&lt;D xsi:type="xsd:double"&gt;-1.7459095&lt;/D&gt;&lt;D xsi:type="xsd:double"&gt;-2.8733492&lt;/D&gt;&lt;D xsi:type="xsd:double"&gt;3.3086777&lt;/D&gt;&lt;D xsi:type="xsd:double"&gt;-11.152983&lt;/D&gt;&lt;D xsi:type="xsd:double"&gt;10.20912&lt;/D&gt;&lt;D xsi:type="xsd:double"&gt;2.856028&lt;/D&gt;&lt;D xsi:type="xsd:double"&gt;-7.721567&lt;/D&gt;&lt;D xsi:type="xsd:double"&gt;3.2563806&lt;/D&gt;&lt;D xsi:type="xsd:double"&gt;1.7964125&lt;/D&gt;&lt;D xsi:type="xsd:double"&gt;-3.8823545&lt;/D&gt;&lt;D xsi:type="xsd:double"&gt;4.841137&lt;/D&gt;&lt;D xsi:type="xsd:double"&gt;2.2612095&lt;/D&gt;&lt;D xsi:type="xsd:double"&gt;-8.69233&lt;/D&gt;&lt;D xsi:type="xsd:double"&gt;-50.187893&lt;/D&gt;&lt;D xsi:type="xsd:double"&gt;29.002512&lt;/D&gt;&lt;D xsi:type="xsd:double"&gt;2.2742033&lt;/D&gt;&lt;D xsi:type="xsd:double"&gt;19.024134&lt;/D&gt;&lt;D xsi:type="xsd:double"&gt;2.156341&lt;/D&gt;&lt;D xsi:type="xsd:double"&gt;2.8496027&lt;/D&gt;&lt;D xsi:type="xsd:double"&gt;-12.416625&lt;/D&gt;&lt;D xsi:type="xsd:double"&gt;10.720563&lt;/D&gt;&lt;D xsi:type="xsd:double"&gt;16.19047&lt;/D&gt;&lt;D xsi:type="xsd:double"&gt;5.4227233&lt;/D&gt;&lt;D xsi:type="xsd:double"&gt;6.2228084&lt;/D&gt;&lt;D xsi:type="xsd:double"&gt;-2.458012&lt;/D&gt;&lt;D xsi:type="xsd:double"&gt;-5.4178896&lt;/D&gt;&lt;D xsi:type="xsd:double"&gt;-2.575487&lt;/D&gt;&lt;D xsi:type="xsd:double"&gt;-4.2844114&lt;/D&gt;&lt;D xsi:type="xsd:double"&gt;-0.5152762&lt;/D&gt;&lt;D xsi:type="xsd:double"&gt;-2.649331&lt;/D&gt;&lt;D xsi:type="xsd:double"&gt;4.898572&lt;/D&gt;&lt;D xsi:type="xsd:double"&gt;0.61320066&lt;/D&gt;&lt;D xsi:type="xsd:double"&gt;14.299107&lt;/D&gt;&lt;D xsi:type="xsd:double"&gt;-2.6251018&lt;/D&gt;&lt;D xsi:type="xsd:double"&gt;-2.559775&lt;/D&gt;&lt;D xsi:type="xsd:double"&gt;2.220285&lt;/D&gt;&lt;D xsi:type="xsd:double"&gt;2.6831388&lt;/D&gt;&lt;D xsi:type="xsd:double"&gt;1.5346289&lt;/D&gt;&lt;D xsi:type="xsd:double"&gt;0.6535888&lt;/D&gt;&lt;D xsi:type="xsd:double"&gt;-4.586035&lt;/D&gt;&lt;D xsi:type="xsd:double"&gt;-0.48747063&lt;/D&gt;&lt;D xsi:type="xsd:double"&gt;-2.4707377&lt;/D&gt;&lt;D xsi:type="xsd:double"&gt;5.5999994&lt;/D&gt;&lt;D xsi:type="xsd:double"&gt;0.75757504&lt;/D&gt;&lt;D xsi:type="xsd:double"&gt;-1.25314&lt;/D&gt;&lt;D xsi:type="xsd:double"&gt;-1.6920447&lt;/D&gt;&lt;D xsi:type="xsd:double"&gt;-2.5544107&lt;/D&gt;&lt;D xsi:type="xsd:double"&gt;3.7466526&lt;/D&gt;&lt;D xsi:type="xsd:double"&gt;-1.1178017&lt;/D&gt;&lt;D xsi:type="xsd:double"&gt;-1.8260896&lt;/D&gt;&lt;D xsi:type="xsd:double"&gt;5.403006&lt;/D&gt;&lt;D xsi:type="xsd:double"&gt;-0.042009354&lt;/D&gt;&lt;D xsi:type="xsd:double"&gt;-1.6594648&lt;/D&gt;&lt;D xsi:type="xsd:double"&gt;2.6614308&lt;/D&gt;&lt;D xsi:type="xsd:double"&gt;-1.8274546&lt;/D&gt;&lt;D xsi:type="xsd:double"&gt;-0.7359326&lt;/D&gt;&lt;D xsi:type="xsd:double"&gt;-9.943306&lt;/D&gt;&lt;D xsi:type="xsd:double"&gt;3.002429&lt;/D&gt;&lt;D xsi:type="xsd:double"&gt;4.4578314&lt;/D&gt;&lt;D xsi:type="xsd:double"&gt;-0.7713258&lt;/D&gt;&lt;D xsi:type="xsd:double"&gt;3.5207987&lt;/D&gt;&lt;D xsi:type="xsd:double"&gt;-0.044173002&lt;/D&gt;&lt;D xsi:type="xsd:double"&gt;-6.71674&lt;/D&gt;&lt;D xsi:type="xsd:double"&gt;-3.363341&lt;/D&gt;&lt;/FQL&gt;&lt;FQL&gt;&lt;Q&gt;EWW^FMA_DIV_YLD(NTMA,-10AY,0,AM,"PORTAGG","MEANR")&lt;/Q&gt;&lt;R&gt;121&lt;/R&gt;&lt;C&gt;1&lt;/C&gt;&lt;D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xsi:type="xsd:double"&gt;2.1968351608889&lt;/D&gt;&lt;D xsi:type="xsd:double"&gt;2.14442714579849&lt;/D&gt;&lt;D xsi:type="xsd:double"&gt;2.07495675801286&lt;/D&gt;&lt;D xsi:type="xsd:double"&gt;2.04693248939179&lt;/D&gt;&lt;D xsi:type="xsd:double"&gt;2.08696446538406&lt;/D&gt;&lt;D xsi:type="xsd:double"&gt;2.10606585480091&lt;/D&gt;&lt;D xsi:type="xsd:double"&gt;2.03915218163755&lt;/D&gt;&lt;D xsi:type="xsd:double"&gt;2.06109181493027&lt;/D&gt;&lt;D xsi:type="xsd:double"&gt;2.06216408250956&lt;/D&gt;&lt;D xsi:type="xsd:double"&gt;2.06307489405368&lt;/D&gt;&lt;D xsi:type="xsd:double"&gt;2.29894373213892&lt;/D&gt;&lt;D xsi:type="xsd:double"&gt;2.39732855780373&lt;/D&gt;&lt;D xsi:type="xsd:double"&gt;2.33014568566985&lt;/D&gt;&lt;D xsi:type="xsd:double"&gt;2.3599555172763&lt;/D&gt;&lt;D xsi:type="xsd:double"&gt;2.36769070988372&lt;/D&gt;&lt;D xsi:type="xsd:double"&gt;2.39884163454424&lt;/D&gt;&lt;D xsi:type="xsd:double"&gt;2.39911985333733&lt;/D&gt;&lt;D xsi:type="xsd:double"&gt;2.4957940877578&lt;/D&gt;&lt;D xsi:type="xsd:double"&gt;2.34957928446218&lt;/D&gt;&lt;D xsi:type="xsd:double"&gt;2.36173420951855&lt;/D&gt;&lt;D xsi:type="xsd:double"&gt;2.44849376999252&lt;/D&gt;&lt;D xsi:type="xsd:double"&gt;2.50262021998594&lt;/D&gt;&lt;D xsi:type="xsd:double"&gt;2.51099365242862&lt;/D&gt;&lt;D xsi:type="xsd:double"&gt;2.54609752853683&lt;/D&gt;&lt;D xsi:type="xsd:double"&gt;2.47171946794147&lt;/D&gt;&lt;D xsi:type="xsd:double"&gt;2.59283500202777&lt;/D&gt;&lt;D xsi:type="xsd:double"&gt;2.67636495019066&lt;/D&gt;&lt;D xsi:type="xsd:double"&gt;2.62571838882943&lt;/D&gt;&lt;D xsi:type="xsd:double"&gt;2.90307993507838&lt;/D&gt;&lt;D xsi:type="xsd:double"&gt;2.83711152102051&lt;/D&gt;&lt;D xsi:type="xsd:double"&gt;2.72081947989779&lt;/D&gt;&lt;D xsi:type="xsd:double"&gt;2.74621227474746&lt;/D&gt;&lt;D xsi:type="xsd:double"&gt;2.7756681353668&lt;/D&gt;&lt;D xsi:type="xsd:double"&gt;3.0206444385893&lt;/D&gt;&lt;D xsi:type="xsd:double"&gt;3.51548608927345&lt;/D&gt;&lt;D xsi:type="xsd:double"&gt;3.45233022391664&lt;/D&gt;&lt;D xsi:type="xsd:double"&gt;3.30116877564662&lt;/D&gt;&lt;D xsi:type="xsd:double"&gt;3.29980231823849&lt;/D&gt;&lt;D xsi:type="xsd:double"&gt;3.4678908786603&lt;/D&gt;&lt;D xsi:type="xsd:double"&gt;3.29368015380478&lt;/D&gt;&lt;D xsi:type="xsd:double"&gt;3.56252648235808&lt;/D&gt;&lt;D xsi:type="xsd:double"&gt;3.50365442316612&lt;/D&gt;&lt;D xsi:type="xsd:double"&gt;3.73263457100594&lt;/D&gt;&lt;D xsi:type="xsd:double"&gt;3.89896318276766&lt;/D&gt;&lt;D xsi:type="xsd:double"&gt;3.56842045502186&lt;/D&gt;&lt;D xsi:type="xsd:double"&gt;3.46676705157478&lt;/D&gt;&lt;D xsi:type="xsd:double"&gt;3.50970014383091&lt;/D&gt;&lt;D xsi:type="xsd:double"&gt;3.44930447987345&lt;/D&gt;&lt;D xsi:type="xsd:double"&gt;3.37045113765092&lt;/D&gt;&lt;D xsi:type="xsd:double"&gt;3.3555266124749&lt;/D&gt;&lt;D xsi:type="xsd:double"&gt;4.84928221220376&lt;/D&gt;&lt;D xsi:type="xsd:double"&gt;4.32639868620039&lt;/D&gt;&lt;D xsi:type="xsd:double"&gt;3.46430338447371&lt;/D&gt;&lt;D xsi:type="xsd:double"&gt;3.03558157315259&lt;/D&gt;&lt;D xsi:type="xsd:double"&gt;3.0280802236622&lt;/D&gt;&lt;D xsi:type="xsd:double"&gt;3.05249175107842&lt;/D&gt;&lt;D xsi:type="xsd:double"&gt;3.4527387403786&lt;/D&gt;&lt;D xsi:type="xsd:double"&gt;3.27312340422443&lt;/D&gt;&lt;D xsi:type="xsd:double"&gt;3.20844973716712&lt;/D&gt;&lt;D xsi:type="xsd:double"&gt;3.49843247723257&lt;/D&gt;&lt;D xsi:type="xsd:double"&gt;3.53349648220993&lt;/D&gt;&lt;D xsi:type="xsd:double"&gt;3.43902885435632&lt;/D&gt;&lt;D xsi:type="xsd:double"&gt;3.41819878089447&lt;/D&gt;&lt;D xsi:type="xsd:double"&gt;3.07800278475913&lt;/D&gt;&lt;D xsi:type="xsd:double"&gt;3.0923296144289&lt;/D&gt;&lt;D xsi:type="xsd:double"&gt;3.15752003470922&lt;/D&gt;&lt;D xsi:type="xsd:double"&gt;3.15987715123955&lt;/D&gt;&lt;D xsi:type="xsd:double"&gt;3.14191513615581&lt;/D&gt;&lt;D xsi:type="xsd:double"&gt;3.2011672816577&lt;/D&gt;&lt;D xsi:type="xsd:double"&gt;3.35044288707926&lt;/D&gt;&lt;D xsi:type="xsd:double"&gt;3.52797727378055&lt;/D&gt;&lt;D xsi:type="xsd:double"&gt;3.38757502314486&lt;/D&gt;&lt;D xsi:type="xsd:double"&gt;3.53820551896625&lt;/D&gt;&lt;D xsi:type="xsd:double"&gt;3.7229438769294&lt;/D&gt;&lt;D xsi:type="xsd:double"&gt;3.41441639598319&lt;/D&gt;&lt;D xsi:type="xsd:double"&gt;3.59942590195157&lt;/D&gt;&lt;D xsi:type="xsd:double"&gt;3.74035081962901&lt;/D&gt;&lt;D xsi:type="xsd:double"&gt;4.22814672729268&lt;/D&gt;&lt;D xsi:type="xsd:double"&gt;4.09889312498237&lt;/D&gt;&lt;D xsi:type="xsd:double"&gt;4.04041711731346&lt;/D&gt;&lt;D xsi:type="xsd:double"&gt;4.16838340552413&lt;/D&gt;&lt;D xsi:type="xsd:double"&gt;4.02338785283344&lt;/D&gt;&lt;D xsi:type="xsd:double"&gt;3.6943615645338&lt;/D&gt;&lt;D xsi:type="xsd:double"&gt;3.83534792389798&lt;/D&gt;&lt;D xsi:type="xsd:double"&gt;3.58215376312205&lt;/D&gt;&lt;D xsi:type="xsd:double"&gt;3.53743944240737&lt;/D&gt;&lt;D xsi:type="xsd:double"&gt;3.75754952307129&lt;/D&gt;&lt;D xsi:type="xsd:double"&gt;3.63700492703479&lt;/D&gt;&lt;D xsi:type="xsd:double"&gt;3.71867463939642&lt;/D&gt;&lt;D xsi:type="xsd:double"&gt;3.8055784337138&lt;/D&gt;&lt;D xsi:type="xsd:double"&gt;3.77835339243994&lt;/D&gt;&lt;D xsi:type="xsd:double"&gt;3.96528012700683&lt;/D&gt;&lt;D xsi:type="xsd:double"&gt;4.13661503638533&lt;/D&gt;&lt;D xsi:type="xsd:double"&gt;4.46071206596456&lt;/D&gt;&lt;D xsi:type="xsd:double"&gt;4.06874457801998&lt;/D&gt;&lt;D xsi:type="xsd:double"&gt;3.74658369001799&lt;/D&gt;&lt;D xsi:type="xsd:double"&gt;3.86399389112063&lt;/D&gt;&lt;D xsi:type="xsd:double"&gt;3.80450083111126&lt;/D&gt;&lt;D xsi:type="xsd:double"&gt;4.05247454364337&lt;/D&gt;&lt;D xsi:type="xsd:double"&gt;4.11691163089352&lt;/D&gt;&lt;D xsi:type="xsd:double"&gt;4.14141418185382&lt;/D&gt;&lt;/FQL&gt;&lt;FQL&gt;&lt;Q&gt;MCHI^FMA_PE(NTMA,-10AY,0,AM,"PORTAGG","MEANR")&lt;/Q&gt;&lt;R&gt;121&lt;/R&gt;&lt;C&gt;1&lt;/C&gt;&lt;D xsi:type="xsd:double"&gt;8.69693449000228&lt;/D&gt;&lt;D xsi:type="xsd:double"&gt;8.64093018129007&lt;/D&gt;&lt;D xsi:type="xsd:double"&gt;9.20551530152123&lt;/D&gt;&lt;D xsi:type="xsd:double"&gt;9.33512660526282&lt;/D&gt;&lt;D xsi:type="xsd:double"&gt;8.76651090923967&lt;/D&gt;&lt;D xsi:type="xsd:double"&gt;8.53029022536103&lt;/D&gt;&lt;D xsi:type="xsd:double"&gt;8.68318368093244&lt;/D&gt;&lt;D xsi:type="xsd:double"&gt;9.21561040239614&lt;/D&gt;&lt;D xsi:type="xsd:double"&gt;10.1674807648308&lt;/D&gt;&lt;D xsi:type="xsd:double"&gt;10.226890396204&lt;/D&gt;&lt;D xsi:type="xsd:double"&gt;10.2494401767822&lt;/D&gt;&lt;D xsi:type="xsd:double"&gt;12.3774712087746&lt;/D&gt;&lt;D xsi:type="xsd:double"&gt;11.9207853367646&lt;/D&gt;&lt;D xsi:type="xsd:double"&gt;11.3390876904169&lt;/D&gt;&lt;D xsi:type="xs</t>
        </r>
      </text>
    </comment>
    <comment ref="A5" authorId="0" shapeId="0" xr:uid="{9DC0F24F-7C48-4F91-9E23-46085EACBBAD}">
      <text>
        <r>
          <rPr>
            <b/>
            <sz val="9"/>
            <color indexed="81"/>
            <rFont val="Tahoma"/>
            <charset val="1"/>
          </rPr>
          <t>d:double"&gt;10.0120640766458&lt;/D&gt;&lt;D xsi:type="xsd:double"&gt;8.91812029203903&lt;/D&gt;&lt;D xsi:type="xsd:double"&gt;8.79691992989191&lt;/D&gt;&lt;D xsi:type="xsd:double"&gt;9.68405405917163&lt;/D&gt;&lt;D xsi:type="xsd:double"&gt;9.56973766982102&lt;/D&gt;&lt;D xsi:type="xsd:double"&gt;9.41198210799059&lt;/D&gt;&lt;D xsi:type="xsd:double"&gt;8.92634496108784&lt;/D&gt;&lt;D xsi:type="xsd:double"&gt;9.07460928673156&lt;/D&gt;&lt;D xsi:type="xsd:double"&gt;10.109635919566&lt;/D&gt;&lt;D xsi:type="xsd:double"&gt;10.3729467776605&lt;/D&gt;&lt;D xsi:type="xsd:double"&gt;9.56063782512679&lt;/D&gt;&lt;D xsi:type="xsd:double"&gt;10.7680186079244&lt;/D&gt;&lt;D xsi:type="xsd:double"&gt;11.4120421703665&lt;/D&gt;&lt;D xsi:type="xsd:double"&gt;12.0653451908686&lt;/D&gt;&lt;D xsi:type="xsd:double"&gt;12.5872609819999&lt;/D&gt;&lt;D xsi:type="xsd:double"&gt;12.3082343998294&lt;/D&gt;&lt;D xsi:type="xsd:double"&gt;11.8616683299441&lt;/D&gt;&lt;D xsi:type="xsd:double"&gt;11.1360750257609&lt;/D&gt;&lt;D xsi:type="xsd:double"&gt;11.8182479238597&lt;/D&gt;&lt;D xsi:type="xsd:double"&gt;12.5408006596241&lt;/D&gt;&lt;D xsi:type="xsd:double"&gt;12.5615026567505&lt;/D&gt;&lt;D xsi:type="xsd:double"&gt;12.4347349923633&lt;/D&gt;&lt;D xsi:type="xsd:double"&gt;13.0472602625544&lt;/D&gt;&lt;D xsi:type="xsd:double"&gt;13.1144219112438&lt;/D&gt;&lt;D xsi:type="xsd:double"&gt;13.4430015624684&lt;/D&gt;&lt;D xsi:type="xsd:double"&gt;13.6349198595967&lt;/D&gt;&lt;D xsi:type="xsd:double"&gt;13.7112037705532&lt;/D&gt;&lt;D xsi:type="xsd:double"&gt;13.7106197633659&lt;/D&gt;&lt;D xsi:type="xsd:double"&gt;14.3260664975482&lt;/D&gt;&lt;D xsi:type="xsd:double"&gt;13.4439671458192&lt;/D&gt;&lt;D xsi:type="xsd:double"&gt;14.5557975371151&lt;/D&gt;&lt;D xsi:type="xsd:double"&gt;13.65840267911&lt;/D&gt;&lt;D xsi:type="xsd:double"&gt;12.7284668874135&lt;/D&gt;&lt;D xsi:type="xsd:double"&gt;12.2041354787937&lt;/D&gt;&lt;D xsi:type="xsd:double"&gt;12.5653943780661&lt;/D&gt;&lt;D xsi:type="xsd:double"&gt;12.1843077215499&lt;/D&gt;&lt;D xsi:type="xsd:double"&gt;11.8659901800197&lt;/D&gt;&lt;D xsi:type="xsd:double"&gt;11.4344748932788&lt;/D&gt;&lt;D xsi:type="xsd:double"&gt;11.3218835524688&lt;/D&gt;&lt;D xsi:type="xsd:double"&gt;10.0671207750118&lt;/D&gt;&lt;D xsi:type="xsd:double"&gt;10.3699904103857&lt;/D&gt;&lt;D xsi:type="xsd:double"&gt;10.0859803638783&lt;/D&gt;&lt;D xsi:type="xsd:double"&gt;10.694061165605&lt;/D&gt;&lt;D xsi:type="xsd:double"&gt;11.49134204177&lt;/D&gt;&lt;D xsi:type="xsd:double"&gt;11.6939002502167&lt;/D&gt;&lt;D xsi:type="xsd:double"&gt;12.2258835025827&lt;/D&gt;&lt;D xsi:type="xsd:double"&gt;10.6610540353944&lt;/D&gt;&lt;D xsi:type="xsd:double"&gt;11.4857067539972&lt;/D&gt;&lt;D xsi:type="xsd:double"&gt;11.5029440579868&lt;/D&gt;&lt;D xsi:type="xsd:double"&gt;11.012246334015&lt;/D&gt;&lt;D xsi:type="xsd:double"&gt;11.2791343691299&lt;/D&gt;&lt;D xsi:type="xsd:double"&gt;11.0577137030866&lt;/D&gt;&lt;D xsi:type="xsd:double"&gt;11.242209858564&lt;/D&gt;&lt;D xsi:type="xsd:double"&gt;12.2923493795201&lt;/D&gt;&lt;D xsi:type="xsd:double"&gt;12.1854517651754&lt;/D&gt;&lt;D xsi:type="xsd:double"&gt;12.3685765492353&lt;/D&gt;&lt;D xsi:type="xsd:double"&gt;10.5350930777891&lt;/D&gt;&lt;D xsi:type="xsd:double"&gt;12.3075462938221&lt;/D&gt;&lt;D xsi:type="xsd:double"&gt;12.2326058540704&lt;/D&gt;&lt;D xsi:type="xsd:double"&gt;14.2750603498079&lt;/D&gt;&lt;D xsi:type="xsd:double"&gt;15.1371933981519&lt;/D&gt;&lt;D xsi:type="xsd:double"&gt;14.984686218288&lt;/D&gt;&lt;D xsi:type="xsd:double"&gt;14.7250705633359&lt;/D&gt;&lt;D xsi:type="xsd:double"&gt;15.3942016797038&lt;/D&gt;&lt;D xsi:type="xsd:double"&gt;15.2728930117521&lt;/D&gt;&lt;D xsi:type="xsd:double"&gt;15.4369766119463&lt;/D&gt;&lt;D xsi:type="xsd:double"&gt;17.6988685344409&lt;/D&gt;&lt;D xsi:type="xsd:double"&gt;17.9064414279971&lt;/D&gt;&lt;D xsi:type="xsd:double"&gt;16.3059761345789&lt;/D&gt;&lt;D xsi:type="xsd:double"&gt;16.2419747825179&lt;/D&gt;&lt;D xsi:type="xsd:double"&gt;15.3539600918007&lt;/D&gt;&lt;D xsi:type="xsd:double"&gt;15.9463419745961&lt;/D&gt;&lt;D xsi:type="xsd:double"&gt;14.6735480762607&lt;/D&gt;&lt;D xsi:type="xsd:double"&gt;13.0539768706756&lt;/D&gt;&lt;D xsi:type="xsd:double"&gt;13.252886152992&lt;/D&gt;&lt;D xsi:type="xsd:double"&gt;13.9382741242762&lt;/D&gt;&lt;D xsi:type="xsd:double"&gt;13.0479368718347&lt;/D&gt;&lt;D xsi:type="xsd:double"&gt;12.410779460337&lt;/D&gt;&lt;D xsi:type="xsd:double"&gt;12.7386548676764&lt;/D&gt;&lt;D xsi:type="xsd:double"&gt;11.6779524397606&lt;/D&gt;&lt;D xsi:type="xsd:double"&gt;10.9417204368336&lt;/D&gt;&lt;D xsi:type="xsd:double"&gt;10.0532658792468&lt;/D&gt;&lt;D xsi:type="xsd:double"&gt;10.5237541020652&lt;/D&gt;&lt;D xsi:type="xsd:double"&gt;11.7588180965834&lt;/D&gt;&lt;D xsi:type="xsd:double"&gt;11.2886312627689&lt;/D&gt;&lt;D xsi:type="xsd:double"&gt;10.6872131725527&lt;/D&gt;&lt;D xsi:type="xsd:double"&gt;9.96084547858348&lt;/D&gt;&lt;D xsi:type="xsd:double"&gt;9.11707474310779&lt;/D&gt;&lt;D xsi:type="xsd:double"&gt;9.79573708971649&lt;/D&gt;&lt;D xsi:type="xsd:double"&gt;10.6400157117093&lt;/D&gt;&lt;D xsi:type="xsd:double"&gt;12.0481547304706&lt;/D&gt;&lt;D xsi:type="xsd:double"&gt;10.9817962063297&lt;/D&gt;&lt;D xsi:type="xsd:double"&gt;10.7872657506088&lt;/D&gt;&lt;D xsi:type="xsd:double"&gt;10.6617623685031&lt;/D&gt;&lt;D xsi:type="xsd:double"&gt;10.2797810875404&lt;/D&gt;&lt;D xsi:type="xsd:double"&gt;10.1450151704462&lt;/D&gt;&lt;D xsi:type="xsd:double"&gt;10.3159572770922&lt;/D&gt;&lt;D xsi:type="xsd:double"&gt;9.93270697257568&lt;/D&gt;&lt;D xsi:type="xsd:double"&gt;10.1384542117189&lt;/D&gt;&lt;D xsi:type="xsd:double"&gt;9.40127978343448&lt;/D&gt;&lt;D xsi:type="xsd:double"&gt;9.72180044186774&lt;/D&gt;&lt;D xsi:type="xsd:double"&gt;8.93280812617273&lt;/D&gt;&lt;D xsi:type="xsd:double"&gt;8.49055416281757&lt;/D&gt;&lt;D xsi:type="xsd:double"&gt;9.28749753162286&lt;/D&gt;&lt;D xsi:type="xsd:double"&gt;9.22354020457879&lt;/D&gt;&lt;D xsi:type="xsd:double"&gt;9.48233878700908&lt;/D&gt;&lt;D xsi:type="xsd:double"&gt;10.692598022338&lt;/D&gt;&lt;/FQL&gt;&lt;FQL&gt;&lt;Q&gt;KSA^FMA_PE(LTMA,-10AY,0,AM,"PORTAGG","MEANR")&lt;/Q&gt;&lt;R&gt;121&lt;/R&gt;&lt;C&gt;1&lt;/C&gt;&lt;D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xsi:type="xsd:double"&gt;10.119312234561&lt;/D&gt;&lt;D xsi:type="xsd:double"&gt;11.4302613046274&lt;/D&gt;&lt;D xsi:type="xsd:double"&gt;11.8741845326332&lt;/D&gt;&lt;D xsi:type="xsd:double"&gt;12.0681378130404&lt;/D&gt;&lt;D xsi:type="xsd:double"&gt;12.2445305975014&lt;/D&gt;&lt;D xsi:type="xsd:double"&gt;12.7716672743161&lt;/D&gt;&lt;D xsi:type="xsd:double"&gt;13.010580888072&lt;/D&gt;&lt;D xsi:type="xsd:double"&gt;12.5968292049191&lt;/D&gt;&lt;D xsi:type="xsd:double"&gt;12.6611755152559&lt;/D&gt;&lt;D xsi:type="xsd:double"&gt;12.3816524126369&lt;/D&gt;&lt;D xsi:type="xsd:double"&gt;14.4259859828471&lt;/D&gt;&lt;D xsi:type="xsd:double"&gt;15.0441999080932&lt;/D&gt;&lt;D xsi:type="xsd:double"&gt;14.9608135495364&lt;/D&gt;&lt;D xsi:type="xsd:double"&gt;15.3270263837809&lt;/D&gt;&lt;D xsi:type="xsd:double"&gt;15.223897951977&lt;/D&gt;&lt;D xsi:type="xsd:double"&gt;15.1609816693886&lt;/D&gt;&lt;D xsi:type="xsd:double"&gt;15.0192897800055&lt;/D&gt;&lt;D xsi:type="xsd:double"&gt;15.5716887212401&lt;/D&gt;&lt;D xsi:type="xsd:double"&gt;15.3805605158655&lt;/D&gt;&lt;D xsi:type="xsd:double"&gt;15.135582916871&lt;/D&gt;&lt;D xsi:type="xsd:double"&gt;14.956367965835&lt;/D&gt;&lt;D xsi:type="xsd:double"&gt;14.175185148606&lt;/D&gt;&lt;D xsi:type="xsd:double"&gt;14.1210899260637&lt;/D&gt;&lt;D xsi:type="xsd:double"&gt;14.3993422886974&lt;/D&gt;&lt;D xsi:type="xsd:double"&gt;15.1367098596683&lt;/D&gt;&lt;D xsi:type="xsd:double"&gt;15.1611488018809&lt;/D&gt;&lt;D xsi:type="xsd:double"&gt;15.223316867385&lt;/D&gt;&lt;D xsi:type="xsd:double"&gt;15.4791086797287&lt;/D&gt;&lt;D xsi:type="xsd:double"&gt;15.3491386724745&lt;/D&gt;&lt;D xsi:type="xsd:double"&gt;15.4146132535347&lt;/D&gt;&lt;D xsi:type="xsd:double"&gt;15.5937265673118&lt;/D&gt;&lt;D xsi:type="xsd:double"&gt;14.8239513014138&lt;/D&gt;&lt;D xsi:type="xsd:double"&gt;14.7186935591596&lt;/D&gt;&lt;D xsi:type="xsd:double"&gt;14.4826338831017&lt;/D&gt;&lt;D xsi:type="xsd:double"&gt;14.5891774127586&lt;/D&gt;&lt;D xsi:type="xsd:double"&gt;15.3124568584491&lt;/D&gt;&lt;D xsi:type="xsd:double"&gt;16.9188509308465&lt;/D&gt;&lt;D xsi:type="xsd:double"&gt;17.3421128333873&lt;/D&gt;&lt;D xsi:type="xsd:double"&gt;17.2505689235047&lt;/D&gt;&lt;D xsi:type="xsd:double"&gt;17.5773825436926&lt;/D&gt;&lt;D xsi:type="xsd:double"&gt;17.0988656853999&lt;/D&gt;&lt;D xsi:type="xsd:double"&gt;17.3721172062286&lt;/D&gt;&lt;D xsi:type="xsd:double"&gt;17.4225807942853&lt;/D&gt;&lt;D xsi:type="xsd:double"&gt;17.846446638132&lt;/D&gt;&lt;D xsi:type="xsd:double"&gt;18.1847862965619&lt;/D&gt;&lt;D xsi:type="xsd:double"&gt;18.3790323877006&lt;/D&gt;&lt;D xsi:type="xsd:double"&gt;18.88187588569&lt;/D&gt;&lt;D xsi:type="xsd:double"&gt;20.1319824897696&lt;/D&gt;&lt;D xsi:type="xsd:double"&gt;19.7331558831867&lt;/D&gt;&lt;D xsi:type="xsd:double"&gt;18.5255182178239&lt;/D&gt;&lt;D xsi:type="xsd:double"&gt;16.9023296387411&lt;/D&gt;&lt;D xsi:type="xsd:double"&gt;17.6480804576356&lt;/D&gt;&lt;D xsi:type="xsd:double"&gt;18.666839046428&lt;/D&gt;&lt;D xsi:type="xsd:double"&gt;19.2791257107235&lt;/D&gt;&lt;D xsi:type="xsd:double"&gt;19.7515076859101&lt;/D&gt;&lt;D xsi:type="xsd:double"&gt;21.2491883637066&lt;/D&gt;&lt;D xsi:type="xsd:double"&gt;24.1439845297439&lt;/D&gt;&lt;D xsi:type="xsd:double"&gt;26.0181248449569&lt;/D&gt;&lt;D xsi:type="xsd:double"&gt;27.3014644074461&lt;/D&gt;&lt;D xsi:type="xsd:double"&gt;28.6268962092049&lt;/D&gt;&lt;D xsi:type="xsd:double"&gt;27.3088649393525&lt;/D&gt;&lt;D xsi:type="xsd:double"&gt;26.5893495592431&lt;/D&gt;&lt;D xsi:type="xsd:double"&gt;26.0330797400426&lt;/D&gt;&lt;D xsi:type="xsd:double"&gt;25.5882083456771&lt;/D&gt;&lt;D xsi:type="xsd:double"&gt;24.8893286267422&lt;/D&gt;&lt;D xsi:type="xsd:double"&gt;24.4066933784077&lt;/D&gt;&lt;D xsi:type="xsd:double"&gt;23.5163054078063&lt;/D&gt;&lt;D xsi:type="xsd:double"&gt;22.8326732489261&lt;/D&gt;&lt;D xsi:type="xsd:double"&gt;22.107126727333&lt;/D&gt;&lt;D xsi:type="xsd:double"&gt;22.3773135933372&lt;/D&gt;&lt;D xsi:type="xsd:double"&gt;20.3313864565383&lt;/D&gt;&lt;D xsi:type="xsd:double"&gt;19.6907889174819&lt;/D&gt;&lt;D xsi:type="xsd:double"&gt;21.3218172701293&lt;/D&gt;&lt;D xsi:type="xsd:double"&gt;21.4579187589177&lt;/D&gt;&lt;D xsi:type="xsd:double"&gt;21.3206708221881&lt;/D&gt;&lt;D xsi:type="xsd:double"&gt;21.2151174039282&lt;/D&gt;&lt;D xsi:type="xsd:double"&gt;19.9782431125602&lt;/D&gt;&lt;D xsi:type="xsd:double"&gt;18.9133990513153&lt;/D&gt;&lt;D xsi:type="xsd:double"&gt;19.2900877018595&lt;/D&gt;&lt;D xsi:type="xsd:double"&gt;18.8898047418841&lt;/D&gt;&lt;D xsi:type="xsd:double"&gt;17.7098315395907&lt;/D&gt;&lt;D xsi:type="xsd:double"&gt;17.6578221105425&lt;/D&gt;&lt;D xsi:type="xsd:double"&gt;16.5447234445759&lt;/D&gt;&lt;D xsi:type="xsd:double"&gt;15.1861819277466&lt;/D&gt;&lt;D xsi:type="xsd:double"&gt;15.9939139759615&lt;/D&gt;&lt;D xsi:type="xsd:double"&gt;15.3320777656733&lt;/D&gt;&lt;D xsi:type="xsd:double"&gt;15.3899950785589&lt;/D&gt;&lt;D xsi:type="xsd:double"&gt;15.8515134240016&lt;/D&gt;&lt;D xsi:type="xsd:double"&gt;16.1666136164533&lt;/D&gt;&lt;D xsi:type="xsd:double"&gt;16.7715605329672&lt;/D&gt;&lt;D xsi:type="xsd:double"&gt;17.3928674998337&lt;/D&gt;&lt;D xsi:type="xsd:double"&gt;17.6656163403308&lt;/D&gt;&lt;D xsi:type="xsd:double"&gt;17.4559405074685&lt;/D&gt;&lt;D xsi:type="xsd:double"&gt;16.8993113865787&lt;/D&gt;&lt;D xsi:type="xsd:double"&gt;18.6146469213029&lt;/D&gt;&lt;D xsi:type="xsd:double"&gt;20.4449816368527&lt;/D&gt;&lt;D xsi:type="xsd:double"&gt;21.4432444583184&lt;/D&gt;&lt;D xsi:type="xsd:double"&gt;22.0697570221591&lt;/D&gt;&lt;D xsi:type="xsd:double"&gt;21.8694669003337&lt;/D&gt;&lt;D xsi:type="xsd:double"&gt;21.3458105225785&lt;/D&gt;&lt;D xsi:type="xsd:double"&gt;20.8076378554838&lt;/D&gt;&lt;/FQL&gt;&lt;FQL&gt;&lt;Q&gt;EPOL^FMA_PE(LTMA,-10AY,0,AM,"PORTAGG","MEANR")&lt;/Q&gt;&lt;R&gt;121&lt;/R&gt;&lt;C&gt;1&lt;/C&gt;&lt;D xsi:type="xsd:double"&gt;15.1793834468738&lt;/D&gt;&lt;D xsi:type="xsd:double"&gt;15.1524242111896&lt;/D&gt;&lt;D xsi:type="xsd:double"&gt;14.8001880848055&lt;/D&gt;&lt;D xsi:type="xsd:double"&gt;14.8978078660813&lt;/D&gt;&lt;D xsi:type="xsd:double"&gt;14.6549650304335&lt;/D&gt;&lt;D xsi:type="xsd:double"&gt;14.6045147421207&lt;/D&gt;&lt;D xsi:type="xsd:double"&gt;14.7105711352234&lt;/D&gt;&lt;D xsi:type="xsd:double"&gt;14.3847085446724&lt;/D&gt;&lt;D xsi:type="xsd:double"&gt;17.623422578008&lt;/D&gt;&lt;D xsi:type="xsd:double"&gt;20.4620143859439&lt;/D&gt;&lt;D xsi:type="xsd:double"&gt;19.9735465450182&lt;/D&gt;&lt;D xsi:type="xsd:double"&gt;19.6925404164214&lt;/D&gt;&lt;D xsi:type="xsd:double"&gt;19.025060666414&lt;/D&gt;&lt;D xsi:type="xsd:double"&gt;17.8766730974387&lt;/D&gt;&lt;D xsi:type="xsd:double"&gt;16.7317501032675&lt;/D&gt;&lt;D xsi:type="xsd:double"&gt;15.7358372745524&lt;/D&gt;&lt;D xsi:type="xsd:double"&gt;14.3982340310145&lt;/D&gt;&lt;D xsi:type="xsd:double"&gt;13.9197268613968&lt;/D&gt;&lt;D xsi:type="xsd:double"&gt;12.5243610366431&lt;/D&gt;&lt;D xsi:type="xsd:double"&gt;11.2945674397699&lt;/D&gt;&lt;D xsi:type="xsd:double"&gt;10.5164278161272&lt;/D&gt;&lt;D xsi:type="xsd:double"&gt;12.2833176698783&lt;/D&gt;&lt;D xsi:type="xsd:double"&gt;12.3868812790208&lt;/D&gt;&lt;D xsi:type="xsd:double"&gt;12.3755899135877&lt;/D&gt;&lt;D xsi:type="xsd:double"&gt;12.0510960730465&lt;/D&gt;&lt;D xsi:type="xsd:double"&gt;12.1832551176853&lt;/D&gt;&lt;D xsi:type="xsd:double"&gt;11.9647455950552&lt;/D&gt;&lt;D xsi:type="xsd:double"&gt;12.1863283668724&lt;/D&gt;&lt;D xsi:type="xsd:double"&gt;12.1370814435388&lt;/D&gt;&lt;D xsi:type="xsd:double"&gt;12.5255785396236&lt;/D&gt;&lt;D xsi:type="xsd:double"&gt;12.666525733365&lt;/D&gt;&lt;D xsi:type="xsd:double"&gt;13.6889980407892&lt;/D&gt;&lt;D xsi:type="xsd:double"&gt;13.8859756689717&lt;/D&gt;&lt;D xsi:type="xsd:double"&gt;16.412522463358&lt;/D&gt;&lt;D xsi:type="xsd:double"&gt;15.5256350218395&lt;/D&gt;&lt;D xsi:type="xsd:double"&gt;15.2633514910666&lt;/D&gt;&lt;D xsi:type="xsd:double"&gt;14.9198688809343&lt;/D&gt;&lt;D xsi:type="xsd:double"&gt;14.6528632469005&lt;/D&gt;&lt;D xsi:type="xsd:double"&gt;14.4812980238777&lt;/D&gt;&lt;D xsi:type="xsd:double"&gt;14.303363881826&lt;/D&gt;&lt;D xsi:type="xsd:double"&gt;14.0811316630356&lt;/D&gt;&lt;D xsi:type="xsd:double"&gt;13.3092768201846&lt;/D&gt;&lt;D xsi:type="xsd:double"&gt;12.8662785789751&lt;/D&gt;&lt;D xsi:type="xsd:double"&gt;12.3982825389252&lt;/D&gt;&lt;D xsi:type="xsd:double"&gt;13.141551364747&lt;/D&gt;&lt;D xsi:type="xsd:double"&gt;12.0620031717936&lt;/D&gt;&lt;D xsi:type="xsd:double"&gt;11.6535722208144&lt;/D&gt;&lt;D xsi:type="xsd:double"&gt;11.777074177507&lt;/D&gt;&lt;D xsi:type="xsd:double"&gt;11.5908692602559&lt;/D&gt;&lt;D xsi:type="xsd:double"&gt;11.3743259299507&lt;/D&gt;&lt;D xsi:type="xsd:double"&gt;11.4045739966627&lt;/D&gt;&lt;D xsi:type="xsd:double"&gt;11.8335346489292&lt;/D&gt;&lt;D xsi:type="xsd:double"&gt;11.5004884075962&lt;/D&gt;&lt;D xsi:type="xsd:double"&gt;11.1102608580218&lt;/D&gt;&lt;D xsi:type="xsd:double"&gt;11.3689604150283&lt;/D&gt;&lt;D xsi:type="xsd:double"&gt;11.3418195651404&lt;/D&gt;&lt;D xsi:type="xsd:double"&gt;11.9375731071047&lt;/D&gt;&lt;D xsi:type="xsd:double"&gt;11.6331637266472&lt;/D&gt;&lt;D xsi:type="xsd:double"&gt;11.5922108067891&lt;/D&gt;&lt;D xsi:type="xsd:double"&gt;11.6838531845201&lt;/D&gt;&lt;D xsi:type="xsd:double"&gt;11.2944165402526&lt;/D&gt;&lt;D xsi:type="xsd:double"&gt;11.4817703407976&lt;/D&gt;&lt;D xsi:type="xsd:double"&gt;11.5602317432133&lt;/D&gt;&lt;D xsi:type="xsd:double"&gt;10.9242597515507&lt;/D&gt;&lt;D xsi:type="xsd:double"&gt;10.8801092593021&lt;/D&gt;&lt;D xsi:type="xsd:double"&gt;11.0136497793623&lt;/D&gt;&lt;D xsi:type="xsd:double"&gt;10.9110816187141&lt;/D&gt;&lt;D xsi:type="xsd:double"&gt;10.9447243694109&lt;/D&gt;&lt;D xsi:type="xsd:double"&gt;11.0366035529213&lt;/D&gt;&lt;D xsi:type="xsd:double"&gt;11.2762586713224&lt;/D&gt;&lt;D xsi:type="xsd:double"&gt;9.35728401605644&lt;/D&gt;&lt;D xsi:type="xsd:double"&gt;10.4220971629984&lt;/D&gt;&lt;D xsi:type="xsd:double"&gt;11.2151547725085&lt;/D&gt;&lt;D xsi:type="xsd:double"&gt;12.1561027125956&lt;/D&gt;&lt;D xsi:type="xsd:double"&gt;12.0450035614984&lt;/D&gt;&lt;D xsi:type="xsd:double"&gt;12.6446609250869&lt;/D&gt;&lt;D xsi:type="xsd:double"&gt;12.5595779431232&lt;/D&gt;&lt;D xsi:type="xsd:double"&gt;14.8195983189697&lt;/D&gt;&lt;D xsi:type="xsd:double"&gt;19.688588390657&lt;/D&gt;&lt;D xsi:type="xsd:double"&gt;21.9239382332223&lt;/D&gt;&lt;D xsi:type="xsd:double"&gt;16.1118191764005&lt;/D&gt;&lt;D xsi:type="xsd:double"&gt;15.0875897130742&lt;/D&gt;&lt;D xsi:type="xsd:double"&gt;16.9177603643793&lt;/D&gt;&lt;D xsi:type="xsd:double"&gt;16.3432926719636&lt;/D&gt;&lt;D xsi:type="xsd:double"&gt;16.3173011152419&lt;/D&gt;&lt;D xsi:type="xsd:double"&gt;15.656410787522&lt;/D&gt;&lt;D xsi:type="xsd:double"&gt;14.8347819499378&lt;/D&gt;&lt;D xsi:type="xsd:double"&gt;14.1570879438756&lt;/D&gt;&lt;D xsi:type="xsd:double"&gt;13.7538481168006&lt;/D&gt;&lt;D xsi:type="xsd:double"&gt;13.8266974002687&lt;/D&gt;&lt;D xsi:type="xsd:double"&gt;12.4614098427262&lt;/D&gt;&lt;D xsi:type="xsd:double"&gt;10.6057334258082&lt;/D&gt;&lt;D xsi:type="xsd:double"&gt;10.6453299876505&lt;/D&gt;&lt;D xsi:type="xsd:double"&gt;9.96250639553772&lt;/D&gt;&lt;D xsi:type="xsd:double"&gt;9.78120196150719&lt;/D&gt;&lt;D xsi:type="xsd:double"&gt;9.3467121653088&lt;/D&gt;&lt;D xsi:type="xsd:double"&gt;8.69740458961273&lt;/D&gt;&lt;D xsi:type="xsd:double"&gt;8.11871108713517&lt;/D&gt;&lt;D xsi:type="xsd:double"&gt;7.30942200773655&lt;/D&gt;&lt;D xsi:type="xsd:double"&gt;6.92470831802659&lt;/D&gt;&lt;D xsi:type="xsd:double"&gt;6.34442053357848&lt;/D&gt;&lt;D xsi:type="xsd:double"&gt;6.27440054716644&lt;/D&gt;&lt;D xsi:type="xsd:double"&gt;6.10027606405361&lt;/D&gt;&lt;D xsi:type="xsd:double"&gt;5.92950265634566&lt;/D&gt;&lt;D xsi:type="xsd:double"&gt;6.36559028775667&lt;/D&gt;&lt;D xsi:type="xsd:double"&gt;5.43575023092283&lt;/D&gt;&lt;D xsi:type="xsd:double"&gt;5.98772855195037&lt;/D&gt;&lt;D xsi:type="xsd:double"&gt;6.06302798119655&lt;/D&gt;&lt;D xsi:type="xsd:double"&gt;6.30521537696919&lt;/D&gt;&lt;D xsi:type="xsd:double"&gt;6.58558914642271&lt;/D&gt;&lt;D xsi:type="xsd:double"&gt;6.5988629799411&lt;/D&gt;&lt;D xsi:type="xsd:double"&gt;6.86115570651103&lt;/D&gt;&lt;D xsi:type="xsd:double"&gt;6.92614307521699&lt;/D&gt;&lt;D xsi:type="xsd:double"&gt;7.1754102500707&lt;/D&gt;&lt;D xsi:type="xsd:double"&gt;7.48270062191093&lt;/D&gt;&lt;D xsi:type="xsd:double"&gt;8.97780637728858&lt;/D&gt;&lt;D xsi:type="xsd:double"&gt;8.4276535862192&lt;/D&gt;&lt;D xsi:type="xsd:double"&gt;9.09794623361903&lt;/D&gt;&lt;D xsi:type="xsd:double"&gt;8.93157666602125&lt;/D&gt;&lt;D xsi:type="xsd:double"&gt;8.86273293643378&lt;/D&gt;&lt;D xsi:type="xsd:double"&gt;9.09329045367238&lt;/D&gt;&lt;/FQL&gt;&lt;FQL&gt;&lt;Q&gt;WL-FDS^FG_PRICE_CHANGE(0,-1AY)&lt;/Q&gt;&lt;R&gt;1&lt;/R&gt;&lt;C&gt;1&lt;/C&gt;&lt;D xsi:type="xsd:double"&gt;-24.3481917577796&lt;/D&gt;&lt;/FQL&gt;&lt;FQL&gt;&lt;Q&gt;NI-FDS^FG_PRICE_CHANGE(0,-1AY)&lt;/Q&gt;&lt;R&gt;1&lt;/R&gt;&lt;C&gt;1&lt;/C&gt;&lt;D xsi:type="xsd:double"&gt;-4.6242774566474&lt;/D&gt;&lt;/FQL&gt;&lt;FQL&gt;&lt;Q&gt;CPALM-FDS^FG_PRICE_CHANGE(0,-1AY)&lt;/Q&gt;&lt;R&gt;1&lt;/R&gt;&lt;C&gt;1&lt;/C&gt;&lt;D xsi:type="xsd:double"&gt;8.50464657842862&lt;/D&gt;&lt;/FQL&gt;&lt;FQL&gt;&lt;Q&gt;BRENT-FDS^FG_PRICE_CHANGE(0,-1AY)&lt;/Q&gt;&lt;R&gt;1&lt;/R&gt;&lt;C&gt;1&lt;/C&gt;&lt;D xsi:type="xsd:double"&gt;10.7442280407584&lt;/D&gt;&lt;/FQL&gt;&lt;FQL&gt;&lt;Q&gt;TIOS-FDS^FG_PRICE_CHANGE(0,-1AY)&lt;/Q&gt;&lt;R&gt;1&lt;/R&gt;&lt;C&gt;1&lt;/C&gt;&lt;D xsi:type="xsd:double"&gt;10.3153745072273&lt;/D&gt;&lt;/FQL&gt;&lt;FQL&gt;&lt;Q&gt;FC0000AE^FG_PRICE(0)&lt;/Q&gt;&lt;R&gt;1&lt;/R&gt;&lt;C&gt;1&lt;/C&gt;&lt;D xsi:type="xsd:double"&gt;138.20006&lt;/D&gt;&lt;/FQL&gt;&lt;FQL&gt;&lt;Q&gt;FC0000BR^FG_PRICE(0)&lt;/Q&gt;&lt;R&gt;1&lt;/R&gt;&lt;C&gt;1&lt;/C&gt;&lt;D xsi:type="xsd:double"&gt;199.24702&lt;/D&gt;&lt;/FQL&gt;&lt;FQL&gt;&lt;Q&gt;FC0000MY^FG_PRICE(0)&lt;/Q&gt;&lt;R&gt;1&lt;/R&gt;&lt;C&gt;1&lt;/C&gt;&lt;D xsi:type="xsd:double"&gt;255.79094&lt;/D&gt;&lt;/FQL&gt;&lt;FQL&gt;&lt;Q&gt;FC0000ID^FG_PRICE(0)&lt;/Q&gt;&lt;R&gt;1&lt;/R&gt;&lt;C&gt;1&lt;/C&gt;&lt;D xsi:type="xsd:double"&gt;1143.5574&lt;/D&gt;&lt;/FQL&gt;&lt;FQL&gt;&lt;Q&gt;VNM^FG_PRICE_MAVG(0,,,,30)&lt;/Q&gt;&lt;R&gt;1&lt;/R&gt;&lt;C&gt;1&lt;/C&gt;&lt;D xsi:type="xsd:double"&gt;12.5045&lt;/D&gt;&lt;/FQL&gt;&lt;FQL&gt;&lt;Q&gt;QAT^FG_PRICE_MAVG(0,,,,30)&lt;/Q&gt;&lt;R&gt;1&lt;/R&gt;&lt;C&gt;1&lt;/C&gt;&lt;D xsi:type="xsd:double"&gt;17.273666&lt;/D&gt;&lt;/FQL&gt;&lt;FQL&gt;&lt;Q&gt;EWZ^FMA_ROE(NTMA,-20AY,NOW,FY,"PORTAGG","MEANR")&lt;/Q&gt;&lt;R&gt;20&lt;/R&gt;&lt;C&gt;1&lt;/C&gt;&lt;D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xsi:type="xsd:double"&gt;14.5227361735546&lt;/D&gt;&lt;D xsi:type="xsd:double"&gt;16.6003945620161&lt;/D&gt;&lt;D xsi:type="xsd:double"&gt;20.3536752492382&lt;/D&gt;&lt;D xsi:type="xsd:double"&gt;19.4075515529462&lt;/D&gt;&lt;D xsi:type="xsd:double"&gt;18.6086842292654&lt;/D&gt;&lt;/FQL&gt;&lt;FQL&gt;&lt;Q&gt;EWY^FMA_ROE(NTMA,-20AY,NOW,FY,"PORTAGG","MEANR")&lt;/Q&gt;&lt;R&gt;20&lt;/R&gt;&lt;C&gt;1&lt;/C&gt;&lt;D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xsi:type="xsd:double"&gt;7.67648129789124&lt;/D&gt;&lt;D xsi:type="xsd:double"&gt;8.30770317762994&lt;/D&gt;&lt;D xsi:type="xsd:double"&gt;10.1458776465552&lt;/D&gt;&lt;D xsi:type="xsd:double"&gt;7.50979396092208&lt;/D&gt;&lt;D xsi:type="xsd:double"&gt;8.9090911478552&lt;/D&gt;&lt;/FQL&gt;&lt;FQL&gt;&lt;Q&gt;EWT^FMA_ROE(NTMA,-20AY,NOW,FY,"PORTAGG","MEANR")&lt;/Q&gt;&lt;R&gt;20&lt;/R&gt;&lt;C&gt;1&lt;/C&gt;&lt;D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xsi:type="xsd:double"&gt;10.8983134823894&lt;/D&gt;&lt;D xsi:type="xsd:double"&gt;11.6209108675926&lt;/D&gt;&lt;D xsi:type="xsd:double"&gt;14.724411980088&lt;/D&gt;&lt;D xsi:type="xsd:double"&gt;12.9407920839873&lt;/D&gt;&lt;D xsi:type="xsd:double"&gt;11.9152161134332&lt;/D&gt;&lt;/FQL&gt;&lt;FQL&gt;&lt;Q&gt;TRYMY10Y-FDS^FG_YIELD(-10AY,0,Y,,"YTM")&lt;/Q&gt;&lt;R&gt;10&lt;/R&gt;&lt;C&gt;1&lt;/C&gt;&lt;D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xsi:type="xsd:double"&gt;5.81002154172499&lt;/D&gt;&lt;D xsi:type="xsd:double"&gt;5.36711218261452&lt;/D&gt;&lt;D xsi:type="xsd:double"&gt;8.82576684666533&lt;/D&gt;&lt;D xsi:type="xsd:double"&gt;11.0341923380188&lt;/D&gt;&lt;D xsi:type="xsd:double"&gt;13.1253657894167&lt;/D&gt;&lt;/FQL&gt;&lt;FQL&gt;&lt;Q&gt;TRYGB10Y-FDS^FG_YIELD(-10AY,0,Y,,"YTM")&lt;/Q&gt;&lt;R&gt;10&lt;/R&gt;&lt;C&gt;1&lt;/C&gt;&lt;D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xsi:type="xsd:double"&gt;3.534&lt;/D&gt;&lt;/FQL&gt;&lt;FQL&gt;&lt;Q&gt;CAGDPY@TW^EE_ACTUAL_ANNUAL(MED,+1)&lt;/Q&gt;&lt;R&gt;1&lt;/R&gt;&lt;C&gt;1&lt;/C&gt;&lt;D xsi:type="xsd:double"&gt;13.5&lt;/D&gt;&lt;/FQL&gt;&lt;FQL&gt;&lt;Q&gt;CC_GR^FG_COMPANY_NAME&lt;/Q&gt;&lt;R&gt;1&lt;/R&gt;&lt;C&gt;1&lt;/C&gt;&lt;D xsi:type="xsd:string"&gt;Greece&lt;/D&gt;&lt;/FQL&gt;&lt;FQL&gt;&lt;Q&gt;USDCNH^FG_PRICE_CHANGE(0,-3AM)&lt;/Q&gt;&lt;R&gt;1&lt;/R&gt;&lt;C&gt;1&lt;/C&gt;&lt;D xsi:type="xsd:double"&gt;0.71941614&lt;/D&gt;&lt;/FQL&gt;&lt;FQL&gt;&lt;Q&gt;USDCLP^FG_PRICE_CHANGE(0,-6AM)&lt;/Q&gt;&lt;R&gt;1&lt;/R&gt;&lt;C&gt;1&lt;/C&gt;&lt;D xsi:type="xsd:double"&gt;3.5909653&lt;/D&gt;&lt;/FQL&gt;&lt;FQL&gt;&lt;Q&gt;TUR^FG_TOTAL_RETURNC(-10AY,0,AM)&lt;/Q&gt;&lt;R&gt;121&lt;/R&gt;&lt;C&gt;1&lt;/C&gt;&lt;D xsi:type="xsd:double"&gt;10.887408&lt;/D&gt;&lt;D xsi:type="xsd:double"&gt;-0.070512295&lt;/D&gt;&lt;D xsi:type="xsd:double"&gt;6.492746&lt;/D&gt;&lt;D xsi:type="xsd:double"&gt;-8.968538&lt;/D&gt;&lt;D xsi:type="xsd:double"&gt;-6.0998144&lt;/D&gt;&lt;D xsi:type="xsd:double"&gt;4.0748&lt;/D&gt;&lt;D xsi:type="xsd:double"&gt;6.203902&lt;/D&gt;&lt;D xsi:type="xsd:double"&gt;-3.2235086&lt;/D&gt;&lt;D xsi:type="xsd:double"&gt;5.5575967&lt;/D&gt;&lt;D xsi:type="xsd:double"&gt;-9.850073&lt;/D&gt;&lt;D xsi:type="xsd:double"&gt;-5.511504&lt;/D&gt;&lt;D xsi:type="xsd:double"&gt;-3.9705336&lt;/D&gt;&lt;D xsi:type="xsd:double"&gt;5.7971&lt;/D&gt;&lt;D xsi:type="xsd:double"&gt;-5.157125&lt;/D&gt;&lt;D xsi:type="xsd:double"&gt;-8.0029125&lt;/D&gt;&lt;D xsi:type="xsd:double"&gt;-13.330192&lt;/D&gt;&lt;D xsi:type="xsd:double"&gt;-1.6362131&lt;/D&gt;&lt;D xsi:type="xsd:double"&gt;13.057936&lt;/D&gt;&lt;D xsi:type="xsd:double"&gt;1.4958382&lt;/D&gt;&lt;D xsi:type="xsd:double"&gt;-8.719778&lt;/D&gt;&lt;D xsi:type="xsd:double"&gt;-8.048719&lt;/D&gt;&lt;D xsi:type="xsd:double"&gt;8.234954&lt;/D&gt;&lt;D xsi:type="xsd:double"&gt;10.454905&lt;/D&gt;&lt;D xsi:type="xsd:double"&gt;8.718681&lt;/D&gt;&lt;D xsi:type="xsd:double"&gt;-14.953476&lt;/D&gt;&lt;D xsi:type="xsd:double"&gt;9.246958&lt;/D&gt;&lt;D xsi:type="xsd:double"&gt;-14.1882&lt;/D&gt;&lt;D xsi:type="xsd:double"&gt;9.204542&lt;/D&gt;&lt;D xsi:type="xsd:double"&gt;4.0582776&lt;/D&gt;&lt;D xsi:type="xsd:double"&gt;-4.849994&lt;/D&gt;&lt;D xsi:type="xsd:double"&gt;-13.872838&lt;/D&gt;&lt;D xsi:type="xsd:double"&gt;-1.5225172&lt;/D&gt;&lt;D xsi:type="xsd:double"&gt;1.6444325&lt;/D&gt;&lt;D xsi:type="xsd:double"&gt;12.026871&lt;/D&gt;&lt;D xsi:type="xsd:double"&gt;-1.5258908&lt;/D&gt;&lt;D xsi:type="xsd:double"&gt;4.5379043&lt;/D&gt;&lt;D xsi:type="xsd:double"&gt;7.9407096&lt;/D&gt;&lt;D xsi:type="xsd:double"&gt;4.085183&lt;/D&gt;&lt;D xsi:type="xsd:double"&gt;6.4009547&lt;/D&gt;&lt;D xsi:type="xsd:double"&gt;3.4052253&lt;/D&gt;&lt;D xsi:type="xsd:double"&gt;-5.4665146&lt;/D&gt;&lt;D xsi:type="xsd:double"&gt;-3.7854195&lt;/D&gt;&lt;D xsi:type="xsd:double"&gt;-6.1308265&lt;/D&gt;&lt;D xsi:type="xsd:double"&gt;8.2546&lt;/D&gt;&lt;D xsi:type="xsd:double"&gt;8.003807&lt;/D&gt;&lt;D xsi:type="xsd:double"&gt;-1.1910021&lt;/D&gt;&lt;D xsi:type="xsd:double"&gt;-8.303565&lt;/D&gt;&lt;D xsi:type="xsd:double"&gt;-5.4771185&lt;/D&gt;&lt;D xsi:type="xsd:double"&gt;-13.494724&lt;/D&gt;&lt;D xsi:type="xsd:double"&gt;-8.874273&lt;/D&gt;&lt;D xsi:type="xsd:double"&gt;-3.5064042&lt;/D&gt;&lt;D xsi:type="xsd:double"&gt;-26.450039&lt;/D&gt;&lt;D xsi:type="xsd:double"&gt;6.4608097&lt;/D&gt;&lt;D xsi:type="xsd:double"&gt;5.5778623&lt;/D&gt;&lt;D xsi:type="xsd:double"&gt;7.0160627&lt;/D&gt;&lt;D xsi:type="xsd:double"&gt;-2.1064878&lt;/D&gt;&lt;D xsi:type="xsd:double"&gt;10.683942&lt;/D&gt;&lt;D xsi:type="xsd:double"&gt;1.608777&lt;/D&gt;&lt;D xsi:type="xsd:double"&gt;-12.774384&lt;/D&gt;&lt;D xsi:type="xsd:double"&gt;-1.7739296&lt;/D&gt;&lt;D xsi:type="xsd:double"&gt;-14.489704&lt;/D&gt;&lt;D xsi:type="xsd:double"&gt;16.483175&lt;/D&gt;&lt;D xsi:type="xsd:double"&gt;11.207271&lt;/D&gt;&lt;D xsi:type="xsd:double"&gt;-5.8365765&lt;/D&gt;&lt;D xsi:type="xsd:double"&gt;4.3801665&lt;/D&gt;&lt;D xsi:type="xsd:double"&gt;0&lt;/D&gt;&lt;D xsi:type="xsd:double"&gt;6.2945366&lt;/D&gt;&lt;D xsi:type="xsd:double"&gt;0.32788515&lt;/D&gt;&lt;D xsi:type="xsd:double"&gt;8.896399&lt;/D&gt;&lt;D xsi:type="xsd:double"&gt;-7.618064&lt;/D&gt;&lt;D xsi:type="xsd:double"&gt;-32.238804&lt;/D&gt;&lt;D xsi:type="xsd:double"&gt;9.526432&lt;/D&gt;&lt;D xsi:type="xsd:double"&gt;6.7370534&lt;/D&gt;&lt;D xsi:type="xsd:double"&gt;9.967863&lt;/D&gt;&lt;D xsi:type="xsd:double"&gt;1.724875&lt;/D&gt;&lt;D xsi:type="xsd:double"&gt;-12.2933445&lt;/D&gt;&lt;D xsi:type="xsd:double"&gt;-7.008219&lt;/D&gt;&lt;D xsi:type="xsd:double"&gt;3.8461566&lt;/D&gt;&lt;D xsi:type="xsd:double"&gt;12.812817&lt;/D&gt;&lt;D xsi:type="xsd:double"&gt;10.2533455&lt;/D&gt;&lt;D xsi:type="xsd:double"&gt;12.999594&lt;/D&gt;&lt;D xsi:type="xsd:double"&gt;3.2154322&lt;/D&gt;&lt;D xsi:type="xsd:double"&gt;-20.66459&lt;/D&gt;&lt;D xsi:type="xsd:double"&gt;-3.184992&lt;/D&gt;&lt;D xsi:type="xsd:double"&gt;6.399274&lt;/D&gt;&lt;D xsi:type="xsd:double"&gt;-4.7020855&lt;/D&gt;&lt;D xsi:type="xsd:double"&gt;-2.8375328&lt;/D&gt;&lt;D xsi:type="xsd:double"&gt;9.938765&lt;/D&gt;&lt;D xsi:type="xsd:double"&gt;-8.012003&lt;/D&gt;&lt;D xsi:type="xsd:double"&gt;-3.213781&lt;/D&gt;&lt;D xsi:type="xsd:double"&gt;-7.8440847&lt;/D&gt;&lt;D xsi:type="xsd:double"&gt;9.625745&lt;/D&gt;&lt;D xsi:type="xsd:double"&gt;-4.306221&lt;/D&gt;&lt;D xsi:type="xsd:double"&gt;-2.7999997&lt;/D&gt;&lt;D xsi:type="xsd:double"&gt;3.1378508&lt;/D&gt;&lt;D xsi:type="xsd:double"&gt;13.566089&lt;/D&gt;&lt;D xsi:type="xsd:double"&gt;-9.793586&lt;/D&gt;&lt;D xsi:type="xsd:double"&gt;-4.121357&lt;/D&gt;&lt;D xsi:type="xsd:double"&gt;-2.2976518&lt;/D&gt;&lt;D xsi:type="xsd:double"&gt;20.630682&lt;/D&gt;&lt;D xsi:type="xsd:double"&gt;3.2786846&lt;/D&gt;&lt;D xsi:type="xsd:double"&gt;16.68812&lt;/D&gt;&lt;D xsi:type="xsd:double"&gt;19.485294&lt;/D&gt;&lt;D xsi:type="xsd:double"&gt;14.0430565&lt;/D&gt;&lt;D xsi:type="xsd:double"&gt;-1.5455544&lt;/D&gt;&lt;D xsi:type="xsd:double"&gt;-5.2327213&lt;/D&gt;&lt;D xsi:type="xsd:double"&gt;-0.9299636&lt;/D&gt;&lt;D xsi:type="xsd:double"&gt;-1.6427159&lt;/D&gt;&lt;D xsi:type="xsd:double"&gt;-12.854158&lt;/D&gt;&lt;D xsi:type="xsd:double"&gt;0.01630783&lt;/D&gt;&lt;D xsi:type="xsd:double"&gt;10.882675&lt;/D&gt;&lt;D xsi:type="xsd:double"&gt;12.947571&lt;/D&gt;&lt;D xsi:type="xsd:double"&gt;6.39683&lt;/D&gt;&lt;D xsi:type="xsd:double"&gt;-6.3846827&lt;/D&gt;&lt;D xsi:type="xsd:double"&gt;0.79568624&lt;/D&gt;&lt;D xsi:type="xsd:double"&gt;-5.6925535&lt;/D&gt;&lt;D xsi:type="xsd:double"&gt;1.4501572&lt;/D&gt;&lt;D xsi:type="xsd:double"&gt;14.651573&lt;/D&gt;&lt;D xsi:type="xsd:double"&gt;-5.818188&lt;/D&gt;&lt;D xsi:type="xsd:double"&gt;5.5708766&lt;/D&gt;&lt;D xsi:type="xsd:double"&gt;13.531876&lt;/D&gt;&lt;/FQL&gt;&lt;FQL&gt;&lt;Q&gt;KSA^FMA_DIV_YLD(NTMA,-10AY,0,AM,"PORTAGG","MEANR")&lt;/Q&gt;&lt;R&gt;121&lt;/R&gt;&lt;C&gt;1&lt;/C&gt;&lt;D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xsi:type="xsd:double"&gt;4.48302961758287&lt;/D&gt;&lt;D xsi:type="xsd:double"&gt;4.60041709141388&lt;/D&gt;&lt;D xsi:type="xsd:double"&gt;4.73453007695982&lt;/D&gt;&lt;D xsi:type="xsd:double"&gt;5.63409247725255&lt;/D&gt;&lt;D xsi:type="xsd:double"&gt;5.03554296960119&lt;/D&gt;&lt;D xsi:type="xsd:double"&gt;4.51202209009221&lt;/D&gt;&lt;D xsi:type="xsd:double"&gt;4.22278279101166&lt;/D&gt;&lt;D xsi:type="xsd:double"&gt;4.21644079557829&lt;/D&gt;&lt;D xsi:type="xsd:double"&gt;4.13273059696565&lt;/D&gt;&lt;D xsi:type="xsd:double"&gt;4.21397075677536&lt;/D&gt;&lt;D xsi:type="xsd:double"&gt;4.67284766498667&lt;/D&gt;&lt;D xsi:type="xsd:double"&gt;4.77779866647785&lt;/D&gt;&lt;D xsi:type="xsd:double"&gt;4.91299784450696&lt;/D&gt;&lt;D xsi:type="xsd:double"&gt;4.03407733275291&lt;/D&gt;&lt;D xsi:type="xsd:double"&gt;3.89722961401791&lt;/D&gt;&lt;D xsi:type="xsd:double"&gt;3.81943308913187&lt;/D&gt;&lt;D xsi:type="xsd:double"&gt;3.80196184356404&lt;/D&gt;&lt;D xsi:type="xsd:double"&gt;4.04839982236806&lt;/D&gt;&lt;D xsi:type="xsd:double"&gt;4.01489133301176&lt;/D&gt;&lt;D xsi:type="xsd:double"&gt;4.06950297018711&lt;/D&gt;&lt;D xsi:type="xsd:double"&gt;3.64873965347536&lt;/D&gt;&lt;D xsi:type="xsd:double"&gt;3.7327680765966&lt;/D&gt;&lt;D xsi:type="xsd:double"&gt;4.01707470120408&lt;/D&gt;&lt;D xsi:type="xsd:double"&gt;4.30504846131655&lt;/D&gt;&lt;D xsi:type="xsd:double"&gt;4.47146090977925&lt;/D&gt;&lt;D xsi:type="xsd:double"&gt;4.44729404825662&lt;/D&gt;&lt;D xsi:type="xsd:double"&gt;4.29830375687713&lt;/D&gt;&lt;D xsi:type="xsd:double"&gt;4.1865520619801&lt;/D&gt;&lt;D xsi:type="xsd:double"&gt;4.29906630899824&lt;/D&gt;&lt;D xsi:type="xsd:double"&gt;3.91879321442249&lt;/D&gt;&lt;D xsi:type="xsd:double"&gt;3.70412513623534&lt;/D&gt;&lt;D xsi:type="xsd:double"&gt;3.83285291697277&lt;/D&gt;&lt;D xsi:type="xsd:double"&gt;3.82050959584295&lt;/D&gt;&lt;D xsi:type="xsd:double"&gt;3.77482877627651&lt;/D&gt;&lt;D xsi:type="xsd:double"&gt;4.13739927730545&lt;/D&gt;&lt;D xsi:type="xsd:double"&gt;4.29341186625543&lt;/D&gt;&lt;D xsi:type="xsd:double"&gt;4.40185290131022&lt;/D&gt;&lt;D xsi:type="xsd:double"&gt;4.44081190622201&lt;/D&gt;&lt;D xsi:type="xsd:double"&gt;4.28625476663441&lt;/D&gt;&lt;D xsi:type="xsd:double"&gt;3.94916632055787&lt;/D&gt;&lt;D xsi:type="xsd:double"&gt;3.91529673508834&lt;/D&gt;&lt;D xsi:type="xsd:double"&gt;3.83397317390037&lt;/D&gt;&lt;D xsi:type="xsd:double"&gt;3.66268565242177&lt;/D&gt;&lt;D xsi:type="xsd:double"&gt;3.93188577033954&lt;/D&gt;&lt;D xsi:type="xsd:double"&gt;3.84047715351947&lt;/D&gt;&lt;D xsi:type="xsd:double"&gt;3.89079197931531&lt;/D&gt;&lt;D xsi:type="xsd:double"&gt;3.9707855919493&lt;/D&gt;&lt;D xsi:type="xsd:double"&gt;4.18760667512807&lt;/D&gt;&lt;D xsi:type="xsd:double"&gt;4.21460569493631&lt;/D&gt;&lt;D xsi:type="xsd:double"&gt;4.05486169503111&lt;/D&gt;&lt;D xsi:type="xsd:double"&gt;3.92779515158652&lt;/D&gt;&lt;D xsi:type="xsd:double"&gt;4.01432213810645&lt;/D&gt;&lt;D xsi:type="xsd:double"&gt;4.31386368929773&lt;/D&gt;&lt;D xsi:type="xsd:double"&gt;5.67722528239729&lt;/D&gt;&lt;D xsi:type="xsd:double"&gt;4.71086758723088&lt;/D&gt;&lt;D xsi:type="xsd:double"&gt;4.31032497214617&lt;/D&gt;&lt;D xsi:type="xsd:double"&gt;3.88668831062556&lt;/D&gt;&lt;D xsi:type="xsd:double"&gt;3.85108275989354&lt;/D&gt;&lt;D xsi:type="xsd:double"&gt;3.57206961730571&lt;/D&gt;&lt;D xsi:type="xsd:double"&gt;3.44698032343237&lt;/D&gt;&lt;D xsi:type="xsd:double"&gt;3.28515634086772&lt;/D&gt;&lt;D xsi:type="xsd:double"&gt;3.4208524253011&lt;/D&gt;&lt;D xsi:type="xsd:double"&gt;3.48774251152019&lt;/D&gt;&lt;D xsi:type="xsd:double"&gt;3.46550771826104&lt;/D&gt;&lt;D xsi:type="xsd:double"&gt;3.47635252156795&lt;/D&gt;&lt;D xsi:type="xsd:double"&gt;3.4877139471019&lt;/D&gt;&lt;D xsi:type="xsd:double"&gt;3.29157295056969&lt;/D&gt;&lt;D xsi:type="xsd:double"&gt;3.32979771650752&lt;/D&gt;&lt;D xsi:type="xsd:double"&gt;3.19882647005601&lt;/D&gt;&lt;D xsi:type="xsd:double"&gt;3.31618945969487&lt;/D&gt;&lt;D xsi:type="xsd:double"&gt;3.22980247861053&lt;/D&gt;&lt;D xsi:type="xsd:double"&gt;3.09422271666885&lt;/D&gt;&lt;D xsi:type="xsd:double"&gt;2.83923753427821&lt;/D&gt;&lt;D xsi:type="xsd:double"&gt;3.18030933481354&lt;/D&gt;&lt;D xsi:type="xsd:double"&gt;3.21630399226089&lt;/D&gt;&lt;D xsi:type="xsd:double"&gt;3.00678049747059&lt;/D&gt;&lt;D xsi:type="xsd:double"&gt;2.9261186051588&lt;/D&gt;&lt;D xsi:type="xsd:double"&gt;2.88723117536488&lt;/D&gt;&lt;D xsi:type="xsd:double"&gt;2.71154010499756&lt;/D&gt;&lt;D xsi:type="xsd:double"&gt;3.03947019090805&lt;/D&gt;&lt;D xsi:type="xsd:double"&gt;3.32034625271247&lt;/D&gt;&lt;D xsi:type="xsd:double"&gt;3.22411866331739&lt;/D&gt;&lt;D xsi:type="xsd:double"&gt;3.09538243857409&lt;/D&gt;&lt;D xsi:type="xsd:double"&gt;3.42254408622292&lt;/D&gt;&lt;D xsi:type="xsd:double"&gt;3.26029663730002&lt;/D&gt;&lt;D xsi:type="xsd:double"&gt;3.51436519671818&lt;/D&gt;&lt;D xsi:type="xsd:double"&gt;3.8551346338946&lt;/D&gt;&lt;D xsi:type="xsd:double"&gt;3.67291022859854&lt;/D&gt;&lt;D xsi:type="xsd:double"&gt;3.85641523364655&lt;/D&gt;&lt;D xsi:type="xsd:double"&gt;3.70531200672457&lt;/D&gt;&lt;D xsi:type="xsd:double"&gt;3.4153339076687&lt;/D&gt;&lt;D xsi:type="xsd:double"&gt;3.49134449097541&lt;/D&gt;&lt;D xsi:type="xsd:double"&gt;3.46135714243908&lt;/D&gt;&lt;D xsi:type="xsd:double"&gt;3.37615509275407&lt;/D&gt;&lt;D xsi:type="xsd:double"&gt;3.59772270654964&lt;/D&gt;&lt;D xsi:type="xsd:double"&gt;3.75373644230275&lt;/D&gt;&lt;D xsi:type="xsd:double"&gt;4.05595925141146&lt;/D&gt;&lt;D xsi:type="xsd:double"&gt;3.76615082129269&lt;/D&gt;&lt;D xsi:type="xsd:double"&gt;3.55810525266173&lt;/D&gt;&lt;D xsi:type="xsd:double"&gt;3.41145601013185&lt;/D&gt;&lt;D xsi:type="xsd:double"&gt;3.22666875611432&lt;/D&gt;&lt;D xsi:type="xsd:double"&gt;3.27741412258291&lt;/D&gt;&lt;D xsi:type="xsd:double"&gt;3.45565886524101&lt;/D&gt;&lt;D xsi:type="xsd:double"&gt;3.60485211154396&lt;/D&gt;&lt;/FQL&gt;&lt;FQL&gt;&lt;Q&gt;WL-FDS^FG_PRICE_CHANGE(0,-1AM)&lt;/Q&gt;&lt;R&gt;1&lt;/R&gt;&lt;C&gt;1&lt;/C&gt;&lt;D xsi:type="xsd:double"&gt;-5.844382414515&lt;/D&gt;&lt;/FQL&gt;&lt;FQL&gt;&lt;Q&gt;PLATI-FDS^MAX(FG_PRICE(0,-5AY))&lt;/Q&gt;&lt;R&gt;1&lt;/R&gt;&lt;C&gt;1&lt;/C&gt;&lt;D xsi:type="xsd:double"&gt;1272.59&lt;/D&gt;&lt;/FQL&gt;&lt;FQL&gt;&lt;Q&gt;FC0000TR^FG_PRICE(0)&lt;/Q&gt;&lt;R&gt;1&lt;/R&gt;&lt;C&gt;1&lt;/C&gt;&lt;D xsi:type="xsd:double"&gt;266.82947&lt;/D&gt;&lt;/FQL&gt;&lt;FQL&gt;&lt;Q&gt;VNM^FG_PRICE_MAVG(0,,,,200)&lt;/Q&gt;&lt;R&gt;1&lt;/R&gt;&lt;C&gt;1&lt;/C&gt;&lt;D xsi:type="xsd:double"&gt;13.34055&lt;/D&gt;&lt;/FQL&gt;&lt;FQL&gt;&lt;Q&gt;QAT^FG_PRICE(0)&lt;/Q&gt;&lt;R&gt;1&lt;/R&gt;&lt;C&gt;1&lt;/C&gt;&lt;D xsi:type="xsd:double"&gt;16.95&lt;/D&gt;&lt;/FQL&gt;&lt;FQL&gt;&lt;Q&gt;EWZ^FG_PRICE_MAVG(0,,,,60)&lt;/Q&gt;&lt;R&gt;1&lt;/R&gt;&lt;C&gt;1&lt;/C&gt;&lt;D xsi:type="xsd:double"&gt;31.893&lt;/D&gt;&lt;/FQL&gt;&lt;FQL&gt;&lt;Q&gt;EWM^FG_PRICE(0)&lt;/Q&gt;&lt;R&gt;1&lt;/R&gt;&lt;C&gt;1&lt;/C</t>
        </r>
      </text>
    </comment>
    <comment ref="A6" authorId="0" shapeId="0" xr:uid="{F07BE7CA-9548-457D-9B26-834E5D60EBF9}">
      <text>
        <r>
          <rPr>
            <b/>
            <sz val="9"/>
            <color indexed="81"/>
            <rFont val="Tahoma"/>
            <charset val="1"/>
          </rPr>
          <t>&gt;&lt;D xsi:type="xsd:double"&gt;23.18&lt;/D&gt;&lt;/FQL&gt;&lt;FQL&gt;&lt;Q&gt;ECH^FG_PRICE_MAVG(0,,,,30)&lt;/Q&gt;&lt;R&gt;1&lt;/R&gt;&lt;C&gt;1&lt;/C&gt;&lt;D xsi:type="xsd:double"&gt;27.485&lt;/D&gt;&lt;/FQL&gt;&lt;FQL&gt;&lt;Q&gt;VNM^FG_TOTAL_RETURNC(0,-3AM)&lt;/Q&gt;&lt;R&gt;1&lt;/R&gt;&lt;C&gt;1&lt;/C&gt;&lt;D xsi:type="xsd:double"&gt;-1.6845345&lt;/D&gt;&lt;/FQL&gt;&lt;FQL&gt;&lt;Q&gt;TUR^FG_TOTAL_RETURNC(0,-3AM)&lt;/Q&gt;&lt;R&gt;1&lt;/R&gt;&lt;C&gt;1&lt;/C&gt;&lt;D xsi:type="xsd:double"&gt;12.883115&lt;/D&gt;&lt;/FQL&gt;&lt;FQL&gt;&lt;Q&gt;QAT^FG_TOTAL_RETURNC(0,-3AM)&lt;/Q&gt;&lt;R&gt;1&lt;/R&gt;&lt;C&gt;1&lt;/C&gt;&lt;D xsi:type="xsd:double"&gt;-5.254322&lt;/D&gt;&lt;/FQL&gt;&lt;FQL&gt;&lt;Q&gt;INDA^FG_TOTAL_RETURNC(0,-3AM)&lt;/Q&gt;&lt;R&gt;1&lt;/R&gt;&lt;C&gt;1&lt;/C&gt;&lt;D xsi:type="xsd:double"&gt;3.88031&lt;/D&gt;&lt;/FQL&gt;&lt;FQL&gt;&lt;Q&gt;EZA^FG_TOTAL_RETURNC(0,-3AM)&lt;/Q&gt;&lt;R&gt;1&lt;/R&gt;&lt;C&gt;1&lt;/C&gt;&lt;D xsi:type="xsd:double"&gt;11.577845&lt;/D&gt;&lt;/FQL&gt;&lt;FQL&gt;&lt;Q&gt;EWY^FG_TOTAL_RETURNC(0,-3AM)&lt;/Q&gt;&lt;R&gt;1&lt;/R&gt;&lt;C&gt;1&lt;/C&gt;&lt;D xsi:type="xsd:double"&gt;-1.9643962&lt;/D&gt;&lt;/FQL&gt;&lt;FQL&gt;&lt;Q&gt;EWT^FG_TOTAL_RETURNC(0,-1AM)&lt;/Q&gt;&lt;R&gt;1&lt;/R&gt;&lt;C&gt;1&lt;/C&gt;&lt;D xsi:type="xsd:double"&gt;10.21378&lt;/D&gt;&lt;/FQL&gt;&lt;FQL&gt;&lt;Q&gt;EPU^FG_TOTAL_RETURNC(0,-1AM)&lt;/Q&gt;&lt;R&gt;1&lt;/R&gt;&lt;C&gt;1&lt;/C&gt;&lt;D xsi:type="xsd:double"&gt;7.839048&lt;/D&gt;&lt;/FQL&gt;&lt;FQL&gt;&lt;Q&gt;ECH^FG_TOTAL_RETURNC(0,-3AM)&lt;/Q&gt;&lt;R&gt;1&lt;/R&gt;&lt;C&gt;1&lt;/C&gt;&lt;D xsi:type="xsd:double"&gt;15.479517&lt;/D&gt;&lt;/FQL&gt;&lt;FQL&gt;&lt;Q&gt;SPY^PERCENT_CHANGE(FMA_EPS(+1,0,,,,"PORTAGG","MEAN"),FMA_EPS(+1,-1AM,,,,"PORTAGG","MEAN"))&lt;/Q&gt;&lt;R&gt;1&lt;/R&gt;&lt;C&gt;1&lt;/C&gt;&lt;D xsi:type="xsd:double"&gt;0.650027083400345&lt;/D&gt;&lt;/FQL&gt;&lt;FQL&gt;&lt;Q&gt;UAE^SIZE(FG_CONSTITUENTS)&lt;/Q&gt;&lt;R&gt;1&lt;/R&gt;&lt;C&gt;1&lt;/C&gt;&lt;D xsi:type="xsd:long"&gt;42&lt;/D&gt;&lt;/FQL&gt;&lt;FQL&gt;&lt;Q&gt;EWT^FMA_COS_UP("EPS","1M",+1,NOW,,,"PORTAGG","MEANR")&lt;/Q&gt;&lt;R&gt;1&lt;/R&gt;&lt;C&gt;1&lt;/C&gt;&lt;D xsi:type="xsd:double"&gt;44&lt;/D&gt;&lt;/FQL&gt;&lt;FQL&gt;&lt;Q&gt;CNYA^SIZE(FG_CONSTITUENTS)&lt;/Q&gt;&lt;R&gt;1&lt;/R&gt;&lt;C&gt;1&lt;/C&gt;&lt;D xsi:type="xsd:long"&gt;519&lt;/D&gt;&lt;/FQL&gt;&lt;FQL&gt;&lt;Q&gt;EWY^FG_ROE(0)&lt;/Q&gt;&lt;R&gt;1&lt;/R&gt;&lt;C&gt;1&lt;/C&gt;&lt;D xsi:type="xsd:double"&gt;6.23721393400389&lt;/D&gt;&lt;/FQL&gt;&lt;FQL&gt;&lt;Q&gt;REFVNDISC-FDS^FG_YIELD(NOW,,,0)&lt;/Q&gt;&lt;R&gt;1&lt;/R&gt;&lt;C&gt;1&lt;/C&gt;&lt;D xsi:type="xsd:double"&gt;3&lt;/D&gt;&lt;/FQL&gt;&lt;FQL&gt;&lt;Q&gt;TRYGR10Y-FDS^FG_YIELD_NAME&lt;/Q&gt;&lt;R&gt;1&lt;/R&gt;&lt;C&gt;1&lt;/C&gt;&lt;D xsi:type="xsd:string"&gt;Greece Benchmark Bond - 10 Year&lt;/D&gt;&lt;/FQL&gt;&lt;FQL&gt;&lt;Q&gt;REFIDRREPO-FDS^PROPER_NAME(0,,,"SECURITY","NAME")&lt;/Q&gt;&lt;R&gt;1&lt;/R&gt;&lt;C&gt;1&lt;/C&gt;&lt;D xsi:type="xsd:string"&gt;Indonesia BI (Reverse) Repo Rate - 7 Day&lt;/D&gt;&lt;/FQL&gt;&lt;FQL&gt;&lt;Q&gt;TRYSA10Y-FDS^FG_YIELD(0,,,,"YTM")&lt;/Q&gt;&lt;R&gt;1&lt;/R&gt;&lt;C&gt;1&lt;/C&gt;&lt;D xsi:type="xsd:double"&gt;5.299484&lt;/D&gt;&lt;/FQL&gt;&lt;FQL&gt;&lt;Q&gt;TRYZA10Y-FDS^FG_YIELD(0,,,,"YTM")&lt;/Q&gt;&lt;R&gt;1&lt;/R&gt;&lt;C&gt;1&lt;/C&gt;&lt;D xsi:type="xsd:double"&gt;11.966108&lt;/D&gt;&lt;/FQL&gt;&lt;FQL&gt;&lt;Q&gt;CC_BR^IMF_IFS_RCPI_Q(0)&lt;/Q&gt;&lt;R&gt;1&lt;/R&gt;&lt;C&gt;1&lt;/C&gt;&lt;D xsi:type="xsd:double"&gt;4.3081307&lt;/D&gt;&lt;/FQL&gt;&lt;FQL&gt;&lt;Q&gt;VWO^JULIAN(FMA_DIV_YLD(NTMA,NOW,NOW,M,"PORTAGG","MEANR").DATES)&lt;/Q&gt;&lt;R&gt;1&lt;/R&gt;&lt;C&gt;1&lt;/C&gt;&lt;D xsi:type="xsd:long"&gt;45412&lt;/D&gt;&lt;/FQL&gt;&lt;FQL&gt;&lt;Q&gt;VNM^FG_FCF_YIELD_NTM(0)&lt;/Q&gt;&lt;R&gt;1&lt;/R&gt;&lt;C&gt;1&lt;/C&gt;&lt;D xsi:type="xsd:double"&gt;-1.31929576646402&lt;/D&gt;&lt;/FQL&gt;&lt;FQL&gt;&lt;Q&gt;MCHI^FMA_EVAL_EBITDA(NTMA,0,,,"PORTAGG","MEANR")&lt;/Q&gt;&lt;R&gt;1&lt;/R&gt;&lt;C&gt;1&lt;/C&gt;&lt;D xsi:type="xsd:double"&gt;9.44336727652941&lt;/D&gt;&lt;/FQL&gt;&lt;FQL&gt;&lt;Q&gt;EWT^FMA_DIV_YLD(NTMA,NOW,NOW,M,"PORTAGG","MEANR")&lt;/Q&gt;&lt;R&gt;1&lt;/R&gt;&lt;C&gt;1&lt;/C&gt;&lt;D xsi:type="xsd:double"&gt;3.16931360420137&lt;/D&gt;&lt;/FQL&gt;&lt;FQL&gt;&lt;Q&gt;EPU^JULIAN(FMA_DIV_YLD(NTMA,NOW,NOW,M,"PORTAGG","MEANR").DATES)&lt;/Q&gt;&lt;R&gt;1&lt;/R&gt;&lt;C&gt;1&lt;/C&gt;&lt;D xsi:type="xsd:long"&gt;45412&lt;/D&gt;&lt;/FQL&gt;&lt;FQL&gt;&lt;Q&gt;EWT^FG_COMPANY_NAME&lt;/Q&gt;&lt;R&gt;1&lt;/R&gt;&lt;C&gt;1&lt;/C&gt;&lt;D xsi:type="xsd:string"&gt;iShares MSCI Taiwan ETF&lt;/D&gt;&lt;/FQL&gt;&lt;FQL&gt;&lt;Q&gt;CNYA^FG_PRICE_MAVG(0,,,,200)&lt;/Q&gt;&lt;R&gt;1&lt;/R&gt;&lt;C&gt;1&lt;/C&gt;&lt;D xsi:type="xsd:double"&gt;26.680916&lt;/D&gt;&lt;/FQL&gt;&lt;FQL&gt;&lt;Q&gt;EWM^FMA_COS_DOWN("EPS","1M",+1,NOW,,,"PORTAGG","MEANR")&lt;/Q&gt;&lt;R&gt;1&lt;/R&gt;&lt;C&gt;1&lt;/C&gt;&lt;D xsi:type="xsd:double"&gt;11&lt;/D&gt;&lt;/FQL&gt;&lt;FQL&gt;&lt;Q&gt;EWW^FG_ROE(0)&lt;/Q&gt;&lt;R&gt;1&lt;/R&gt;&lt;C&gt;1&lt;/C&gt;&lt;D xsi:type="xsd:double"&gt;11.3178804759326&lt;/D&gt;&lt;/FQL&gt;&lt;FQL&gt;&lt;Q&gt;TRYSA10Y-FDS^FG_YIELD_NAME&lt;/Q&gt;&lt;R&gt;1&lt;/R&gt;&lt;C&gt;1&lt;/C&gt;&lt;D xsi:type="xsd:string"&gt;Treasury - SAUDI ARABIA Benchmark Bond 10Y&lt;/D&gt;&lt;/FQL&gt;&lt;FQL&gt;&lt;Q&gt;REFCLMPR-FDS^(SUBARRAY(NOT_NA(NO_REPEAT_F(FG_YIELD(NOW,-10AY,D))),0,1)-SUBARRAY(NOT_NA(NO_REPEAT_F(FG_YIELD(NOW,-10AY,D))),1,1))*100&lt;/Q&gt;&lt;R&gt;1&lt;/R&gt;&lt;C&gt;1&lt;/C&gt;&lt;D xsi:type="xsd:double"&gt;-50&lt;/D&gt;&lt;/FQL&gt;&lt;FQL&gt;&lt;Q&gt;EWY^FMA_EVAL_EBITDA(NTMA,0,,,"PORTAGG","MEANR")&lt;/Q&gt;&lt;R&gt;1&lt;/R&gt;&lt;C&gt;1&lt;/C&gt;&lt;D xsi:type="xsd:double"&gt;6.377478454731&lt;/D&gt;&lt;/FQL&gt;&lt;FQL&gt;&lt;Q&gt;EPOL^FMA_EVAL_EBIT(LTMA,NOW,NOW,M,"PORTAGG","MEANR")&lt;/Q&gt;&lt;R&gt;1&lt;/R&gt;&lt;C&gt;1&lt;/C&gt;&lt;D xsi:type="xsd:double"&gt;7.82924104255961&lt;/D&gt;&lt;/FQL&gt;&lt;FQL&gt;&lt;Q&gt;EIDO^FMA_DIV_YLD(NTMA,NOW,NOW,M,"PORTAGG","MEANR")&lt;/Q&gt;&lt;R&gt;1&lt;/R&gt;&lt;C&gt;1&lt;/C&gt;&lt;D xsi:type="xsd:double"&gt;4.36079694658015&lt;/D&gt;&lt;/FQL&gt;&lt;FQL&gt;&lt;Q&gt;CNYA^JULIAN(FMA_DIV_YLD(NTMA,NOW,NOW,M,"PORTAGG","MEANR").DATES)&lt;/Q&gt;&lt;R&gt;1&lt;/R&gt;&lt;C&gt;1&lt;/C&gt;&lt;D xsi:type="xsd:long"&gt;45412&lt;/D&gt;&lt;/FQL&gt;&lt;FQL&gt;&lt;Q&gt;EWM^FG_COMPANY_NAME&lt;/Q&gt;&lt;R&gt;1&lt;/R&gt;&lt;C&gt;1&lt;/C&gt;&lt;D xsi:type="xsd:string"&gt;iShares MSCI Malaysia ETF&lt;/D&gt;&lt;/FQL&gt;&lt;FQL&gt;&lt;Q&gt;TRYPE10Y-FDS^PCTCHG(FG_YIELD(0,,,,"YTM"),FG_YIELD(-3AM,,,,"YTM"))&lt;/Q&gt;&lt;R&gt;1&lt;/R&gt;&lt;C&gt;1&lt;/C&gt;&lt;D xsi:type="xsd:double"&gt;4.3353333&lt;/D&gt;&lt;/FQL&gt;&lt;FQL&gt;&lt;Q&gt;USDVND^STD(FG_PRICE_CHANGE(0,-3AY,M))&lt;/Q&gt;&lt;R&gt;1&lt;/R&gt;&lt;C&gt;1&lt;/C&gt;&lt;D xsi:type="xsd:double"&gt;1.28214821198522&lt;/D&gt;&lt;/FQL&gt;&lt;FQL&gt;&lt;Q&gt;USDZAR^STD(FG_PRICE_CHANGE(0,-3AY,M))&lt;/Q&gt;&lt;R&gt;1&lt;/R&gt;&lt;C&gt;1&lt;/C&gt;&lt;D xsi:type="xsd:double"&gt;4.01042902885765&lt;/D&gt;&lt;/FQL&gt;&lt;FQL&gt;&lt;Q&gt;USDMYR^FG_PRICE_CHANGE(0,-3AM)&lt;/Q&gt;&lt;R&gt;1&lt;/R&gt;&lt;C&gt;1&lt;/C&gt;&lt;D xsi:type="xsd:double"&gt;-1.5279949&lt;/D&gt;&lt;/FQL&gt;&lt;FQL&gt;&lt;Q&gt;USDPLN^FG_COMPANY_NAME&lt;/Q&gt;&lt;R&gt;1&lt;/R&gt;&lt;C&gt;1&lt;/C&gt;&lt;D xsi:type="xsd:string"&gt;Polish Zloty per U.S. Dollar&lt;/D&gt;&lt;/FQL&gt;&lt;FQL&gt;&lt;Q&gt;FC0000ZA^FMA_EPS(NTMA,-20AY,0,CY,,"PORTAGG","MEANR")&lt;/Q&gt;&lt;R&gt;20&lt;/R&gt;&lt;C&gt;1&lt;/C&gt;&lt;D xsi:type="xsd:double"&gt;21.1738585852974&lt;/D&gt;&lt;D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xsi:type="xsd:double"&gt;31.8782513706453&lt;/D&gt;&lt;D xsi:type="xsd:double"&gt;34.3748784343716&lt;/D&gt;&lt;D xsi:type="xsd:double"&gt;36.8513185482666&lt;/D&gt;&lt;D xsi:type="xsd:double"&gt;38.6122872227081&lt;/D&gt;&lt;D xsi:type="xsd:double"&gt;33.9202192829757&lt;/D&gt;&lt;/FQL&gt;&lt;FQL&gt;&lt;Q&gt;MCHI^P_PRICE_RETURNS_PR('52W',2,-10AY,0,AM)&lt;/Q&gt;&lt;R&gt;121&lt;/R&gt;&lt;C&gt;1&lt;/C&gt;&lt;D xsi:type="xsd:double"&gt;2.3632407&lt;/D&gt;&lt;D xsi:type="xsd:double"&gt;17.474926&lt;/D&gt;&lt;D xsi:type="xsd:double"&gt;16.51075&lt;/D&gt;&lt;D xsi:type="xsd:double"&gt;16.912413&lt;/D&gt;&lt;D xsi:type="xsd:double"&gt;3.2712817&lt;/D&gt;&lt;D xsi:type="xsd:double"&gt;4.93207&lt;/D&gt;&lt;D xsi:type="xsd:double"&gt;2.6537657&lt;/D&gt;&lt;D xsi:type="xsd:double"&gt;7.88064&lt;/D&gt;&lt;D xsi:type="xsd:double"&gt;20.471155&lt;/D&gt;&lt;D xsi:type="xsd:double"&gt;17.744017&lt;/D&gt;&lt;D xsi:type="xsd:double"&gt;25.061548&lt;/D&gt;&lt;D xsi:type="xsd:double"&gt;46.5099&lt;/D&gt;&lt;D xsi:type="xsd:double"&gt;40.71201&lt;/D&gt;&lt;D xsi:type="xsd:double"&gt;31.097233&lt;/D&gt;&lt;D xsi:type="xsd:double"&gt;7.828903&lt;/D&gt;&lt;D xsi:type="xsd:double"&gt;-10.229456&lt;/D&gt;&lt;D xsi:type="xsd:double"&gt;-6.780857&lt;/D&gt;&lt;D xsi:type="xsd:double"&gt;6.6581964&lt;/D&gt;&lt;D xsi:type="xsd:double"&gt;-1.5380085&lt;/D&gt;&lt;D xsi:type="xsd:double"&gt;-4.3366013&lt;/D&gt;&lt;D xsi:type="xsd:double"&gt;-24.793768&lt;/D&gt;&lt;D xsi:type="xsd:double"&gt;-24.298023&lt;/D&gt;&lt;D xsi:type="xsd:double"&gt;-19.743967&lt;/D&gt;&lt;D xsi:type="xsd:double"&gt;-30.79362&lt;/D&gt;&lt;D xsi:type="xsd:double"&gt;-34.82654&lt;/D&gt;&lt;D xsi:type="xsd:double"&gt;-25.89823&lt;/D&gt;&lt;D xsi:type="xsd:double"&gt;-13.257867&lt;/D&gt;&lt;D xsi:type="xsd:double"&gt;7.3607802&lt;/D&gt;&lt;D xsi:type="xsd:double"&gt;13.747072&lt;/D&gt;&lt;D xsi:type="xsd:double"&gt;3.159678&lt;/D&gt;&lt;D xsi:type="xsd:double"&gt;-1.6595542&lt;/D&gt;&lt;D xsi:type="xsd:double"&gt;-5.266285&lt;/D&gt;&lt;D xsi:type="xsd:double"&gt;21.420431&lt;/D&gt;&lt;D xsi:type="xsd:double"&gt;31.274378&lt;/D&gt;&lt;D xsi:type="xsd:double"&gt;24.04002&lt;/D&gt;&lt;D xsi:type="xsd:double"&gt;17.779541&lt;/D&gt;&lt;D xsi:type="xsd:double"&gt;36.227394&lt;/D&gt;&lt;D xsi:type="xsd:double"&gt;30.862415&lt;/D&gt;&lt;D xsi:type="xsd:double"&gt;33.829533&lt;/D&gt;&lt;D xsi:type="xsd:double"&gt;33.185555&lt;/D&gt;&lt;D xsi:type="xsd:double"&gt;29.652798&lt;/D&gt;&lt;D xsi:type="xsd:double"&gt;35.934185&lt;/D&gt;&lt;D xsi:type="xsd:double"&gt;53.47445&lt;/D&gt;&lt;D xsi:type="xsd:double"&gt;58.279873&lt;/D&gt;&lt;D xsi:type="xsd:double"&gt;63.962162&lt;/D&gt;&lt;D xsi:type="xsd:double"&gt;48.024033&lt;/D&gt;&lt;D xsi:type="xsd:double"&gt;34.94533&lt;/D&gt;&lt;D xsi:type="xsd:double"&gt;34.189056&lt;/D&gt;&lt;D xsi:type="xsd:double"&gt;31.65387&lt;/D&gt;&lt;D xsi:type="xsd:double"&gt;24.2612&lt;/D&gt;&lt;D xsi:type="xsd:double"&gt;10.888994&lt;/D&gt;&lt;D xsi:type="xsd:double"&gt;-0.34606457&lt;/D&gt;&lt;D xsi:type="xsd:double"&gt;-4.0410995&lt;/D&gt;&lt;D xsi:type="xsd:double"&gt;-14.933449&lt;/D&gt;&lt;D xsi:type="xsd:double"&gt;-20.190351&lt;/D&gt;&lt;D xsi:type="xsd:double"&gt;-20.328909&lt;/D&gt;&lt;D xsi:type="xsd:double"&gt;-24.14375&lt;/D&gt;&lt;D xsi:type="xsd:double"&gt;-13.136&lt;/D&gt;&lt;D xsi:type="xsd:double"&gt;-9.920824&lt;/D&gt;&lt;D xsi:type="xsd:double"&gt;-1.6661704&lt;/D&gt;&lt;D xsi:type="xsd:double"&gt;-19.192732&lt;/D&gt;&lt;D xsi:type="xsd:double"&gt;-9.893841&lt;/D&gt;&lt;D xsi:type="xsd:double"&gt;-4.1534243&lt;/D&gt;&lt;D xsi:type="xsd:double"&gt;-7.714939&lt;/D&gt;&lt;D xsi:type="xsd:double"&gt;-3.0396402&lt;/D&gt;&lt;D xsi:type="xsd:double"&gt;8.235073&lt;/D&gt;&lt;D xsi:type="xsd:double"&gt;9.013737&lt;/D&gt;&lt;D xsi:type="xsd:double"&gt;24.035954&lt;/D&gt;&lt;D xsi:type="xsd:double"&gt;16.810776&lt;/D&gt;&lt;D xsi:type="xsd:double"&gt;9.258139&lt;/D&gt;&lt;D xsi:type="xsd:double"&gt;-11.90728&lt;/D&gt;&lt;D xsi:type="xsd:double"&gt;-6.16436&lt;/D&gt;&lt;D xsi:type="xsd:double"&gt;6.671691&lt;/D&gt;&lt;D xsi:type="xsd:double"&gt;14.893972&lt;/D&gt;&lt;D xsi:type="xsd:double"&gt;21.945404&lt;/D&gt;&lt;D xsi:type="xsd:double"&gt;32.62644&lt;/D&gt;&lt;D xsi:type="xsd:double"&gt;26.939964&lt;/D&gt;&lt;D xsi:type="xsd:double"&gt;37.697662&lt;/D&gt;&lt;D xsi:type="xsd:double"&gt;38.283073&lt;/D&gt;&lt;D xsi:type="xsd:double"&gt;26.947546&lt;/D&gt;&lt;D xsi:type="xsd:double"&gt;40.936672&lt;/D&gt;&lt;D xsi:type="xsd:double"&gt;44.584167&lt;/D&gt;&lt;D xsi:type="xsd:double"&gt;58.90293&lt;/D&gt;&lt;D xsi:type="xsd:double"&gt;42.411232&lt;/D&gt;&lt;D xsi:type="xsd:double"&gt;30.869507&lt;/D&gt;&lt;D xsi:type="xsd:double"&gt;21.812689&lt;/D&gt;&lt;D xsi:type="xsd:double"&gt;5.072963&lt;/D&gt;&lt;D xsi:type="xsd:double"&gt;-8.098048&lt;/D&gt;&lt;D xsi:type="xsd:double"&gt;-5.241549&lt;/D&gt;&lt;D xsi:type="xsd:double"&gt;-6.423312&lt;/D&gt;&lt;D xsi:type="xsd:double"&gt;-15.99111&lt;/D&gt;&lt;D xsi:type="xsd:double"&gt;-20.635868&lt;/D&gt;&lt;D xsi:type="xsd:double"&gt;-29.604643&lt;/D&gt;&lt;D xsi:type="xsd:double"&gt;-34.90771&lt;/D&gt;&lt;D xsi:type="xsd:double"&gt;-33.411304&lt;/D&gt;&lt;D xsi:type="xsd:double"&gt;-40.674026&lt;/D&gt;&lt;D xsi:type="xsd:double"&gt;-36.712032&lt;/D&gt;&lt;D xsi:type="xsd:double"&gt;-31.822193&lt;/D&gt;&lt;D xsi:type="xsd:double"&gt;-32.872635&lt;/D&gt;&lt;D xsi:type="xsd:double"&gt;-26.891972&lt;/D&gt;&lt;D xsi:type="xsd:double"&gt;-35.058445&lt;/D&gt;&lt;D xsi:type="xsd:double"&gt;-44.20966&lt;/D&gt;&lt;D xsi:type="xsd:double"&gt;-34.898014&lt;/D&gt;&lt;D xsi:type="xsd:double"&gt;-23.911196&lt;/D&gt;&lt;D xsi:type="xsd:double"&gt;-11.101752&lt;/D&gt;&lt;D xsi:type="xsd:double"&gt;-15.40494&lt;/D&gt;&lt;D xsi:type="xsd:double"&gt;-8.469862&lt;/D&gt;&lt;D xsi:type="xsd:double"&gt;1.6518831&lt;/D&gt;&lt;D xsi:type="xsd:double"&gt;-6.4171076&lt;/D&gt;&lt;D xsi:type="xsd:double"&gt;-16.659838&lt;/D&gt;&lt;D xsi:type="xsd:double"&gt;-11.5628&lt;/D&gt;&lt;D xsi:type="xsd:double"&gt;-8.121485&lt;/D&gt;&lt;D xsi:type="xsd:double"&gt;1.5954256&lt;/D&gt;&lt;D xsi:type="xsd:double"&gt;5.6843996&lt;/D&gt;&lt;D xsi:type="xsd:double"&gt;3.6906958&lt;/D&gt;&lt;D xsi:type="xsd:double"&gt;-13.545012&lt;/D&gt;&lt;D xsi:type="xsd:double"&gt;-29.946636&lt;/D&gt;&lt;D xsi:type="xsd:double"&gt;-15.920544&lt;/D&gt;&lt;D xsi:type="xsd:double"&gt;-14.274364&lt;/D&gt;&lt;D xsi:type="xsd:double"&gt;-12.193704&lt;/D&gt;&lt;D xsi:type="xsd:double"&gt;2.2150517&lt;/D&gt;&lt;/FQL&gt;&lt;FQL&gt;&lt;Q&gt;KSA^FMA_PE(NTMA,-10AY,0,AM,"PORTAGG","MEANR")&lt;/Q&gt;&lt;R&gt;121&lt;/R&gt;&lt;C&gt;1&lt;/C&gt;&lt;D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xsi:type="xsd:double"&gt;12.648123510244&lt;/D&gt;&lt;D xsi:type="xsd:double"&gt;12.521143656689&lt;/D&gt;&lt;D xsi:type="xsd:double"&gt;12.4930101968088&lt;/D&gt;&lt;D xsi:type="xsd:double"&gt;10.6555420336937&lt;/D&gt;&lt;D xsi:type="xsd:double"&gt;11.8573710402155&lt;/D&gt;&lt;D xsi:type="xsd:double"&gt;13.0747350058701&lt;/D&gt;&lt;D xsi:type="xsd:double"&gt;13.1330463906266&lt;/D&gt;&lt;D xsi:type="xsd:double"&gt;13.0275117454629&lt;/D&gt;&lt;D xsi:type="xsd:double"&gt;13.5581102033761&lt;/D&gt;&lt;D xsi:type="xsd:double"&gt;13.5779921226817&lt;/D&gt;&lt;D xsi:type="xsd:double"&gt;12.4172075320677&lt;/D&gt;&lt;D xsi:type="xsd:double"&gt;12.1408889960837&lt;/D&gt;&lt;D xsi:type="xsd:double"&gt;11.5007438222392&lt;/D&gt;&lt;D xsi:type="xsd:double"&gt;13.9821961857883&lt;/D&gt;&lt;D xsi:type="xsd:double"&gt;14.0643689956363&lt;/D&gt;&lt;D xsi:type="xsd:double"&gt;14.2726095916772&lt;/D&gt;&lt;D xsi:type="xsd:double"&gt;14.4474094592199&lt;/D&gt;&lt;D xsi:type="xsd:double"&gt;13.6792882140768&lt;/D&gt;&lt;D xsi:type="xsd:double"&gt;13.6383463995139&lt;/D&gt;&lt;D xsi:type="xsd:double"&gt;13.5271605341978&lt;/D&gt;&lt;D xsi:type="xsd:double"&gt;14.8913029301073&lt;/D&gt;&lt;D xsi:type="xsd:double"&gt;14.5402886085057&lt;/D&gt;&lt;D xsi:type="xsd:double"&gt;13.9861657336266&lt;/D&gt;&lt;D xsi:type="xsd:double"&gt;13.7042902078632&lt;/D&gt;&lt;D xsi:type="xsd:double"&gt;12.7887408375678&lt;/D&gt;&lt;D xsi:type="xsd:double"&gt;12.9303203086289&lt;/D&gt;&lt;D xsi:type="xsd:double"&gt;13.2331496283487&lt;/D&gt;&lt;D xsi:type="xsd:double"&gt;13.871987275381&lt;/D&gt;&lt;D xsi:type="xsd:double"&gt;13.7585648423647&lt;/D&gt;&lt;D xsi:type="xsd:double"&gt;14.7386890504457&lt;/D&gt;&lt;D xsi:type="xsd:double"&gt;15.4403122023852&lt;/D&gt;&lt;D xsi:type="xsd:double"&gt;14.9053191673545&lt;/D&gt;&lt;D xsi:type="xsd:double"&gt;14.852490442887&lt;/D&gt;&lt;D xsi:type="xsd:double"&gt;15.100407963759&lt;/D&gt;&lt;D xsi:type="xsd:double"&gt;13.8505800546566&lt;/D&gt;&lt;D xsi:type="xsd:double"&gt;13.7376214226049&lt;/D&gt;&lt;D xsi:type="xsd:double"&gt;13.3950402240253&lt;/D&gt;&lt;D xsi:type="xsd:double"&gt;13.3934048578391&lt;/D&gt;&lt;D xsi:type="xsd:double"&gt;14.2141378292048&lt;/D&gt;&lt;D xsi:type="xsd:double"&gt;15.8184733512964&lt;/D&gt;&lt;D xsi:type="xsd:double"&gt;16.0367063652948&lt;/D&gt;&lt;D xsi:type="xsd:double"&gt;16.3346419069108&lt;/D&gt;&lt;D xsi:type="xsd:double"&gt;17.4224526612581&lt;/D&gt;&lt;D xsi:type="xsd:double"&gt;16.016542871054&lt;/D&gt;&lt;D xsi:type="xsd:double"&gt;16.6848087825968&lt;/D&gt;&lt;D xsi:type="xsd:double"&gt;16.627998840732&lt;/D&gt;&lt;D xsi:type="xsd:double"&gt;17.0367557099754&lt;/D&gt;&lt;D xsi:type="xsd:double"&gt;16.9477904945701&lt;/D&gt;&lt;D xsi:type="xsd:double"&gt;16.7425654156884&lt;/D&gt;&lt;D xsi:type="xsd:double"&gt;16.8146102184754&lt;/D&gt;&lt;D xsi:type="xsd:double"&gt;17.2212612948845&lt;/D&gt;&lt;D xsi:type="xsd:double"&gt;16.9885602387263&lt;/D&gt;&lt;D xsi:type="xsd:double"&gt;16.1007337119295&lt;/D&gt;&lt;D xsi:type="xsd:double"&gt;13.0775548948498&lt;/D&gt;&lt;D xsi:type="xsd:double"&gt;16.2369832541531&lt;/D&gt;&lt;D xsi:type="xsd:double"&gt;18.623590513252&lt;/D&gt;&lt;D xsi:type="xsd:double"&gt;19.1338030642896&lt;/D&gt;&lt;D xsi:type="xsd:double"&gt;19.5451265220698&lt;/D&gt;&lt;D xsi:type="xsd:double"&gt;20.3508807332166&lt;/D&gt;&lt;D xsi:type="xsd:double"&gt;21.3179691545936&lt;/D&gt;&lt;D xsi:type="xsd:double"&gt;21.3734097338891&lt;/D&gt;&lt;D xsi:type="xsd:double"&gt;20.0370373744957&lt;/D&gt;&lt;D xsi:type="xsd:double"&gt;19.3706963136723&lt;/D&gt;&lt;D xsi:type="xsd:double"&gt;19.0727175462756&lt;/D&gt;&lt;D xsi:type="xsd:double"&gt;18.4814537890568&lt;/D&gt;&lt;D xsi:type="xsd:double"&gt;18.4398393985117&lt;/D&gt;&lt;D xsi:type="xsd:double"&gt;19.2127107723208&lt;/D&gt;&lt;D xsi:type="xsd:double"&gt;18.9663272579949&lt;/D&gt;&lt;D xsi:type="xsd:double"&gt;19.4335231977298&lt;/D&gt;&lt;D xsi:type="xsd:double"&gt;18.9743206857565&lt;/D&gt;&lt;D xsi:type="xsd:double"&gt;18.5669575232&lt;/D&gt;&lt;D xsi:type="xsd:double"&gt;18.6278411812444&lt;/D&gt;&lt;D xsi:type="xsd:double"&gt;19.4490717206687&lt;/D&gt;&lt;D xsi:type="xsd:double"&gt;17.9189257790085&lt;/D&gt;&lt;D xsi:type="xsd:double"&gt;17.7409631456778&lt;/D&gt;&lt;D xsi:type="xsd:double"&gt;19.2278772606658&lt;/D&gt;&lt;D xsi:type="xsd:double"&gt;19.2939004632&lt;/D&gt;&lt;D xsi:type="xsd:double"&gt;19.1502833795436&lt;/D&gt;&lt;D xsi:type="xsd:double"&gt;19.1898183341761&lt;/D&gt;&lt;D xsi:type="xsd:double"&gt;16.4742803311719&lt;/D&gt;&lt;D xsi:type="xsd:double"&gt;15.1006759750516&lt;/D&gt;&lt;D xsi:type="xsd:double"&gt;16.3282259225362&lt;/D&gt;&lt;D xsi:type="xsd:double"&gt;16.3316257019694&lt;/D&gt;&lt;D xsi:type="xsd:double"&gt;15.0234971910622&lt;/D&gt;&lt;D xsi:type="xsd:double"&gt;15.6122793118007&lt;/D&gt;&lt;D xsi:type="xsd:double"&gt;14.7399837542409&lt;/D&gt;&lt;D xsi:type="xsd:double"&gt;14.0077731710369&lt;/D&gt;&lt;D xsi:type="xsd:double"&gt;14.9286319728689&lt;/D&gt;&lt;D xsi:type="xsd:double"&gt;14.4698910406822&lt;/D&gt;&lt;D xsi:type="xsd:double"&gt;15.1774171342992&lt;/D&gt;&lt;D xsi:type="xsd:double"&gt;16.3773079314916&lt;/D&gt;&lt;D xsi:type="xsd:double"&gt;16.6152748238794&lt;/D&gt;&lt;D xsi:type="xsd:double"&gt;17.0697031834099&lt;/D&gt;&lt;D xsi:type="xsd:double"&gt;17.5216609685429&lt;/D&gt;&lt;D xsi:type="xsd:double"&gt;17.0330472911154&lt;/D&gt;&lt;D xsi:type="xsd:double"&gt;16.1538736317739&lt;/D&gt;&lt;D xsi:type="xsd:double"&gt;15.0076003749703&lt;/D&gt;&lt;D xsi:type="xsd:double"&gt;16.4372359492378&lt;/D&gt;&lt;D xsi:type="xsd:double"&gt;17.5420115744877&lt;/D&gt;&lt;D xsi:type="xsd:double"&gt;18.5276659381218&lt;/D&gt;&lt;D xsi:type="xsd:double"&gt;19.1669593776327&lt;/D&gt;&lt;D xsi:type="xsd:double"&gt;18.6862218081134&lt;/D&gt;&lt;D xsi:type="xsd:double"&gt;17.7376755650188&lt;/D&gt;&lt;D xsi:type="xsd:double"&gt;17.0151851720894&lt;/D&gt;&lt;/FQL&gt;&lt;FQL&gt;&lt;Q&gt;ECH^FMA_PE(NTMA,-10AY,0,AM,"PORTAGG","MEANR")&lt;/Q&gt;&lt;R&gt;121&lt;/R&gt;&lt;C&gt;1&lt;/C&gt;&lt;D xsi:type="xsd:double"&gt;14.3249461796585&lt;/D&gt;&lt;D xsi:type="xsd:double"&gt;14.2036099375559&lt;/D&gt;&lt;D xsi:type="xsd:double"&gt;14.8110593663598&lt;/D&gt;&lt;D xsi:type="xsd:double"&gt;14.5466350863203&lt;/D&gt;&lt;D xsi:type="xsd:double"&gt;14.4957788741695&lt;/D&gt;&lt;D xsi:type="xsd:double"&gt;13.7842585426378&lt;/D&gt;&lt;D xsi:type="xsd:double"&gt;14.5908873043192&lt;/D&gt;&lt;D xsi:type="xsd:double"&gt;13.4558181355175&lt;/D&gt;&lt;D xsi:type="xsd:double"&gt;13.2738075514802&lt;/D&gt;&lt;D xsi:type="xsd:double"&gt;13.6423737328051&lt;/D&gt;&lt;D xsi:type="xsd:double"&gt;13.2311062481717&lt;/D&gt;&lt;D xsi:type="xsd:double"&gt;14.1722692990026&lt;/D&gt;&lt;D xsi:type="xsd:double"&gt;14.1446935567215&lt;/D&gt;&lt;D xsi:type="xsd:double"&gt;13.6174164720322&lt;/D&gt;&lt;D xsi:type="xsd:double"&gt;12.7131613381491&lt;/D&gt;&lt;D xsi:type="xsd:double"&gt;12.3743633761235&lt;/D&gt;&lt;D xsi:type="xsd:double"&gt;12.2940307610498&lt;/D&gt;&lt;D xsi:type="xsd:double"&gt;13.1940138887261&lt;/D&gt;&lt;D xsi:type="xsd:double"&gt;13.6657984477562&lt;/D&gt;&lt;D xsi:type="xsd:double"&gt;12.384752598105&lt;/D&gt;&lt;D xsi:type="xsd:double"&gt;11.8829064250098&lt;/D&gt;&lt;D xsi:type="xsd:double"&gt;12.3483566930332&lt;/D&gt;&lt;D xsi:type="xsd:double"&gt;13.2940465220958&lt;/D&gt;&lt;D xsi:type="xsd:double"&gt;13.9920010561685&lt;/D&gt;&lt;D xsi:type="xsd:double"&gt;13.5499709815583&lt;/D&gt;&lt;D xsi:type="xsd:double"&gt;13.9611115267508&lt;/D&gt;&lt;D xsi:type="xsd:double"&gt;15.338091911385&lt;/D&gt;&lt;D xsi:type="xsd:double"&gt;15.7726276078987&lt;/D&gt;&lt;D xsi:type="xsd:double"&gt;15.5116204297239&lt;/D&gt;&lt;D xsi:type="xsd:double"&gt;16.5138015584891&lt;/D&gt;&lt;D xsi:type="xsd:double"&gt;15.9587940531175&lt;/D&gt;&lt;D xsi:type="xsd:double"&gt;15.1261973034365&lt;/D&gt;&lt;D xsi:type="xsd:double"&gt;15.5877217081874&lt;/D&gt;&lt;D xsi:type="xsd:double"&gt;16.0908570306358&lt;/D&gt;&lt;D xsi:type="xsd:double"&gt;16.7247000539528&lt;/D&gt;&lt;D xsi:type="xsd:double"&gt;17.2112005603662&lt;/D&gt;&lt;D xsi:type="xsd:double"&gt;17.3230276119289&lt;/D&gt;&lt;D xsi:type="xsd:double"&gt;16.8964252656811&lt;/D&gt;&lt;D xsi:type="xsd:double"&gt;17.6197418401352&lt;/D&gt;&lt;D xsi:type="xsd:double"&gt;18.3426972654359&lt;/D&gt;&lt;D xsi:type="xsd:double"&gt;19.2297814896548&lt;/D&gt;&lt;D xsi:type="xsd:double"&gt;15.5779641191581&lt;/D&gt;&lt;D xsi:type="xsd:double"&gt;13.2188163156869&lt;/D&gt;&lt;D xsi:type="xsd:double"&gt;14.1504896658329&lt;/D&gt;&lt;D xsi:type="xsd:double"&gt;14.6116790388981&lt;/D&gt;&lt;D xsi:type="xsd:double"&gt;14.4354563247336&lt;/D&gt;&lt;D xsi:type="xsd:double"&gt;13.7384469313867&lt;/D&gt;&lt;D xsi:type="xsd:double"&gt;13.9706686544304&lt;/D&gt;&lt;D xsi:type="xsd:double"&gt;13.2523798944451&lt;/D&gt;&lt;D xsi:type="xsd:double"&gt;11.832110666049&lt;/D&gt;&lt;D xsi:type="xsd:double"&gt;11.9709122821921&lt;/D&gt;&lt;D xsi:type="xsd:double"&gt;12.1845258493898&lt;/D&gt;&lt;D xsi:type="xsd:double"&gt;12.3871962326784&lt;/D&gt;&lt;D xsi:type="xsd:double"&gt;14.9904298529314&lt;/D&gt;&lt;D xsi:type="xsd:double"&gt;15.0427777446014&lt;/D&gt;&lt;D xsi:type="xsd:double"&gt;14.3532456964642&lt;/D&gt;&lt;D xsi:type="xsd:double"&gt;15.666110800503&lt;/D&gt;&lt;D xsi:type="xsd:double"&gt;16.0736755207221&lt;/D&gt;&lt;D xsi:type="xsd:double"&gt;15.031028125265&lt;/D&gt;&lt;D xsi:type="xsd:double"&gt;14.8251959003329&lt;/D&gt;&lt;D xsi:type="xsd:double"&gt;13.929208163758&lt;/D&gt;&lt;D xsi:type="xsd:double"&gt;14.8759476294889&lt;/D&gt;&lt;D xsi:type="xsd:double"&gt;15.064578264585&lt;/D&gt;&lt;D xsi:type="xsd:double"&gt;13.664451693224&lt;/D&gt;&lt;D xsi:type="xsd:double"&gt;15.1614252525888&lt;/D&gt;&lt;D xsi:type="xsd:double"&gt;14.7829376482673&lt;/D&gt;&lt;D xsi:type="xsd:double"&gt;13.9233150321331&lt;/D&gt;&lt;D xsi:type="xsd:double"&gt;13.4771123982304&lt;/D&gt;&lt;D xsi:type="xsd:double"&gt;13.3016086208919&lt;/D&gt;&lt;D xsi:type="xsd:double"&gt;12.7709428698098&lt;/D&gt;&lt;D xsi:type="xsd:double"&gt;8.20062074561479&lt;/D&gt;&lt;D xsi:type="xsd:double"&gt;10.895955099249&lt;/D&gt;&lt;D xsi:type="xsd:double"&gt;13.111974970329&lt;/D&gt;&lt;D xsi:type="xsd:double"&gt;14.8296657921751&lt;/D&gt;&lt;D xsi:type="xsd:double"&gt;14.8904086711243&lt;/D&gt;&lt;D xsi:type="xsd:double"&gt;16.0030431767279&lt;/D&gt;&lt;D xsi:type="xsd:double"&gt;13.5228237725386&lt;/D&gt;&lt;D xsi:type="xsd:double"&gt;14.3589443948598&lt;/D&gt;&lt;D xsi:type="xsd:double"&gt;14.9382516240907&lt;/D&gt;&lt;D xsi:type="xsd:double"&gt;13.8422967964831&lt;/D&gt;&lt;D xsi:type="xsd:double"&gt;14.5751315099429&lt;/D&gt;&lt;D xsi:type="xsd:double"&gt;14.156991177061&lt;/D&gt;&lt;D xsi:type="xsd:double"&gt;14.4144306234347&lt;/D&gt;&lt;D xsi:type="xsd:double"&gt;13.774036690175&lt;/D&gt;&lt;D xsi:type="xsd:double"&gt;11.1238951261258&lt;/D&gt;&lt;D xsi:type="xsd:double"&gt;11.3532926748849&lt;/D&gt;&lt;D xsi:type="xsd:double"&gt;10.3669155891899&lt;/D&gt;&lt;D xsi:type="xsd:double"&gt;10.1219401154475&lt;/D&gt;&lt;D xsi:type="xsd:double"&gt;10.193759069182&lt;/D&gt;&lt;D xsi:type="xsd:double"&gt;9.14784640923301&lt;/D&gt;&lt;D xsi:type="xsd:double"&gt;10.0222446451239&lt;/D&gt;&lt;D xsi:type="xsd:double"&gt;9.24915287811912&lt;/D&gt;&lt;D xsi:type="xsd:double"&gt;10.0366549931362&lt;/D&gt;&lt;D xsi:type="xsd:double"&gt;9.61410579044741&lt;/D&gt;&lt;D xsi:type="xsd:double"&gt;9.69700848235391&lt;/D&gt;&lt;D xsi:type="xsd:double"&gt;9.23856514876003&lt;/D&gt;&lt;D xsi:type="xsd:double"&gt;8.90872822770694&lt;/D&gt;&lt;D xsi:type="xsd:double"&gt;6.40004213336378&lt;/D&gt;&lt;D xsi:type="xsd:double"&gt;6.60785795859538&lt;/D&gt;&lt;D xsi:type="xsd:double"&gt;6.63866317751164&lt;/D&gt;&lt;D xsi:type="xsd:double"&gt;7.26392145447857&lt;/D&gt;&lt;D xsi:type="xsd:double"&gt;7.22755218485243&lt;/D&gt;&lt;D xsi:type="xsd:double"&gt;7.00682216895&lt;/D&gt;&lt;D xsi:type="xsd:double"&gt;7.31350080068101&lt;/D&gt;&lt;D xsi:type="xsd:double"&gt;7.70782389969321&lt;/D&gt;&lt;D xsi:type="xsd:double"&gt;7.86781437013838&lt;/D&gt;&lt;D xsi:type="xsd:double"&gt;7.33737586868773&lt;/D&gt;&lt;D xsi:type="xsd:double"&gt;7.55344981183497&lt;/D&gt;&lt;D xsi:type="xsd:double"&gt;8.45609128088369&lt;/D&gt;&lt;D xsi:type="xsd:double"&gt;8.41068015182613&lt;/D&gt;&lt;D xsi:type="xsd:double"&gt;9.29075020388639&lt;/D&gt;&lt;D xsi:type="xsd:double"&gt;9.22915460502626&lt;/D&gt;&lt;D xsi:type="xsd:double"&gt;8.47415627009687&lt;/D&gt;&lt;D xsi:type="xsd:double"&gt;8.27748163628151&lt;/D&gt;&lt;D xsi:type="xsd:double"&gt;8.89192815203747&lt;/D&gt;&lt;D xsi:type="xsd:double"&gt;8.11003160664805&lt;/D&gt;&lt;D xsi:type="xsd:double"&gt;7.9809876069272&lt;/D&gt;&lt;D xsi:type="xsd:double"&gt;7.27824484207567&lt;/D&gt;&lt;D xsi:type="xsd:double"&gt;8.14016516031754&lt;/D&gt;&lt;D xsi:type="xsd:double"&gt;7.86700137159638&lt;/D&gt;&lt;D xsi:type="xsd:double"&gt;7.91739437820043&lt;/D&gt;&lt;/FQL&gt;&lt;FQL&gt;&lt;Q&gt;PLATI-FDS^FG_PRICE(0)/MAX(FG_PRICE(0,-1AY))&lt;/Q&gt;&lt;R&gt;1&lt;/R&gt;&lt;C&gt;1&lt;/C&gt;&lt;D xsi:type="xsd:double"&gt;0.97294776119403&lt;/D&gt;&lt;/FQL&gt;&lt;FQL&gt;&lt;Q&gt;W-FDS^FG_PRICE_MAVG(0,,,,30)&lt;/Q&gt;&lt;R&gt;1&lt;/R&gt;&lt;C&gt;1&lt;/C&gt;&lt;D xsi:type="xsd:double"&gt;6.1364164&lt;/D&gt;&lt;/FQL&gt;&lt;FQL&gt;&lt;Q&gt;TIOS-FDS^FG_PRICE(0)/MAX(FG_PRICE(0,-1AY))&lt;/Q&gt;&lt;R&gt;1&lt;/R&gt;&lt;C&gt;1&lt;/C&gt;&lt;D xsi:type="xsd:double"&gt;0.815274694783574&lt;/D&gt;&lt;/FQL&gt;&lt;FQL&gt;&lt;Q&gt;FC0000IN^FG_PRICE(0)&lt;/Q&gt;&lt;R&gt;1&lt;/R&gt;&lt;C&gt;1&lt;/C&gt;&lt;D xsi:type="xsd:double"&gt;1366.9381&lt;/D&gt;&lt;/FQL&gt;&lt;FQL&gt;&lt;Q&gt;FC0000PH^FG_PRICE(0)&lt;/Q&gt;&lt;R&gt;1&lt;/R&gt;&lt;C&gt;1&lt;/C&gt;&lt;D xsi:type="xsd:double"&gt;313.99185&lt;/D&gt;&lt;/FQL&gt;&lt;FQL&gt;&lt;Q&gt;EWT^PERCENT_CHANGE(FMA_EPS(+1,0,,,,"PORTAGG","MEAN"),FMA_EPS(+1,-3AM,,,,"PORTAGG","MEAN"))&lt;/Q&gt;&lt;R&gt;1&lt;/R&gt;&lt;C&gt;1&lt;/C&gt;&lt;D xsi:type="xsd:double"&gt;-1.8906077236172&lt;/D&gt;&lt;/FQL&gt;&lt;FQL&gt;&lt;Q&gt;EPHE^FG_TOTAL_RETURNC(0,-1AM)&lt;/Q&gt;&lt;R&gt;1&lt;/R&gt;&lt;C&gt;1&lt;/C&gt;&lt;D xsi:type="xsd:double"&gt;0.79239607&lt;/D&gt;&lt;/FQL&gt;&lt;FQL&gt;&lt;Q&gt;EWJ^P_PRICE(0)/P_PRICE_LOW_PR(0,,,,,,"PRICE","INTRA","52W")-1&lt;/Q&gt;&lt;R&gt;1&lt;/R&gt;&lt;C&gt;1&lt;/C&gt;&lt;D xsi:type="xsd:double"&gt;0.18391609&lt;/D&gt;&lt;/FQL&gt;&lt;FQL&gt;&lt;Q&gt;EWJ^FMA_COS_DOWN("EPS","1M",+1,NOW,,,"PORTAGG","MEANR")&lt;/Q&gt;&lt;R&gt;1&lt;/R&gt;&lt;C&gt;1&lt;/C&gt;&lt;D xsi:type="xsd:double"&gt;84&lt;/D&gt;&lt;/FQL&gt;&lt;FQL&gt;&lt;Q&gt;GREK^SIZE(FG_CONSTITUENTS)&lt;/Q&gt;&lt;R&gt;1&lt;/R&gt;&lt;C&gt;1&lt;/C&gt;&lt;D xsi:type="xsd:long"&gt;30&lt;/D&gt;&lt;/FQL&gt;&lt;FQL&gt;&lt;Q&gt;EWM^SIZE(FG_CONSTITUENTS)&lt;/Q&gt;&lt;R&gt;1&lt;/R&gt;&lt;C&gt;1&lt;/C&gt;&lt;D xsi:type="xsd:long"&gt;34&lt;/D&gt;&lt;/FQL&gt;&lt;FQL&gt;&lt;Q&gt;EPU^FMA_RBICS_REV_CURRENT(30, LOC, "PORTAGG")&lt;/Q&gt;&lt;R&gt;1&lt;/R&gt;&lt;C&gt;1&lt;/C&gt;&lt;D xsi:type="xsd:double"&gt;24.3073936173843&lt;/D&gt;&lt;/FQL&gt;&lt;FQL&gt;&lt;Q&gt;REFINREPO-FDS^FG_YIELD(NOW,,,0)&lt;/Q&gt;&lt;R&gt;1&lt;/R&gt;&lt;C&gt;1&lt;/C&gt;&lt;D xsi:type="xsd:double"&gt;6.5&lt;/D&gt;&lt;/FQL&gt;&lt;FQL&gt;&lt;Q&gt;REFTWDISC-FDS^(SUBARRAY(NOT_NA(NO_REPEAT_F(FG_YIELD(NOW,-10AY,D))),0,1)-SUBARRAY(NOT_NA(NO_REPEAT_F(FG_YIELD(NOW,-10AY,D))),1,1))*100&lt;/Q&gt;&lt;R&gt;1&lt;/R&gt;&lt;C&gt;1&lt;/C&gt;&lt;D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TRYQA10Y-FDS^PCTCHG(FG_YIELD(0,,,,"YTM"),FG_YIELD(-3AM,,,,"YTM"))&lt;/Q&gt;&lt;R&gt;0&lt;/R&gt;&lt;C&gt;0&lt;/C&gt;&lt;/FQL&gt;&lt;FQL&gt;&lt;Q&gt;TRYTW10Y-FDS^PCTCHG(FG_YIELD(0,,,,"YTM"),FG_YIELD(-1AM,,,,"YTM"))&lt;/Q&gt;&lt;R&gt;1&lt;/R&gt;&lt;C&gt;1&lt;/C&gt;&lt;D xsi:type="xsd:double"&gt;-4.076736&lt;/D&gt;&lt;/FQL&gt;&lt;FQL&gt;&lt;Q&gt;TRYPH10Y-FDS^FG_YIELD_NAME&lt;/Q&gt;&lt;R&gt;1&lt;/R&gt;&lt;C&gt;1&lt;/C&gt;&lt;D xsi:type="xsd:string"&gt;Philippines Benchmark Bond - 10 Year&lt;/D&gt;&lt;/FQL&gt;&lt;FQL&gt;&lt;Q&gt;TUR^FMA_PE(LTM,0,,,"PORTAGG","MEANR")&lt;/Q&gt;&lt;R&gt;1&lt;/R&gt;&lt;C&gt;1&lt;/C&gt;&lt;D xsi:type="xsd:double"&gt;8.52096736334147&lt;/D&gt;&lt;/FQL&gt;&lt;FQL&gt;&lt;Q&gt;GREK^FMA_PE(NTMA,0,,,"PORTAGG","MEANR")&lt;/Q&gt;&lt;R&gt;1&lt;/R&gt;&lt;C&gt;1&lt;/C&gt;&lt;D xsi:type="xsd:double"&gt;7.36628405726902&lt;/D&gt;&lt;/FQL&gt;&lt;FQL&gt;&lt;Q&gt;EWY^FMA_EVAL_EBIT(LTMA,NOW,NOW,M,"PORTAGG","MEANR")&lt;/Q&gt;&lt;R&gt;1&lt;/R&gt;&lt;C&gt;1&lt;/C&gt;&lt;D xsi:type="xsd:double"&gt;19.050011437065&lt;/D&gt;&lt;/FQL&gt;&lt;FQL&gt;&lt;Q&gt;EIDO^FG_FCF_YIELD_NTM(0)&lt;/Q&gt;&lt;R&gt;0&lt;/R&gt;&lt;C&gt;0&lt;/C&gt;&lt;/FQL&gt;&lt;FQL&gt;&lt;Q&gt;CNYA^FMA_PE(LTM,0,,,"PORTAGG","MEANR")&lt;/Q&gt;&lt;R&gt;1&lt;/R&gt;&lt;C&gt;1&lt;/C&gt;&lt;D xsi:type="xsd:double"&gt;15.5841100199138&lt;/D&gt;&lt;/FQL&gt;&lt;FQL&gt;&lt;Q&gt;VNM^FG_TOTAL_RETURNC(0,-1AM)&lt;/Q&gt;&lt;R&gt;1&lt;/R&gt;&lt;C&gt;1&lt;/C&gt;&lt;D xsi:type="xsd:double"&gt;6.910908&lt;/D&gt;&lt;/FQL&gt;&lt;FQL&gt;&lt;Q&gt;EWM^FMA_COS_UP("EPS","1M",+1,NOW,,,"PORTAGG","MEANR")&lt;/Q&gt;&lt;R&gt;1&lt;/R&gt;&lt;C&gt;1&lt;/C&gt;&lt;D xsi:type="xsd:double"&gt;9&lt;/D&gt;&lt;/FQL&gt;&lt;FQL&gt;&lt;Q&gt;TRYZA10Y-FDS^FG_YIELD_NAME&lt;/Q&gt;&lt;R&gt;1&lt;/R&gt;&lt;C&gt;1&lt;/C&gt;&lt;D xsi:type="xsd:string"&gt;South Africa Benchmark Bond - 10 Year&lt;/D&gt;&lt;/FQL&gt;&lt;FQL&gt;&lt;Q&gt;TRYVN10Y-FDS^FG_YIELD(0,,,,"YTM")&lt;/Q&gt;&lt;R&gt;1&lt;/R&gt;&lt;C&gt;1&lt;/C&gt;&lt;D xsi:type="xsd:double"&gt;2.870478&lt;/D&gt;&lt;/FQL&gt;&lt;FQL&gt;&lt;Q&gt;VGK^FMA_EVAL_EBIT(LTMA,NOW,NOW,M,"PORTAGG","MEANR")&lt;/Q&gt;&lt;R&gt;1&lt;/R&gt;&lt;C&gt;1&lt;/C&gt;&lt;D xsi:type="xsd:double"&gt;13.2614541152763&lt;/D&gt;&lt;/FQL&gt;&lt;FQL&gt;&lt;Q&gt;TUR^JULIAN(FMA_DIV_YLD(NTMA,NOW,NOW,M,"PORTAGG","MEANR").DATES)&lt;/Q&gt;&lt;R&gt;1&lt;/R&gt;&lt;C&gt;1&lt;/C&gt;&lt;D xsi:type="xsd:long"&gt;45412&lt;/D&gt;&lt;/FQL&gt;&lt;FQL&gt;&lt;Q&gt;MCHI^FG_FCF_YIELD_NTM(0)&lt;/Q&gt;&lt;R&gt;1&lt;/R&gt;&lt;C&gt;1&lt;/C&gt;&lt;D xsi:type="xsd:double"&gt;6.4229974108691&lt;/D&gt;&lt;/FQL&gt;&lt;FQL&gt;&lt;Q&gt;GREK^FMA_PE(LTM,0,,,"PORTAGG","MEANR")&lt;/Q&gt;&lt;R&gt;1&lt;/R&gt;&lt;C&gt;1&lt;/C&gt;&lt;D xsi:type="xsd:double"&gt;7.68651798426192&lt;/D&gt;&lt;/FQL&gt;&lt;FQL&gt;&lt;Q&gt;EWT^FMA_PE(NTMA,0,,,"PORTAGG","MEANR")&lt;/Q&gt;&lt;R&gt;1&lt;/R&gt;&lt;C&gt;1&lt;/C&gt;&lt;D xsi:type="xsd:double"&gt;17.7415311832713&lt;/D&gt;&lt;/FQL&gt;&lt;FQL&gt;&lt;Q&gt;EWY^FG_FCF_YIELD_NTM(0)&lt;/Q&gt;&lt;R&gt;1&lt;/R&gt;&lt;C&gt;1&lt;/C&gt;&lt;D xsi:type="xsd:double"&gt;4.96635878039809&lt;/D&gt;&lt;/FQL&gt;&lt;FQL&gt;&lt;Q&gt;EWT^FMA_PE(LTM,0,,,"PORTAGG","MEANR")&lt;/Q&gt;&lt;R&gt;1&lt;/R&gt;&lt;C&gt;1&lt;/C&gt;&lt;D xsi:type="xsd:double"&gt;21.6516259477395&lt;/D&gt;&lt;/FQL&gt;&lt;FQL&gt;&lt;Q&gt;EZA^FMA_ROE(NTMA,-20AY,NOW,FY,"PORTAGG","MEANR")&lt;/Q&gt;&lt;R&gt;20&lt;/R&gt;&lt;C&gt;1&lt;/C&gt;&lt;D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xsi:type="xsd:double"&gt;13.6163542503008&lt;/D&gt;&lt;D xsi:type="xsd:double"&gt;16.7115371927188&lt;/D&gt;&lt;D xsi:type="xsd:double"&gt;16.932589581546&lt;/D&gt;&lt;D xsi:type="xsd:double"&gt;16.8118349535848&lt;/D&gt;&lt;D xsi:type="xsd:double"&gt;14.5722752976358&lt;/D&gt;&lt;/FQL&gt;&lt;FQL&gt;&lt;Q&gt;TRY10Y-FDS^FG_YIELD(-10AY,0,Y,,"YTM")&lt;/Q&gt;&lt;R&gt;10&lt;/R&gt;&lt;C&gt;1&lt;/C&gt;&lt;D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xsi:type="xsd:string"&gt;@NA&lt;/D&gt;&lt;/FQL&gt;&lt;FQL&gt;&lt;Q&gt;CAGDPY@TR^EE_ACTUAL_ANNUAL(MED,+1)&lt;/Q&gt;&lt;R&gt;1&lt;/R&gt;&lt;C&gt;1&lt;/C&gt;&lt;D xsi:type="xsd:double"&gt;-2.6&lt;/D&gt;&lt;/FQL&gt;&lt;FQL&gt;&lt;Q&gt;USDTHB^STD(FG_PRICE_CHANGE(0,-3AY,M))&lt;/Q&gt;&lt;R&gt;1&lt;/R&gt;&lt;C&gt;1&lt;/C&gt;&lt;D xsi:type="xsd:double"&gt;2.99071471703012&lt;/D&gt;&lt;/FQL&gt;&lt;FQL&gt;&lt;Q&gt;USDCNH^FG_PRICE_CHANGE(0,-1AM)&lt;/Q&gt;&lt;R&gt;1&lt;/R&gt;&lt;C&gt;1&lt;/C&gt;&lt;D xsi:type="xsd:double"&gt;-0.024789572&lt;/D&gt;&lt;/FQL&gt;&lt;FQL&gt;&lt;Q&gt;USDMXN^STD(FG_PRICE_CHANGE(0,-3AY,M))&lt;/Q&gt;&lt;R&gt;1&lt;/R&gt;&lt;C&gt;1&lt;/C&gt;&lt;D xsi:type="xsd:double"&gt;2.33291578486215&lt;/D&gt;&lt;/FQL&gt;&lt;FQL&gt;&lt;Q&gt;USDCLP^FG_PRICE_CHANGE(0,-3AM)&lt;/Q&gt;&lt;R&gt;1&lt;/R&gt;&lt;C&gt;1&lt;/C&gt;&lt;D xsi:type="xsd:double"&gt;-7.7110586&lt;/D&gt;&lt;/FQL&gt;&lt;FQL&gt;&lt;Q&gt;SET-BKK^FG_TOTAL_RETURNC(-10AY,0,AM)&lt;/Q&gt;&lt;R&gt;121&lt;/R&gt;&lt;C&gt;1&lt;/C&gt;&lt;D xsi:type="xsd:double"&gt;-1.8652678&lt;/D&gt;&lt;D xsi:type="xsd:double"&gt;5.144465&lt;/D&gt;&lt;D xsi:type="xsd:double"&gt;4.960859&lt;/D&gt;&lt;D xsi:type="xsd:double"&gt;0.9996295&lt;/D&gt;&lt;D xsi:type="xsd:double"&gt;2.1297812&lt;/D&gt;&lt;D xsi:type="xsd:double"&gt;-3.6103964&lt;/D&gt;&lt;D xsi:type="xsd:double"&gt;3.0325174&lt;/D&gt;&lt;D xsi:type="xsd:double"&gt;-3.0414104&lt;/D&gt;&lt;D xsi:type="xsd:double"&gt;4.3861866&lt;/D&gt;&lt;D xsi:type="xsd:double"&gt;-0.27778745&lt;/D&gt;&lt;D xsi:type="xsd:double"&gt;-4.635203&lt;/D&gt;&lt;D xsi:type="xsd:double"&gt;1.6335368&lt;/D&gt;&lt;D xsi:type="xsd:double"&gt;-1.358068&lt;/D&gt;&lt;D xsi:type="xsd:double"&gt;-1.3538003&lt;/D&gt;&lt;D xsi:type="xsd:double"&gt;-3.8962722&lt;/D&gt;&lt;D xsi:type="xsd:double"&gt;-5.471879&lt;/D&gt;&lt;D xsi:type="xsd:double"&gt;0.70005655&lt;/D&gt;&lt;D xsi:type="xsd:double"&gt;2.9792666&lt;/D&gt;&lt;D xsi:type="xsd:double"&gt;-1.547873&lt;/D&gt;&lt;D xsi:type="xsd:double"&gt;-8.586878&lt;/D&gt;&lt;D xsi:type="xsd:double"&gt;-0.5076468&lt;/D&gt;&lt;D xsi:type="xsd:double"&gt;4.5550942&lt;/D&gt;&lt;D xsi:type="xsd:double"&gt;6.514609&lt;/D&gt;&lt;D xsi:type="xsd:double"&gt;-0.09559393&lt;/D&gt;&lt;D xsi:type="xsd:double"&gt;-2.064073&lt;/D&gt;&lt;D xsi:type="xsd:double"&gt;3.9596438&lt;/D&gt;&lt;D xsi:type="xsd:double"&gt;5.063355&lt;/D&gt;&lt;D xsi:type="xsd:double"&gt;2.0495296&lt;/D&gt;&lt;D xsi:type="xsd:double"&gt;-3.0635178&lt;/D&gt;&lt;D xsi:type="xsd:double"&gt;0.50171614&lt;/D&gt;&lt;D xsi:type="xsd:double"&gt;-0.26726723&lt;/D&gt;&lt;D xsi:type="xsd:double"&gt;0.9102106&lt;/D&gt;&lt;D xsi:type="xsd:double"&gt;4.0272117&lt;/D&gt;&lt;D xsi:type="xsd:double"&gt;-0.2209127&lt;/D&gt;&lt;D xsi:type="xsd:double"&gt;0.08932352&lt;/D&gt;&lt;D xsi:type="xsd:double"&gt;0.0828743&lt;/D&gt;&lt;D xsi:type="xsd:double"&gt;-0.33949018&lt;/D&gt;&lt;D xsi:type="xsd:double"&gt;1.1293054&lt;/D&gt;&lt;D xsi:type="xsd:double"&gt;-0.55928826&lt;/D&gt;&lt;D xsi:type="xsd:double"&gt;-0.008261204&lt;/D&gt;&lt;D xsi:type="xsd:double"&gt;5.4449677&lt;/D&gt;&lt;D xsi:type="xsd:double"&gt;2.0210266&lt;/D&gt;&lt;D xsi:type="xsd:double"&gt;0.87441206&lt;/D&gt;&lt;D xsi:type="xsd:double"&gt;2.0323515&lt;/D&gt;&lt;D xsi:type="xsd:double"&gt;5.149019&lt;/D&gt;&lt;D xsi:type="xsd:double"&gt;-1.2949109&lt;/D&gt;&lt;D xsi:type="xsd:double"&gt;-0.766021&lt;/D&gt;&lt;D xsi:type="xsd:double"&gt;-0.2268374&lt;/D&gt;&lt;D xsi:type="xsd:double"&gt;-2.041185&lt;/D&gt;&lt;D xsi:type="xsd:double"&gt;-6.76437&lt;/D&gt;&lt;D xsi:type="xsd:double"&gt;2.493608&lt;/D&gt;&lt;D xsi:type="xsd:double"&gt;1.7335534&lt;/D&gt;&lt;D xsi:type="xsd:double"&gt;3.0103207&lt;/D&gt;&lt;D xsi:type="xsd:double"&gt;-5.555427&lt;/D&gt;&lt;D xsi:type="xsd:double"&gt;-2.1982968&lt;/D&gt;&lt;D xsi:type="xsd:double"&gt;-1.6503334&lt;/D&gt;&lt;D xsi:type="xsd:double"&gt;1.3821602&lt;/D&gt;&lt;D xsi:type="xsd:double"&gt;2.5856614&lt;/D&gt;&lt;D xsi:type="xsd:double"&gt;-0.77807903&lt;/D&gt;&lt;D xsi:type="xsd:double"&gt;1.5197873&lt;/D&gt;&lt;D xsi:type="xsd:double"&gt;-3.6809444&lt;/D&gt;&lt;D xsi:type="xsd:double"&gt;6.6685677&lt;/D&gt;&lt;D xsi:type="xsd:double"&gt;0.45017004&lt;/D&gt;&lt;D xsi:type="xsd:double"&gt;-4.5330944&lt;/D&gt;&lt;D xsi:type="xsd:double"&gt;-1.4508009&lt;/D&gt;&lt;D xsi:type="xsd:double"&gt;0.5342603&lt;/D&gt;&lt;D xsi:type="xsd:double"&gt;-2.0680845&lt;/D&gt;&lt;D xsi:type="xsd:double"&gt;-1.5115321&lt;/D&gt;&lt;D xsi:type="xsd:double"&gt;0.008261204&lt;/D&gt;&lt;D xsi:type="xsd:double"&gt;-4.9952326&lt;/D&gt;&lt;D xsi:type="xsd:double"&gt;-31.478374&lt;/D&gt;&lt;D xsi:type="xsd:double"&gt;24.214722&lt;/D&gt;&lt;D xsi:type="xsd:double"&gt;2.4706602&lt;/D&gt;&lt;D xsi:type="xsd:double"&gt;4.023111&lt;/D&gt;&lt;D xsi:type="xsd:double"&gt;0.23738146&lt;/D&gt;&lt;D xsi:type="xsd:double"&gt;-4.441583&lt;/D&gt;&lt;D xsi:type="xsd:double"&gt;-2.7130842&lt;/D&gt;&lt;D xsi:type="xsd:double"&gt;-3.9873123&lt;/D&gt;&lt;D xsi:type="xsd:double"&gt;17.04172&lt;/D&gt;&lt;D xsi:type="xsd:double"&gt;-0.31047463&lt;/D&gt;&lt;D xsi:type="xsd:double"&gt;5.780995&lt;/D&gt;&lt;D xsi:type="xsd:double"&gt;0.18225908&lt;/D&gt;&lt;D xsi:type="xsd:double"&gt;4.240942&lt;/D&gt;&lt;D xsi:type="xsd:double"&gt;-0.6814778&lt;/D&gt;&lt;D xsi:type="xsd:double"&gt;-0.07402301&lt;/D&gt;&lt;D xsi:type="xsd:double"&gt;2.5534034&lt;/D&gt;&lt;D xsi:type="xsd:double"&gt;-2.950853&lt;/D&gt;&lt;D xsi:type="xsd:double"&gt;2.3927212&lt;/D&gt;&lt;D xsi:type="xsd:double"&gt;3.1022668&lt;/D&gt;&lt;D xsi:type="xsd:double"&gt;0.75223446&lt;/D&gt;&lt;D xsi:type="xsd:double"&gt;0.18254519&lt;/D&gt;&lt;D xsi:type="xsd:double"&gt;-0.30065775&lt;/D&gt;&lt;D xsi:type="xsd:double"&gt;0.685966&lt;/D&gt;&lt;D xsi:type="xsd:double"&gt;2.6453137&lt;/D&gt;&lt;D xsi:type="xsd:double"&gt;-1.0905147&lt;/D&gt;&lt;D xsi:type="xsd:double"&gt;0.7532954&lt;/D&gt;&lt;D xsi:type="xsd:double"&gt;-3.2716334&lt;/D&gt;&lt;D xsi:type="xsd:double"&gt;-4.74965&lt;/D&gt;&lt;D xsi:type="xsd:double"&gt;-0.3132999&lt;/D&gt;&lt;D xsi:type="xsd:double"&gt;5.2063107&lt;/D&gt;&lt;D xsi:type="xsd:double"&gt;-0.11386275&lt;/D&gt;&lt;D xsi:type="xsd:double"&gt;-2.4753153&lt;/D&gt;&lt;D xsi:type="xsd:double"&gt;2.0787835&lt;/D&gt;&lt;D xsi:type="xsd:double"&gt;-0.42169094&lt;/D&gt;&lt;D xsi:type="xsd:double"&gt;4.110539&lt;/D&gt;&lt;D xsi:type="xsd:double"&gt;-1.8746614&lt;/D&gt;&lt;D xsi:type="xsd:double"&gt;-3.5595179&lt;/D&gt;&lt;D xsi:type="xsd:double"&gt;-2.214414&lt;/D&gt;&lt;D xsi:type="xsd:double"&gt;-1.509279&lt;/D&gt;&lt;D xsi:type="xsd:double"&gt;-1.9102931&lt;/D&gt;&lt;D xsi:type="xsd:double"&gt;1.5761971&lt;/D&gt;&lt;D xsi:type="xsd:double"&gt;1.2921333&lt;/D&gt;&lt;D xsi:type="xsd:double"&gt;-1.7056108&lt;/D&gt;&lt;D xsi:type="xsd:double"&gt;-8.094102&lt;/D&gt;&lt;D xsi:type="xsd:double"&gt;0.51881075&lt;/D&gt;&lt;D xsi:type="xsd:double"&gt;-0.10806322&lt;/D&gt;&lt;D xsi:type="xsd:double"&gt;-3.4552872&lt;/D&gt;&lt;D xsi:type="xsd:double"&gt;3.0666232&lt;/D&gt;&lt;D xsi:type="xsd:double"&gt;-1.2230515&lt;/D&gt;&lt;D xsi:type="xsd:double"&gt;-1.7074168&lt;/D&gt;&lt;D xsi:type="xsd:double"&gt;0.764668&lt;/D&gt;&lt;/FQL&gt;&lt;FQL&gt;&lt;Q&gt;VNM^FMA_DIV_YLD(NTMA,-10AY,0,AM,"PORTAGG","MEANR")&lt;/Q&gt;&lt;R&gt;121&lt;/R&gt;&lt;C&gt;1&lt;/C&gt;&lt;D xsi:type="xsd:double"&gt;3.52111632947372&lt;/D&gt;&lt;D xsi:type="xsd:double"&gt;3.06067882310247&lt;/D&gt;&lt;D xsi:type="xsd:double"&gt;3.46826793947691&lt;/D&gt;&lt;D xsi:type="xsd:double"&gt;3.02402519907901&lt;/D&gt;&lt;D xsi:type="xsd:double"&gt;3.38843093842253&lt;/D&gt;&lt;D xsi:type="xsd:double"&gt;2.88615246113617&lt;/D&gt;&lt;D xsi:type="xsd:double"&gt;3.00114679860592&lt;/D&gt;&lt;D xsi:type="xsd:double"&gt;3.37407163139531&lt;/D&gt;&lt;D xsi:type="xsd:double"&gt;3.01278040437768&lt;/D&gt;&lt;D xsi:type="xsd:double"&gt;3.06790262185426&lt;/D&gt;&lt;D xsi:type="xsd:double"&gt;3.05229200942381&lt;/D&gt;&lt;D xsi:type="xsd:double"&gt;2.70241377174255&lt;/D&gt;&lt;D xsi:type="xsd:double"&gt;2.75007752245472&lt;/D&gt;&lt;D xsi:type="xsd:double"&gt;2.73111149723213&lt;/D&gt;&lt;D xsi:type="xsd:double"&gt;4.05528524703619&lt;/D&gt;&lt;D xsi:type="xsd:double"&gt;4.15037679148476&lt;/D&gt;&lt;D xsi:type="xsd:double"&gt;3.32021105054457&lt;/D&gt;&lt;D xsi:type="xsd:double"&gt;3.16492505452476&lt;/D&gt;&lt;D xsi:type="xsd:double"&gt;2.96038099971111&lt;/D&gt;&lt;D xsi:type="xsd:double"&gt;2.67326008077826&lt;/D&gt;&lt;D xsi:type="xsd:string"&gt;@NA&lt;</t>
        </r>
      </text>
    </comment>
    <comment ref="A7" authorId="0" shapeId="0" xr:uid="{ABFE8269-40AC-43A0-96B4-C4347CB9B35E}">
      <text>
        <r>
          <rPr>
            <b/>
            <sz val="9"/>
            <color indexed="81"/>
            <rFont val="Tahoma"/>
            <charset val="1"/>
          </rPr>
          <t>/D&gt;&lt;D xsi:type="xsd:string"&gt;@NA&lt;/D&gt;&lt;D xsi:type="xsd:double"&gt;2.8515474306723&lt;/D&gt;&lt;D xsi:type="xsd:double"&gt;3.07664152539453&lt;/D&gt;&lt;D xsi:type="xsd:double"&gt;3.24008302228254&lt;/D&gt;&lt;D xsi:type="xsd:double"&gt;3.27617039752385&lt;/D&gt;&lt;D xsi:type="xsd:double"&gt;3.22889971336934&lt;/D&gt;&lt;D xsi:type="xsd:double"&gt;3.04889178027562&lt;/D&gt;&lt;D xsi:type="xsd:double"&gt;2.69051408057385&lt;/D&gt;&lt;D xsi:type="xsd:double"&gt;2.59354555473262&lt;/D&gt;&lt;D xsi:type="xsd:string"&gt;@NA&lt;/D&gt;&lt;D xsi:type="xsd:double"&gt;2.87743597877897&lt;/D&gt;&lt;D xsi:type="xsd:double"&gt;2.87254690018589&lt;/D&gt;&lt;D xsi:type="xsd:double"&gt;3.13324444253004&lt;/D&gt;&lt;D xsi:type="xsd:double"&gt;2.67749240484214&lt;/D&gt;&lt;D xsi:type="xsd:double"&gt;2.66447516805403&lt;/D&gt;&lt;D xsi:type="xsd:double"&gt;2.39207632605235&lt;/D&gt;&lt;D xsi:type="xsd:double"&gt;1.89867576368111&lt;/D&gt;&lt;D xsi:type="xsd:double"&gt;1.55463628285472&lt;/D&gt;&lt;D xsi:type="xsd:double"&gt;1.76853005288129&lt;/D&gt;&lt;D xsi:type="xsd:double"&gt;1.72335697639089&lt;/D&gt;&lt;D xsi:type="xsd:double"&gt;1.84449839082455&lt;/D&gt;&lt;D xsi:type="xsd:double"&gt;2.0415595858927&lt;/D&gt;&lt;D xsi:type="xsd:double"&gt;1.63152493895532&lt;/D&gt;&lt;D xsi:type="xsd:double"&gt;1.49380039502379&lt;/D&gt;&lt;D xsi:type="xsd:double"&gt;1.71784839938632&lt;/D&gt;&lt;D xsi:type="xsd:double"&gt;1.75193383481599&lt;/D&gt;&lt;D xsi:type="xsd:double"&gt;1.95631656798827&lt;/D&gt;&lt;D xsi:type="xsd:double"&gt;1.79535593167479&lt;/D&gt;&lt;D xsi:type="xsd:double"&gt;1.61506082054109&lt;/D&gt;&lt;D xsi:type="xsd:double"&gt;1.66218528046833&lt;/D&gt;&lt;D xsi:type="xsd:double"&gt;1.64952742844002&lt;/D&gt;&lt;D xsi:type="xsd:double"&gt;1.74847812805453&lt;/D&gt;&lt;D xsi:type="xsd:double"&gt;1.74737633722024&lt;/D&gt;&lt;D xsi:type="xsd:double"&gt;1.79629018343445&lt;/D&gt;&lt;D xsi:type="xsd:double"&gt;1.60750070723921&lt;/D&gt;&lt;D xsi:type="xsd:double"&gt;1.80752021513934&lt;/D&gt;&lt;D xsi:type="xsd:double"&gt;1.53702985329563&lt;/D&gt;&lt;D xsi:type="xsd:double"&gt;1.5650744952596&lt;/D&gt;&lt;D xsi:type="xsd:double"&gt;1.60300700188232&lt;/D&gt;&lt;D xsi:type="xsd:double"&gt;1.5377633440959&lt;/D&gt;&lt;D xsi:type="xsd:double"&gt;1.63767757699863&lt;/D&gt;&lt;D xsi:type="xsd:double"&gt;1.75761886441574&lt;/D&gt;&lt;D xsi:type="xsd:double"&gt;1.91060029428943&lt;/D&gt;&lt;D xsi:type="xsd:double"&gt;1.7711820664749&lt;/D&gt;&lt;D xsi:type="xsd:double"&gt;1.81896789583557&lt;/D&gt;&lt;D xsi:type="xsd:double"&gt;1.5955030971088&lt;/D&gt;&lt;D xsi:type="xsd:double"&gt;1.51541100125383&lt;/D&gt;&lt;D xsi:type="xsd:double"&gt;1.49092287859282&lt;/D&gt;&lt;D xsi:type="xsd:double"&gt;1.58462278956184&lt;/D&gt;&lt;D xsi:type="xsd:double"&gt;2.17367934526165&lt;/D&gt;&lt;D xsi:type="xsd:double"&gt;1.75879116950566&lt;/D&gt;&lt;D xsi:type="xsd:double"&gt;1.35124513492926&lt;/D&gt;&lt;D xsi:type="xsd:double"&gt;1.33656517800072&lt;/D&gt;&lt;D xsi:type="xsd:double"&gt;1.36464367767428&lt;/D&gt;&lt;D xsi:type="xsd:double"&gt;1.39272573268816&lt;/D&gt;&lt;D xsi:type="xsd:double"&gt;1.31096094083914&lt;/D&gt;&lt;D xsi:type="xsd:double"&gt;1.32991524794756&lt;/D&gt;&lt;D xsi:type="xsd:double"&gt;1.32216596281607&lt;/D&gt;&lt;D xsi:type="xsd:double"&gt;1.22234562052679&lt;/D&gt;&lt;D xsi:type="xsd:double"&gt;1.17227691432291&lt;/D&gt;&lt;D xsi:type="xsd:double"&gt;1.18712875645575&lt;/D&gt;&lt;D xsi:type="xsd:double"&gt;1.24607241530414&lt;/D&gt;&lt;D xsi:type="xsd:double"&gt;1.12811010083247&lt;/D&gt;&lt;D xsi:type="xsd:double"&gt;1.20117743136288&lt;/D&gt;&lt;D xsi:type="xsd:double"&gt;1.37697971144643&lt;/D&gt;&lt;D xsi:type="xsd:double"&gt;1.43640568805332&lt;/D&gt;&lt;D xsi:type="xsd:double"&gt;1.45004430646178&lt;/D&gt;&lt;D xsi:type="xsd:double"&gt;1.42084180902635&lt;/D&gt;&lt;D xsi:type="xsd:double"&gt;1.42471943157331&lt;/D&gt;&lt;D xsi:type="xsd:double"&gt;1.4457027848858&lt;/D&gt;&lt;D xsi:type="xsd:double"&gt;1.5806209066301&lt;/D&gt;&lt;D xsi:type="xsd:double"&gt;1.58985197383122&lt;/D&gt;&lt;D xsi:type="xsd:double"&gt;1.7075545081244&lt;/D&gt;&lt;D xsi:type="xsd:double"&gt;1.5273720097093&lt;/D&gt;&lt;D xsi:type="xsd:double"&gt;1.69705203382263&lt;/D&gt;&lt;D xsi:type="xsd:double"&gt;1.88786878038691&lt;/D&gt;&lt;D xsi:type="xsd:double"&gt;1.97351277940639&lt;/D&gt;&lt;D xsi:type="xsd:double"&gt;1.93206108454091&lt;/D&gt;&lt;D xsi:type="xsd:double"&gt;1.94703438695417&lt;/D&gt;&lt;D xsi:type="xsd:double"&gt;2.18070351627788&lt;/D&gt;&lt;D xsi:type="xsd:double"&gt;2.56383155239615&lt;/D&gt;&lt;D xsi:type="xsd:double"&gt;2.64801256499705&lt;/D&gt;&lt;D xsi:type="xsd:double"&gt;2.70440806814341&lt;/D&gt;&lt;D xsi:type="xsd:double"&gt;2.63397402023011&lt;/D&gt;&lt;D xsi:type="xsd:double"&gt;2.56741182505226&lt;/D&gt;&lt;D xsi:type="xsd:double"&gt;2.59682423704075&lt;/D&gt;&lt;D xsi:type="xsd:double"&gt;2.52839832654585&lt;/D&gt;&lt;D xsi:type="xsd:double"&gt;2.5568465553681&lt;/D&gt;&lt;D xsi:type="xsd:double"&gt;2.53742821775054&lt;/D&gt;&lt;D xsi:type="xsd:double"&gt;2.6328931749366&lt;/D&gt;&lt;D xsi:type="xsd:double"&gt;2.53106604215447&lt;/D&gt;&lt;D xsi:type="xsd:double"&gt;2.70804723849745&lt;/D&gt;&lt;D xsi:type="xsd:double"&gt;3.14758490765407&lt;/D&gt;&lt;D xsi:type="xsd:double"&gt;2.77619165315514&lt;/D&gt;&lt;D xsi:type="xsd:double"&gt;2.89718748302675&lt;/D&gt;&lt;D xsi:type="xsd:double"&gt;2.74839786259332&lt;/D&gt;&lt;D xsi:type="xsd:double"&gt;2.85146138570522&lt;/D&gt;&lt;D xsi:type="xsd:double"&gt;2.24015643133171&lt;/D&gt;&lt;D xsi:type="xsd:double"&gt;2.46470197357692&lt;/D&gt;&lt;D xsi:type="xsd:double"&gt;1.9324748193032&lt;/D&gt;&lt;/FQL&gt;&lt;FQL&gt;&lt;Q&gt;EPHE^FMA_PE(LTMA,-10AY,0,AM,"PORTAGG","MEANR")&lt;/Q&gt;&lt;R&gt;121&lt;/R&gt;&lt;C&gt;1&lt;/C&gt;&lt;D xsi:type="xsd:double"&gt;19.3844581790283&lt;/D&gt;&lt;D xsi:type="xsd:double"&gt;19.1858891172336&lt;/D&gt;&lt;D xsi:type="xsd:double"&gt;19.2837642564261&lt;/D&gt;&lt;D xsi:type="xsd:double"&gt;19.6106367915888&lt;/D&gt;&lt;D xsi:type="xsd:double"&gt;19.9206109114313&lt;/D&gt;&lt;D xsi:type="xsd:double"&gt;19.4321162758837&lt;/D&gt;&lt;D xsi:type="xsd:double"&gt;20.1335356854793&lt;/D&gt;&lt;D xsi:type="xsd:double"&gt;19.8850430558012&lt;/D&gt;&lt;D xsi:type="xsd:double"&gt;20.6421582788831&lt;/D&gt;&lt;D xsi:type="xsd:double"&gt;21.1681975911951&lt;/D&gt;&lt;D xsi:type="xsd:double"&gt;20.9298103739008&lt;/D&gt;&lt;D xsi:type="xsd:double"&gt;20.7074031223296&lt;/D&gt;&lt;D xsi:type="xsd:double"&gt;20.5835188493055&lt;/D&gt;&lt;D xsi:type="xsd:double"&gt;20.110354896631&lt;/D&gt;&lt;D xsi:type="xsd:double"&gt;20.2726435147055&lt;/D&gt;&lt;D xsi:type="xsd:double"&gt;19.5460196106866&lt;/D&gt;&lt;D xsi:type="xsd:double"&gt;18.8459634611202&lt;/D&gt;&lt;D xsi:type="xsd:double"&gt;19.497000234091&lt;/D&gt;&lt;D xsi:type="xsd:double"&gt;18.4362806872831&lt;/D&gt;&lt;D xsi:type="xsd:double"&gt;18.3374975204112&lt;/D&gt;&lt;D xsi:type="xsd:double"&gt;16.1121528878161&lt;/D&gt;&lt;D xsi:type="xsd:double"&gt;17.1372915564794&lt;/D&gt;&lt;D xsi:type="xsd:double"&gt;16.9840443360564&lt;/D&gt;&lt;D xsi:type="xsd:double"&gt;16.8484916309123&lt;/D&gt;&lt;D xsi:type="xsd:double"&gt;16.8611896635023&lt;/D&gt;&lt;D xsi:type="xsd:double"&gt;17.5473163168141&lt;/D&gt;&lt;D xsi:type="xsd:double"&gt;18.0738623583198&lt;/D&gt;&lt;D xsi:type="xsd:double"&gt;18.52299492439&lt;/D&gt;&lt;D xsi:type="xsd:double"&gt;17.9901165440457&lt;/D&gt;&lt;D xsi:type="xsd:double"&gt;17.9598999406133&lt;/D&gt;&lt;D xsi:type="xsd:double"&gt;16.4800597532458&lt;/D&gt;&lt;D xsi:type="xsd:double"&gt;16.403163259374&lt;/D&gt;&lt;D xsi:type="xsd:double"&gt;18.4229608731132&lt;/D&gt;&lt;D xsi:type="xsd:double"&gt;18.1080835692611&lt;/D&gt;&lt;D xsi:type="xsd:double"&gt;17.8384964423157&lt;/D&gt;&lt;D xsi:type="xsd:double"&gt;17.9698949622681&lt;/D&gt;&lt;D xsi:type="xsd:double"&gt;18.0096193829905&lt;/D&gt;&lt;D xsi:type="xsd:double"&gt;18.0191097367459&lt;/D&gt;&lt;D xsi:type="xsd:double"&gt;17.9345692526595&lt;/D&gt;&lt;D xsi:type="xsd:double"&gt;18.1123105344856&lt;/D&gt;&lt;D xsi:type="xsd:double"&gt;18.7740031140115&lt;/D&gt;&lt;D xsi:type="xsd:double"&gt;19.4022672396539&lt;/D&gt;&lt;D xsi:type="xsd:double"&gt;19.1191075627715&lt;/D&gt;&lt;D xsi:type="xsd:double"&gt;19.5225778076981&lt;/D&gt;&lt;D xsi:type="xsd:double"&gt;20.5150631613265&lt;/D&gt;&lt;D xsi:type="xsd:double"&gt;19.3362649612877&lt;/D&gt;&lt;D xsi:type="xsd:double"&gt;19.0455867860272&lt;/D&gt;&lt;D xsi:type="xsd:double"&gt;18.6411841990859&lt;/D&gt;&lt;D xsi:type="xsd:double"&gt;18.4753883464987&lt;/D&gt;&lt;D xsi:type="xsd:double"&gt;17.7471091595072&lt;/D&gt;&lt;D xsi:type="xsd:double"&gt;17.6518746977751&lt;/D&gt;&lt;D xsi:type="xsd:double"&gt;17.9903998258394&lt;/D&gt;&lt;D xsi:type="xsd:double"&gt;16.6920862280179&lt;/D&gt;&lt;D xsi:type="xsd:double"&gt;16.2566191967539&lt;/D&gt;&lt;D xsi:type="xsd:double"&gt;16.1445547821624&lt;/D&gt;&lt;D xsi:type="xsd:double"&gt;16.762028038289&lt;/D&gt;&lt;D xsi:type="xsd:double"&gt;17.5395543051354&lt;/D&gt;&lt;D xsi:type="xsd:double"&gt;17.3868879813273&lt;/D&gt;&lt;D xsi:type="xsd:double"&gt;16.8253659801536&lt;/D&gt;&lt;D xsi:type="xsd:double"&gt;16.7040503793407&lt;/D&gt;&lt;D xsi:type="xsd:double"&gt;16.6211036137641&lt;/D&gt;&lt;D xsi:type="xsd:double"&gt;16.7642067436604&lt;/D&gt;&lt;D xsi:type="xsd:double"&gt;16.8563257333557&lt;/D&gt;&lt;D xsi:type="xsd:double"&gt;16.0735642774525&lt;/D&gt;&lt;D xsi:type="xsd:double"&gt;15.3386856609575&lt;/D&gt;&lt;D xsi:type="xsd:double"&gt;15.2472440639363&lt;/D&gt;&lt;D xsi:type="xsd:double"&gt;14.8345411763278&lt;/D&gt;&lt;D xsi:type="xsd:double"&gt;15.1922230683827&lt;/D&gt;&lt;D xsi:type="xsd:double"&gt;14.6454892837675&lt;/D&gt;&lt;D xsi:type="xsd:double"&gt;14.0204912896798&lt;/D&gt;&lt;D xsi:type="xsd:double"&gt;12.1711434051147&lt;/D&gt;&lt;D xsi:type="xsd:double"&gt;12.7500714624197&lt;/D&gt;&lt;D xsi:type="xsd:double"&gt;13.5886060050698&lt;/D&gt;&lt;D xsi:type="xsd:double"&gt;15.4029343713922&lt;/D&gt;&lt;D xsi:type="xsd:double"&gt;15.8363663086946&lt;/D&gt;&lt;D xsi:type="xsd:double"&gt;17.7181123922212&lt;/D&gt;&lt;D xsi:type="xsd:double"&gt;18.7110139521991&lt;/D&gt;&lt;D xsi:type="xsd:double"&gt;21.5155510059869&lt;/D&gt;&lt;D xsi:type="xsd:double"&gt;25.0431006401887&lt;/D&gt;&lt;D xsi:type="xsd:double"&gt;25.1064800674214&lt;/D&gt;&lt;D xsi:type="xsd:double"&gt;25.3019473461891&lt;/D&gt;&lt;D xsi:type="xsd:double"&gt;23.4114388452536&lt;/D&gt;&lt;D xsi:type="xsd:double"&gt;22.3262647263696&lt;/D&gt;&lt;D xsi:type="xsd:double"&gt;21.6248475826947&lt;/D&gt;&lt;D xsi:type="xsd:double"&gt;21.1039684411767&lt;/D&gt;&lt;D xsi:type="xsd:double"&gt;21.5673568639499&lt;/D&gt;&lt;D xsi:type="xsd:double"&gt;20.3772561984778&lt;/D&gt;&lt;D xsi:type="xsd:double"&gt;19.9520117664219&lt;/D&gt;&lt;D xsi:type="xsd:double"&gt;20.3498870651934&lt;/D&gt;&lt;D xsi:type="xsd:double"&gt;21.2985839992522&lt;/D&gt;&lt;D xsi:type="xsd:double"&gt;20.6187772343955&lt;/D&gt;&lt;D xsi:type="xsd:double"&gt;19.8831709641063&lt;/D&gt;&lt;D xsi:type="xsd:double"&gt;19.6492933566149&lt;/D&gt;&lt;D xsi:type="xsd:double"&gt;19.6029918611461&lt;/D&gt;&lt;D xsi:type="xsd:double"&gt;18.970157047632&lt;/D&gt;&lt;D xsi:type="xsd:double"&gt;18.504821710234&lt;/D&gt;&lt;D xsi:type="xsd:double"&gt;17.6662882390744&lt;/D&gt;&lt;D xsi:type="xsd:double"&gt;16.7609411038197&lt;/D&gt;&lt;D xsi:type="xsd:double"&gt;16.4782259763675&lt;/D&gt;&lt;D xsi:type="xsd:double"&gt;16.1671070032662&lt;/D&gt;&lt;D xsi:type="xsd:double"&gt;14.9988657686926&lt;/D&gt;&lt;D xsi:type="xsd:double"&gt;14.0504990948157&lt;/D&gt;&lt;D xsi:type="xsd:double"&gt;14.0191333577592&lt;/D&gt;&lt;D xsi:type="xsd:double"&gt;13.8012137514834&lt;/D&gt;&lt;D xsi:type="xsd:double"&gt;14.7323128738807&lt;/D&gt;&lt;D xsi:type="xsd:double"&gt;13.5866092964381&lt;/D&gt;&lt;D xsi:type="xsd:double"&gt;13.1247121136021&lt;/D&gt;&lt;D xsi:type="xsd:double"&gt;12.9769510267468&lt;/D&gt;&lt;D xsi:type="xsd:double"&gt;12.6612582790313&lt;/D&gt;&lt;D xsi:type="xsd:double"&gt;12.0076230192186&lt;/D&gt;&lt;D xsi:type="xsd:double"&gt;11.9912073841947&lt;/D&gt;&lt;D xsi:type="xsd:double"&gt;11.1232501625663&lt;/D&gt;&lt;D xsi:type="xsd:double"&gt;11.0880910914103&lt;/D&gt;&lt;D xsi:type="xsd:double"&gt;10.8199248741934&lt;/D&gt;&lt;D xsi:type="xsd:double"&gt;10.4855550400862&lt;/D&gt;&lt;D xsi:type="xsd:double"&gt;9.98818531374694&lt;/D&gt;&lt;D xsi:type="xsd:double"&gt;10.1128438588239&lt;/D&gt;&lt;D xsi:type="xsd:double"&gt;10.7137900716493&lt;/D&gt;&lt;D xsi:type="xsd:double"&gt;10.5479872980828&lt;/D&gt;&lt;D xsi:type="xsd:double"&gt;10.3282058495796&lt;/D&gt;&lt;D xsi:type="xsd:double"&gt;10.155240251716&lt;/D&gt;&lt;/FQL&gt;&lt;FQL&gt;&lt;Q&gt;WL-FDS^FG_PRICE_MAVG(0,,,,30)&lt;/Q&gt;&lt;R&gt;1&lt;/R&gt;&lt;C&gt;1&lt;/C&gt;&lt;D xsi:type="xsd:double"&gt;565.85&lt;/D&gt;&lt;/FQL&gt;&lt;FQL&gt;&lt;Q&gt;FC0000TW^FG_PRICE(0)&lt;/Q&gt;&lt;R&gt;1&lt;/R&gt;&lt;C&gt;1&lt;/C&gt;&lt;D xsi:type="xsd:double"&gt;361.29477&lt;/D&gt;&lt;/FQL&gt;&lt;FQL&gt;&lt;Q&gt;VNM^FG_PRICE_MAVG(0,,,,60)&lt;/Q&gt;&lt;R&gt;1&lt;/R&gt;&lt;C&gt;1&lt;/C&gt;&lt;D xsi:type="xsd:double"&gt;13.020917&lt;/D&gt;&lt;/FQL&gt;&lt;FQL&gt;&lt;Q&gt;MCHI^FG_PRICE_MAVG(0,,,,200)&lt;/Q&gt;&lt;R&gt;1&lt;/R&gt;&lt;C&gt;1&lt;/C&gt;&lt;D xsi:type="xsd:double"&gt;41.58795&lt;/D&gt;&lt;/FQL&gt;&lt;FQL&gt;&lt;Q&gt;EWZ^FG_PRICE_MAVG(0,,,,30)&lt;/Q&gt;&lt;R&gt;1&lt;/R&gt;&lt;C&gt;1&lt;/C&gt;&lt;D xsi:type="xsd:double"&gt;31.362&lt;/D&gt;&lt;/FQL&gt;&lt;FQL&gt;&lt;Q&gt;EPU^FG_PRICE_MAVG(0,,,,200)&lt;/Q&gt;&lt;R&gt;1&lt;/R&gt;&lt;C&gt;1&lt;/C&gt;&lt;D xsi:type="xsd:double"&gt;34.243446&lt;/D&gt;&lt;/FQL&gt;&lt;FQL&gt;&lt;Q&gt;TUR^FG_TOTAL_RETURNC(0,-1AM)&lt;/Q&gt;&lt;R&gt;1&lt;/R&gt;&lt;C&gt;1&lt;/C&gt;&lt;D xsi:type="xsd:double"&gt;13.531876&lt;/D&gt;&lt;/FQL&gt;&lt;FQL&gt;&lt;Q&gt;QAT^FG_TOTAL_RETURNC(0,-1AM)&lt;/Q&gt;&lt;R&gt;1&lt;/R&gt;&lt;C&gt;1&lt;/C&gt;&lt;D xsi:type="xsd:double"&gt;-2.305472&lt;/D&gt;&lt;/FQL&gt;&lt;FQL&gt;&lt;Q&gt;INDA^FG_TOTAL_RETURNC(0,-1AM)&lt;/Q&gt;&lt;R&gt;1&lt;/R&gt;&lt;C&gt;1&lt;/C&gt;&lt;D xsi:type="xsd:double"&gt;3.460884&lt;/D&gt;&lt;/FQL&gt;&lt;FQL&gt;&lt;Q&gt;EZA^FG_TOTAL_RETURNC(0,-1AM)&lt;/Q&gt;&lt;R&gt;1&lt;/R&gt;&lt;C&gt;1&lt;/C&gt;&lt;D xsi:type="xsd:double"&gt;9.42328&lt;/D&gt;&lt;/FQL&gt;&lt;FQL&gt;&lt;Q&gt;EWY^FG_TOTAL_RETURNC(0,-1AM)&lt;/Q&gt;&lt;R&gt;1&lt;/R&gt;&lt;C&gt;1&lt;/C&gt;&lt;D xsi:type="xsd:double"&gt;1.4129162&lt;/D&gt;&lt;/FQL&gt;&lt;FQL&gt;&lt;Q&gt;EPU^PERCENT_CHANGE(FMA_EPS(+1,0,,,,"PORTAGG","MEAN"),FMA_EPS(+1,-3AM,,,,"PORTAGG","MEAN"))&lt;/Q&gt;&lt;R&gt;1&lt;/R&gt;&lt;C&gt;1&lt;/C&gt;&lt;D xsi:type="xsd:double"&gt;0.143110421212125&lt;/D&gt;&lt;/FQL&gt;&lt;FQL&gt;&lt;Q&gt;ECH^FG_TOTAL_RETURNC(0,-1AM)&lt;/Q&gt;&lt;R&gt;1&lt;/R&gt;&lt;C&gt;1&lt;/C&gt;&lt;D xsi:type="xsd:double"&gt;9.220934&lt;/D&gt;&lt;/FQL&gt;&lt;FQL&gt;&lt;Q&gt;SPY^FMA_PCT_ABOVE_MAVG(200,0,,,,"PORTAGG")&lt;/Q&gt;&lt;R&gt;1&lt;/R&gt;&lt;C&gt;1&lt;/C&gt;&lt;D xsi:type="xsd:double"&gt;77.6447105788423&lt;/D&gt;&lt;/FQL&gt;&lt;FQL&gt;&lt;Q&gt;UAE^FMA_COS_DOWN("EPS","1M",+1,NOW,,,"PORTAGG","MEANR")&lt;/Q&gt;&lt;R&gt;1&lt;/R&gt;&lt;C&gt;1&lt;/C&gt;&lt;D xsi:type="xsd:double"&gt;5&lt;/D&gt;&lt;/FQL&gt;&lt;FQL&gt;&lt;Q&gt;CNYA^FMA_COS_DOWN("EPS","1M",+1,NOW,,,"PORTAGG","MEANR")&lt;/Q&gt;&lt;R&gt;1&lt;/R&gt;&lt;C&gt;1&lt;/C&gt;&lt;D xsi:type="xsd:double"&gt;293&lt;/D&gt;&lt;/FQL&gt;&lt;FQL&gt;&lt;Q&gt;REFVNDISC-FDS^PROPER_NAME(0,,,"SECURITY","NAME")&lt;/Q&gt;&lt;R&gt;1&lt;/R&gt;&lt;C&gt;1&lt;/C&gt;&lt;D xsi:type="xsd:string"&gt;Vietnam Discount Rate&lt;/D&gt;&lt;/FQL&gt;&lt;FQL&gt;&lt;Q&gt;GREK^FMA_COS_DOWN("EPS","1M",+1,NOW,,,"PORTAGG","MEANR")&lt;/Q&gt;&lt;R&gt;1&lt;/R&gt;&lt;C&gt;1&lt;/C&gt;&lt;D xsi:type="xsd:double"&gt;2&lt;/D&gt;&lt;/FQL&gt;&lt;FQL&gt;&lt;Q&gt;REFINREPO-FDS^PROPER_NAME(0,,,"SECURITY","NAME")&lt;/Q&gt;&lt;R&gt;1&lt;/R&gt;&lt;C&gt;1&lt;/C&gt;&lt;D xsi:type="xsd:string"&gt;India Repo Rate&lt;/D&gt;&lt;/FQL&gt;&lt;FQL&gt;&lt;Q&gt;TRYID10Y-FDS^FG_YIELD(0,,,,"YTM")&lt;/Q&gt;&lt;R&gt;1&lt;/R&gt;&lt;C&gt;1&lt;/C&gt;&lt;D xsi:type="xsd:double"&gt;6.833361&lt;/D&gt;&lt;/FQL&gt;&lt;FQL&gt;&lt;Q&gt;VNM^FMA_DIV_YLD(NTMA,NOW,NOW,M,"PORTAGG","MEANR")&lt;/Q&gt;&lt;R&gt;1&lt;/R&gt;&lt;C&gt;1&lt;/C&gt;&lt;D xsi:type="xsd:double"&gt;2.41516457277059&lt;/D&gt;&lt;/FQL&gt;&lt;FQL&gt;&lt;Q&gt;CC_MX^IMF_IFS_RCPI_Q(0)&lt;/Q&gt;&lt;R&gt;0&lt;/R&gt;&lt;C&gt;0&lt;/C&gt;&lt;/FQL&gt;&lt;FQL&gt;&lt;Q&gt;VNM^FMA_PE(NTMA,0,,,"PORTAGG","MEANR")&lt;/Q&gt;&lt;R&gt;1&lt;/R&gt;&lt;C&gt;1&lt;/C&gt;&lt;D xsi:type="xsd:double"&gt;16.1772971924727&lt;/D&gt;&lt;/FQL&gt;&lt;FQL&gt;&lt;Q&gt;GREK^JULIAN(FMA_DIV_YLD(NTMA,NOW,NOW,M,"PORTAGG","MEANR").DATES)&lt;/Q&gt;&lt;R&gt;1&lt;/R&gt;&lt;C&gt;1&lt;/C&gt;&lt;D xsi:type="xsd:long"&gt;45412&lt;/D&gt;&lt;/FQL&gt;&lt;FQL&gt;&lt;Q&gt;EPOL^FMA_EVAL_EBITDA(NTMA,0,,,"PORTAGG","MEANR")&lt;/Q&gt;&lt;R&gt;1&lt;/R&gt;&lt;C&gt;1&lt;/C&gt;&lt;D xsi:type="xsd:double"&gt;5.03992460094272&lt;/D&gt;&lt;/FQL&gt;&lt;FQL&gt;&lt;Q&gt;EIDO^FMA_PE(NTMA,0,,,"PORTAGG","MEANR")&lt;/Q&gt;&lt;R&gt;1&lt;/R&gt;&lt;C&gt;1&lt;/C&gt;&lt;D xsi:type="xsd:double"&gt;11.9398710714717&lt;/D&gt;&lt;/FQL&gt;&lt;FQL&gt;&lt;Q&gt;CC_US^IMF_IFS_RCPI_Q(0)&lt;/Q&gt;&lt;R&gt;1&lt;/R&gt;&lt;C&gt;1&lt;/C&gt;&lt;D xsi:type="xsd:double"&gt;3.209516&lt;/D&gt;&lt;/FQL&gt;&lt;FQL&gt;&lt;Q&gt;CAGDPY@PE^EE_ACTUAL_ANNUAL(MED,0)&lt;/Q&gt;&lt;R&gt;1&lt;/R&gt;&lt;C&gt;1&lt;/C&gt;&lt;D xsi:type="xsd:double"&gt;0.830176564820384&lt;/D&gt;&lt;/FQL&gt;&lt;FQL&gt;&lt;Q&gt;USDVND^STD(FG_PRICE_CHANGE(0,-1AY,AM))&lt;/Q&gt;&lt;R&gt;1&lt;/R&gt;&lt;C&gt;1&lt;/C&gt;&lt;D xsi:type="xsd:double"&gt;1.00561705727776&lt;/D&gt;&lt;/FQL&gt;&lt;FQL&gt;&lt;Q&gt;USDZAR^STD(FG_PRICE_CHANGE(0,-1AY,AM))&lt;/Q&gt;&lt;R&gt;1&lt;/R&gt;&lt;C&gt;1&lt;/C&gt;&lt;D xsi:type="xsd:double"&gt;2.91806513392025&lt;/D&gt;&lt;/FQL&gt;&lt;FQL&gt;&lt;Q&gt;USDMYR^FG_PRICE_CHANGE(0,-1AM)&lt;/Q&gt;&lt;R&gt;1&lt;/R&gt;&lt;C&gt;1&lt;/C&gt;&lt;D xsi:type="xsd:double"&gt;-1.5794992&lt;/D&gt;&lt;/FQL&gt;&lt;FQL&gt;&lt;Q&gt;USDPHP^STD(FG_PRICE_CHANGE(0,-3AY,M))&lt;/Q&gt;&lt;R&gt;1&lt;/R&gt;&lt;C&gt;1&lt;/C&gt;&lt;D xsi:type="xsd:double"&gt;1.79675386057915&lt;/D&gt;&lt;/FQL&gt;&lt;FQL&gt;&lt;Q&gt;FC0000BR^FMA_EPS(NTMA,-20AY,0,CY,,"PORTAGG","MEANR")&lt;/Q&gt;&lt;R&gt;20&lt;/R&gt;&lt;C&gt;1&lt;/C&gt;&lt;D xsi:type="xsd:double"&gt;15.9634949001004&lt;/D&gt;&lt;D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xsi:type="xsd:double"&gt;20.1300196376573&lt;/D&gt;&lt;D xsi:type="xsd:double"&gt;15.3188008139011&lt;/D&gt;&lt;D xsi:type="xsd:double"&gt;18.753940755244&lt;/D&gt;&lt;D xsi:type="xsd:double"&gt;21.2767394345033&lt;/D&gt;&lt;D xsi:type="xsd:double"&gt;24.3311095509281&lt;/D&gt;&lt;/FQL&gt;&lt;FQL&gt;&lt;Q&gt;INDA^P_PRICE_RETURNS_PR('52W',2,-10AY,0,AM)&lt;/Q&gt;&lt;R&gt;121&lt;/R&gt;&lt;C&gt;1&lt;/C&gt;&lt;D xsi:type="xsd:double"&gt;16.30863&lt;/D&gt;&lt;D xsi:type="xsd:double"&gt;29.676115&lt;/D&gt;&lt;D xsi:type="xsd:double"&gt;27.083445&lt;/D&gt;&lt;D xsi:type="xsd:double"&gt;51.714897&lt;/D&gt;&lt;D xsi:type="xsd:double"&gt;34.349728&lt;/D&gt;&lt;D xsi:type="xsd:double"&gt;26.469648&lt;/D&gt;&lt;D xsi:type="xsd:double"&gt;40.60122&lt;/D&gt;&lt;D xsi:type="xsd:double"&gt;22.424911&lt;/D&gt;&lt;D xsi:type="xsd:double"&gt;36.207794&lt;/D&gt;&lt;D xsi:type="xsd:double"&gt;36.704384&lt;/D&gt;&lt;D xsi:type="xsd:double"&gt;28.448475&lt;/D&gt;&lt;D xsi:type="xsd:double"&gt;18.53645&lt;/D&gt;&lt;D xsi:type="xsd:double"&gt;6.1849356&lt;/D&gt;&lt;D xsi:type="xsd:double"&gt;4.923165&lt;/D&gt;&lt;D xsi:type="xsd:double"&gt;2.058673&lt;/D&gt;&lt;D xsi:type="xsd:double"&gt;-6.845599&lt;/D&gt;&lt;D xsi:type="xsd:double"&gt;-9.813791&lt;/D&gt;&lt;D xsi:type="xsd:double"&gt;-1.1459231&lt;/D&gt;&lt;D xsi:type="xsd:double"&gt;-15.538388&lt;/D&gt;&lt;D xsi:type="xsd:double"&gt;-5.9559765&lt;/D&gt;&lt;D xsi:type="xsd:double"&gt;-22.917826&lt;/D&gt;&lt;D xsi:type="xsd:double"&gt;-25.219648&lt;/D&gt;&lt;D xsi:type="xsd:double"&gt;-16.055382&lt;/D&gt;&lt;D xsi:type="xsd:double"&gt;-12.528366&lt;/D&gt;&lt;D xsi:type="xsd:double"&gt;-14.622837&lt;/D&gt;&lt;D xsi:type="xsd:double"&gt;-6.8628907&lt;/D&gt;&lt;D xsi:type="xsd:double"&gt;-6.2185946&lt;/D&gt;&lt;D xsi:type="xsd:double"&gt;3.193307&lt;/D&gt;&lt;D xsi:type="xsd:double"&gt;9.923387&lt;/D&gt;&lt;D xsi:type="xsd:double"&gt;2.2873878&lt;/D&gt;&lt;D xsi:type="xsd:double"&gt;-3.393209&lt;/D&gt;&lt;D xsi:type="xsd:double"&gt;-4.6909037&lt;/D&gt;&lt;D xsi:type="xsd:double"&gt;9.964943&lt;/D&gt;&lt;D xsi:type="xsd:double"&gt;25.049995&lt;/D&gt;&lt;D xsi:type="xsd:double"&gt;17.344152&lt;/D&gt;&lt;D xsi:type="xsd:double"&gt;15.217579&lt;/D&gt;&lt;D xsi:type="xsd:double"&gt;21.812487&lt;/D&gt;&lt;D xsi:type="xsd:double"&gt;15.605831&lt;/D&gt;&lt;D xsi:type="xsd:double"&gt;18.767357&lt;/D&gt;&lt;D xsi:type="xsd:double"&gt;16.8041&lt;/D&gt;&lt;D xsi:type="xsd:double"&gt;11.71&lt;/D&gt;&lt;D xsi:type="xsd:double"&gt;17.318296&lt;/D&gt;&lt;D xsi:type="xsd:double"&gt;35.47003&lt;/D&gt;&lt;D xsi:type="xsd:double"&gt;39.12597&lt;/D&gt;&lt;D xsi:type="xsd:double"&gt;39.255585&lt;/D&gt;&lt;D xsi:type="xsd:double"&gt;19.699705&lt;/D&gt;&lt;D xsi:type="xsd:double"&gt;7.467234&lt;/D&gt;&lt;D xsi:type="xsd:double"&gt;11.800694&lt;/D&gt;&lt;D xsi:type="xsd:double"&gt;4.438412&lt;/D&gt;&lt;D xsi:type="xsd:double"&gt;5.208969&lt;/D&gt;&lt;D xsi:type="xsd:double"&gt;1.939106&lt;/D&gt;&lt;D xsi:type="xsd:double"&gt;5.5208445&lt;/D&gt;&lt;D xsi:type="xsd:double"&gt;-0.5591631&lt;/D&gt;&lt;D xsi:type="xsd:double"&gt;-13.104338&lt;/D&gt;&lt;D xsi:type="xsd:double"&gt;-7.650447&lt;/D&gt;&lt;D xsi:type="xsd:double"&gt;-7.479125&lt;/D&gt;&lt;D xsi:type="xsd:double"&gt;-13.628447&lt;/D&gt;&lt;D xsi:type="xsd:double"&gt;-5.0537705&lt;/D&gt;&lt;D xsi:type="xsd:double"&gt;5.131495&lt;/D&gt;&lt;D xsi:type="xsd:double"&gt;2.8256297&lt;/D&gt;&lt;D xsi:type="xsd:double"&gt;7.9974294&lt;/D&gt;&lt;D xsi:type="xsd:double"&gt;6.2095165&lt;/D&gt;&lt;D xsi:type="xsd:double"&gt;1.0739684&lt;/D&gt;&lt;D xsi:type="xsd:double"&gt;-8.889484&lt;/D&gt;&lt;D xsi:type="xsd:double"&gt;3.0644774&lt;/D&gt;&lt;D xsi:type="xsd:double"&gt;16.743301&lt;/D&gt;&lt;D xsi:type="xsd:double"&gt;7.98105&lt;/D&gt;&lt;D xsi:type="xsd:double"&gt;9.711826&lt;/D&gt;&lt;D xsi:type="xsd:double"&gt;9.942365&lt;/D&gt;&lt;D xsi:type="xsd:double"&gt;9.396542&lt;/D&gt;&lt;D xsi:type="xsd:double"&gt;-40.29227&lt;/D&gt;&lt;D xsi:type="xsd:double"&gt;-24.755526&lt;/D&gt;&lt;D xsi:type="xsd:double"&gt;-24.619167&lt;/D&gt;&lt;D xsi:type="xsd:double"&gt;-14.640432&lt;/D&gt;&lt;D xsi:type="xsd:double"&gt;-5.4355917&lt;/D&gt;&lt;D xsi:type="xsd:double"&gt;4.632497&lt;/D&gt;&lt;D xsi:type="xsd:double"&gt;-2.7680278&lt;/D&gt;&lt;D xsi:type="xsd:double"&gt;3.3468723&lt;/D&gt;&lt;D xsi:type="xsd:double"&gt;7.4361324&lt;/D&gt;&lt;D xsi:type="xsd:double"&gt;10.569429&lt;/D&gt;&lt;D xsi:type="xsd:double"&gt;16.922426&lt;/D&gt;&lt;D xsi:type="xsd:double"&gt;22.083103&lt;/D&gt;&lt;D xsi:type="xsd:double"&gt;106.97098&lt;/D&gt;&lt;D xsi:type="xsd:double"&gt;53.93025&lt;/D&gt;&lt;D xsi:type="xsd:double"&gt;65.045456&lt;/D&gt;&lt;D xsi:type="xsd:double"&gt;49.55213&lt;/D&gt;&lt;D xsi:type="xsd:double"&gt;39.542316&lt;/D&gt;&lt;D xsi:type="xsd:double"&gt;40.34735&lt;/D&gt;&lt;D xsi:type="xsd:double"&gt;52.39259&lt;/D&gt;&lt;D xsi:type="xsd:double"&gt;42.13221&lt;/D&gt;&lt;D xsi:type="xsd:double"&gt;34.73358&lt;/D&gt;&lt;D xsi:type="xsd:double"&gt;23.316933&lt;/D&gt;&lt;D xsi:type="xsd:double"&gt;17.156183&lt;/D&gt;&lt;D xsi:type="xsd:double"&gt;10.398256&lt;/D&gt;&lt;D xsi:type="xsd:double"&gt;9.850777&lt;/D&gt;&lt;D xsi:type="xsd:double"&gt;18.38311&lt;/D&gt;&lt;D xsi:type="xsd:double"&gt;2.0959496&lt;/D&gt;&lt;D xsi:type="xsd:double"&gt;-5.245042&lt;/D&gt;&lt;D xsi:type="xsd:double"&gt;-1.4562964&lt;/D&gt;&lt;D xsi:type="xsd:double"&gt;-0.87408423&lt;/D&gt;&lt;D xsi:type="xsd:double"&gt;-11.549532&lt;/D&gt;&lt;D xsi:type="xsd:double"&gt;-10.811817&lt;/D&gt;&lt;D xsi:type="xsd:double"&gt;-7.3423567&lt;/D&gt;&lt;D xsi:type="xsd:double"&gt;-8.609587&lt;/D&gt;&lt;D xsi:type="xsd:double"&gt;-7.444489&lt;/D&gt;&lt;D xsi:type="xsd:double"&gt;-10.189188&lt;/D&gt;&lt;D xsi:type="xsd:double"&gt;-11.131507&lt;/D&gt;&lt;D xsi:type="xsd:double"&gt;-10.782999&lt;/D&gt;&lt;D xsi:type="xsd:double"&gt;-0.3392279&lt;/D&gt;&lt;D xsi:type="xsd:double"&gt;8.358002&lt;/D&gt;&lt;D xsi:type="xsd:double"&gt;7.6384306&lt;/D&gt;&lt;D xsi:type="xsd:double"&gt;2.6039124&lt;/D&gt;&lt;D xsi:type="xsd:double"&gt;4.8814774&lt;/D&gt;&lt;D xsi:type="xsd:double"&gt;4.726839&lt;/D&gt;&lt;D xsi:type="xsd:double"&gt;5.583954&lt;/D&gt;&lt;D xsi:type="xsd:double"&gt;16.246355&lt;/D&gt;&lt;D xsi:type="xsd:double"&gt;14.70387&lt;/D&gt;&lt;D xsi:type="xsd:double"&gt;31.720757&lt;/D&gt;&lt;D xsi:type="xsd:double"&gt;31.288635&lt;/D&gt;&lt;D xsi:type="xsd:double"&gt;30.66293&lt;/D&gt;&lt;D xsi:type="xsd:double"&gt;31.07655&lt;/D&gt;&lt;/FQL&gt;&lt;FQL&gt;&lt;Q&gt;VNM^FMA_PE(NTMA,-10AY,0,AM,"PORTAGG","MEANR")&lt;/Q&gt;&lt;R&gt;121&lt;/R&gt;&lt;C&gt;1&lt;/C&gt;&lt;D xsi:type="xsd:double"&gt;11.8098963627937&lt;/D&gt;&lt;D xsi:type="xsd:double"&gt;12.574124657732&lt;/D&gt;&lt;D xsi:type="xsd:double"&gt;12.888181632505&lt;/D&gt;&lt;D xsi:type="xsd:double"&gt;12.9649703770607&lt;/D&gt;&lt;D xsi:type="xsd:double"&gt;12.0944014638676&lt;/D&gt;&lt;D xsi:type="xsd:double"&gt;11.984429934958&lt;/D&gt;&lt;D xsi:type="xsd:double"&gt;11.5335730043369&lt;/D&gt;&lt;D xsi:type="xsd:double"&gt;11.6240054019129&lt;/D&gt;&lt;D xsi:type="xsd:double"&gt;12.0503441251776&lt;/D&gt;&lt;D xsi:type="xsd:double"&gt;12.8226130813351&lt;/D&gt;&lt;D xsi:type="xsd:double"&gt;12.0004947505014&lt;/D&gt;&lt;D xsi:type="xsd:double"&gt;13.4157307926879&lt;/D&gt;&lt;D xsi:type="xsd:double"&gt;13.8495548039924&lt;/D&gt;&lt;D xsi:type="xsd:double"&gt;14.1248491780437&lt;/D&gt;&lt;D xsi:type="xsd:double"&gt;14.5104099593829&lt;/D&gt;&lt;D xsi:type="xsd:double"&gt;13.5592388839599&lt;/D&gt;&lt;D xsi:type="xsd:double"&gt;13.8434292008042&lt;/D&gt;&lt;D xsi:type="xsd:double"&gt;14.919623050274&lt;/D&gt;&lt;D xsi:type="xsd:double"&gt;14.3259307093289&lt;/D&gt;&lt;D xsi:type="xsd:double"&gt;11.7774976152523&lt;/D&gt;&lt;D xsi:type="xsd:double"&gt;12.0847418799816&lt;/D&gt;&lt;D xsi:type="xsd:double"&gt;13.8528715694997&lt;/D&gt;&lt;D xsi:type="xsd:double"&gt;12.3111904131416&lt;/D&gt;&lt;D xsi:type="xsd:double"&gt;12.9978381770614&lt;/D&gt;&lt;D xsi:type="xsd:double"&gt;12.6442539039444&lt;/D&gt;&lt;D xsi:type="xsd:double"&gt;12.6546437127966&lt;/D&gt;&lt;D xsi:type="xsd:double"&gt;12.2583771659017&lt;/D&gt;&lt;D xsi:type="xsd:double"&gt;11.6714503926448&lt;/D&gt;&lt;D xsi:type="xsd:double"&gt;13.4686657564069&lt;/D&gt;&lt;D xsi:type="xsd:double"&gt;13.1997318818125&lt;/D&gt;&lt;D xsi:type="xsd:double"&gt;12.9433286377742&lt;/D&gt;&lt;D xsi:type="xsd:double"&gt;12.4945231426711&lt;/D&gt;&lt;D xsi:type="xsd:double"&gt;12.3385044583367&lt;/D&gt;&lt;D xsi:type="xsd:double"&gt;13.3198557698702&lt;/D&gt;&lt;D xsi:type="xsd:double"&gt;14.3966473626668&lt;/D&gt;&lt;D xsi:type="xsd:double"&gt;14.1731562075898&lt;/D&gt;&lt;D xsi:type="xsd:double"&gt;14.518188483758&lt;/D&gt;&lt;D xsi:type="xsd:double"&gt;15.5812271329135&lt;/D&gt;&lt;D xsi:type="xsd:double"&gt;14.7291817188513&lt;/D&gt;&lt;D xsi:type="xsd:double"&gt;15.493653722597&lt;/D&gt;&lt;D xsi:type="xsd:double"&gt;15.2133731498363&lt;/D&gt;&lt;D xsi:type="xsd:double"&gt;16.2882149855965&lt;/D&gt;&lt;D xsi:type="xsd:double"&gt;17.7718875212747&lt;/D&gt;&lt;D xsi:type="xsd:double"&gt;18.6432857731538&lt;/D&gt;&lt;D xsi:type="xsd:double"&gt;21.2293385094743&lt;/D&gt;&lt;D xsi:type="xsd:double"&gt;20.6264051867422&lt;/D&gt;&lt;D xsi:type="xsd:double"&gt;21.2934798922284&lt;/D&gt;&lt;D xsi:type="xsd:double"&gt;20.7469265822355&lt;/D&gt;&lt;D xsi:type="xsd:double"&gt;19.3727768594215&lt;/D&gt;&lt;D xsi:type="xsd:double"&gt;17.5041945944176&lt;/D&gt;&lt;D xsi:type="xsd:double"&gt;17.2889435259695&lt;/D&gt;&lt;D xsi:type="xsd:double"&gt;17.8804861823852&lt;/D&gt;&lt;D xsi:type="xsd:double"&gt;17.2644641772868&lt;/D&gt;&lt;D xsi:type="xsd:double"&gt;14.9798612749593&lt;/D&gt;&lt;D xsi:type="xsd:double"&gt;15.3271180334577&lt;/D&gt;&lt;D xsi:type="xsd:double"&gt;14.8279778485004&lt;/D&gt;&lt;D xsi:type="xsd:double"&gt;15.1837658937588&lt;/D&gt;&lt;D xsi:type="xsd:double"&gt;16.8312019000439&lt;/D&gt;&lt;D xsi:type="xsd:double"&gt;17.4491133002201&lt;/D&gt;&lt;D xsi:type="xsd:double"&gt;17.8211889878324&lt;/D&gt;&lt;D xsi:type="xsd:double"&gt;17.6157904365472&lt;/D&gt;&lt;D xsi:type="xsd:double"&gt;16.7167541037118&lt;/D&gt;&lt;D xsi:type="xsd:double"&gt;15.8930854013483&lt;/D&gt;&lt;D xsi:type="xsd:double"&gt;14.3641125131239&lt;/D&gt;&lt;D xsi:type="xsd:double"&gt;13.5975764731582&lt;/D&gt;&lt;D xsi:type="xsd:double"&gt;14.3440475760245&lt;/D&gt;&lt;D xsi:type="xsd:double"&gt;14.5863784940619&lt;/D&gt;&lt;D xsi:type="xsd:double"&gt;14.2265555470703&lt;/D&gt;&lt;D xsi:type="xsd:double"&gt;14.171728312271&lt;/D&gt;&lt;D xsi:type="xsd:double"&gt;13.3177553011955&lt;/D&gt;&lt;D xsi:type="xsd:double"&gt;10.519893881121&lt;/D&gt;&lt;D xsi:type="xsd:double"&gt;14.0999319814277&lt;/D&gt;&lt;D xsi:type="xsd:double"&gt;15.0166721571069&lt;/D&gt;&lt;D xsi:type="xsd:double"&gt;14.7381255590711&lt;/D&gt;&lt;D xsi:type="xsd:double"&gt;14.9384971439058&lt;/D&gt;&lt;D xsi:type="xsd:double"&gt;14.4397639676513&lt;/D&gt;&lt;D xsi:type="xsd:double"&gt;15.5763621365964&lt;/D&gt;&lt;D xsi:type="xsd:double"&gt;15.6235126225309&lt;/D&gt;&lt;D xsi:type="xsd:double"&gt;15.5624772531948&lt;/D&gt;&lt;D xsi:type="xsd:double"&gt;16.7039558107898&lt;/D&gt;&lt;D xsi:type="xsd:double"&gt;17.2264533621091&lt;/D&gt;&lt;D xsi:type="xsd:double"&gt;17.1262371076263&lt;/D&gt;&lt;D xsi:type="xsd:double"&gt;16.5090042478771&lt;/D&gt;&lt;D xsi:type="xsd:double"&gt;16.9361737122449&lt;/D&gt;&lt;D xsi:type="xsd:double"&gt;16.748580631307&lt;/D&gt;&lt;D xsi:type="xsd:double"&gt;17.6446288958619&lt;/D&gt;&lt;D xsi:type="xsd:double"&gt;16.3881073265335&lt;/D&gt;&lt;D xsi:type="xsd:double"&gt;15.9596092528373&lt;/D&gt;&lt;D xsi:type="xsd:double"&gt;16.4785230712116&lt;/D&gt;&lt;D xsi:type="xsd:double"&gt;16.0868265862437&lt;/D&gt;&lt;D xsi:type="xsd:double"&gt;16.1447852042538&lt;/D&gt;&lt;D xsi:type="xsd:double"&gt;16.3321292355157&lt;/D&gt;&lt;D xsi:type="xsd:double"&gt;15.1320539793588&lt;/D&gt;&lt;D xsi:type="xsd:double"&gt;14.8679329137719&lt;/D&gt;&lt;D xsi:type="xsd:double"&gt;14.7803256229601&lt;/D&gt;&lt;D xsi:type="xsd:double"&gt;13.5037571216163&lt;/D&gt;&lt;D xsi:type="xsd:double"&gt;12.082307677475&lt;/D&gt;&lt;D xsi:type="xsd:double"&gt;11.0661229080485&lt;/D&gt;&lt;D xsi:type="xsd:double"&gt;10.8957267902458&lt;/D&gt;&lt;D xsi:type="xsd:double"&gt;11.438707025303&lt;/D&gt;&lt;D xsi:type="xsd:double"&gt;11.1746103526014&lt;/D&gt;&lt;D xsi:type="xsd:double"&gt;10.1735738041789&lt;/D&gt;&lt;D xsi:type="xsd:double"&gt;10.1914810897227&lt;/D&gt;&lt;D xsi:type="xsd:double"&gt;10.9978462706108&lt;/D&gt;&lt;D xsi:type="xsd:double"&gt;11.6858660890778&lt;/D&gt;&lt;D xsi:type="xsd:double"&gt;12.2699918032544&lt;/D&gt;&lt;D xsi:type="xsd:double"&gt;13.3955024551001&lt;/D&gt;&lt;D xsi:type="xsd:double"&gt;13.5330546388645&lt;/D&gt;&lt;D xsi:type="xsd:double"&gt;14.5419738557464&lt;/D&gt;&lt;D xsi:type="xsd:double"&gt;15.0694515944682&lt;/D&gt;&lt;D xsi:type="xsd:double"&gt;13.8223088344141&lt;/D&gt;&lt;D xsi:type="xsd:double"&gt;13.8499967399333&lt;/D&gt;&lt;D xsi:type="xsd:double"&gt;13.0974586887946&lt;/D&gt;&lt;D xsi:type="xsd:double"&gt;13.360337514977&lt;/D&gt;&lt;D xsi:type="xsd:double"&gt;14.3479882344463&lt;/D&gt;&lt;D xsi:type="xsd:double"&gt;14.1872295489432&lt;/D&gt;&lt;D xsi:type="xsd:double"&gt;14.5240379479483&lt;/D&gt;&lt;D xsi:type="xsd:double"&gt;16.0854075524592&lt;/D&gt;&lt;D xsi:type="xsd:double"&gt;16.9857729072703&lt;/D&gt;&lt;D xsi:type="xsd:double"&gt;14.6910699419663&lt;/D&gt;&lt;D xsi:type="xsd:double"&gt;16.1772971924727&lt;/D&gt;&lt;/FQL&gt;&lt;FQL&gt;&lt;Q&gt;CNYA^FMA_PE(NTMA,-10AY,0,AM,"PORTAGG","MEANR")&lt;/Q&gt;&lt;R&gt;121&lt;/R&gt;&lt;C&gt;1&lt;/C&gt;&lt;D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xsi:type="xsd:double"&gt;13.7169977661143&lt;/D&gt;&lt;D xsi:type="xsd:double"&gt;13.9103808993389&lt;/D&gt;&lt;D xsi:type="xsd:double"&gt;13.7008447315161&lt;/D&gt;&lt;D xsi:type="xsd:double"&gt;13.7772854516585&lt;/D&gt;&lt;D xsi:type="xsd:double"&gt;14.186451465136&lt;/D&gt;&lt;D xsi:type="xsd:double"&gt;13.1758423054076&lt;/D&gt;&lt;D xsi:type="xsd:double"&gt;13.1832214826605&lt;/D&gt;&lt;D xsi:type="xsd:double"&gt;13.2811620588632&lt;/D&gt;&lt;D xsi:type="xsd:double"&gt;13.2564957509113&lt;/D&gt;&lt;D xsi:type="xsd:double"&gt;13.4571613973094&lt;/D&gt;&lt;D xsi:type="xsd:double"&gt;13.2723869595487&lt;/D&gt;&lt;D xsi:type="xsd:double"&gt;14.1273246128051&lt;/D&gt;&lt;D xsi:type="xsd:double"&gt;14.2594601842633&lt;/D&gt;&lt;D xsi:type="xsd:double"&gt;14.0375738858983&lt;/D&gt;&lt;D xsi:type="xsd:double"&gt;14.2816923121047&lt;/D&gt;&lt;D xsi:type="xsd:double"&gt;14.3673776551605&lt;/D&gt;&lt;D xsi:type="xsd:double"&gt;14.9878480450439&lt;/D&gt;&lt;D xsi:type="xsd:double"&gt;13.9114585941172&lt;/D&gt;&lt;D xsi:type="xsd:double"&gt;14.6544556129732&lt;/D&gt;&lt;D xsi:type="xsd:double"&gt;13.4328443664306&lt;/D&gt;&lt;D xsi:type="xsd:double"&gt;12.6904136646096&lt;/D&gt;&lt;D xsi:type="xsd:double"&gt;12.2752036742279&lt;/D&gt;&lt;D xsi:type="xsd:double"&gt;11.8141871842035&lt;/D&gt;&lt;D xsi:type="xsd:double"&gt;11.2298367115943&lt;/D&gt;&lt;D xsi:type="xsd:double"&gt;10.7334515986383&lt;/D&gt;&lt;D xsi:type="xsd:double"&gt;9.98444957219935&lt;/D&gt;&lt;D xsi:type="xsd:double"&gt;10.5150330386154&lt;/D&gt;&lt;D xsi:type="xsd:double"&gt;9.72392030283391&lt;/D&gt;&lt;D xsi:type="xsd:double"&gt;9.67993682212364&lt;/D&gt;&lt;D xsi:type="xsd:double"&gt;9.47818862876911&lt;/D&gt;&lt;D xsi:type="xsd:double"&gt;9.87122898431685&lt;/D&gt;&lt;D xsi:type="xsd:double"&gt;10.9221795164751&lt;/D&gt;&lt;D xsi:type="xsd:double"&gt;11.6390891424807&lt;/D&gt;&lt;D xsi:type="xsd:double"&gt;12.1162807413254&lt;/D&gt;&lt;D xsi:type="xsd:double"&gt;10.7618919400161&lt;/D&gt;&lt;D xsi:type="xsd:double"&gt;11.8580685153787&lt;/D&gt;&lt;D xsi:type="xsd:double"&gt;11.5117719288659&lt;/D&gt;&lt;D xsi:type="xsd:double"&gt;11.6598093189807&lt;/D&gt;&lt;D xsi:type="xsd:double"&gt;11.7943754447812&lt;/D&gt;&lt;D xsi:type="xsd:double"&gt;11.5760741241691&lt;/D&gt;&lt;D xsi:type="xsd:double"&gt;11.3626148906248&lt;/D&gt;&lt;D xsi:type="xsd:double"&gt;12.3244854238837&lt;/D&gt;&lt;D xsi:type="xsd:double"&gt;12.4597025250239&lt;/D&gt;&lt;D xsi:type="xsd:double"&gt;13.0224881461749&lt;/D&gt;&lt;D xsi:type="xsd:double"&gt;11.1666785749332&lt;/D&gt;&lt;D xsi:type="xsd:double"&gt;12.5557303882646&lt;/D&gt;&lt;D xsi:type="xsd:double"&gt;12.8110870961882&lt;/D&gt;&lt;D xsi:type="xsd:double"&gt;14.1683651729575&lt;/D&gt;&lt;D xsi:type="xsd:double"&gt;16.1320780546998&lt;/D&gt;&lt;D xsi:type="xsd:double"&gt;16.009886424991&lt;/D&gt;&lt;D xsi:type="xsd:double"&gt;15.9369674748362&lt;/D&gt;&lt;D xsi:type="xsd:double"&gt;15.7426073170772&lt;/D&gt;&lt;D xsi:type="xsd:double"&gt;16.3806001898389&lt;/D&gt;&lt;D xsi:type="xsd:double"&gt;16.6121841239744&lt;/D&gt;&lt;D xsi:type="xsd:double"&gt;18.3836343946093&lt;/D&gt;&lt;D xsi:type="xsd:double"&gt;18.1071380904982&lt;/D&gt;&lt;D xsi:type="xsd:double"&gt;15.9428656783524&lt;/D&gt;&lt;D xsi:type="xsd:double"&gt;16.3068043853431&lt;/D&gt;&lt;D xsi:type="xsd:double"&gt;16.1327735953382&lt;/D&gt;&lt;D xsi:type="xsd:double"&gt;16.4813087316812&lt;/D&gt;&lt;D xsi:type="xsd:double"&gt;15.9954244582533&lt;/D&gt;&lt;D xsi:type="xsd:double"&gt;15.1230005759727&lt;/D&gt;&lt;D xsi:type="xsd:double"&gt;15.3082540509112&lt;/D&gt;&lt;D xsi:type="xsd:double"&gt;15.4037651662945&lt;/D&gt;&lt;D xsi:type="xsd:double"&gt;15.3518624741524&lt;/D&gt;&lt;D xsi:type="xsd:double"&gt;15.3595729744502&lt;/D&gt;&lt;D xsi:type="xsd:double"&gt;14.5567493449067&lt;/D&gt;&lt;D xsi:type="xsd:double"&gt;13.9169196919735&lt;/D&gt;&lt;D xsi:type="xsd:double"&gt;12.8671059085708&lt;/D&gt;&lt;D xsi:type="xsd:double"&gt;12.1046856923623&lt;/D&gt;&lt;D xsi:type="xsd:double"&gt;12.695707588324&lt;/D&gt;&lt;D xsi:type="xsd:double"&gt;13.3706495838338&lt;/D&gt;&lt;D xsi:type="xsd:double"&gt;13.0308594506859&lt;/D&gt;&lt;D xsi:type="xsd:double"&gt;12.7823535995275&lt;/D&gt;&lt;D xsi:type="xsd:double"&gt;11.798012354535&lt;/D&gt;&lt;D xsi:type="xsd:double"&gt;11.4103901213605&lt;/D&gt;&lt;D xsi:type="xsd:double"&gt;11.6757255748058&lt;/D&gt;&lt;D xsi:type="xsd:double"&gt;11.6196799056726&lt;/D&gt;&lt;D xsi:type="xsd:double"&gt;12.6515077892158&lt;/D&gt;&lt;D xsi:type="xsd:double"&gt;12.3698637566771&lt;/D&gt;&lt;D xsi:type="xsd:double"&gt;11.9917947456829&lt;/D&gt;&lt;D xsi:type="xsd:double"&gt;12.123192344839&lt;/D&gt;&lt;D xsi:type="xsd:double"&gt;11.8634670686152&lt;/D&gt;&lt;D xsi:type="xsd:double"&gt;11.8841833724897&lt;/D&gt;&lt;D xsi:type="xsd:double"&gt;11.6811161475572&lt;/D&gt;&lt;D xsi:type="xsd:double"&gt;11.4019133050275&lt;/D&gt;&lt;D xsi:type="xsd:double"&gt;11.7901959672232&lt;/D&gt;&lt;D xsi:type="xsd:double"&gt;10.8510988532263&lt;/D&gt;&lt;D xsi:type="xsd:double"&gt;11.5234458035746&lt;/D&gt;&lt;D xsi:type="xsd:double"&gt;11.1004037365162&lt;/D&gt;&lt;D xsi:type="xsd:double"&gt;10.5765189904071&lt;/D&gt;&lt;D xsi:type="xsd:double"&gt;11.4520274436066&lt;/D&gt;&lt;D xsi:type="xsd:double"&gt;11.7504503559846&lt;/D&gt;&lt;D xsi:type="xsd:double"&gt;12.1421728678807&lt;/D&gt;&lt;D xsi:type="xsd:double"&gt;13.0415360098746&lt;/D&gt;&lt;/FQL&gt;&lt;FQL&gt;&lt;Q&gt;PLATI-FDS^FG_PRICE_CHANGE(0,-3AM)&lt;/Q&gt;&lt;R&gt;1&lt;/R&gt;&lt;C&gt;1&lt;/C&gt;&lt;D xsi:type="xsd:double"&gt;14.7414741474147&lt;/D&gt;&lt;/FQL&gt;&lt;FQL&gt;&lt;Q&gt;W-FDS^FG_PRICE(0)&lt;/Q&gt;&lt;R&gt;1&lt;/R&gt;&lt;C&gt;1&lt;/C&gt;&lt;D xsi:type="xsd:double"&gt;6.98&lt;/D&gt;&lt;/FQL&gt;&lt;FQL&gt;&lt;Q&gt;EPU^FG_PRICE_MAVG(0,,,,60)&lt;/Q&gt;&lt;R&gt;1&lt;/R&gt;&lt;C&gt;1&lt;/C&gt;&lt;D xsi:type="xsd:double"&gt;39.982265&lt;/D&gt;&lt;/FQL&gt;&lt;FQL&gt;&lt;Q&gt;EWY^PERCENT_CHANGE(FMA_EPS(+1,0,,,,"PORTAGG","MEAN"),FMA_EPS(+1,-3AM,,,,"PORTAGG","MEAN"))&lt;/Q&gt;&lt;R&gt;1&lt;/R&gt;&lt;C&gt;1&lt;/C&gt;&lt;D xsi:type="xsd:double"&gt;1.2486775299426&lt;/D&gt;&lt;/FQL&gt;&lt;FQL&gt;&lt;Q&gt;EWT^PERCENT_CHANGE(FMA_EPS(+1,0,,,,"PORTAGG","MEAN"),FMA_EPS(+1,-1AM,,,,"PORTAGG","MEAN"))&lt;/Q&gt;&lt;R&gt;1&lt;/R&gt;&lt;C&gt;1&lt;/C&gt;&lt;D xsi:type="xsd:double"&gt;1.14693641667298&lt;/D&gt;&lt;/FQL&gt;&lt;FQL&gt;&lt;Q&gt;EPHE^PERCENT_CHANGE(FMA_EPS(+1,0,,,,"PORTAGG","MEAN"),FMA_EPS(+1,-3AM,,,,"PORTAGG","MEAN"))&lt;/Q&gt;&lt;R&gt;1&lt;/R&gt;&lt;C&gt;1&lt;/C&gt;&lt;D xsi:type="xsd:double"&gt;2.52210828113919&lt;/D&gt;&lt;/FQL&gt;&lt;FQL&gt;&lt;Q&gt;EWJ^P_PRICE(0)/P_PRICE_HIGH_PR(0,,,,,,"PRICE","INTRA","52W")&lt;/Q&gt;&lt;R&gt;1&lt;/R&gt;&lt;C&gt;1&lt;/C&gt;&lt;D xsi:type="xsd:double"&gt;0.9397072&lt;/D&gt;&lt;/FQL&gt;&lt;FQL&gt;&lt;Q&gt;EWJ^FMA_COS_UP("EPS","1M",+1,NOW,,,"PORTAGG","MEANR")&lt;/Q&gt;&lt;R&gt;1&lt;/R&gt;&lt;C&gt;1&lt;/C&gt;&lt;D xsi:type="xsd:double"&gt;122&lt;/D&gt;&lt;/FQL&gt;&lt;FQL&gt;&lt;Q&gt;EPOL^FMA_RBICS_REV_CURRENT(30, LOC, "PORTAGG")&lt;/Q&gt;&lt;R&gt;1&lt;/R&gt;&lt;C&gt;1&lt;/C&gt;&lt;D xsi:type="xsd:double"&gt;49.4297083760557&lt;/D&gt;&lt;/FQL&gt;&lt;FQL&gt;&lt;Q&gt;REFTWDISC-FDS^FG_YIELD(NOW,,,0)&lt;/Q&gt;&lt;R&gt;1&lt;/R&gt;&lt;C&gt;1&lt;/C&gt;&lt;D xsi:type="xsd:double"&gt;2&lt;/D&gt;&lt;/FQL&gt;&lt;FQL&gt;&lt;Q&gt;TRYQA10Y-FDS^PCTCHG(FG_YIELD(0,,,,"YTM"),FG_YIELD(-1AM,,,,"YTM"))&lt;/Q&gt;&lt;R&gt;0&lt;/R&gt;&lt;C&gt;0&lt;/C&gt;&lt;/FQL&gt;&lt;FQL&gt;&lt;Q&gt;TRYMY10Y-FDS^PCTCHG(FG_YIELD(0,,,,"YTM"),FG_YIELD(-3AM,,,,"YTM"))&lt;/Q&gt;&lt;R&gt;1&lt;/R&gt;&lt;C&gt;1&lt;/C&gt;&lt;D xsi:type="xsd:double"&gt;0.34202057&lt;/D&gt;&lt;/FQL&gt;&lt;FQL&gt;&lt;Q&gt;CC_KR^IMF_IFS_RCPI_Q(0)&lt;/Q&gt;&lt;R&gt;1&lt;/R&gt;&lt;C&gt;1&lt;/C&gt;&lt;D xsi:type="xsd:double"&gt;3.0037532&lt;/D&gt;&lt;/FQL&gt;&lt;FQL&gt;&lt;Q&gt;TRYJP10Y-FDS^FG_YIELD(-10AY,0,Y,,"YTM")&lt;/Q&gt;&lt;R&gt;10&lt;/R&gt;&lt;C&gt;1&lt;/C&gt;&lt;D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xsi:type="xsd:double"&gt;0.6127&lt;/D&gt;&lt;/FQL&gt;&lt;FQL&gt;&lt;Q&gt;CAGDPY@TR^EE_ACTUAL_ANNUAL(MED,0)&lt;/Q&gt;&lt;R&gt;1&lt;/R&gt;&lt;C&gt;1&lt;/C&gt;&lt;D xsi:type="xsd:double"&gt;-5.05351907961185&lt;/D&gt;&lt;/FQL&gt;&lt;FQL&gt;&lt;Q&gt;CC_BR^FG_COMPANY_NAME&lt;/Q&gt;&lt;R&gt;1&lt;/R&gt;&lt;C&gt;1&lt;/C&gt;&lt;D xsi:type="xsd:string"&gt;Brazil&lt;/D&gt;&lt;/FQL&gt;&lt;FQL&gt;&lt;Q&gt;USDTHB^STD(FG_PRICE_CHANGE(0,-1AY,AM))&lt;/Q&gt;&lt;R&gt;1&lt;/R&gt;&lt;C&gt;1&lt;/C&gt;&lt;D xsi:type="xsd:double"&gt;2.00950765607461&lt;/D&gt;&lt;/FQL&gt;&lt;FQL&gt;&lt;Q&gt;USDCNH^FG_PRICE_CHANGE(0,-1AY)&lt;/Q&gt;&lt;R&gt;1&lt;/R&gt;&lt;C&gt;1&lt;/C&gt;&lt;D xsi:type="xsd:double"&gt;2.7880788&lt;/D&gt;&lt;/FQL&gt;&lt;FQL&gt;&lt;Q&gt;USDMXN^STD(FG_PRICE_CHANGE(0,-1AY,AM))&lt;/Q&gt;&lt;R&gt;1&lt;/R&gt;&lt;C&gt;1&lt;/C&gt;&lt;D xsi:type="xsd:double"&gt;2.93990541238185&lt;/D&gt;&lt;/FQL&gt;&lt;FQL&gt;&lt;Q&gt;USDCLP^FG_PRICE_CHANGE(0,-1AM)&lt;/Q&gt;&lt;R&gt;1&lt;/R&gt;&lt;C&gt;1&lt;/C&gt;&lt;D xsi:type="xsd:double"&gt;-4.159218&lt;/D&gt;&lt;/FQL&gt;&lt;FQL&gt;&lt;Q&gt;QAT^FG_TOTAL_RETURNC(-10AY,0,AM)&lt;/Q&gt;&lt;R&gt;121&lt;/R&gt;&lt;C&gt;1&lt;/C&gt;&lt;D xsi:type="xsd:string"&gt;@NA&lt;/D&gt;&lt;D xsi:type="xsd:double"&gt;-5.783802&lt;/D&gt;&lt;D xsi:type="xsd:double"&gt;8.425056&lt;/D&gt;&lt;D xsi:type="xsd:double"&gt;3.201878&lt;/D&gt;&lt;D xsi:type="xsd:double"</t>
        </r>
      </text>
    </comment>
    <comment ref="A8" authorId="0" shapeId="0" xr:uid="{41E088E8-D575-4CE7-83A0-AF7D59218667}">
      <text>
        <r>
          <rPr>
            <b/>
            <sz val="9"/>
            <color indexed="81"/>
            <rFont val="Tahoma"/>
            <charset val="1"/>
          </rPr>
          <t>&gt;-0.56753755&lt;/D&gt;&lt;D xsi:type="xsd:double"&gt;-2.587521&lt;/D&gt;&lt;D xsi:type="xsd:double"&gt;3.867185&lt;/D&gt;&lt;D xsi:type="xsd:double"&gt;-11.395264&lt;/D&gt;&lt;D xsi:type="xsd:double"&gt;-3.2682478&lt;/D&gt;&lt;D xsi:type="xsd:double"&gt;6.1869264&lt;/D&gt;&lt;D xsi:type="xsd:double"&gt;-5.702579&lt;/D&gt;&lt;D xsi:type="xsd:double"&gt;5.322695&lt;/D&gt;&lt;D xsi:type="xsd:double"&gt;1.0747433&lt;/D&gt;&lt;D xsi:type="xsd:double"&gt;-3.4158826&lt;/D&gt;&lt;D xsi:type="xsd:double"&gt;-1.6578257&lt;/D&gt;&lt;D xsi:type="xsd:double"&gt;-8.069229&lt;/D&gt;&lt;D xsi:type="xsd:double"&gt;3.5696745&lt;/D&gt;&lt;D xsi:type="xsd:double"&gt;3.871572&lt;/D&gt;&lt;D xsi:type="xsd:double"&gt;-10.13636&lt;/D&gt;&lt;D xsi:type="xsd:double"&gt;-4.3500304&lt;/D&gt;&lt;D xsi:type="xsd:double"&gt;-13.694495&lt;/D&gt;&lt;D xsi:type="xsd:double"&gt;14.714897&lt;/D&gt;&lt;D xsi:type="xsd:double"&gt;5.61198&lt;/D&gt;&lt;D xsi:type="xsd:double"&gt;0.4048586&lt;/D&gt;&lt;D xsi:type="xsd:double"&gt;-7.4596763&lt;/D&gt;&lt;D xsi:type="xsd:double"&gt;2.6854396&lt;/D&gt;&lt;D xsi:type="xsd:double"&gt;5.2805185&lt;/D&gt;&lt;D xsi:type="xsd:double"&gt;7.21004&lt;/D&gt;&lt;D xsi:type="xsd:double"&gt;-6.067258&lt;/D&gt;&lt;D xsi:type="xsd:double"&gt;-0.025933981&lt;/D&gt;&lt;D xsi:type="xsd:double"&gt;-6.798136&lt;/D&gt;&lt;D xsi:type="xsd:double"&gt;6.7461133&lt;/D&gt;&lt;D xsi:type="xsd:double"&gt;4.9468994&lt;/D&gt;&lt;D xsi:type="xsd:double"&gt;0.6958246&lt;/D&gt;&lt;D xsi:type="xsd:double"&gt;-3.5537958&lt;/D&gt;&lt;D xsi:type="xsd:double"&gt;-0.12795329&lt;/D&gt;&lt;D xsi:type="xsd:double"&gt;-3.4588754&lt;/D&gt;&lt;D xsi:type="xsd:double"&gt;-10.651743&lt;/D&gt;&lt;D xsi:type="xsd:double"&gt;9.703339&lt;/D&gt;&lt;D xsi:type="xsd:double"&gt;-6.3661933&lt;/D&gt;&lt;D xsi:type="xsd:double"&gt;-5.3213&lt;/D&gt;&lt;D xsi:type="xsd:double"&gt;-4.5476494&lt;/D&gt;&lt;D xsi:type="xsd:double"&gt;-10.452736&lt;/D&gt;&lt;D xsi:type="xsd:double"&gt;20.526754&lt;/D&gt;&lt;D xsi:type="xsd:double"&gt;6.606412&lt;/D&gt;&lt;D xsi:type="xsd:double"&gt;-3.5345376&lt;/D&gt;&lt;D xsi:type="xsd:double"&gt;0.23934841&lt;/D&gt;&lt;D xsi:type="xsd:double"&gt;3.5308242&lt;/D&gt;&lt;D xsi:type="xsd:double"&gt;-2.543342&lt;/D&gt;&lt;D xsi:type="xsd:double"&gt;1.2418866&lt;/D&gt;&lt;D xsi:type="xsd:double"&gt;3.7354589&lt;/D&gt;&lt;D xsi:type="xsd:double"&gt;2.3022413&lt;/D&gt;&lt;D xsi:type="xsd:double"&gt;2.6543617&lt;/D&gt;&lt;D xsi:type="xsd:double"&gt;1.9673944&lt;/D&gt;&lt;D xsi:type="xsd:double"&gt;3.4729958&lt;/D&gt;&lt;D xsi:type="xsd:double"&gt;0.42458773&lt;/D&gt;&lt;D xsi:type="xsd:double"&gt;4.1110516&lt;/D&gt;&lt;D xsi:type="xsd:double"&gt;-5.8461485&lt;/D&gt;&lt;D xsi:type="xsd:double"&gt;-0.9803951&lt;/D&gt;&lt;D xsi:type="xsd:double"&gt;4.9504876&lt;/D&gt;&lt;D xsi:type="xsd:double"&gt;-10.220128&lt;/D&gt;&lt;D xsi:type="xsd:double"&gt;7.644129&lt;/D&gt;&lt;D xsi:type="xsd:double"&gt;0.8427024&lt;/D&gt;&lt;D xsi:type="xsd:double"&gt;-5.6824565&lt;/D&gt;&lt;D xsi:type="xsd:double"&gt;4.725337&lt;/D&gt;&lt;D xsi:type="xsd:double"&gt;0.9870291&lt;/D&gt;&lt;D xsi:type="xsd:double"&gt;0.08935928&lt;/D&gt;&lt;D xsi:type="xsd:double"&gt;-0.0055789948&lt;/D&gt;&lt;D xsi:type="xsd:double"&gt;1.8415213&lt;/D&gt;&lt;D xsi:type="xsd:double"&gt;-6.575346&lt;/D&gt;&lt;D xsi:type="xsd:double"&gt;-13.245744&lt;/D&gt;&lt;D xsi:type="xsd:double"&gt;4.248357&lt;/D&gt;&lt;D xsi:type="xsd:double"&gt;2.1478534&lt;/D&gt;&lt;D xsi:type="xsd:double"&gt;6.818247&lt;/D&gt;&lt;D xsi:type="xsd:double"&gt;2.9706001&lt;/D&gt;&lt;D xsi:type="xsd:double"&gt;3.6270976&lt;/D&gt;&lt;D xsi:type="xsd:double"&gt;-0.7460475&lt;/D&gt;&lt;D xsi:type="xsd:double"&gt;2.1104336&lt;/D&gt;&lt;D xsi:type="xsd:double"&gt;2.7180076&lt;/D&gt;&lt;D xsi:type="xsd:double"&gt;2.3131251&lt;/D&gt;&lt;D xsi:type="xsd:double"&gt;2.049613&lt;/D&gt;&lt;D xsi:type="xsd:double"&gt;-4.0654716&lt;/D&gt;&lt;D xsi:type="xsd:double"&gt;1.155746&lt;/D&gt;&lt;D xsi:type="xsd:double"&gt;6.8552732&lt;/D&gt;&lt;D xsi:type="xsd:double"&gt;-0.7128298&lt;/D&gt;&lt;D xsi:type="xsd:double"&gt;-0.07855892&lt;/D&gt;&lt;D xsi:type="xsd:double"&gt;-1.04931&lt;/D&gt;&lt;D xsi:type="xsd:double"&gt;4.9310684&lt;/D&gt;&lt;D xsi:type="xsd:double"&gt;0.48003197&lt;/D&gt;&lt;D xsi:type="xsd:double"&gt;5.214989&lt;/D&gt;&lt;D xsi:type="xsd:double"&gt;-0.05736351&lt;/D&gt;&lt;D xsi:type="xsd:double"&gt;-1.3654172&lt;/D&gt;&lt;D xsi:type="xsd:double"&gt;5.966449&lt;/D&gt;&lt;D xsi:type="xsd:double"&gt;3.1112313&lt;/D&gt;&lt;D xsi:type="xsd:double"&gt;6.5420628&lt;/D&gt;&lt;D xsi:type="xsd:double"&gt;2.0885587&lt;/D&gt;&lt;D xsi:type="xsd:double"&gt;-6.7103148&lt;/D&gt;&lt;D xsi:type="xsd:double"&gt;-8.477187&lt;/D&gt;&lt;D xsi:type="xsd:double"&gt;6.445217&lt;/D&gt;&lt;D xsi:type="xsd:double"&gt;7.3591113&lt;/D&gt;&lt;D xsi:type="xsd:double"&gt;-8.763552&lt;/D&gt;&lt;D xsi:type="xsd:double"&gt;3.04327&lt;/D&gt;&lt;D xsi:type="xsd:double"&gt;-5.9067845&lt;/D&gt;&lt;D xsi:type="xsd:double"&gt;-7.0627394&lt;/D&gt;&lt;D xsi:type="xsd:double"&gt;2.496016&lt;/D&gt;&lt;D xsi:type="xsd:double"&gt;-5.8031025&lt;/D&gt;&lt;D xsi:type="xsd:double"&gt;-3.0253112&lt;/D&gt;&lt;D xsi:type="xsd:double"&gt;1.5882015&lt;/D&gt;&lt;D xsi:type="xsd:double"&gt;8.096039&lt;/D&gt;&lt;D xsi:type="xsd:double"&gt;-5.091703&lt;/D&gt;&lt;D xsi:type="xsd:double"&gt;3.4785032&lt;/D&gt;&lt;D xsi:type="xsd:double"&gt;-1.667124&lt;/D&gt;&lt;D xsi:type="xsd:double"&gt;-2.2790432&lt;/D&gt;&lt;D xsi:type="xsd:double"&gt;-5.745167&lt;/D&gt;&lt;D xsi:type="xsd:double"&gt;5.7332635&lt;/D&gt;&lt;D xsi:type="xsd:double"&gt;1.255703&lt;/D&gt;&lt;D xsi:type="xsd:double"&gt;-0.5073309&lt;/D&gt;&lt;D xsi:type="xsd:double"&gt;1.3597727&lt;/D&gt;&lt;D xsi:type="xsd:double"&gt;1.0620475&lt;/D&gt;&lt;D xsi:type="xsd:double"&gt;-4.0376067&lt;/D&gt;&lt;D xsi:type="xsd:double"&gt;-2.305472&lt;/D&gt;&lt;/FQL&gt;&lt;FQL&gt;&lt;Q&gt;UAE^FMA_DIV_YLD(NTMA,-10AY,0,AM,"PORTAGG","MEANR")&lt;/Q&gt;&lt;R&gt;121&lt;/R&gt;&lt;C&gt;1&lt;/C&gt;&lt;D xsi:type="xsd:string"&gt;@NA&lt;/D&gt;&lt;D xsi:type="xsd:double"&gt;2.65141967286251&lt;/D&gt;&lt;D xsi:type="xsd:double"&gt;2.72018826464395&lt;/D&gt;&lt;D xsi:type="xsd:double"&gt;2.58149326150831&lt;/D&gt;&lt;D xsi:type="xsd:double"&gt;2.49184943792949&lt;/D&gt;&lt;D xsi:type="xsd:double"&gt;2.81498189983043&lt;/D&gt;&lt;D xsi:type="xsd:double"&gt;2.90117023934245&lt;/D&gt;&lt;D xsi:type="xsd:double"&gt;3.39344253349921&lt;/D&gt;&lt;D xsi:type="xsd:double"&gt;3.42620987112088&lt;/D&gt;&lt;D xsi:type="xsd:double"&gt;3.4399263623717&lt;/D&gt;&lt;D xsi:type="xsd:double"&gt;3.70939959733521&lt;/D&gt;&lt;D xsi:type="xsd:double"&gt;3.15760437465725&lt;/D&gt;&lt;D xsi:type="xsd:double"&gt;3.22916839863224&lt;/D&gt;&lt;D xsi:type="xsd:double"&gt;3.4382983566255&lt;/D&gt;&lt;D xsi:type="xsd:double"&gt;3.48885366173037&lt;/D&gt;&lt;D xsi:type="xsd:double"&gt;3.93903859583428&lt;/D&gt;&lt;D xsi:type="xsd:double"&gt;4.03670946191071&lt;/D&gt;&lt;D xsi:type="xsd:double"&gt;3.97863230020363&lt;/D&gt;&lt;D xsi:type="xsd:double"&gt;4.2897355532672&lt;/D&gt;&lt;D xsi:type="xsd:double"&gt;4.1056586368476&lt;/D&gt;&lt;D xsi:type="xsd:double"&gt;5.02895045948907&lt;/D&gt;&lt;D xsi:type="xsd:double"&gt;4.37547755695875&lt;/D&gt;&lt;D xsi:type="xsd:double"&gt;3.99937574085371&lt;/D&gt;&lt;D xsi:type="xsd:double"&gt;3.96563887343649&lt;/D&gt;&lt;D xsi:type="xsd:double"&gt;4.09807133488396&lt;/D&gt;&lt;D xsi:type="xsd:double"&gt;3.85589526014608&lt;/D&gt;&lt;D xsi:type="xsd:double"&gt;3.74227911293115&lt;/D&gt;&lt;D xsi:type="xsd:double"&gt;3.75528097162607&lt;/D&gt;&lt;D xsi:type="xsd:double"&gt;3.64632688581331&lt;/D&gt;&lt;D xsi:type="xsd:double"&gt;3.7281459311896&lt;/D&gt;&lt;D xsi:type="xsd:double"&gt;4.0466446444522&lt;/D&gt;&lt;D xsi:type="xsd:double"&gt;4.18382575067581&lt;/D&gt;&lt;D xsi:type="xsd:double"&gt;4.06158754435619&lt;/D&gt;&lt;D xsi:type="xsd:double"&gt;4.0909227289588&lt;/D&gt;&lt;D xsi:type="xsd:double"&gt;4.18117900691471&lt;/D&gt;&lt;D xsi:type="xsd:double"&gt;4.04635797807176&lt;/D&gt;&lt;D xsi:type="xsd:double"&gt;3.99150688574013&lt;/D&gt;&lt;D xsi:type="xsd:double"&gt;4.15699231287505&lt;/D&gt;&lt;D xsi:type="xsd:double"&gt;3.91853389813325&lt;/D&gt;&lt;D xsi:type="xsd:double"&gt;4.01126652313678&lt;/D&gt;&lt;D xsi:type="xsd:double"&gt;4.15959682785476&lt;/D&gt;&lt;D xsi:type="xsd:double"&gt;4.21355421267637&lt;/D&gt;&lt;D xsi:type="xsd:double"&gt;4.48286467343564&lt;/D&gt;&lt;D xsi:type="xsd:double"&gt;4.50524517557924&lt;/D&gt;&lt;D xsi:type="xsd:double"&gt;4.21741913351405&lt;/D&gt;&lt;D xsi:type="xsd:double"&gt;4.46981911812174&lt;/D&gt;&lt;D xsi:type="xsd:double"&gt;4.56546032932822&lt;/D&gt;&lt;D xsi:type="xsd:double"&gt;4.81632072176363&lt;/D&gt;&lt;D xsi:type="xsd:double"&gt;4.86775238650627&lt;/D&gt;&lt;D xsi:type="xsd:double"&gt;4.90282020550465&lt;/D&gt;&lt;D xsi:type="xsd:double"&gt;4.76702781381836&lt;/D&gt;&lt;D xsi:type="xsd:double"&gt;4.75780106626099&lt;/D&gt;&lt;D xsi:type="xsd:double"&gt;4.84049852496454&lt;/D&gt;&lt;D xsi:type="xsd:double"&gt;4.9223241277832&lt;/D&gt;&lt;D xsi:type="xsd:double"&gt;4.87085455646493&lt;/D&gt;&lt;D xsi:type="xsd:double"&gt;5.1881505117671&lt;/D&gt;&lt;D xsi:type="xsd:double"&gt;5.21018764044501&lt;/D&gt;&lt;D xsi:type="xsd:double"&gt;5.10989632807469&lt;/D&gt;&lt;D xsi:type="xsd:double"&gt;5.21358209469247&lt;/D&gt;&lt;D xsi:type="xsd:double"&gt;4.74892398699044&lt;/D&gt;&lt;D xsi:type="xsd:double"&gt;5.28308508513601&lt;/D&gt;&lt;D xsi:type="xsd:double"&gt;5.13285492373183&lt;/D&gt;&lt;D xsi:type="xsd:double"&gt;4.90315117221913&lt;/D&gt;&lt;D xsi:type="xsd:double"&gt;5.10380961301955&lt;/D&gt;&lt;D xsi:type="xsd:double"&gt;4.8651794961139&lt;/D&gt;&lt;D xsi:type="xsd:double"&gt;4.65267154414411&lt;/D&gt;&lt;D xsi:type="xsd:double"&gt;4.9884568733201&lt;/D&gt;&lt;D xsi:type="xsd:double"&gt;5.0252364518022&lt;/D&gt;&lt;D xsi:type="xsd:double"&gt;5.13704570442405&lt;/D&gt;&lt;D xsi:type="xsd:double"&gt;5.17954114476119&lt;/D&gt;&lt;D xsi:type="xsd:double"&gt;7.75022420738764&lt;/D&gt;&lt;D xsi:type="xsd:double"&gt;5.2655012727113&lt;/D&gt;&lt;D xsi:type="xsd:double"&gt;4.61398458635662&lt;/D&gt;&lt;D xsi:type="xsd:double"&gt;4.3945342899324&lt;/D&gt;&lt;D xsi:type="xsd:double"&gt;4.6360571110198&lt;/D&gt;&lt;D xsi:type="xsd:double"&gt;4.48388589067423&lt;/D&gt;&lt;D xsi:type="xsd:double"&gt;4.4193958266136&lt;/D&gt;&lt;D xsi:type="xsd:double"&gt;4.11368496721948&lt;/D&gt;&lt;D xsi:type="xsd:double"&gt;4.40960678837356&lt;/D&gt;&lt;D xsi:type="xsd:double"&gt;4.49001887848992&lt;/D&gt;&lt;D xsi:type="xsd:double"&gt;4.12481098280419&lt;/D&gt;&lt;D xsi:type="xsd:double"&gt;4.43895654286073&lt;/D&gt;&lt;D xsi:type="xsd:double"&gt;4.43476937471573&lt;/D&gt;&lt;D xsi:type="xsd:double"&gt;4.47031709764521&lt;/D&gt;&lt;D xsi:type="xsd:double"&gt;4.30291124626819&lt;/D&gt;&lt;D xsi:type="xsd:double"&gt;4.52841536186776&lt;/D&gt;&lt;D xsi:type="xsd:double"&gt;4.72526358138642&lt;/D&gt;&lt;D xsi:type="xsd:double"&gt;4.48562180107936&lt;/D&gt;&lt;D xsi:type="xsd:double"&gt;4.10642894120502&lt;/D&gt;&lt;D xsi:type="xsd:double"&gt;4.05164880069368&lt;/D&gt;&lt;D xsi:type="xsd:double"&gt;3.76085592737385&lt;/D&gt;&lt;D xsi:type="xsd:double"&gt;4.37279618739799&lt;/D&gt;&lt;D xsi:type="xsd:double"&gt;4.23956176486742&lt;/D&gt;&lt;D xsi:type="xsd:double"&gt;4.19659183723147&lt;/D&gt;&lt;D xsi:type="xsd:double"&gt;3.69958132165865&lt;/D&gt;&lt;D xsi:type="xsd:double"&gt;3.45550493235042&lt;/D&gt;&lt;D xsi:type="xsd:double"&gt;4.04359212261169&lt;/D&gt;&lt;D xsi:type="xsd:double"&gt;4.42196086354154&lt;/D&gt;&lt;D xsi:type="xsd:double"&gt;4.13983862846383&lt;/D&gt;&lt;D xsi:type="xsd:double"&gt;4.08125539480011&lt;/D&gt;&lt;D xsi:type="xsd:double"&gt;4.2261680319882&lt;/D&gt;&lt;D xsi:type="xsd:double"&gt;4.3700749184397&lt;/D&gt;&lt;D xsi:type="xsd:double"&gt;4.3635289395852&lt;/D&gt;&lt;D xsi:type="xsd:double"&gt;4.7083822345605&lt;/D&gt;&lt;D xsi:type="xsd:double"&gt;4.71930672027889&lt;/D&gt;&lt;D xsi:type="xsd:double"&gt;4.70136045223935&lt;/D&gt;&lt;D xsi:type="xsd:double"&gt;4.8463438263262&lt;/D&gt;&lt;D xsi:type="xsd:double"&gt;4.4841529970161&lt;/D&gt;&lt;D xsi:type="xsd:double"&gt;4.5643561461597&lt;/D&gt;&lt;D xsi:type="xsd:double"&gt;4.39163505872701&lt;/D&gt;&lt;D xsi:type="xsd:double"&gt;4.30410045571483&lt;/D&gt;&lt;D xsi:type="xsd:double"&gt;4.24464813023276&lt;/D&gt;&lt;D xsi:type="xsd:double"&gt;4.28071539857461&lt;/D&gt;&lt;D xsi:type="xsd:double"&gt;4.86972386791726&lt;/D&gt;&lt;D xsi:type="xsd:double"&gt;4.68716953729966&lt;/D&gt;&lt;D xsi:type="xsd:double"&gt;4.64324438130553&lt;/D&gt;&lt;D xsi:type="xsd:double"&gt;4.49543597687934&lt;/D&gt;&lt;D xsi:type="xsd:double"&gt;4.99327961962582&lt;/D&gt;&lt;D xsi:type="xsd:double"&gt;5.29355337564528&lt;/D&gt;&lt;D xsi:type="xsd:double"&gt;5.67852953873222&lt;/D&gt;&lt;D xsi:type="xsd:double"&gt;5.73715438042661&lt;/D&gt;&lt;/FQL&gt;&lt;FQL&gt;&lt;Q&gt;EIDO^FMA_PE(LTMA,-10AY,0,AM,"PORTAGG","MEANR")&lt;/Q&gt;&lt;R&gt;121&lt;/R&gt;&lt;C&gt;1&lt;/C&gt;&lt;D xsi:type="xsd:double"&gt;15.7591000545359&lt;/D&gt;&lt;D xsi:type="xsd:double"&gt;15.3930867005102&lt;/D&gt;&lt;D xsi:type="xsd:double"&gt;15.712627561716&lt;/D&gt;&lt;D xsi:type="xsd:double"&gt;16.0342338361107&lt;/D&gt;&lt;D xsi:type="xsd:double"&gt;15.9902590342047&lt;/D&gt;&lt;D xsi:type="xsd:double"&gt;16.1746762797766&lt;/D&gt;&lt;D xsi:type="xsd:double"&gt;16.1761930278829&lt;/D&gt;&lt;D xsi:type="xsd:double"&gt;16.7532604345958&lt;/D&gt;&lt;D xsi:type="xsd:double"&gt;17.2377132845795&lt;/D&gt;&lt;D xsi:type="xsd:double"&gt;17.7997839228335&lt;/D&gt;&lt;D xsi:type="xsd:double"&gt;17.8916900332347&lt;/D&gt;&lt;D xsi:type="xsd:double"&gt;17.7884139917251&lt;/D&gt;&lt;D xsi:type="xsd:double"&gt;17.6183573942645&lt;/D&gt;&lt;D xsi:type="xsd:double"&gt;17.0275143452195&lt;/D&gt;&lt;D xsi:type="xsd:double"&gt;16.8796244851305&lt;/D&gt;&lt;D xsi:type="xsd:double"&gt;15.4520889550867&lt;/D&gt;&lt;D xsi:type="xsd:double"&gt;15.4347223830075&lt;/D&gt;&lt;D xsi:type="xsd:double"&gt;16.8418046094978&lt;/D&gt;&lt;D xsi:type="xsd:double"&gt;16.4100463458457&lt;/D&gt;&lt;D xsi:type="xsd:double"&gt;15.9327960520191&lt;/D&gt;&lt;D xsi:type="xsd:double"&gt;15.7258710071915&lt;/D&gt;&lt;D xsi:type="xsd:double"&gt;16.0524956768524&lt;/D&gt;&lt;D xsi:type="xsd:double"&gt;16.7871442294909&lt;/D&gt;&lt;D xsi:type="xsd:double"&gt;16.7086426833473&lt;/D&gt;&lt;D xsi:type="xsd:double"&gt;16.3117365467484&lt;/D&gt;&lt;D xsi:type="xsd:double"&gt;16.6261565435404&lt;/D&gt;&lt;D xsi:type="xsd:double"&gt;17.2957978876895&lt;/D&gt;&lt;D xsi:type="xsd:double"&gt;17.9497501369083&lt;/D&gt;&lt;D xsi:type="xsd:double"&gt;18.2188074347111&lt;/D&gt;&lt;D xsi:type="xsd:double"&gt;18.2626625769901&lt;/D&gt;&lt;D xsi:type="xsd:double"&gt;17.1494005829048&lt;/D&gt;&lt;D xsi:type="xsd:double"&gt;16.5747894049205&lt;/D&gt;&lt;D xsi:type="xsd:double"&gt;17.4007528537093&lt;/D&gt;&lt;D xsi:type="xsd:double"&gt;17.6479459907052&lt;/D&gt;&lt;D xsi:type="xsd:double"&gt;17.5103000695914&lt;/D&gt;&lt;D xsi:type="xsd:double"&gt;17.3990704204863&lt;/D&gt;&lt;D xsi:type="xsd:double"&gt;17.3867855827561&lt;/D&gt;&lt;D xsi:type="xsd:double"&gt;17.37522647782&lt;/D&gt;&lt;D xsi:type="xsd:double"&gt;17.1936083701094&lt;/D&gt;&lt;D xsi:type="xsd:double"&gt;17.3804273957612&lt;/D&gt;&lt;D xsi:type="xsd:double"&gt;17.2566722459709&lt;/D&gt;&lt;D xsi:type="xsd:double"&gt;17.1989930688521&lt;/D&gt;&lt;D xsi:type="xsd:double"&gt;17.3914546558554&lt;/D&gt;&lt;D xsi:type="xsd:double"&gt;17.5243219512857&lt;/D&gt;&lt;D xsi:type="xsd:double"&gt;18.7114077493904&lt;/D&gt;&lt;D xsi:type="xsd:double"&gt;17.8784398240917&lt;/D&gt;&lt;D xsi:type="xsd:double"&gt;17.3515581961791&lt;/D&gt;&lt;D xsi:type="xsd:double"&gt;17.2168924419692&lt;/D&gt;&lt;D xsi:type="xsd:double"&gt;16.3728356542028&lt;/D&gt;&lt;D xsi:type="xsd:double"&gt;15.9327195886691&lt;/D&gt;&lt;D xsi:type="xsd:double"&gt;15.7273531391253&lt;/D&gt;&lt;D xsi:type="xsd:double"&gt;15.9353049897586&lt;/D&gt;&lt;D xsi:type="xsd:double"&gt;15.5861272115775&lt;/D&gt;&lt;D xsi:type="xsd:double"&gt;14.9673846429666&lt;/D&gt;&lt;D xsi:type="xsd:double"&gt;15.539645249616&lt;/D&gt;&lt;D xsi:type="xsd:double"&gt;15.5124768765605&lt;/D&gt;&lt;D xsi:type="xsd:double"&gt;16.3481510454733&lt;/D&gt;&lt;D xsi:type="xsd:double"&gt;16.0270353808981&lt;/D&gt;&lt;D xsi:type="xsd:double"&gt;15.9216657625705&lt;/D&gt;&lt;D xsi:type="xsd:double"&gt;15.7120049877319&lt;/D&gt;&lt;D xsi:type="xsd:double"&gt;15.1596271239419&lt;/D&gt;&lt;D xsi:type="xsd:double"&gt;15.5421730741384&lt;/D&gt;&lt;D xsi:type="xsd:double"&gt;16.0488956696119&lt;/D&gt;&lt;D xsi:type="xsd:double"&gt;15.8553634725939&lt;/D&gt;&lt;D xsi:type="xsd:double"&gt;15.8468208746141&lt;/D&gt;&lt;D xsi:type="xsd:double"&gt;16.1042856552728&lt;/D&gt;&lt;D xsi:type="xsd:double"&gt;16.200301853306&lt;/D&gt;&lt;D xsi:type="xsd:double"&gt;16.8000799897584&lt;/D&gt;&lt;D xsi:type="xsd:double"&gt;17.4888670375899&lt;/D&gt;&lt;D xsi:type="xsd:double"&gt;16.3700027020998&lt;/D&gt;&lt;D xsi:type="xsd:double"&gt;13.9445666388806&lt;/D&gt;&lt;D xsi:type="xsd:double"&gt;14.1423942554872&lt;/D&gt;&lt;D xsi:type="xsd:double"&gt;14.5531940306173&lt;/D&gt;&lt;D xsi:type="xsd:double"&gt;16.5253588432922&lt;/D&gt;&lt;D xsi:type="xsd:double"&gt;17.5076312046473&lt;/D&gt;&lt;D xsi:type="xsd:double"&gt;18.4929714917435&lt;/D&gt;&lt;D xsi:type="xsd:double"&gt;18.0524003797258&lt;/D&gt;&lt;D xsi:type="xsd:double"&gt;19.8883763019421&lt;/D&gt;&lt;D xsi:type="xsd:double"&gt;22.8795883524754&lt;/D&gt;&lt;D xsi:type="xsd:double"&gt;25.6276407427308&lt;/D&gt;&lt;D xsi:type="xsd:double"&gt;25.5515222233103&lt;/D&gt;&lt;D xsi:type="xsd:double"&gt;24.4859542741853&lt;/D&gt;&lt;D xsi:type="xsd:double"&gt;23.5636995373777&lt;/D&gt;&lt;D xsi:type="xsd:double"&gt;22.823267113818&lt;/D&gt;&lt;D xsi:type="xsd:double"&gt;21.8431677543724&lt;/D&gt;&lt;D xsi:type="xsd:double"&gt;21.1111096525313&lt;/D&gt;&lt;D xsi:type="xsd:double"&gt;20.296527198712&lt;/D&gt;&lt;D xsi:type="xsd:double"&gt;19.8909060180132&lt;/D&gt;&lt;D xsi:type="xsd:double"&gt;19.202228799713&lt;/D&gt;&lt;D xsi:type="xsd:double"&gt;19.5000551798888&lt;/D&gt;&lt;D xsi:type="xsd:double"&gt;18.1089287727627&lt;/D&gt;&lt;D xsi:type="xsd:double"&gt;16.8560146473975&lt;/D&gt;&lt;D xsi:type="xsd:double"&gt;17.1588121678072&lt;/D&gt;&lt;D xsi:type="xsd:double"&gt;17.3972687101529&lt;/D&gt;&lt;D xsi:type="xsd:double"&gt;17.2614095851284&lt;/D&gt;&lt;D xsi:type="xsd:double"&gt;16.9370095393037&lt;/D&gt;&lt;D xsi:type="xsd:double"&gt;16.1214535264255&lt;/D&gt;&lt;D xsi:type="xsd:double"&gt;15.55029359413&lt;/D&gt;&lt;D xsi:type="xsd:double"&gt;15.0338760213957&lt;/D&gt;&lt;D xsi:type="xsd:double"&gt;14.8337426616415&lt;/D&gt;&lt;D xsi:type="xsd:double"&gt;14.4836468326877&lt;/D&gt;&lt;D xsi:type="xsd:double"&gt;13.8158325832304&lt;/D&gt;&lt;D xsi:type="xsd:double"&gt;13.2514156461723&lt;/D&gt;&lt;D xsi:type="xsd:double"&gt;12.4768239211214&lt;/D&gt;&lt;D xsi:type="xsd:double"&gt;12.32921813435&lt;/D&gt;&lt;D xsi:type="xsd:double"&gt;12.3185654276627&lt;/D&gt;&lt;D xsi:type="xsd:double"&gt;11.9957653309171&lt;/D&gt;&lt;D xsi:type="xsd:double"&gt;12.1515888925273&lt;/D&gt;&lt;D xsi:type="xsd:double"&gt;12.1585646871417&lt;/D&gt;&lt;D xsi:type="xsd:double"&gt;12.8972187695334&lt;/D&gt;&lt;D xsi:type="xsd:double"&gt;13.2730613433299&lt;/D&gt;&lt;D xsi:type="xsd:double"&gt;13.5695666375326&lt;/D&gt;&lt;D xsi:type="xsd:double"&gt;13.584384281814&lt;/D&gt;&lt;D xsi:type="xsd:double"&gt;12.8948459871498&lt;/D&gt;&lt;D xsi:type="xsd:double"&gt;13.1994248965413&lt;/D&gt;&lt;D xsi:type="xsd:double"&gt;13.8073014535336&lt;/D&gt;&lt;D xsi:type="xsd:double"&gt;13.87766437117&lt;/D&gt;&lt;D xsi:type="xsd:double"&gt;14.3036162434052&lt;/D&gt;&lt;D xsi:type="xsd:double"&gt;14.1340469766299&lt;/D&gt;&lt;D xsi:type="xsd:double"&gt;13.7526233815448&lt;/D&gt;&lt;D xsi:type="xsd:double"&gt;13.5860734204701&lt;/D&gt;&lt;/FQL&gt;&lt;FQL&gt;&lt;Q&gt;WL-FDS^FG_PRICE(0)&lt;/Q&gt;&lt;R&gt;1&lt;/R&gt;&lt;C&gt;1&lt;/C&gt;&lt;D xsi:type="xsd:double"&gt;539.7&lt;/D&gt;&lt;/FQL&gt;&lt;FQL&gt;&lt;Q&gt;TIOS-FDS^FG_PRICE_CHANGE(0,-6AM)&lt;/Q&gt;&lt;R&gt;1&lt;/R&gt;&lt;C&gt;1&lt;/C&gt;&lt;D xsi:type="xsd:double"&gt;-9.48089956869994&lt;/D&gt;&lt;/FQL&gt;&lt;FQL&gt;&lt;Q&gt;MCHI^FG_PRICE_MAVG(0,,,,60)&lt;/Q&gt;&lt;R&gt;1&lt;/R&gt;&lt;C&gt;1&lt;/C&gt;&lt;D xsi:type="xsd:double"&gt;41.56283&lt;/D&gt;&lt;/FQL&gt;&lt;FQL&gt;&lt;Q&gt;EWZ^FG_PRICE(0)&lt;/Q&gt;&lt;R&gt;1&lt;/R&gt;&lt;C&gt;1&lt;/C&gt;&lt;D xsi:type="xsd:double"&gt;30.64&lt;/D&gt;&lt;/FQL&gt;&lt;FQL&gt;&lt;Q&gt;EPU^FG_PRICE_MAVG(0,,,,30)&lt;/Q&gt;&lt;R&gt;1&lt;/R&gt;&lt;C&gt;1&lt;/C&gt;&lt;D xsi:type="xsd:double"&gt;41.50816&lt;/D&gt;&lt;/FQL&gt;&lt;FQL&gt;&lt;Q&gt;CNYA^FG_PRICE_MAVG(0,,,,60)&lt;/Q&gt;&lt;R&gt;1&lt;/R&gt;&lt;C&gt;1&lt;/C&gt;&lt;D xsi:type="xsd:double"&gt;26.50812&lt;/D&gt;&lt;/FQL&gt;&lt;FQL&gt;&lt;Q&gt;VNM^PERCENT_CHANGE(FMA_EPS(+1,0,,,,"PORTAGG","MEAN"),FMA_EPS(+1,-3AM,,,,"PORTAGG","MEAN"))&lt;/Q&gt;&lt;R&gt;1&lt;/R&gt;&lt;C&gt;1&lt;/C&gt;&lt;D xsi:type="xsd:double"&gt;-3.94889208313153&lt;/D&gt;&lt;/FQL&gt;&lt;FQL&gt;&lt;Q&gt;TUR^PERCENT_CHANGE(FMA_EPS(+1,0,,,,"PORTAGG","MEAN"),FMA_EPS(+1,-3AM,,,,"PORTAGG","MEAN"))&lt;/Q&gt;&lt;R&gt;1&lt;/R&gt;&lt;C&gt;1&lt;/C&gt;&lt;D xsi:type="xsd:double"&gt;-7.51139171531432&lt;/D&gt;&lt;/FQL&gt;&lt;FQL&gt;&lt;Q&gt;QAT^PERCENT_CHANGE(FMA_EPS(+1,0,,,,"PORTAGG","MEAN"),FMA_EPS(+1,-3AM,,,,"PORTAGG","MEAN"))&lt;/Q&gt;&lt;R&gt;1&lt;/R&gt;&lt;C&gt;1&lt;/C&gt;&lt;D xsi:type="xsd:double"&gt;2.17205344324443&lt;/D&gt;&lt;/FQL&gt;&lt;FQL&gt;&lt;Q&gt;INDA^PERCENT_CHANGE(FMA_EPS(+1,0,,,,"PORTAGG","MEAN"),FMA_EPS(+1,-3AM,,,,"PORTAGG","MEAN"))&lt;/Q&gt;&lt;R&gt;1&lt;/R&gt;&lt;C&gt;1&lt;/C&gt;&lt;D xsi:type="xsd:double"&gt;-0.138322529284118&lt;/D&gt;&lt;/FQL&gt;&lt;FQL&gt;&lt;Q&gt;EZA^PERCENT_CHANGE(FMA_EPS(+1,0,,,,"PORTAGG","MEAN"),FMA_EPS(+1,-3AM,,,,"PORTAGG","MEAN"))&lt;/Q&gt;&lt;R&gt;1&lt;/R&gt;&lt;C&gt;1&lt;/C&gt;&lt;D xsi:type="xsd:double"&gt;5.53075678180982&lt;/D&gt;&lt;/FQL&gt;&lt;FQL&gt;&lt;Q&gt;EWY^PERCENT_CHANGE(FMA_EPS(+1,0,,,,"PORTAGG","MEAN"),FMA_EPS(+1,-1AM,,,,"PORTAGG","MEAN"))&lt;/Q&gt;&lt;R&gt;1&lt;/R&gt;&lt;C&gt;1&lt;/C&gt;&lt;D xsi:type="xsd:double"&gt;3.3855564812433&lt;/D&gt;&lt;/FQL&gt;&lt;FQL&gt;&lt;Q&gt;EPU^PERCENT_CHANGE(FMA_EPS(+1,0,,,,"PORTAGG","MEAN"),FMA_EPS(+1,-1AM,,,,"PORTAGG","MEAN"))&lt;/Q&gt;&lt;R&gt;1&lt;/R&gt;&lt;C&gt;1&lt;/C&gt;&lt;D xsi:type="xsd:double"&gt;0.0411510195662062&lt;/D&gt;&lt;/FQL&gt;&lt;FQL&gt;&lt;Q&gt;ECH^PERCENT_CHANGE(FMA_EPS(+1,0,,,,"PORTAGG","MEAN"),FMA_EPS(+1,-3AM,,,,"PORTAGG","MEAN"))&lt;/Q&gt;&lt;R&gt;1&lt;/R&gt;&lt;C&gt;1&lt;/C&gt;&lt;D xsi:type="xsd:double"&gt;5.69428392803198&lt;/D&gt;&lt;/FQL&gt;&lt;FQL&gt;&lt;Q&gt;EWJ^PERCENT_CHANGE(FMA_EPS(+1,0,,,,"PORTAGG","MEAN"),FMA_EPS(+1,-3AM,,,,"PORTAGG","MEAN"))&lt;/Q&gt;&lt;R&gt;1&lt;/R&gt;&lt;C&gt;1&lt;/C&gt;&lt;D xsi:type="xsd:double"&gt;-2.14819841380588&lt;/D&gt;&lt;/FQL&gt;&lt;FQL&gt;&lt;Q&gt;UAE^FMA_COS_UP("EPS","1M",+1,NOW,,,"PORTAGG","MEANR")&lt;/Q&gt;&lt;R&gt;1&lt;/R&gt;&lt;C&gt;1&lt;/C&gt;&lt;D xsi:type="xsd:double"&gt;12&lt;/D&gt;&lt;/FQL&gt;&lt;FQL&gt;&lt;Q&gt;GREK^FMA_COS_UP("EPS","1M",+1,NOW,,,"PORTAGG","MEANR")&lt;/Q&gt;&lt;R&gt;1&lt;/R&gt;&lt;C&gt;1&lt;/C&gt;&lt;D xsi:type="xsd:double"&gt;11&lt;/D&gt;&lt;/FQL&gt;&lt;FQL&gt;&lt;Q&gt;CNYA^FMA_COS_UP("EPS","1M",+1,NOW,,,"PORTAGG","MEANR")&lt;/Q&gt;&lt;R&gt;1&lt;/R&gt;&lt;C&gt;1&lt;/C&gt;&lt;D xsi:type="xsd:double"&gt;122&lt;/D&gt;&lt;/FQL&gt;&lt;FQL&gt;&lt;Q&gt;EWT^FG_ROE(0)&lt;/Q&gt;&lt;R&gt;1&lt;/R&gt;&lt;C&gt;1&lt;/C&gt;&lt;D xsi:type="xsd:double"&gt;10.2989706158129&lt;/D&gt;&lt;/FQL&gt;&lt;FQL&gt;&lt;Q&gt;REFAEREPO-FDS^(SUBARRAY(NOT_NA(NO_REPEAT_F(FG_YIELD(NOW,-10AY,D))),0,1)-SUBARRAY(NOT_NA(NO_REPEAT_F(FG_YIELD(NOW,-10AY,D))),1,1))*100&lt;/Q&gt;&lt;R&gt;1&lt;/R&gt;&lt;C&gt;1&lt;/C&gt;&lt;D xsi:type="xsd:double"&gt;25&lt;/D&gt;&lt;/FQL&gt;&lt;FQL&gt;&lt;Q&gt;TRYMY10Y-FDS^PCTCHG(FG_YIELD(0,,,,"YTM"),FG_YIELD(-1AM,,,,"YTM"))&lt;/Q&gt;&lt;R&gt;1&lt;/R&gt;&lt;C&gt;1&lt;/C&gt;&lt;D xsi:type="xsd:double"&gt;-1.9645809&lt;/D&gt;&lt;/FQL&gt;&lt;FQL&gt;&lt;Q&gt;EPHE^PERCENT_CHANGE(FMA_EPS(+1,0,,,,"PORTAGG","MEAN"),FMA_EPS(+1,-1AM,,,,"PORTAGG","MEAN"))&lt;/Q&gt;&lt;R&gt;1&lt;/R&gt;&lt;C&gt;1&lt;/C&gt;&lt;D xsi:type="xsd:double"&gt;3.72567729388789&lt;/D&gt;&lt;/FQL&gt;&lt;FQL&gt;&lt;Q&gt;EPU^SIZE(FG_CONSTITUENTS)&lt;/Q&gt;&lt;R&gt;1&lt;/R&gt;&lt;C&gt;1&lt;/C&gt;&lt;D xsi:type="xsd:long"&gt;26&lt;/D&gt;&lt;/FQL&gt;&lt;FQL&gt;&lt;Q&gt;REFTWDISC-FDS^PROPER_NAME(0,,,"SECURITY","NAME")&lt;/Q&gt;&lt;R&gt;1&lt;/R&gt;&lt;C&gt;1&lt;/C&gt;&lt;D xsi:type="xsd:string"&gt;Taiwan China Discount Rate&lt;/D&gt;&lt;/FQL&gt;&lt;FQL&gt;&lt;Q&gt;REFCLMPR-FDS^FG_YIELD(NOW,,,0)&lt;/Q&gt;&lt;R&gt;1&lt;/R&gt;&lt;C&gt;1&lt;/C&gt;&lt;D xsi:type="xsd:double"&gt;6&lt;/D&gt;&lt;/FQL&gt;&lt;FQL&gt;&lt;Q&gt;TRYCN10Y-FDS^PCTCHG(FG_YIELD(0,,,,"YTM"),FG_YIELD(-3AM,,,,"YTM"))&lt;/Q&gt;&lt;R&gt;1&lt;/R&gt;&lt;C&gt;1&lt;/C&gt;&lt;D xsi:type="xsd:double"&gt;-3.9255555&lt;/D&gt;&lt;/FQL&gt;&lt;FQL&gt;&lt;Q&gt;TRYVN10Y-FDS^FG_YIELD_NAME&lt;/Q&gt;&lt;R&gt;1&lt;/R&gt;&lt;C&gt;1&lt;/C&gt;&lt;D xsi:type="xsd:string"&gt;Treasury - Vietnam Benchmark Bond 10Y&lt;/D&gt;&lt;/FQL&gt;&lt;FQL&gt;&lt;Q&gt;TRYBR10Y-FDS^FG_YIELD(0,,,,"YTM")&lt;/Q&gt;&lt;R&gt;1&lt;/R&gt;&lt;C&gt;1&lt;/C&gt;&lt;D xsi:type="xsd:double"&gt;11.854141&lt;/D&gt;&lt;/FQL&gt;&lt;FQL&gt;&lt;Q&gt;TRYID10Y-FDS^FG_YIELD_NAME&lt;/Q&gt;&lt;R&gt;1&lt;/R&gt;&lt;C&gt;1&lt;/C&gt;&lt;D xsi:type="xsd:string"&gt;Treasury - Indonesia Benchmark Bond 10Y&lt;/D&gt;&lt;/FQL&gt;&lt;FQL&gt;&lt;Q&gt;VGK^FMA_EVAL_EBITDA(NTMA,0,,,"PORTAGG","MEANR")&lt;/Q&gt;&lt;R&gt;1&lt;/R&gt;&lt;C&gt;1&lt;/C&gt;&lt;D xsi:type="xsd:double"&gt;9.01996929934107&lt;/D&gt;&lt;/FQL&gt;&lt;FQL&gt;&lt;Q&gt;SET-BKK^FMA_EVAL_EBIT(LTMA,NOW,NOW,M,"PORTAGG","MEANR")&lt;/Q&gt;&lt;R&gt;1&lt;/R&gt;&lt;C&gt;1&lt;/C&gt;&lt;D xsi:type="xsd:double"&gt;18.7849820176829&lt;/D&gt;&lt;/FQL&gt;&lt;FQL&gt;&lt;Q&gt;MCHI^FMA_DIV_YLD(NTMA,NOW,NOW,M,"PORTAGG","MEANR")&lt;/Q&gt;&lt;R&gt;1&lt;/R&gt;&lt;C&gt;1&lt;/C&gt;&lt;D xsi:type="xsd:double"&gt;2.87639514290055&lt;/D&gt;&lt;/FQL&gt;&lt;FQL&gt;&lt;Q&gt;EPU^FG_COMPANY_NAME&lt;/Q&gt;&lt;R&gt;1&lt;/R&gt;&lt;C&gt;1&lt;/C&gt;&lt;D xsi:type="xsd:string"&gt;iShares MSCI Peru and Global Exposure ETF&lt;/D&gt;&lt;/FQL&gt;&lt;FQL&gt;&lt;Q&gt;CAGDPY@PL^EE_ACTUAL_ANNUAL(MED,+1)&lt;/Q&gt;&lt;R&gt;1&lt;/R&gt;&lt;C&gt;1&lt;/C&gt;&lt;D xsi:type="xsd:double"&gt;0.8&lt;/D&gt;&lt;/FQL&gt;&lt;FQL&gt;&lt;Q&gt;USDVND^FG_PRICE_CHANGE(0,-6AM)&lt;/Q&gt;&lt;R&gt;1&lt;/R&gt;&lt;C&gt;1&lt;/C&gt;&lt;D xsi:type="xsd:double"&gt;5.039692&lt;/D&gt;&lt;/FQL&gt;&lt;FQL&gt;&lt;Q&gt;USDZAR^FG_PRICE_CHANGE(0,-6AM)&lt;/Q&gt;&lt;R&gt;1&lt;/R&gt;&lt;C&gt;1&lt;/C&gt;&lt;D xsi:type="xsd:double"&gt;-1.7690897&lt;/D&gt;&lt;/FQL&gt;&lt;FQL&gt;&lt;Q&gt;USDMYR^FG_PRICE_CHANGE(0,-1AY)&lt;/Q&gt;&lt;R&gt;1&lt;/R&gt;&lt;C&gt;1&lt;/C&gt;&lt;D xsi:type="xsd:double"&gt;2.9431105&lt;/D&gt;&lt;/FQL&gt;&lt;FQL&gt;&lt;Q&gt;USDPHP^STD(FG_PRICE_CHANGE(0,-1AY,AM))&lt;/Q&gt;&lt;R&gt;1&lt;/R&gt;&lt;C&gt;1&lt;/C&gt;&lt;D xsi:type="xsd:double"&gt;1.59029584300958&lt;/D&gt;&lt;/FQL&gt;&lt;FQL&gt;&lt;Q&gt;FC0000KR^FMA_EPS(NTMA,-20AY,0,CY,,"PORTAGG","MEANR")&lt;/Q&gt;&lt;R&gt;20&lt;/R&gt;&lt;C&gt;1&lt;/C&gt;&lt;D xsi:type="xsd:double"&gt;25.662347195809&lt;/D&gt;&lt;D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xsi:type="xsd:double"&gt;35.9024812442641&lt;/D&gt;&lt;D xsi:type="xsd:double"&gt;42.8018507749476&lt;/D&gt;&lt;D xsi:type="xsd:double"&gt;51.3050657286793&lt;/D&gt;&lt;D xsi:type="xsd:double"&gt;35.3894151556571&lt;/D&gt;&lt;D xsi:type="xsd:double"&gt;41.7033181461674&lt;/D&gt;&lt;/FQL&gt;&lt;FQL&gt;&lt;Q&gt;TUR^FMA_DIV_YLD(NTMA,-10AY,0,AM,"PORTAGG","MEANR")&lt;/Q&gt;&lt;R&gt;121&lt;/R&gt;&lt;C&gt;1&lt;/C&gt;&lt;D xsi:type="xsd:double"&gt;2.85459816794902&lt;/D&gt;&lt;D xsi:type="xsd:double"&gt;2.95313173016877&lt;/D&gt;&lt;D xsi:type="xsd:double"&gt;2.68071758962249&lt;/D&gt;&lt;D xsi:type="xsd:double"&gt;3.08474337934609&lt;/D&gt;&lt;D xsi:type="xsd:double"&gt;3.12088625236355&lt;/D&gt;&lt;D xsi:type="xsd:double"&gt;2.98719897865823&lt;/D&gt;&lt;D xsi:type="xsd:double"&gt;2.81407700426566&lt;/D&gt;&lt;D xsi:type="xsd:double"&gt;2.76458909040858&lt;/D&gt;&lt;D xsi:type="xsd:double"&gt;2.66351227133842&lt;/D&gt;&lt;D xsi:type="xsd:double"&gt;2.84687106545314&lt;/D&gt;&lt;D xsi:type="xsd:double"&gt;2.91406884985663&lt;/D&gt;&lt;D xsi:type="xsd:double"&gt;2.89338091935661&lt;/D&gt;&lt;D xsi:type="xsd:double"&gt;2.82959245961802&lt;/D&gt;&lt;D xsi:type="xsd:double"&gt;2.98600831175695&lt;/D&gt;&lt;D xsi:type="xsd:double"&gt;3.13508116360721&lt;/D&gt;&lt;D xsi:type="xsd:double"&gt;3.34893008436318&lt;/D&gt;&lt;D xsi:type="xsd:double"&gt;3.43387761430488&lt;/D&gt;&lt;D xsi:type="xsd:double"&gt;3.15096278007422&lt;/D&gt;&lt;D xsi:type="xsd:double"&gt;3.22570725349068&lt;/D&gt;&lt;D xsi:type="xsd:double"&gt;3.52941136194125&lt;/D&gt;&lt;D xsi:type="xsd:double"&gt;3.72153681759651&lt;/D&gt;&lt;D xsi:type="xsd:double"&gt;3.43942939873526&lt;/D&gt;&lt;D xsi:type="xsd:double"&gt;3.20224467385168&lt;/D&gt;&lt;D xsi:type="xsd:double"&gt;3.16121406318265&lt;/D&gt;&lt;D xsi:type="xsd:double"&gt;3.5283368605166&lt;/D&gt;&lt;D xsi:type="xsd:double"&gt;3.53135151936902&lt;/D&gt;&lt;D xsi:type="xsd:double"&gt;3.81828039541344&lt;/D&gt;&lt;D xsi:type="xsd:double"&gt;3.51230783947258&lt;/D&gt;&lt;D xsi:type="xsd:double"&gt;3.4903703669801&lt;/D&gt;&lt;D xsi:type="xsd:double"&gt;3.55983281701636&lt;/D&gt;&lt;D xsi:type="xsd:double"&gt;3.7920176417151&lt;/D&gt;&lt;D xsi:type="xsd:double"&gt;3.82586471779943&lt;/D&gt;&lt;D xsi:type="xsd:double"&gt;3.62606269731172&lt;/D&gt;&lt;D xsi:type="xsd:double"&gt;3.4470356224217&lt;/D&gt;&lt;D xsi:type="xsd:double"&gt;3.55878201795755&lt;/D&gt;&lt;D xsi:type="xsd:double"&gt;3.62905242014925&lt;/D&gt;&lt;D xsi:type="xsd:double"&gt;3.61220634231291&lt;/D&gt;&lt;D xsi:type="xsd:double"&gt;3.57728550291867&lt;/D&gt;&lt;D xsi:type="xsd:double"&gt;3.49957502093045&lt;/D&gt;&lt;D xsi:type="xsd:double"&gt;3.74633793815906&lt;/D&gt;&lt;D xsi:type="xsd:double"&gt;3.99375646549922&lt;/D&gt;&lt;D xsi:type="xsd:double"&gt;4.1396100270289&lt;/D&gt;&lt;D xsi:type="xsd:double"&gt;4.29949875804283&lt;/D&gt;&lt;D xsi:type="xsd:double"&gt;4.20977002091657&lt;/D&gt;&lt;D xsi:type="xsd:double"&gt;3.97108449563072&lt;/D&gt;&lt;D xsi:type="xsd:double"&gt;4.1667240847959&lt;/D&gt;&lt;D xsi:type="xsd:double"&gt;4.40883109732271&lt;/D&gt;&lt;D xsi:type="xsd:double"&gt;4.75976103483674&lt;/D&gt;&lt;D xsi:type="xsd:double"&gt;5.27774538785219&lt;/D&gt;&lt;D xsi:type="xsd:double"&gt;5.4788925487406&lt;/D&gt;&lt;D xsi:type="xsd:double"&gt;5.42917210756787&lt;/D&gt;&lt;D xsi:type="xsd:double"&gt;5.71878978412184&lt;/D&gt;&lt;D xsi:type="xsd:double"&gt;5.49277177722219&lt;/D&gt;&lt;D xsi:type="xsd:double"&gt;5.53765232944997&lt;/D&gt;&lt;D xsi:type="xsd:double"&gt;5.34033501995597&lt;/D&gt;&lt;D xsi:type="xsd:double"&gt;5.29679030961808&lt;/D&gt;&lt;D xsi:type="xsd:double"&gt;4.53261914597397&lt;/D&gt;&lt;D xsi:type="xsd:double"&gt;4.77016237197534&lt;/D&gt;&lt;D xsi:type="xsd:double"&gt;4.53237880882066&lt;/D&gt;&lt;D xsi:type="xsd:double"&gt;5.08757124773515&lt;/D&gt;&lt;D xsi:type="xsd:double"&gt;5.69273074331697&lt;/D&gt;&lt;D xsi:type="xsd:double"&gt;5.03265548405009&lt;/D&gt;&lt;D xsi:type="xsd:double"&gt;4.40622915727071&lt;/D&gt;&lt;D xsi:type="xsd:double"&gt;4.93448459474061&lt;/D&gt;&lt;D xsi:type="xsd:double"&gt;5.04791298560223&lt;/D&gt;&lt;D xsi:type="xsd:double"&gt;5.0430081309474&lt;/D&gt;&lt;D xsi:type="xsd:double"&gt;4.49878479677357&lt;/D&gt;&lt;D xsi:type="xsd:double"&gt;4.3569211834212&lt;/D&gt;&lt;D xsi:type="xsd:double"&gt;4.38160402497654&lt;/D&gt;&lt;D xsi:type="xsd:double"&gt;4.53156452534697&lt;/D&gt;&lt;D xsi:type="xsd:double"&gt;6.14799582697114&lt;/D&gt;&lt;D xsi:type="xsd:double"&gt;4.54818016157409&lt;/D&gt;&lt;D xsi:type="xsd:double"&gt;4.01596588325109&lt;/D&gt;&lt;D xsi:type="xsd:double"&gt;3.21078784967796&lt;/D&gt;&lt;D xsi:type="xsd:double"&gt;3.38320980220377&lt;/D&gt;&lt;D xsi:type="xsd:double"&gt;4.0212257494208&lt;/D&gt;&lt;D xsi:type="xsd:double"&gt;4.71669841793622&lt;/D&gt;&lt;D xsi:type="xsd:double"&gt;4.25207790214537&lt;/D&gt;&lt;D xsi:type="xsd:double"&gt;3.97191597414535&lt;/D&gt;&lt;D xsi:type="xsd:double"&gt;3.926688068321&lt;/D&gt;&lt;D xsi:type="xsd:double"&gt;3.95760387916595&lt;/D&gt;&lt;D xsi:type="xsd:double"&gt;4.64209846308401&lt;/D&gt;&lt;D xsi:type="xsd:double"&gt;5.14909707121707&lt;/D&gt;&lt;D xsi:type="xsd:double"&gt;5.5519292147363&lt;/D&gt;&lt;D xsi:type="xsd:double"&gt;5.54035126554291&lt;/D&gt;&lt;D xsi:type="xsd:double"&gt;5.60081866829754&lt;/D&gt;&lt;D xsi:type="xsd:double"&gt;6.08032824786855&lt;/D&gt;&lt;D xsi:type="xsd:double"&gt;5.78021396254199&lt;/D&gt;&lt;D xsi:type="xsd:double"&gt;6.10962089446904&lt;/D&gt;&lt;D xsi:type="xsd:double"&gt;5.8992003841405&lt;/D&gt;&lt;D xsi:type="xsd:double"&gt;5.05852286962814&lt;/D&gt;&lt;D xsi:type="xsd:double"&gt;5.52240936386401&lt;/D&gt;&lt;D xsi:type="xsd:double"&gt;5.72942809827013&lt;/D&gt;&lt;D xsi:type="xsd:double"&gt;6.01225682755898&lt;/D&gt;&lt;D xsi:type="xsd:double"&gt;5.83001845688105&lt;/D&gt;&lt;D xsi:type="xsd:double"&gt;5.41434491634787&lt;/D&gt;&lt;D xsi:type="xsd:double"&gt;5.65302576629692&lt;/D&gt;&lt;D xsi:type="xsd:double"&gt;5.88025774902847&lt;/D&gt;&lt;D xsi:type="xsd:double"&gt;6.10592777533252&lt;/D&gt;&lt;D xsi:type="xsd:double"&gt;4.80165130246857&lt;/D&gt;&lt;D xsi:type="xsd:double"&gt;4.96231333037989&lt;/D&gt;&lt;D xsi:type="xsd:double"&gt;5.02322057739625&lt;/D&gt;&lt;D xsi:type="xsd:double"&gt;4.75644678077863&lt;/D&gt;&lt;D xsi:type="xsd:double"&gt;4.42498729297666&lt;/D&gt;&lt;D xsi:type="xsd:double"&gt;4.80577069990552&lt;/D&gt;&lt;D xsi:type="xsd:double"&gt;5.25677943575585&lt;/D&gt;&lt;D xsi:type="xsd:double"&gt;4.95392306767139&lt;/D&gt;&lt;D xsi:type="xsd:double"&gt;5.13176938733722&lt;/D&gt;&lt;D xsi:type="xsd:double"&gt;5.78956014904642&lt;/D&gt;&lt;D xsi:type="xsd:double"&gt;4.71143159060467&lt;/D&gt;&lt;D xsi:type="xsd:double"&gt;3.84762684020594&lt;/D&gt;&lt;D xsi:type="xsd:double"&gt;3.77017175340995&lt;/D&gt;&lt;D xsi:type="xsd:double"&gt;3.78279163550447&lt;/D&gt;&lt;D xsi:type="xsd:double"&gt;4.23480578734066&lt;/D&gt;&lt;D xsi:type="xsd:double"&gt;4.42042970708286&lt;/D&gt;&lt;D xsi:type="xsd:double"&gt;4.80046744550208&lt;/D&gt;&lt;D xsi:type="xsd:double"&gt;4.3759402843434&lt;/D&gt;&lt;D xsi:type="xsd:double"&gt;4.06701826437901&lt;/D&gt;&lt;D xsi:type="xsd:double"&gt;4.18255135065305&lt;/D&gt;&lt;D xsi:type="xsd:double"&gt;4.32866366797442&lt;/D&gt;&lt;D xsi:type="xsd:double"&gt;4.15527641890382&lt;/D&gt;&lt;/FQL&gt;&lt;FQL&gt;&lt;Q&gt;UAE^FMA_PE(NTMA,-10AY,0,AM,"PORTAGG","MEANR")&lt;/Q&gt;&lt;R&gt;121&lt;/R&gt;&lt;C&gt;1&lt;/C&gt;&lt;D xsi:type="xsd:string"&gt;@NA&lt;/D&gt;&lt;D xsi:type="xsd:double"&gt;14.1576079396147&lt;/D&gt;&lt;D xsi:type="xsd:double"&gt;14.3824966288719&lt;/D&gt;&lt;D xsi:type="xsd:double"&gt;14.9651033234577&lt;/D&gt;&lt;D xsi:type="xsd:double"&gt;15.2672474494341&lt;/D&gt;&lt;D xsi:type="xsd:double"&gt;14.0647111900901&lt;/D&gt;&lt;D xsi:type="xsd:double"&gt;13.7422663095866&lt;/D&gt;&lt;D xsi:type="xsd:double"&gt;11.8986116787701&lt;/D&gt;&lt;D xsi:type="xsd:double"&gt;11.9328710483499&lt;/D&gt;&lt;D xsi:type="xsd:double"&gt;12.6712474617681&lt;/D&gt;&lt;D xsi:type="xsd:double"&gt;11.811835017039&lt;/D&gt;&lt;D xsi:type="xsd:double"&gt;13.6392539329811&lt;/D&gt;&lt;D xsi:type="xsd:double"&gt;14.0260221460205&lt;/D&gt;&lt;D xsi:type="xsd:double"&gt;13.092479823676&lt;/D&gt;&lt;D xsi:type="xsd:double"&gt;13.1734446123021&lt;/D&gt;&lt;D xsi:type="xsd:double"&gt;11.3954228392829&lt;/D&gt;&lt;D xsi:type="xsd:double"&gt;11.9636477766095&lt;/D&gt;&lt;D xsi:type="xsd:double"&gt;11.8375475127711&lt;/D&gt;&lt;D xsi:type="xsd:double"&gt;10.8763337586934&lt;/D&gt;&lt;D xsi:type="xsd:double"&gt;10.9869510396884&lt;/D&gt;&lt;D xsi:type="xsd:double"&gt;9.82287628822147&lt;/D&gt;&lt;D xsi:type="xsd:double"&gt;11.232326631436&lt;/D&gt;&lt;D xsi:type="xsd:double"&gt;12.3824116197987&lt;/D&gt;&lt;D xsi:type="xsd:double"&gt;13.4248604360505&lt;/D&gt;&lt;D xsi:type="xsd:double"&gt;12.306129100912&lt;/D&gt;&lt;D xsi:type="xsd:double"&gt;12.6380392573317&lt;/D&gt;&lt;D xsi:type="xsd:double"&gt;12.8783712881762&lt;/D&gt;&lt;D xsi:type="xsd:double"&gt;12.5430108684911&lt;/D&gt;&lt;D xsi:type="xsd:double"&gt;12.3401322760531&lt;/D&gt;&lt;D xsi:type="xsd:double"&gt;12.1685958373996&lt;/D&gt;&lt;D xsi:type="xsd:double"&gt;11.3922289143045&lt;/D&gt;&lt;D xsi:type="xsd:double"&gt;11.4826907793761&lt;/D&gt;&lt;D xsi:type="xsd:double"&gt;12.3601262799594&lt;/D&gt;&lt;D xsi:type="xsd:double"&gt;12.3933556651124&lt;/D&gt;&lt;D xsi:type="xsd:double"&gt;11.9285722485405&lt;/D&gt;&lt;D xsi:type="xsd:double"&gt;11.998129644825&lt;/D&gt;&lt;D xsi:type="xsd:double"&gt;11.5602263291904&lt;/D&gt;&lt;D xsi:type="xsd:double"&gt;11.0895662905604&lt;/D&gt;&lt;D xsi:type="xsd:double"&gt;11.5861331188591&lt;/D&gt;&lt;D xsi:type="xsd:double"&gt;11.4290188670319&lt;/D&gt;&lt;D xsi:type="xsd:double"&gt;11.1421506922276&lt;/D&gt;&lt;D xsi:type="xsd:double"&gt;11.4059456810727&lt;/D&gt;&lt;D xsi:type="xsd:double"&gt;10.7177077709562&lt;/D&gt;&lt;D xsi:type="xsd:double"&gt;10.880474658205&lt;/D&gt;&lt;D xsi:type="xsd:double"&gt;11.6901262800913&lt;/D&gt;&lt;D xsi:type="xsd:double"&gt;11.105952115642&lt;/D&gt;&lt;D xsi:type="xsd:double"&gt;11.0275858996353&lt;/D&gt;&lt;D xsi:type="xsd:double"&gt;11.3659297362235&lt;/D&gt;&lt;D xsi:type="xsd:double"&gt;10.6106248621207&lt;/D&gt;&lt;D xsi:type="xsd:double"&gt;10.8454810054876&lt;/D&gt;&lt;D xsi:type="xsd:double"&gt;11.2617424818334&lt;/D&gt;&lt;D xsi:type="xsd:double"&gt;11.3771719876569&lt;/D&gt;&lt;D xsi:type="xsd:double"&gt;11.7780144959036&lt;/D&gt;&lt;D xsi:type="xsd:double"&gt;11.3944888576295&lt;/D&gt;&lt;D xsi:type="xsd:double"&gt;11.8157347167635&lt;/D&gt;&lt;D xsi:type="xsd:double"&gt;11.0957738131018&lt;/D&gt;&lt;D xsi:type="xsd:double"&gt;10.8637094817794&lt;/D&gt;&lt;D xsi:type="xsd:double"&gt;11.2035838494696&lt;/D&gt;&lt;D xsi:type="xsd:double"&gt;11.9046995769457&lt;/D&gt;&lt;D xsi:type="xsd:double"&gt;12.3476501808316&lt;/D&gt;&lt;D xsi:type="xsd:double"&gt;11.1156130918388&lt;/D&gt;&lt;D xsi:type="xsd:double"&gt;11.8696439940826&lt;/D&gt;&lt;D xsi:type="xsd:double"&gt;12.2859587199973&lt;/D&gt;&lt;D xsi:type="xsd:double"&gt;12.1403777116282&lt;/D&gt;&lt;D xsi:type="xsd:double"&gt;12.7639451698856&lt;/D&gt;&lt;D xsi:type="xsd:double"&gt;13.3238711003054&lt;/D&gt;&lt;D xsi:type="xsd:double"&gt;12.7334674312083&lt;/D&gt;&lt;D xsi:type="xsd:double"&gt;13.8546518039186&lt;/D&gt;&lt;D xsi:type="xsd:double"&gt;13.8485073839181&lt;/D&gt;&lt;D xsi:type="xsd:double"&gt;12.7226407581973&lt;/D&gt;&lt;D xsi:type="xsd:double"&gt;8.9222100974344&lt;/D&gt;&lt;D xsi:type="xsd:double"&gt;14.7813081500401&lt;/D&gt;&lt;D xsi:type="xsd:double"&gt;15.9825130505757&lt;/D&gt;&lt;D xsi:type="xsd:double"&gt;17.7445455530056&lt;/D&gt;&lt;D xsi:type="xsd:double"&gt;16.1270068871621&lt;/D&gt;&lt;D xsi:type="xsd:double"&gt;13.9547355724102&lt;/D&gt;&lt;D xsi:type="xsd:double"&gt;13.0682639238785&lt;/D&gt;&lt;D xsi:type="xsd:double"&gt;14.9812530482254&lt;/D&gt;&lt;D xsi:type="xsd:double"&gt;15.7626879993171&lt;/D&gt;&lt;D xsi:type="xsd:double"&gt;15.1580833152339&lt;/D&gt;&lt;D xsi:type="xsd:double"&gt;16.3858076914064&lt;/D&gt;&lt;D xsi:type="xsd:double"&gt;15.0274464806947&lt;/D&gt;&lt;D xsi:type="xsd:double"&gt;15.2872720166274&lt;/D&gt;&lt;D xsi:type="xsd:double"&gt;13.9933163135778&lt;/D&gt;&lt;D xsi:type="xsd:double"&gt;14.4491050714653&lt;/D&gt;&lt;D xsi:type="xsd:double"&gt;14.9254181518334&lt;/D&gt;&lt;D xsi:type="xsd:double"&gt;14.1591008406643&lt;/D&gt;&lt;D xsi:type="xsd:double"&gt;14.4100940326683&lt;/D&gt;&lt;D xsi:type="xsd:double"&gt;14.655947481661&lt;/D&gt;&lt;D xsi:type="xsd:double"&gt;14.6398229287188&lt;/D&gt;&lt;D xsi:type="xsd:double"&gt;15.30198425625&lt;/D&gt;&lt;D xsi:type="xsd:double"&gt;15.5357820296666&lt;/D&gt;&lt;D xsi:type="xsd:double"&gt;16.0455537587066&lt;/D&gt;&lt;D xsi:type="xsd:double"&gt;15.6909162518587&lt;/D&gt;&lt;D xsi:type="xsd:double"&gt;15.8618623392462&lt;/D&gt;&lt;D xsi:type="xsd:double"&gt;16.5151949953594&lt;/D&gt;&lt;D xsi:type="xsd:double"&gt;14.3656764342&lt;/D&gt;&lt;D xsi:type="xsd:double"&gt;12.9505573028442&lt;/D&gt;&lt;D xsi:type="xsd:double"&gt;13.4812634358151&lt;/D&gt;&lt;D xsi:type="xsd:double"&gt;13.3626209971451&lt;/D&gt;&lt;D xsi:type="xsd:double"&gt;13.0305909415617&lt;/D&gt;&lt;D xsi:type="xsd:double"&gt;12.5408479554396&lt;/D&gt;&lt;D xsi:type="xsd:double"&gt;12.3044631930248&lt;/D&gt;&lt;D xsi:type="xsd:double"&gt;12.136221073381&lt;/D&gt;&lt;D xsi:type="xsd:double"&gt;12.1001547837354&lt;/D&gt;&lt;D xsi:type="xsd:double"&gt;11.7259366709499&lt;/D&gt;&lt;D xsi:type="xsd:double"&gt;10.9282316563044&lt;/D&gt;&lt;D xsi:type="xsd:double"&gt;11.2463285238813&lt;/D&gt;&lt;D xsi:type="xsd:double"&gt;10.9590954771986&lt;/D&gt;&lt;D xsi:type="xsd:double"&gt;11.2190667613249&lt;/D&gt;&lt;D xsi:type="xsd:double"&gt;11.3350726728168&lt;/D&gt;&lt;D xsi:type="xsd:double"&gt;11.1834442103697&lt;/D&gt;&lt;D xsi:type="xsd:double"&gt;11.2601852997329&lt;/D&gt;&lt;D xsi:type="xsd:double"&gt;9.70408174513873&lt;/D&gt;&lt;D xsi:type="xsd:double"&gt;10.3231364090188&lt;/D&gt;&lt;D xsi:type="xsd:double"&gt;10.3834621323028&lt;/D&gt;&lt;D xsi:type="xsd:double"&gt;10.6299640202946&lt;/D&gt;&lt;D xsi:type="xsd:double"&gt;10.0100549333131&lt;/D&gt;&lt;D xsi:type="xsd:double"&gt;9.72977650388927&lt;/D&gt;&lt;D xsi:type="xsd:double"&gt;9.08854704533401&lt;/D&gt;&lt;D xsi:type="xsd:double"&gt;8.6563238486538&lt;/D&gt;&lt;/FQL&gt;&lt;FQL&gt;&lt;Q&gt;PLATI-FDS^FG_PRICE_CHANGE(0,-1AM)&lt;/Q&gt;&lt;R&gt;1&lt;/R&gt;&lt;C&gt;1&lt;/C&gt;&lt;D xsi:type="xsd:double"&gt;14.6153846153846&lt;/D&gt;&lt;/FQL&gt;&lt;FQL&gt;&lt;Q&gt;BRENT-FDS^MAX(FG_PRICE(0,-5AY))&lt;/Q&gt;&lt;R&gt;1&lt;/R&gt;&lt;C&gt;1&lt;/C&gt;&lt;D xsi:type="xsd:double"&gt;140.85&lt;/D&gt;&lt;/FQL&gt;&lt;FQL&gt;&lt;Q&gt;VNM^FG_PRICE(0)&lt;/Q&gt;&lt;R&gt;1&lt;/R&gt;&lt;C&gt;1&lt;/C&gt;&lt;D xsi:type="xsd:double"&gt;12.84&lt;/D&gt;&lt;/FQL&gt;&lt;FQL&gt;&lt;Q&gt;EWT^FMA_PCT_ABOVE_MAVG(200,0,,,,"PORTAGG")&lt;/Q&gt;&lt;R&gt;1&lt;/R&gt;&lt;C&gt;1&lt;/C&gt;&lt;D xsi:type="xsd:double"&gt;75.5555555555556</t>
        </r>
      </text>
    </comment>
    <comment ref="A9" authorId="0" shapeId="0" xr:uid="{5DB8D372-9B84-4A33-B404-372B1AF8D24C}">
      <text>
        <r>
          <rPr>
            <b/>
            <sz val="9"/>
            <color indexed="81"/>
            <rFont val="Tahoma"/>
            <charset val="1"/>
          </rPr>
          <t>&lt;/D&gt;&lt;/FQL&gt;&lt;FQL&gt;&lt;Q&gt;EWJ^FG_TOTAL_RETURNC(0,-6AM)&lt;/Q&gt;&lt;R&gt;1&lt;/R&gt;&lt;C&gt;1&lt;/C&gt;&lt;D xsi:type="xsd:double"&gt;9.896803&lt;/D&gt;&lt;/FQL&gt;&lt;FQL&gt;&lt;Q&gt;URTH^SIZE(FG_CONSTITUENTS)&lt;/Q&gt;&lt;R&gt;1&lt;/R&gt;&lt;C&gt;1&lt;/C&gt;&lt;D xsi:type="xsd:long"&gt;1467&lt;/D&gt;&lt;/FQL&gt;&lt;FQL&gt;&lt;Q&gt;EZA^SIZE(FG_CONSTITUENTS)&lt;/Q&gt;&lt;R&gt;1&lt;/R&gt;&lt;C&gt;1&lt;/C&gt;&lt;D xsi:type="xsd:long"&gt;34&lt;/D&gt;&lt;/FQL&gt;&lt;FQL&gt;&lt;Q&gt;EPHE^FMA_RBICS_REV_CURRENT(30, LOC, "PORTAGG")&lt;/Q&gt;&lt;R&gt;1&lt;/R&gt;&lt;C&gt;1&lt;/C&gt;&lt;D xsi:type="xsd:double"&gt;43.3599048314739&lt;/D&gt;&lt;/FQL&gt;&lt;FQL&gt;&lt;Q&gt;TRYBR10Y-FDS^FG_YIELD_NAME&lt;/Q&gt;&lt;R&gt;1&lt;/R&gt;&lt;C&gt;1&lt;/C&gt;&lt;D xsi:type="xsd:string"&gt;Treasury - Brazil Benchmark Bond 10Y&lt;/D&gt;&lt;/FQL&gt;&lt;FQL&gt;&lt;Q&gt;REFEUREFI-FDS^(SUBARRAY(NOT_NA(NO_REPEAT_F(FG_YIELD(NOW,-10AY,D))),0,1)-SUBARRAY(NOT_NA(NO_REPEAT_F(FG_YIELD(NOW,-10AY,D))),1,1))*100&lt;/Q&gt;&lt;R&gt;1&lt;/R&gt;&lt;C&gt;1&lt;/C&gt;&lt;D xsi:type="xsd:double"&gt;25&lt;/D&gt;&lt;/FQL&gt;&lt;FQL&gt;&lt;Q&gt;EWW^FMA_ROE(NTMA,-20AY,NOW,FY,"PORTAGG","MEANR")&lt;/Q&gt;&lt;R&gt;20&lt;/R&gt;&lt;C&gt;1&lt;/C&gt;&lt;D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xsi:type="xsd:double"&gt;12.0869262494349&lt;/D&gt;&lt;D xsi:type="xsd:double"&gt;11.7827107678683&lt;/D&gt;&lt;D xsi:type="xsd:double"&gt;13.687162530438&lt;/D&gt;&lt;D xsi:type="xsd:double"&gt;13.3394699175221&lt;/D&gt;&lt;D xsi:type="xsd:double"&gt;13.7129718327555&lt;/D&gt;&lt;/FQL&gt;&lt;FQL&gt;&lt;Q&gt;TRYEU10Y-FDS^FG_YIELD(-10AY,0,Y,,"YTM")&lt;/Q&gt;&lt;R&gt;10&lt;/R&gt;&lt;C&gt;1&lt;/C&gt;&lt;D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xsi:type="xsd:double"&gt;2.004&lt;/D&gt;&lt;/FQL&gt;&lt;FQL&gt;&lt;Q&gt;CAGDPY@TH^EE_ACTUAL_ANNUAL(MED,+1)&lt;/Q&gt;&lt;R&gt;1&lt;/R&gt;&lt;C&gt;1&lt;/C&gt;&lt;D xsi:type="xsd:double"&gt;2.4&lt;/D&gt;&lt;/FQL&gt;&lt;FQL&gt;&lt;Q&gt;USDTHB^FG_PRICE_CHANGE(0,-6AM)&lt;/Q&gt;&lt;R&gt;1&lt;/R&gt;&lt;C&gt;1&lt;/C&gt;&lt;D xsi:type="xsd:double"&gt;3.5653472&lt;/D&gt;&lt;/FQL&gt;&lt;FQL&gt;&lt;Q&gt;USDMXN^FG_PRICE_CHANGE(0,-6AM)&lt;/Q&gt;&lt;R&gt;1&lt;/R&gt;&lt;C&gt;1&lt;/C&gt;&lt;D xsi:type="xsd:double"&gt;-2.5679827&lt;/D&gt;&lt;/FQL&gt;&lt;FQL&gt;&lt;Q&gt;USDCNH^STD(FG_PRICE_CHANGE(0,-3AY,M))&lt;/Q&gt;&lt;R&gt;1&lt;/R&gt;&lt;C&gt;1&lt;/C&gt;&lt;D xsi:type="xsd:double"&gt;1.78028996989137&lt;/D&gt;&lt;/FQL&gt;&lt;FQL&gt;&lt;Q&gt;EZA^P_PRICE_RETURNS_PR('52W',2,-10AY,0,AM)&lt;/Q&gt;&lt;R&gt;121&lt;/R&gt;&lt;C&gt;1&lt;/C&gt;&lt;D xsi:type="xsd:double"&gt;16.439713&lt;/D&gt;&lt;D xsi:type="xsd:double"&gt;29.495012&lt;/D&gt;&lt;D xsi:type="xsd:double"&gt;20.037376&lt;/D&gt;&lt;D xsi:type="xsd:double"&gt;21.788788&lt;/D&gt;&lt;D xsi:type="xsd:double"&gt;2.4434805&lt;/D&gt;&lt;D xsi:type="xsd:double"&gt;0.015890598&lt;/D&gt;&lt;D xsi:type="xsd:double"&gt;15.0231&lt;/D&gt;&lt;D xsi:type="xsd:double"&gt;4.024577&lt;/D&gt;&lt;D xsi:type="xsd:double"&gt;14.185465&lt;/D&gt;&lt;D xsi:type="xsd:double"&gt;16.422129&lt;/D&gt;&lt;D xsi:type="xsd:double"&gt;9.8421335&lt;/D&gt;&lt;D xsi:type="xsd:double"&gt;8.279133&lt;/D&gt;&lt;D xsi:type="xsd:double"&gt;0.16541481&lt;/D&gt;&lt;D xsi:type="xsd:double"&gt;-3.135103&lt;/D&gt;&lt;D xsi:type="xsd:double"&gt;-8.709264&lt;/D&gt;&lt;D xsi:type="xsd:double"&gt;-19.88011&lt;/D&gt;&lt;D xsi:type="xsd:double"&gt;-16.394203&lt;/D&gt;&lt;D xsi:type="xsd:double"&gt;-7.2603045&lt;/D&gt;&lt;D xsi:type="xsd:double"&gt;-20.031946&lt;/D&gt;&lt;D xsi:type="xsd:double"&gt;-21.560919&lt;/D&gt;&lt;D xsi:type="xsd:double"&gt;-38.63495&lt;/D&gt;&lt;D xsi:type="xsd:double"&gt;-32.218273&lt;/D&gt;&lt;D xsi:type="xsd:double"&gt;-22.278345&lt;/D&gt;&lt;D xsi:type="xsd:double"&gt;-19.154846&lt;/D&gt;&lt;D xsi:type="xsd:double"&gt;-27.56263&lt;/D&gt;&lt;D xsi:type="xsd:double"&gt;-12.524003&lt;/D&gt;&lt;D xsi:type="xsd:double"&gt;-7.2773876&lt;/D&gt;&lt;D xsi:type="xsd:double"&gt;6.9247246&lt;/D&gt;&lt;D xsi:type="xsd:double"&gt;10.497856&lt;/D&gt;&lt;D xsi:type="xsd:double"&gt;-2.0047665&lt;/D&gt;&lt;D xsi:type="xsd:double"&gt;-5.038434&lt;/D&gt;&lt;D xsi:type="xsd:double"&gt;6.5969825&lt;/D&gt;&lt;D xsi:type="xsd:double"&gt;40.667366&lt;/D&gt;&lt;D xsi:type="xsd:double"&gt;30.610275&lt;/D&gt;&lt;D xsi:type="xsd:double"&gt;23.376728&lt;/D&gt;&lt;D xsi:type="xsd:double"&gt;7.81312&lt;/D&gt;&lt;D xsi:type="xsd:double"&gt;31.53019&lt;/D&gt;&lt;D xsi:type="xsd:double"&gt;7.865238&lt;/D&gt;&lt;D xsi:type="xsd:double"&gt;11.474764&lt;/D&gt;&lt;D xsi:type="xsd:double"&gt;11.496746&lt;/D&gt;&lt;D xsi:type="xsd:double"&gt;8.07724&lt;/D&gt;&lt;D xsi:type="xsd:double"&gt;13.79162&lt;/D&gt;&lt;D xsi:type="xsd:double"&gt;22.57862&lt;/D&gt;&lt;D xsi:type="xsd:double"&gt;38.328888&lt;/D&gt;&lt;D xsi:type="xsd:double"&gt;35.66936&lt;/D&gt;&lt;D xsi:type="xsd:double"&gt;33.240032&lt;/D&gt;&lt;D xsi:type="xsd:double"&gt;15.290976&lt;/D&gt;&lt;D xsi:type="xsd:double"&gt;17.626549&lt;/D&gt;&lt;D xsi:type="xsd:double"&gt;7.228029&lt;/D&gt;&lt;D xsi:type="xsd:double"&gt;4.345739&lt;/D&gt;&lt;D xsi:type="xsd:double"&gt;-2.6120782&lt;/D&gt;&lt;D xsi:type="xsd:double"&gt;-8.689809&lt;/D&gt;&lt;D xsi:type="xsd:double"&gt;-6.5310297&lt;/D&gt;&lt;D xsi:type="xsd:double"&gt;-15.51578&lt;/D&gt;&lt;D xsi:type="xsd:double"&gt;-16.216028&lt;/D&gt;&lt;D xsi:type="xsd:double"&gt;-24.54915&lt;/D&gt;&lt;D xsi:type="xsd:double"&gt;-23.427856&lt;/D&gt;&lt;D xsi:type="xsd:double"&gt;-22.116142&lt;/D&gt;&lt;D xsi:type="xsd:double"&gt;-23.583961&lt;/D&gt;&lt;D xsi:type="xsd:double"&gt;-10.695344&lt;/D&gt;&lt;D xsi:type="xsd:double"&gt;-18.837463&lt;/D&gt;&lt;D xsi:type="xsd:double"&gt;2.103579&lt;/D&gt;&lt;D xsi:type="xsd:double"&gt;-0.6431103&lt;/D&gt;&lt;D xsi:type="xsd:double"&gt;-13.059646&lt;/D&gt;&lt;D xsi:type="xsd:double"&gt;-4.7816634&lt;/D&gt;&lt;D xsi:type="xsd:double"&gt;8.056629&lt;/D&gt;&lt;D xsi:type="xsd:double"&gt;3.6896825&lt;/D&gt;&lt;D xsi:type="xsd:double"&gt;12.334037&lt;/D&gt;&lt;D xsi:type="xsd:double"&gt;-1.9562304&lt;/D&gt;&lt;D xsi:type="xsd:double"&gt;-4.475701&lt;/D&gt;&lt;D xsi:type="xsd:double"&gt;-46.048607&lt;/D&gt;&lt;D xsi:type="xsd:double"&gt;-41.415627&lt;/D&gt;&lt;D xsi:type="xsd:double"&gt;-27.866613&lt;/D&gt;&lt;D xsi:type="xsd:double"&gt;-25.71836&lt;/D&gt;&lt;D xsi:type="xsd:double"&gt;-21.450705&lt;/D&gt;&lt;D xsi:type="xsd:double"&gt;-11.016917&lt;/D&gt;&lt;D xsi:type="xsd:double"&gt;-20.38697&lt;/D&gt;&lt;D xsi:type="xsd:double"&gt;-12.517601&lt;/D&gt;&lt;D xsi:type="xsd:double"&gt;-8.742178&lt;/D&gt;&lt;D xsi:type="xsd:double"&gt;-3.1631172&lt;/D&gt;&lt;D xsi:type="xsd:double"&gt;-0.5412519&lt;/D&gt;&lt;D xsi:type="xsd:double"&gt;13.406968&lt;/D&gt;&lt;D xsi:type="xsd:double"&gt;104.39589&lt;/D&gt;&lt;D xsi:type="xsd:double"&gt;81.22523&lt;/D&gt;&lt;D xsi:type="xsd:double"&gt;57.996952&lt;/D&gt;&lt;D xsi:type="xsd:double"&gt;40.00417&lt;/D&gt;&lt;D xsi:type="xsd:double"&gt;28.444397&lt;/D&gt;&lt;D xsi:type="xsd:double"&gt;29.819834&lt;/D&gt;&lt;D xsi:type="xsd:double"&gt;40.651344&lt;/D&gt;&lt;D xsi:type="xsd:double"&gt;30.263662&lt;/D&gt;&lt;D xsi:type="xsd:double"&gt;15.311933&lt;/D&gt;&lt;D xsi:type="xsd:double"&gt;7.449436&lt;/D&gt;&lt;D xsi:type="xsd:double"&gt;10.758865&lt;/D&gt;&lt;D xsi:type="xsd:double"&gt;8.219135&lt;/D&gt;&lt;D xsi:type="xsd:double"&gt;18.866598&lt;/D&gt;&lt;D xsi:type="xsd:double"&gt;-1.3563037&lt;/D&gt;&lt;D xsi:type="xsd:double"&gt;-6.0884356&lt;/D&gt;&lt;D xsi:type="xsd:double"&gt;-9.603655&lt;/D&gt;&lt;D xsi:type="xsd:double"&gt;-9.741461&lt;/D&gt;&lt;D xsi:type="xsd:double"&gt;-6.2067747&lt;/D&gt;&lt;D xsi:type="xsd:double"&gt;-20.380009&lt;/D&gt;&lt;D xsi:type="xsd:double"&gt;-19.746326&lt;/D&gt;&lt;D xsi:type="xsd:double"&gt;0.55298805&lt;/D&gt;&lt;D xsi:type="xsd:double"&gt;-3.4810722&lt;/D&gt;&lt;D xsi:type="xsd:double"&gt;-4.04768&lt;/D&gt;&lt;D xsi:type="xsd:double"&gt;-15.967536&lt;/D&gt;&lt;D xsi:type="xsd:double"&gt;-22.757816&lt;/D&gt;&lt;D xsi:type="xsd:double"&gt;-10.120994&lt;/D&gt;&lt;D xsi:type="xsd:double"&gt;-14.5283165&lt;/D&gt;&lt;D xsi:type="xsd:double"&gt;-5.038601&lt;/D&gt;&lt;D xsi:type="xsd:double"&gt;5.6263924&lt;/D&gt;&lt;D xsi:type="xsd:double"&gt;-1.3418674&lt;/D&gt;&lt;D xsi:type="xsd:double"&gt;4.477179&lt;/D&gt;&lt;D xsi:type="xsd:double"&gt;1.631558&lt;/D&gt;&lt;D xsi:type="xsd:double"&gt;-6.3523054&lt;/D&gt;&lt;D xsi:type="xsd:double"&gt;-1.6298592&lt;/D&gt;&lt;D xsi:type="xsd:double"&gt;-14.493137&lt;/D&gt;&lt;D xsi:type="xsd:double"&gt;-6.2942266&lt;/D&gt;&lt;D xsi:type="xsd:double"&gt;-2.0427585&lt;/D&gt;&lt;D xsi:type="xsd:double"&gt;-7.089776&lt;/D&gt;&lt;D xsi:type="xsd:double"&gt;13.382864&lt;/D&gt;&lt;/FQL&gt;&lt;FQL&gt;&lt;Q&gt;MCHI^FG_TOTAL_RETURNC(-10AY,0,AM)&lt;/Q&gt;&lt;R&gt;121&lt;/R&gt;&lt;C&gt;1&lt;/C&gt;&lt;D xsi:type="xsd:double"&gt;3.0364394&lt;/D&gt;&lt;D xsi:type="xsd:double"&gt;1.3097525&lt;/D&gt;&lt;D xsi:type="xsd:double"&gt;7.9363346&lt;/D&gt;&lt;D xsi:type="xsd:double"&gt;2.7377725&lt;/D&gt;&lt;D xsi:type="xsd:double"&gt;-4.836166&lt;/D&gt;&lt;D xsi:type="xsd:double"&gt;-1.0578692&lt;/D&gt;&lt;D xsi:type="xsd:double"&gt;3.417194&lt;/D&gt;&lt;D xsi:type="xsd:double"&gt;0.68284273&lt;/D&gt;&lt;D xsi:type="xsd:double"&gt;7.396865&lt;/D&gt;&lt;D xsi:type="xsd:double"&gt;-1.4380276&lt;/D&gt;&lt;D xsi:type="xsd:double"&gt;1.5550017&lt;/D&gt;&lt;D xsi:type="xsd:double"&gt;20.094513&lt;/D&gt;&lt;D xsi:type="xsd:double"&gt;-1.1490643&lt;/D&gt;&lt;D xsi:type="xsd:double"&gt;-5.5095553&lt;/D&gt;&lt;D xsi:type="xsd:double"&gt;-11.221182&lt;/D&gt;&lt;D xsi:type="xsd:double"&gt;-14.5186&lt;/D&gt;&lt;D xsi:type="xsd:double"&gt;-1.1218309&lt;/D&gt;&lt;D xsi:type="xsd:double"&gt;13.206267&lt;/D&gt;&lt;D xsi:type="xsd:double"&gt;-4.529965&lt;/D&gt;&lt;D xsi:type="xsd:double"&gt;-2.1788716&lt;/D&gt;&lt;D xsi:type="xsd:double"&gt;-15.233952&lt;/D&gt;&lt;D xsi:type="xsd:double"&gt;-1.1810005&lt;/D&gt;&lt;D xsi:type="xsd:double"&gt;7.664323&lt;/D&gt;&lt;D xsi:type="xsd:double"&gt;4.4401526&lt;/D&gt;&lt;D xsi:type="xsd:double"&gt;-7.694083&lt;/D&gt;&lt;D xsi:type="xsd:double"&gt;7.434976&lt;/D&gt;&lt;D xsi:type="xsd:double"&gt;3.94274&lt;/D&gt;&lt;D xsi:type="xsd:double"&gt;5.780077&lt;/D&gt;&lt;D xsi:type="xsd:double"&gt;4.759884&lt;/D&gt;&lt;D xsi:type="xsd:double"&gt;-1.4466226&lt;/D&gt;&lt;D xsi:type="xsd:double"&gt;-5.1891623&lt;/D&gt;&lt;D xsi:type="xsd:double"&gt;-5.7665586&lt;/D&gt;&lt;D xsi:type="xsd:double"&gt;8.644867&lt;/D&gt;&lt;D xsi:type="xsd:double"&gt;6.838715&lt;/D&gt;&lt;D xsi:type="xsd:double"&gt;1.7310858&lt;/D&gt;&lt;D xsi:type="xsd:double"&gt;-0.39572716&lt;/D&gt;&lt;D xsi:type="xsd:double"&gt;6.297171&lt;/D&gt;&lt;D xsi:type="xsd:double"&gt;3.2039165&lt;/D&gt;&lt;D xsi:type="xsd:double"&gt;5.651462&lt;/D&gt;&lt;D xsi:type="xsd:double"&gt;5.9167624&lt;/D&gt;&lt;D xsi:type="xsd:double"&gt;3.6537886&lt;/D&gt;&lt;D xsi:type="xsd:double"&gt;1.6606569&lt;/D&gt;&lt;D xsi:type="xsd:double"&gt;7.628286&lt;/D&gt;&lt;D xsi:type="xsd:double"&gt;-3.1396866&lt;/D&gt;&lt;D xsi:type="xsd:double"&gt;12.309074&lt;/D&gt;&lt;D xsi:type="xsd:double"&gt;-3.546673&lt;/D&gt;&lt;D xsi:type="xsd:double"&gt;-7.2573957&lt;/D&gt;&lt;D xsi:type="xsd:double"&gt;-0.95394254&lt;/D&gt;&lt;D xsi:type="xsd:double"&gt;4.2889476&lt;/D&gt;&lt;D xsi:type="xsd:double"&gt;-2.7682185&lt;/D&gt;&lt;D xsi:type="xsd:double"&gt;-5.546445&lt;/D&gt;&lt;D xsi:type="xsd:double"&gt;-4.8145237&lt;/D&gt;&lt;D xsi:type="xsd:double"&gt;0.514102&lt;/D&gt;&lt;D xsi:type="xsd:double"&gt;-10.509813&lt;/D&gt;&lt;D xsi:type="xsd:double"&gt;0.9771347&lt;/D&gt;&lt;D xsi:type="xsd:double"&gt;-4.017329&lt;/D&gt;&lt;D xsi:type="xsd:double"&gt;7.721865&lt;/D&gt;&lt;D xsi:type="xsd:double"&gt;8.648359&lt;/D&gt;&lt;D xsi:type="xsd:double"&gt;-0.13130307&lt;/D&gt;&lt;D xsi:type="xsd:double"&gt;5.850458&lt;/D&gt;&lt;D xsi:type="xsd:double"&gt;-14.299023&lt;/D&gt;&lt;D xsi:type="xsd:double"&gt;7.5639606&lt;/D&gt;&lt;D xsi:type="xsd:double"&gt;1.2711883&lt;/D&gt;&lt;D xsi:type="xsd:double"&gt;-8.351469&lt;/D&gt;&lt;D xsi:type="xsd:double"&gt;5.6062937&lt;/D&gt;&lt;D xsi:type="xsd:double"&gt;-0.103753805&lt;/D&gt;&lt;D xsi:type="xsd:double"&gt;2.8734684&lt;/D&gt;&lt;D xsi:type="xsd:double"&gt;7.9672813&lt;/D&gt;&lt;D xsi:type="xsd:double"&gt;1.4469981&lt;/D&gt;&lt;D xsi:type="xsd:double"&gt;-0.29457808&lt;/D&gt;&lt;D xsi:type="xsd:double"&gt;-17.92878&lt;/D&gt;&lt;D xsi:type="xsd:double"&gt;12.751043&lt;/D&gt;&lt;D xsi:type="xsd:double"&gt;-0.72256327&lt;/D&gt;&lt;D xsi:type="xsd:double"&gt;13.692379&lt;/D&gt;&lt;D xsi:type="xsd:double"&gt;7.486558&lt;/D&gt;&lt;D xsi:type="xsd:double"&gt;3.2253623&lt;/D&gt;&lt;D xsi:type="xsd:double"&gt;-2.3973048&lt;/D&gt;&lt;D xsi:type="xsd:double"&gt;8.362079&lt;/D&gt;&lt;D xsi:type="xsd:double"&gt;3.3108354&lt;/D&gt;&lt;D xsi:type="xsd:double"&gt;-0.883162&lt;/D&gt;&lt;D xsi:type="xsd:double"&gt;14.110268&lt;/D&gt;&lt;D xsi:type="xsd:double"&gt;0.9554148&lt;/D&gt;&lt;D xsi:type="xsd:double"&gt;-9.8009405&lt;/D&gt;&lt;D xsi:type="xsd:double"&gt;1.0492086&lt;/D&gt;&lt;D xsi:type="xsd:double"&gt;-5.2631617&lt;/D&gt;&lt;D xsi:type="xsd:double"&gt;1.9087315&lt;/D&gt;&lt;D xsi:type="xsd:double"&gt;-7.284445&lt;/D&gt;&lt;D xsi:type="xsd:double"&gt;-9.714055&lt;/D&gt;&lt;D xsi:type="xsd:double"&gt;0.63637495&lt;/D&gt;&lt;D xsi:type="xsd:double"&gt;6.5882444&lt;/D&gt;&lt;D xsi:type="xsd:double"&gt;-6.8846645&lt;/D&gt;&lt;D xsi:type="xsd:double"&gt;-6.363225&lt;/D&gt;&lt;D xsi:type="xsd:double"&gt;1.2593627&lt;/D&gt;&lt;D xsi:type="xsd:double"&gt;-6.6908064&lt;/D&gt;&lt;D xsi:type="xsd:double"&gt;-7.727355&lt;/D&gt;&lt;D xsi:type="xsd:double"&gt;-11.336618&lt;/D&gt;&lt;D xsi:type="xsd:double"&gt;2.6190877&lt;/D&gt;&lt;D xsi:type="xsd:double"&gt;9.782529&lt;/D&gt;&lt;D xsi:type="xsd:double"&gt;-5.431783&lt;/D&gt;&lt;D xsi:type="xsd:double"&gt;-5.0817785&lt;/D&gt;&lt;D xsi:type="xsd:double"&gt;-10.605126&lt;/D&gt;&lt;D xsi:type="xsd:double"&gt;-8.444243&lt;/D&gt;&lt;D xsi:type="xsd:double"&gt;8.671677&lt;/D&gt;&lt;D xsi:type="xsd:double"&gt;9.4392185&lt;/D&gt;&lt;D xsi:type="xsd:double"&gt;18.306244&lt;/D&gt;&lt;D xsi:type="xsd:double"&gt;-11.207521&lt;/D&gt;&lt;D xsi:type="xsd:double"&gt;-0.16286373&lt;/D&gt;&lt;D xsi:type="xsd:double"&gt;-2.1411061&lt;/D&gt;&lt;D xsi:type="xsd:double"&gt;-4.9385366&lt;/D&gt;&lt;D xsi:type="xsd:double"&gt;-2.2332728&lt;/D&gt;&lt;D xsi:type="xsd:double"&gt;2.7161598&lt;/D&gt;&lt;D xsi:type="xsd:double"&gt;-3.6579967&lt;/D&gt;&lt;D xsi:type="xsd:double"&gt;0.70905685&lt;/D&gt;&lt;D xsi:type="xsd:double"&gt;-6.5182805&lt;/D&gt;&lt;D xsi:type="xsd:double"&gt;5.515063&lt;/D&gt;&lt;D xsi:type="xsd:double"&gt;-7.242954&lt;/D&gt;&lt;D xsi:type="xsd:double"&gt;-4.708582&lt;/D&gt;&lt;D xsi:type="xsd:double"&gt;6.570518&lt;/D&gt;&lt;D xsi:type="xsd:double"&gt;-0.9273231&lt;/D&gt;&lt;D xsi:type="xsd:double"&gt;2.9850721&lt;/D&gt;&lt;D xsi:type="xsd:double"&gt;10.660768&lt;/D&gt;&lt;/FQL&gt;&lt;FQL&gt;&lt;Q&gt;ECH^FMA_PE(LTMA,-10AY,0,AM,"PORTAGG","MEANR")&lt;/Q&gt;&lt;R&gt;121&lt;/R&gt;&lt;C&gt;1&lt;/C&gt;&lt;D xsi:type="xsd:double"&gt;15.8290240181205&lt;/D&gt;&lt;D xsi:type="xsd:double"&gt;15.8901854150221&lt;/D&gt;&lt;D xsi:type="xsd:double"&gt;16.3551220711626&lt;/D&gt;&lt;D xsi:type="xsd:double"&gt;16.3704706544083&lt;/D&gt;&lt;D xsi:type="xsd:double"&gt;16.54640492593&lt;/D&gt;&lt;D xsi:type="xsd:double"&gt;16.0070562825959&lt;/D&gt;&lt;D xsi:type="xsd:double"&gt;16.7061065570836&lt;/D&gt;&lt;D xsi:type="xsd:double"&gt;16.5926320105391&lt;/D&gt;&lt;D xsi:type="xsd:double"&gt;16.2678206716091&lt;/D&gt;&lt;D xsi:type="xsd:double"&gt;16.8655478955805&lt;/D&gt;&lt;D xsi:type="xsd:double"&gt;16.4336623951296&lt;/D&gt;&lt;D xsi:type="xsd:double"&gt;16.4715298165281&lt;/D&gt;&lt;D xsi:type="xsd:double"&gt;16.376954945278&lt;/D&gt;&lt;D xsi:type="xsd:double"&gt;16.0267240368878&lt;/D&gt;&lt;D xsi:type="xsd:double"&gt;15.3330410533798&lt;/D&gt;&lt;D xsi:type="xsd:double"&gt;15.0729978098443&lt;/D&gt;&lt;D xsi:type="xsd:double"&gt;14.9045805931866&lt;/D&gt;&lt;D xsi:type="xsd:double"&gt;15.6912972886116&lt;/D&gt;&lt;D xsi:type="xsd:double"&gt;16.1742940952136&lt;/D&gt;&lt;D xsi:type="xsd:double"&gt;16.3329367033514&lt;/D&gt;&lt;D xsi:type="xsd:double"&gt;15.0458312563797&lt;/D&gt;&lt;D xsi:type="xsd:double"&gt;15.6560795435205&lt;/D&gt;&lt;D xsi:type="xsd:double"&gt;15.5184693646118&lt;/D&gt;&lt;D xsi:type="xsd:double"&gt;15.5492656756107&lt;/D&gt;&lt;D xsi:type="xsd:double"&gt;15.2298164596687&lt;/D&gt;&lt;D xsi:type="xsd:double"&gt;15.1522004720707&lt;/D&gt;&lt;D xsi:type="xsd:double"&gt;15.7683861656512&lt;/D&gt;&lt;D xsi:type="xsd:double"&gt;16.0294701654007&lt;/D&gt;&lt;D xsi:type="xsd:double"&gt;16.1409725256725&lt;/D&gt;&lt;D xsi:type="xsd:double"&gt;16.9620405805471&lt;/D&gt;&lt;D xsi:type="xsd:double"&gt;16.4582327330362&lt;/D&gt;&lt;D xsi:type="xsd:double"&gt;15.078586015581&lt;/D&gt;&lt;D xsi:type="xsd:double"&gt;15.9102860642135&lt;/D&gt;&lt;D xsi:type="xsd:double"&gt;16.7497089111566&lt;/D&gt;&lt;D xsi:type="xsd:double"&gt;16.9500866134356&lt;/D&gt;&lt;D xsi:type="xsd:double"&gt;17.1562992219832&lt;/D&gt;&lt;D xsi:type="xsd:double"&gt;17.3095031399702&lt;/D&gt;&lt;D xsi:type="xsd:double"&gt;17.3173624987703&lt;/D&gt;&lt;D xsi:type="xsd:double"&gt;17.9472956129948&lt;/D&gt;&lt;D xsi:type="xsd:double"&gt;19.0521759445813&lt;/D&gt;&lt;D xsi:type="xsd:double"&gt;20.2871975790303&lt;/D&gt;&lt;D xsi:type="xsd:double"&gt;18.4121095388536&lt;/D&gt;&lt;D xsi:type="xsd:double"&gt;16.6929242773815&lt;/D&gt;&lt;D xsi:type="xsd:double"&gt;17.9299521881146&lt;/D&gt;&lt;D xsi:type="xsd:double"&gt;18.4198032167524&lt;/D&gt;&lt;D xsi:type="xsd:double"&gt;18.057297753749&lt;/D&gt;&lt;D xsi:type="xsd:double"&gt;17.2795754264353&lt;/D&gt;&lt;D xsi:type="xsd:double"&gt;17.0628027846938&lt;/D&gt;&lt;D xsi:type="xsd:double"&gt;16.5460045352585&lt;/D&gt;&lt;D xsi:type="xsd:double"&gt;15.60762910168&lt;/D&gt;&lt;D xsi:type="xsd:double"&gt;15.4791244311101&lt;/D&gt;&lt;D xsi:type="xsd:double"&gt;15.4759023314567&lt;/D&gt;&lt;D xsi:type="xsd:double"&gt;15.5858062497547&lt;/D&gt;&lt;D xsi:type="xsd:double"&gt;16.9645681969322&lt;/D&gt;&lt;D xsi:type="xsd:double"&gt;17.3183768526268&lt;/D&gt;&lt;D xsi:type="xsd:double"&gt;16.2983170984185&lt;/D&gt;&lt;D xsi:type="xsd:double"&gt;17.6864489650495&lt;/D&gt;&lt;D xsi:type="xsd:double"&gt;18.2216443928851&lt;/D&gt;&lt;D xsi:type="xsd:double"&gt;15.7494341960759&lt;/D&gt;&lt;D xsi:type="xsd:double"&gt;15.6823640633502&lt;/D&gt;&lt;D xsi:type="xsd:double"&gt;15.4341752310097&lt;/D&gt;&lt;D xsi:type="xsd:double"&gt;15.895977656785&lt;/D&gt;&lt;D xsi:type="xsd:double"&gt;16.0884813669614&lt;/D&gt;&lt;D xsi:type="xsd:double"&gt;15.2891927733383&lt;/D&gt;&lt;D xsi:type="xsd:double"&gt;16.6716102999561&lt;/D&gt;&lt;D xsi:type="xsd:double"&gt;16.4346130307873&lt;/D&gt;&lt;D xsi:type="xsd:double"&gt;15.6733642852933&lt;/D&gt;&lt;D xsi:type="xsd:double"&gt;15.611241339248&lt;/D&gt;&lt;D xsi:type="xsd:double"&gt;15.07680686497&lt;/D&gt;&lt;D xsi:type="xsd:double"&gt;14.3654383210258&lt;/D&gt;&lt;D xsi:type="xsd:double"&gt;14.6042874209016&lt;/D&gt;&lt;D xsi:type="xsd:double"&gt;14.8935960055092&lt;/D&gt;&lt;D xsi:type="xsd:double"&gt;15.6687510671067&lt;/D&gt;&lt;D xsi:type="xsd:double"&gt;16.8051538527637&lt;/D&gt;&lt;D xsi:type="xsd:double"&gt;17.3538171827185&lt;/D&gt;&lt;D xsi:type="xsd:double"&gt;19.798426734342&lt;/D&gt;&lt;D xsi:type="xsd:double"&gt;18.3461977963568&lt;/D&gt;&lt;D xsi:type="xsd:double"&gt;20.5485954845275&lt;/D&gt;&lt;D xsi:type="xsd:double"&gt;22.8367388789574&lt;/D&gt;&lt;D xsi:type="xsd:double"&gt;24.3827102388989&lt;/D&gt;&lt;D xsi:type="xsd:double"&gt;23.3797113667968&lt;/D&gt;&lt;D xsi:type="xsd:double"&gt;25.5030875349714&lt;/D&gt;&lt;D xsi:type="xsd:double"&gt;31.1645050626082&lt;/D&gt;&lt;D xsi:type="xsd:double"&gt;29.1778155733788&lt;/D&gt;&lt;D xsi:type="xsd:double"&gt;26.3863065031611&lt;/D&gt;&lt;D xsi:type="xsd:double"&gt;24.2027985328024&lt;/D&gt;&lt;D xsi:type="xsd:double"&gt;21.6070092095131&lt;/D&gt;&lt;D xsi:type="xsd:double"&gt;19.4543267790102&lt;/D&gt;&lt;D xsi:type="xsd:double"&gt;17.2965418114665&lt;/D&gt;&lt;D xsi:type="xsd:double"&gt;14.6105287663204&lt;/D&gt;&lt;D xsi:type="xsd:double"&gt;12.9212893634686&lt;/D&gt;&lt;D xsi:type="xsd:double"&gt;9.53936919347055&lt;/D&gt;&lt;D xsi:type="xsd:double"&gt;9.77711583830532&lt;/D&gt;&lt;D xsi:type="xsd:double"&gt;9.21317854475949&lt;/D&gt;&lt;D xsi:type="xsd:double"&gt;9.87629516677587&lt;/D&gt;&lt;D xsi:type="xsd:double"&gt;9.69780091757538&lt;/D&gt;&lt;D xsi:type="xsd:double"&gt;9.46445238684244&lt;/D&gt;&lt;D xsi:type="xsd:double"&gt;8.02655869617781&lt;/D&gt;&lt;D xsi:type="xsd:double"&gt;7.77027112176018&lt;/D&gt;&lt;D xsi:type="xsd:double"&gt;7.29122431826301&lt;/D&gt;&lt;D xsi:type="xsd:double"&gt;7.49929464297669&lt;/D&gt;&lt;D xsi:type="xsd:double"&gt;7.1691063592559&lt;/D&gt;&lt;D xsi:type="xsd:double"&gt;5.88514789102448&lt;/D&gt;&lt;D xsi:type="xsd:double"&gt;5.506088533064&lt;/D&gt;&lt;D xsi:type="xsd:double"&gt;5.66616342738344&lt;/D&gt;&lt;D xsi:type="xsd:double"&gt;6.00949601055322&lt;/D&gt;&lt;D xsi:type="xsd:double"&gt;5.85102042439419&lt;/D&gt;&lt;D xsi:type="xsd:double"&gt;6.07065574514765&lt;/D&gt;&lt;D xsi:type="xsd:double"&gt;6.64439166048242&lt;/D&gt;&lt;D xsi:type="xsd:double"&gt;6.92679963726558&lt;/D&gt;&lt;D xsi:type="xsd:double"&gt;7.69056527093913&lt;/D&gt;&lt;D xsi:type="xsd:double"&gt;7.93685063581563&lt;/D&gt;&lt;D xsi:type="xsd:double"&gt;7.79724072037442&lt;/D&gt;&lt;D xsi:type="xsd:double"&gt;7.80011858182665&lt;/D&gt;&lt;D xsi:type="xsd:double"&gt;8.26960709813689&lt;/D&gt;&lt;D xsi:type="xsd:double"&gt;8.72336767790143&lt;/D&gt;&lt;D xsi:type="xsd:double"&gt;8.66242962436358&lt;/D&gt;&lt;D xsi:type="xsd:double"&gt;6.86650824690371&lt;/D&gt;&lt;D xsi:type="xsd:double"&gt;7.33641308866962&lt;/D&gt;&lt;D xsi:type="xsd:double"&gt;7.42879154823394&lt;/D&gt;&lt;D xsi:type="xsd:double"&gt;7.59227499118567&lt;/D&gt;&lt;/FQL&gt;&lt;FQL&gt;&lt;Q&gt;PASP-FDS^MAX(FG_PRICE(0,-5AY))&lt;/Q&gt;&lt;R&gt;1&lt;/R&gt;&lt;C&gt;1&lt;/C&gt;&lt;D xsi:type="xsd:double"&gt;3158.12&lt;/D&gt;&lt;/FQL&gt;&lt;FQL&gt;&lt;Q&gt;TIOS-FDS^FG_PRICE_CHANGE(0,-3AM)&lt;/Q&gt;&lt;R&gt;1&lt;/R&gt;&lt;C&gt;1&lt;/C&gt;&lt;D xsi:type="xsd:double"&gt;-7.34726054394954&lt;/D&gt;&lt;/FQL&gt;&lt;FQL&gt;&lt;Q&gt;MCHI^FG_PRICE_MAVG(0,,,,30)&lt;/Q&gt;&lt;R&gt;1&lt;/R&gt;&lt;C&gt;1&lt;/C&gt;&lt;D xsi:type="xsd:double"&gt;43.263332&lt;/D&gt;&lt;/FQL&gt;&lt;FQL&gt;&lt;Q&gt;EWY^FG_PRICE_MAVG(0,,,,200)&lt;/Q&gt;&lt;R&gt;1&lt;/R&gt;&lt;C&gt;1&lt;/C&gt;&lt;D xsi:type="xsd:double"&gt;62.50575&lt;/D&gt;&lt;/FQL&gt;&lt;FQL&gt;&lt;Q&gt;EPOL^FG_PRICE_MAVG(0,,,,200)&lt;/Q&gt;&lt;R&gt;1&lt;/R&gt;&lt;C&gt;1&lt;/C&gt;&lt;D xsi:type="xsd:double"&gt;21.5287&lt;/D&gt;&lt;/FQL&gt;&lt;FQL&gt;&lt;Q&gt;CNYA^FG_PRICE_MAVG(0,,,,30)&lt;/Q&gt;&lt;R&gt;1&lt;/R&gt;&lt;C&gt;1&lt;/C&gt;&lt;D xsi:type="xsd:double"&gt;26.697866&lt;/D&gt;&lt;/FQL&gt;&lt;FQL&gt;&lt;Q&gt;VNM^PERCENT_CHANGE(FMA_EPS(+1,0,,,,"PORTAGG","MEAN"),FMA_EPS(+1,-1AM,,,,"PORTAGG","MEAN"))&lt;/Q&gt;&lt;R&gt;1&lt;/R&gt;&lt;C&gt;1&lt;/C&gt;&lt;D xsi:type="xsd:double"&gt;-3.46711688282093&lt;/D&gt;&lt;/FQL&gt;&lt;FQL&gt;&lt;Q&gt;TUR^PERCENT_CHANGE(FMA_EPS(+1,0,,,,"PORTAGG","MEAN"),FMA_EPS(+1,-1AM,,,,"PORTAGG","MEAN"))&lt;/Q&gt;&lt;R&gt;1&lt;/R&gt;&lt;C&gt;1&lt;/C&gt;&lt;D xsi:type="xsd:double"&gt;0.443499402378603&lt;/D&gt;&lt;/FQL&gt;&lt;FQL&gt;&lt;Q&gt;QAT^PERCENT_CHANGE(FMA_EPS(+1,0,,,,"PORTAGG","MEAN"),FMA_EPS(+1,-1AM,,,,"PORTAGG","MEAN"))&lt;/Q&gt;&lt;R&gt;1&lt;/R&gt;&lt;C&gt;1&lt;/C&gt;&lt;D xsi:type="xsd:double"&gt;1.05054246873221&lt;/D&gt;&lt;/FQL&gt;&lt;FQL&gt;&lt;Q&gt;INDA^PERCENT_CHANGE(FMA_EPS(+1,0,,,,"PORTAGG","MEAN"),FMA_EPS(+1,-1AM,,,,"PORTAGG","MEAN"))&lt;/Q&gt;&lt;R&gt;1&lt;/R&gt;&lt;C&gt;1&lt;/C&gt;&lt;D xsi:type="xsd:double"&gt;0.255204481399452&lt;/D&gt;&lt;/FQL&gt;&lt;FQL&gt;&lt;Q&gt;EZA^PERCENT_CHANGE(FMA_EPS(+1,0,,,,"PORTAGG","MEAN"),FMA_EPS(+1,-1AM,,,,"PORTAGG","MEAN"))&lt;/Q&gt;&lt;R&gt;1&lt;/R&gt;&lt;C&gt;1&lt;/C&gt;&lt;D xsi:type="xsd:double"&gt;1.75536978814115&lt;/D&gt;&lt;/FQL&gt;&lt;FQL&gt;&lt;Q&gt;EWW^FG_TOTAL_RETURNC(0,-12AM)&lt;/Q&gt;&lt;R&gt;1&lt;/R&gt;&lt;C&gt;1&lt;/C&gt;&lt;D xsi:type="xsd:double"&gt;15.479195&lt;/D&gt;&lt;/FQL&gt;&lt;FQL&gt;&lt;Q&gt;EPU^FMA_PCT_ABOVE_MAVG(200,0,,,,"PORTAGG")&lt;/Q&gt;&lt;R&gt;1&lt;/R&gt;&lt;C&gt;1&lt;/C&gt;&lt;D xsi:type="xsd:double"&gt;84.6153846153846&lt;/D&gt;&lt;/FQL&gt;&lt;FQL&gt;&lt;Q&gt;ECH^PERCENT_CHANGE(FMA_EPS(+1,0,,,,"PORTAGG","MEAN"),FMA_EPS(+1,-1AM,,,,"PORTAGG","MEAN"))&lt;/Q&gt;&lt;R&gt;1&lt;/R&gt;&lt;C&gt;1&lt;/C&gt;&lt;D xsi:type="xsd:double"&gt;8.66212801792649&lt;/D&gt;&lt;/FQL&gt;&lt;FQL&gt;&lt;Q&gt;EWJ^PERCENT_CHANGE(FMA_EPS(+1,0,,,,"PORTAGG","MEAN"),FMA_EPS(+1,-1AM,,,,"PORTAGG","MEAN"))&lt;/Q&gt;&lt;R&gt;1&lt;/R&gt;&lt;C&gt;1&lt;/C&gt;&lt;D xsi:type="xsd:double"&gt;-0.895452222924776&lt;/D&gt;&lt;/FQL&gt;&lt;FQL&gt;&lt;Q&gt;TUR^SIZE(FG_CONSTITUENTS)&lt;/Q&gt;&lt;R&gt;1&lt;/R&gt;&lt;C&gt;1&lt;/C&gt;&lt;D xsi:type="xsd:long"&gt;98&lt;/D&gt;&lt;/FQL&gt;&lt;FQL&gt;&lt;Q&gt;EZA^FMA_COS_DOWN("EPS","1M",+1,NOW,,,"PORTAGG","MEANR")&lt;/Q&gt;&lt;R&gt;1&lt;/R&gt;&lt;C&gt;1&lt;/C&gt;&lt;D xsi:type="xsd:double"&gt;14&lt;/D&gt;&lt;/FQL&gt;&lt;FQL&gt;&lt;Q&gt;KSA^FMA_RBICS_REV_CURRENT(30, LOC, "PORTAGG")&lt;/Q&gt;&lt;R&gt;1&lt;/R&gt;&lt;C&gt;1&lt;/C&gt;&lt;D xsi:type="xsd:double"&gt;43.1872602787841&lt;/D&gt;&lt;/FQL&gt;&lt;FQL&gt;&lt;Q&gt;EWM^FG_ROE(0)&lt;/Q&gt;&lt;R&gt;1&lt;/R&gt;&lt;C&gt;1&lt;/C&gt;&lt;D xsi:type="xsd:double"&gt;7.97782359186495&lt;/D&gt;&lt;/FQL&gt;&lt;FQL&gt;&lt;Q&gt;REFAEREPO-FDS^FG_YIELD(NOW,,,0)&lt;/Q&gt;&lt;R&gt;1&lt;/R&gt;&lt;C&gt;1&lt;/C&gt;&lt;D xsi:type="xsd:double"&gt;5.4&lt;/D&gt;&lt;/FQL&gt;&lt;FQL&gt;&lt;Q&gt;TRYCN10Y-FDS^PCTCHG(FG_YIELD(0,,,,"YTM"),FG_YIELD(-1AM,,,,"YTM"))&lt;/Q&gt;&lt;R&gt;1&lt;/R&gt;&lt;C&gt;1&lt;/C&gt;&lt;D xsi:type="xsd:double"&gt;3.5565817&lt;/D&gt;&lt;/FQL&gt;&lt;FQL&gt;&lt;Q&gt;CC_MX^FG_COMPANY_NAME&lt;/Q&gt;&lt;R&gt;1&lt;/R&gt;&lt;C&gt;1&lt;/C&gt;&lt;D xsi:type="xsd:string"&gt;Mexico&lt;/D&gt;&lt;/FQL&gt;&lt;FQL&gt;&lt;Q&gt;USDVND^FG_PRICE_CHANGE(0,-3AM)&lt;/Q&gt;&lt;R&gt;1&lt;/R&gt;&lt;C&gt;1&lt;/C&gt;&lt;D xsi:type="xsd:double"&gt;3.3664823&lt;/D&gt;&lt;/FQL&gt;&lt;FQL&gt;&lt;Q&gt;USDZAR^FG_PRICE_CHANGE(0,-3AM)&lt;/Q&gt;&lt;R&gt;1&lt;/R&gt;&lt;C&gt;1&lt;/C&gt;&lt;D xsi:type="xsd:double"&gt;-4.357958&lt;/D&gt;&lt;/FQL&gt;&lt;FQL&gt;&lt;Q&gt;USDPHP^FG_PRICE_CHANGE(0,-6AM)&lt;/Q&gt;&lt;R&gt;1&lt;/R&gt;&lt;C&gt;1&lt;/C&gt;&lt;D xsi:type="xsd:double"&gt;4.950583&lt;/D&gt;&lt;/FQL&gt;&lt;FQL&gt;&lt;Q&gt;FC0000MX^FMA_EPS(NTMA,-20AY,0,CY,,"PORTAGG","MEANR")&lt;/Q&gt;&lt;R&gt;20&lt;/R&gt;&lt;C&gt;1&lt;/C&gt;&lt;D xsi:type="xsd:double"&gt;12.7623750851153&lt;/D&gt;&lt;D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xsi:type="xsd:double"&gt;25.3691273734602&lt;/D&gt;&lt;D xsi:type="xsd:double"&gt;22.3569609127116&lt;/D&gt;&lt;D xsi:type="xsd:double"&gt;28.1816282016733&lt;/D&gt;&lt;D xsi:type="xsd:double"&gt;32.5319871434715&lt;/D&gt;&lt;D xsi:type="xsd:double"&gt;39.4423843156453&lt;/D&gt;&lt;/FQL&gt;&lt;FQL&gt;&lt;Q&gt;UAE^FG_PRICE_MAVG(0,,,,200)&lt;/Q&gt;&lt;R&gt;1&lt;/R&gt;&lt;C&gt;1&lt;/C&gt;&lt;D xsi:type="xsd:double"&gt;14.742216&lt;/D&gt;&lt;/FQL&gt;&lt;FQL&gt;&lt;Q&gt;EWY^FG_PRICE_MAVG(0,,,,60)&lt;/Q&gt;&lt;R&gt;1&lt;/R&gt;&lt;C&gt;1&lt;/C&gt;&lt;D xsi:type="xsd:double"&gt;65.06067&lt;/D&gt;&lt;/FQL&gt;&lt;FQL&gt;&lt;Q&gt;TIPSCL10Y-FDS^FG_YIELD(-10AY,0,Y,,"YTM")&lt;/Q&gt;&lt;R&gt;10&lt;/R&gt;&lt;C&gt;1&lt;/C&gt;&lt;D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xsi:type="xsd:string"&gt;@NA&lt;/D&gt;&lt;/FQL&gt;&lt;FQL&gt;&lt;Q&gt;USDCNH^FG_COMPANY_NAME&lt;/Q&gt;&lt;R&gt;1&lt;/R&gt;&lt;C&gt;1&lt;/C&gt;&lt;D xsi:type="xsd:string"&gt;Chinese Offshore Renminbi per U.S. Dollar&lt;/D&gt;&lt;/FQL&gt;&lt;FQL&gt;&lt;Q&gt;MCHI^FMA_DIV_YLD(NTMA,-10AY,0,AM,"PORTAGG","MEANR")&lt;/Q&gt;&lt;R&gt;121&lt;/R&gt;&lt;C&gt;1&lt;/C&gt;&lt;D xsi:type="xsd:double"&gt;3.70869435695219&lt;/D&gt;&lt;D xsi:type="xsd:double"&gt;3.73937344393159&lt;/D&gt;&lt;D xsi:type="xsd:double"&gt;3.52108224448739&lt;/D&gt;&lt;D xsi:type="xsd:double"&gt;3.46529810138347&lt;/D&gt;&lt;D xsi:type="xsd:double"&gt;3.67335133618601&lt;/D&gt;&lt;D xsi:type="xsd:double"&gt;3.75946204032385&lt;/D&gt;&lt;D xsi:type="xsd:double"&gt;3.71980316038211&lt;/D&gt;&lt;D xsi:type="xsd:double"&gt;3.45632338216309&lt;/D&gt;&lt;D xsi:type="xsd:double"&gt;3.13865607657003&lt;/D&gt;&lt;D xsi:type="xsd:double"&gt;3.10833523561765&lt;/D&gt;&lt;D xsi:type="xsd:double"&gt;3.08327517132298&lt;/D&gt;&lt;D xsi:type="xsd:double"&gt;2.50421024242966&lt;/D&gt;&lt;D xsi:type="xsd:double"&gt;2.57637284360102&lt;/D&gt;&lt;D xsi:type="xsd:double"&gt;2.71056624250825&lt;/D&gt;&lt;D xsi:type="xsd:double"&gt;3.06480374957539&lt;/D&gt;&lt;D xsi:type="xsd:double"&gt;3.42458762382418&lt;/D&gt;&lt;D xsi:type="xsd:double"&gt;3.48602358124538&lt;/D&gt;&lt;D xsi:type="xsd:double"&gt;3.1548211925965&lt;/D&gt;&lt;D xsi:type="xsd:double"&gt;3.1909573354423&lt;/D&gt;&lt;D xsi:type="xsd:double"&gt;3.23915600451984&lt;/D&gt;&lt;D xsi:type="xsd:double"&gt;3.28969094250149&lt;/D&gt;&lt;D xsi:type="xsd:double"&gt;3.23225222127661&lt;/D&gt;&lt;D xsi:type="xsd:double"&gt;2.9579119731489&lt;/D&gt;&lt;D xsi:type="xsd:double"&gt;2.84612852622293&lt;/D&gt;&lt;D xsi:type="xsd:double"&gt;3.06563121530444&lt;/D&gt;&lt;D xsi:type="xsd:double"&gt;2.61012754046558&lt;/D&gt;&lt;D xsi:type="xsd:double"&gt;2.47367025030713&lt;/D&gt;&lt;D xsi:type="xsd:double"&gt;2.33820122412226&lt;/D&gt;&lt;D xsi:type="xsd:double"&gt;2.21971136001574&lt;/D&gt;&lt;D xsi:type="xsd:double"&gt;2.25453316170156&lt;/D&gt;&lt;D xsi:type="xsd:double"&gt;2.32760701883735&lt;/D&gt;&lt;D xsi:type="xsd:double"&gt;2.46221998266546&lt;/D&gt;&lt;D xsi:type="xsd:double"&gt;2.34817251861563&lt;/D&gt;&lt;D xsi:type="xsd:double"&gt;2.21944273355001&lt;/D&gt;&lt;D xsi:type="xsd:double"&gt;2.2207892077869&lt;/D&gt;&lt;D xsi:type="xsd:double"&gt;2.28944381778757&lt;/D&gt;&lt;D xsi:type="xsd:double"&gt;2.18155638044284&lt;/D&gt;&lt;D xsi:type="xsd:double"&gt;2.15275530716168&lt;/D&gt;&lt;D xsi:type="xsd:double"&gt;2.10536962165154&lt;/D&gt;&lt;D xsi:type="xsd:double"&gt;2.10984075272173&lt;/D&gt;&lt;D xsi:type="xsd:double"&gt;2.09155402714824&lt;/D&gt;&lt;D xsi:type="xsd:double"&gt;2.06869331600426&lt;/D&gt;&lt;D xsi:type="xsd:double"&gt;1.96698940248878&lt;/D&gt;&lt;D xsi:type="xsd:double"&gt;2.07051813621987&lt;/D&gt;&lt;D xsi:type="xsd:double"&gt;1.90897857043839&lt;/D&gt;&lt;D xsi:type="xsd:double"&gt;2.04453130439904&lt;/D&gt;&lt;D xsi:type="xsd:double"&gt;2.23480046202217&lt;/D&gt;&lt;D xsi:type="xsd:double"&gt;2.34107213918017&lt;/D&gt;&lt;D xsi:type="xsd:double"&gt;2.26682638495541&lt;/D&gt;&lt;D xsi:type="xsd:double"&gt;2.3405353095536&lt;/D&gt;&lt;D xsi:type="xsd:double"&gt;2.41338019093078&lt;/D&gt;&lt;D xsi:type="xsd:double"&gt;2.52601510927839&lt;/D&gt;&lt;D xsi:type="xsd:double"&gt;2.56463664674548&lt;/D&gt;&lt;D xsi:type="xsd:double"&gt;2.89215341204191&lt;/D&gt;&lt;D xsi:type="xsd:double"&gt;2.81977030083959&lt;/D&gt;&lt;D xsi:type="xsd:double"&gt;2.86390361360546&lt;/D&gt;&lt;D xsi:type="xsd:double"&gt;2.68319000554193&lt;/D&gt;&lt;D xsi:type="xsd:double"&gt;2.50209925217471&lt;/D&gt;&lt;D xsi:type="xsd:double"&gt;2.42887950889989&lt;/D&gt;&lt;D xsi:type="xsd:double"&gt;2.34433411114617&lt;/D&gt;&lt;D xsi:type="xsd:double"&gt;2.68455024916631&lt;/D&gt;&lt;D xsi:type="xsd:double"&gt;2.49150599432166&lt;/D&gt;&lt;D xsi:type="xsd:double"&gt;2.46915829147487&lt;/D&gt;&lt;D xsi:type="xsd:double"&gt;2.58254862850906&lt;/D&gt;&lt;D xsi:type="xsd:double"&gt;2.5022158676569&lt;/D&gt;&lt;D xsi:type="xsd:double"&gt;2.54561037862944&lt;/D&gt;&lt;D xsi:type="xsd:double"&gt;2.49643119328284&lt;/D&gt;&lt;D xsi:type="xsd:double"&gt;2.26591840765397&lt;/D&gt;&lt;D xsi:type="xsd:double"&gt;2.27920478790296&lt;/D&gt;&lt;D xsi:type="xsd:double"&gt;2.23687920085415&lt;/D&gt;&lt;D xsi:type="xsd:double"&gt;2.61331353001832&lt;/D&gt;&lt;D xsi:type="xsd:double"&gt;2.22914544206049&lt;/D&gt;&lt;D xsi:type="xsd:double"&gt;2.23178617176766&lt;/D&gt;&lt;D xsi:type="xsd:double"&gt;1.88790113698988&lt;/D&gt;&lt;D xsi:type="xsd:double"&gt;1.77955791892708&lt;/D&gt;&lt;D xsi:type="xsd:double"&gt;1.77617755067299&lt;/D&gt;&lt;D xsi:type="xsd:double"&gt;1.80196095393932&lt;/D&gt;&lt;D xsi:type="xsd:double"&gt;1.719200057238&lt;/D&gt;&lt;D xsi:type="xsd:double"&gt;1.70689389836076&lt;/D&gt;&lt;D xsi:type="xsd:double"&gt;1.67097072977306&lt;/D&gt;&lt;D xsi:type="xsd:double"&gt;1.41328465687681&lt;/D&gt;&lt;D xsi:type="xsd:double"&gt;1.37553911981094&lt;/D&gt;&lt;D xsi:type="xsd:double"&gt;1.53334561061728&lt;/D&gt;&lt;D xsi:type="xsd:double"&gt;1.58346869789237&lt;/D&gt;&lt;D xsi:type="xsd:double"&gt;1.69127103501084&lt;/D&gt;&lt;D xsi:type="xsd:double"&gt;1.61858489059316&lt;/D&gt;&lt;D xsi:type="xsd:double"&gt;1.7546175452806&lt;/D&gt;&lt;D xsi:type="xsd:double"&gt;1.99052476869522&lt;/D&gt;&lt;D xsi:type="xsd:double"&gt;1.95393685049677&lt;/D&gt;&lt;D xsi:type="xsd:double"&gt;1.87200155318512&lt;/D&gt;&lt;D xsi:type="xsd:double"&gt;2.02002533648695&lt;/D&gt;&lt;D xsi:type="xsd:double"&gt;2.13854954492349&lt;/D&gt;&lt;D xsi:type="xsd:double"&gt;2.11883638940201&lt;/D&gt;&lt;D xsi:type="xsd:double"&gt;2.30281950476839&lt;/D&gt;&lt;D xsi:type="xsd:double"&gt;2.46190930633789&lt;/D&gt;&lt;D xsi:type="xsd:double"&gt;2.73414850448083&lt;/D&gt;&lt;D xsi:type="xsd:double"&gt;2.63520601990397&lt;/D&gt;&lt;D xsi:type="xsd:double"&gt;2.37493657631715&lt;/D&gt;&lt;D xsi:type="xsd:double"&gt;2.48424751640369&lt;/D&gt;&lt;D xsi:type="xsd:double"&gt;2.58818996450129&lt;/D&gt;&lt;D xsi:type="xsd:double"&gt;2.72786303335438&lt;/D&gt;&lt;D xsi:type="xsd:double"&gt;2.95795669842305&lt;/D&gt;&lt;D xsi:type="xsd:double"&gt;2.73752039780357&lt;/D&gt;&lt;D xsi:type="xsd:double"&gt;2.48500386651442&lt;/D&gt;&lt;D xsi:type="xsd:double"&gt;2.17644697445138&lt;/D&gt;&lt;D xsi:type="xsd:double"&gt;2.38062532549709&lt;/D&gt;&lt;D xsi:type="xsd:double"&gt;2.43779996540593&lt;/D&gt;&lt;D xsi:type="xsd:double"&gt;2.49357398719997&lt;/D&gt;&lt;D xsi:type="xsd:double"&gt;2.57720651314087&lt;/D&gt;&lt;D xsi:type="xsd:double"&gt;2.56447899512373&lt;/D&gt;&lt;D xsi:type="xsd:double"&gt;2.49669210845035&lt;/D&gt;&lt;D xsi:type="xsd:double"&gt;2.56961746380764&lt;/D&gt;&lt;D xsi:type="xsd:double"&gt;2.51869253457346&lt;/D&gt;&lt;D xsi:type="xsd:double"&gt;2.69049337280052&lt;/D&gt;&lt;D xsi:type="xsd:double"&gt;2.60951425489466&lt;/D&gt;&lt;D xsi:type="xsd:double"&gt;2.81500642391006&lt;/D&gt;&lt;D xsi:type="xsd:double"&gt;2.92954638642531&lt;/D&gt;&lt;D xsi:type="xsd:double"&gt;2.8372223125063&lt;/D&gt;&lt;D xsi:type="xsd:double"&gt;2.98849038412896&lt;/D&gt;&lt;D xsi:type="xsd:double"&gt;2.9853485191575&lt;/D&gt;&lt;D xsi:type="xsd:double"&gt;2.67131224815824&lt;/D&gt;&lt;/FQL&gt;&lt;FQL&gt;&lt;Q&gt;TUR^FMA_PE(NTMA,-10AY,0,AM,"PORTAGG","MEANR")&lt;/Q&gt;&lt;R&gt;121&lt;/R&gt;&lt;C&gt;1&lt;/C&gt;&lt;D xsi:type="xsd:double"&gt;10.8052593677932&lt;/D&gt;&lt;D xsi:type="xsd:double"&gt;10.5802739454346&lt;/D&gt;&lt;D xsi:type="xsd:double"&gt;10.9290324825441&lt;/D&gt;&lt;D xsi:type="xsd:double"&gt;10.1393457672976&lt;/D&gt;&lt;D xsi:type="xsd:double"&gt;9.66389789793288&lt;/D&gt;&lt;D xsi:type="xsd:double"&gt;9.97433186339369&lt;/D&gt;&lt;D xsi:type="xsd:double"&gt;10.3959020473039&lt;/D&gt;&lt;D xsi:type="xsd:double"&gt;10.3987749610839&lt;/D&gt;&lt;D xsi:type="xsd:double"&gt;11.1348163878487&lt;/D&gt;&lt;D xsi:type="xsd:double"&gt;10.6299475477057&lt;/D&gt;&lt;D xsi:type="xsd:double"&gt;10.2802044682939&lt;/D&gt;&lt;D xsi:type="xsd:double"&gt;10.1888630718891&lt;/D&gt;&lt;D xsi:type="xsd:double"&gt;10.4757639861762&lt;/D&gt;&lt;D xsi:type="xsd:double"&gt;10.1194528372498&lt;/D&gt;&lt;D xsi:type="xsd:double"&gt;9.42602296073968&lt;/D&gt;&lt;D xsi:type="xsd:double"&gt;8.7711422212419&lt;/D&gt;&lt;D xsi:type="xsd:double"&gt;8.85963916463383&lt;/D&gt;&lt;D xsi:type="xsd:double"&gt;9.42937110949818&lt;/D&gt;&lt;D xsi:type="xsd:double"&gt;9.28778558589557&lt;/D&gt;&lt;D xsi:type="xsd:double"&gt;8.39793140872477&lt;/D&gt;&lt;D xsi:type="xsd:double"&gt;7.88367734673531&lt;/D&gt;&lt;D xsi:type="xsd:double"&gt;8.52302733506359&lt;/D&gt;&lt;D xsi:type="xsd:double"&gt;8.96961037700748&lt;/D&gt;&lt;D xsi:type="xsd:double"&gt;9.39490291225996&lt;/D&gt;&lt;D xsi:type="xsd:double"&gt;8.3504517330276&lt;/D&gt;&lt;D xsi:type="xsd:double"&gt;8.46331783594948&lt;/D&gt;&lt;D xsi:type="xsd:double"&gt;7.73402196323872&lt;/D&gt;&lt;D xsi:type="xsd:double"&gt;8.42978187648399&lt;/D&gt;&lt;D xsi:type="xsd:double"&gt;8.61987114920474&lt;/D&gt;&lt;D xsi:type="xsd:double"&gt;8.29695509637901&lt;/D&gt;&lt;D xsi:type="xsd:double"&gt;7.6252171567988&lt;/D&gt;&lt;D xsi:type="xsd:double"&gt;7.65825301969606&lt;/D&gt;&lt;D xsi:type="xsd:double"&gt;8.16454170653709&lt;/D&gt;&lt;D xsi:type="xsd:double"&gt;8.66114094271886&lt;/D&gt;&lt;D xsi:type="xsd:double"&gt;8.42452350405191&lt;/D&gt;&lt;D xsi:type="xsd:double"&gt;8.49956886096255&lt;/D&gt;&lt;D xsi:type="xsd:double"&gt;8.66557791660177&lt;/D&gt;&lt;D xsi:type="xsd:double"&gt;8.66841600160818&lt;/D&gt;&lt;D xsi:type="xsd:double"&gt;8.95231751717765&lt;/D&gt;&lt;D xsi:type="xsd:double"&gt;8.65034499666937&lt;/D&gt;&lt;D xsi:type="xsd:double"&gt;8.17380843981279&lt;/D&gt;&lt;D xsi:type="xsd:double"&gt;8.24313964422247&lt;/D&gt;&lt;D xsi:type="xsd:double"&gt;7.82325801074584&lt;/D&gt;&lt;D xsi:type="xsd:double"&gt;7.95200449371457&lt;/D&gt;&lt;D xsi:type="xsd:double"&gt;8.33784082107524&lt;/D&gt;&lt;D xsi:type="xsd:double"&gt;8.11174055056686&lt;/D&gt;&lt;D xsi:type="xsd:double"&gt;7.85564242998213&lt;/D&gt;&lt;D xsi:type="xsd:double"&gt;7.40727123568905&lt;/D&gt;&lt;D xsi:type="xsd:double"&gt;6.68163309224171&lt;/D&gt;&lt;D xsi:type="xsd:double"&gt;6.31469252112038&lt;/D&gt;&lt;D xsi:type="xsd:double"&gt;6.16942455644076&lt;/D&gt;&lt;D xsi:type="xsd:double"&gt;5.77045702397899&lt;/D&gt;&lt;D xsi:type="xsd:double"&gt;6.08666767727835&lt;/D&gt;&lt;D xsi:type="xsd:double"&gt;5.799077364861&lt;/D&gt;&lt;D xsi:type="xsd:double"&gt;5.70798179114669&lt;/D&gt;&lt;D xsi:type="xsd:double"&gt;5.96348186621913&lt;/D&gt;&lt;D xsi:type="xsd:double"&gt;6.93714899215405&lt;/D&gt;&lt;D xsi:type="xsd:double"&gt;7.04075675636383&lt;/D&gt;&lt;D xsi:type="xsd:double"&gt;6.92947998952213&lt;/D&gt;&lt;D xsi:type="xsd:double"&gt;6.23047543360217&lt;/D&gt;&lt;D xsi:type="xsd:double"&gt;5.49216229813245&lt;/D&gt;&lt;D xsi:type="xsd:double"&gt;6.10830864392934&lt;/D&gt;&lt;D xsi:type="xsd:double"&gt;6.57853209421406&lt;/D&gt;&lt;D xsi:type="xsd:double"&gt;6.29749850923644&lt;/D&gt;&lt;D xsi:type="xsd:double"&gt;6.2570407510889&lt;/D&gt;&lt;D xsi:type="xsd:double"&gt;6.11832964421718&lt;/D&gt;&lt;D xsi:type="xsd:double"&gt;6.34404072391632&lt;/D&gt;&lt;D xsi:type="xsd:double"&gt;6.47220549571621&lt;/D&gt;&lt;D xsi:type="xsd:double"&gt;6.78116498054298&lt;/D&gt;&lt;D xsi:type="xsd:double"&gt;6.45798534008241&lt;/D&gt;&lt;D xsi:type="xsd:double"&gt;4.68516813723778&lt;/D&gt;&lt;D xsi:type="xsd:double"&gt;5.90762133066098&lt;/D&gt;&lt;D xsi:type="xsd:double"&gt;7.30341180799116&lt;/D&gt;&lt;D xsi:type="xsd:double"&gt;8.4747421324187&lt;/D&gt;&lt;D xsi:type="xsd:double"&gt;8.43410761741293&lt;/D&gt;&lt;D xsi:type="xsd:double"&gt;7.77893607392772&lt;/D&gt;&lt;D xsi:type="xsd:double"&gt;7.34847692841559&lt;/D&gt;&lt;D xsi:type="xsd:double"&gt;7.7987336613314&lt;/D&gt;&lt;D xsi:type="xsd:double"&gt;8.16526902190806&lt;/D&gt;&lt;D xsi:type="xsd:double"&gt;7.72939977015793&lt;/D&gt;&lt;D xsi:type="xsd:double"&gt;7.83477788635301&lt;/D&gt;&lt;D xsi:type="xsd:double"&gt;7.17498750398763&lt;/D&gt;&lt;D xsi:type="xsd:double"&gt;6.45185571236184&lt;/D&gt;&lt;D xsi:type="xsd:double"&gt;6.02469513888607&lt;/D&gt;&lt;D xsi:type="xsd:double"&gt;6.2072404968295&lt;/D&gt;&lt;D xsi:type="xsd:double"&gt;5.8288693547618&lt;/D&gt;&lt;D xsi:type="xsd:double"&gt;5.46376041539555&lt;/D&gt;&lt;D xsi:type="xsd:double"&gt;5.51493969789601&lt;/D&gt;&lt;D xsi:type="xsd:double"&gt;5.14384880568559&lt;/D&gt;&lt;D xsi:type="xsd:double"&gt;5.29964592857411&lt;/D&gt;&lt;D xsi:type="xsd:double"&gt;5.91118770749933&lt;/D&gt;&lt;D xsi:type="xsd:double"&gt;5.44404907577613&lt;/D&gt;&lt;D xsi:type="xsd:double"&gt;5.37538811905406&lt;/D&gt;&lt;D xsi:type="xsd:double"&gt;4.52979840269789&lt;/D&gt;&lt;D xsi:type="xsd:double"&gt;4.67777539547449&lt;/D&gt;&lt;D xsi:type="xsd:double"&gt;4.884005850261&lt;/D&gt;&lt;D xsi:type="xsd:double"&gt;4.3611648497893&lt;/D&gt;&lt;D xsi:type="xsd:double"&gt;4.72751918410274&lt;/D&gt;&lt;D xsi:type="xsd:double"&gt;4.1997419415046&lt;/D&gt;&lt;D xsi:type="xsd:double"&gt;4.60322778502328&lt;/D&gt;&lt;D xsi:type="xsd:double"&gt;4.49740981314846&lt;/D&gt;&lt;D xsi:type="xsd:double"&gt;4.8849374212906&lt;/D&gt;&lt;D xsi:type="xsd:double"&gt;5.60916285821468&lt;/D&gt;&lt;D xsi:type="xsd:double"&gt;5.83158406911713&lt;/D&gt;&lt;D xsi:type="xsd:double"&gt;5.51205594253132&lt;/D&gt;&lt;D xsi:type="xsd:double"&gt;4.96520380727658&lt;/D&gt;&lt;D xsi:type="xsd:double"&gt;4.90134898141846&lt;/D&gt;&lt;D xsi:type="xsd:double"&gt;4.63811021219486&lt;/D&gt;&lt;D xsi:type="xsd:double"&gt;3.96149028084171&lt;/D&gt;&lt;D xsi:type="xsd:double"&gt;4.90335583548304&lt;/D&gt;&lt;D xsi:type="xsd:double"&gt;5.47214771024154&lt;/D&gt;&lt;D xsi:type="xsd:double"&gt;5.95134994894444&lt;/D&gt;&lt;D xsi:type="xsd:double"&gt;5.80991149329127&lt;/D&gt;&lt;D xsi:type="xs</t>
        </r>
      </text>
    </comment>
    <comment ref="A10" authorId="0" shapeId="0" xr:uid="{6BADA661-31D0-4E5E-B967-FAA6C0BC37C8}">
      <text>
        <r>
          <rPr>
            <b/>
            <sz val="9"/>
            <color indexed="81"/>
            <rFont val="Tahoma"/>
            <charset val="1"/>
          </rPr>
          <t>d:double"&gt;5.12436706100672&lt;/D&gt;&lt;D xsi:type="xsd:double"&gt;4.92938108675449&lt;/D&gt;&lt;D xsi:type="xsd:double"&gt;4.48136331404598&lt;/D&gt;&lt;D xsi:type="xsd:double"&gt;4.68432733069151&lt;/D&gt;&lt;D xsi:type="xsd:double"&gt;5.24672962454142&lt;/D&gt;&lt;D xsi:type="xsd:double"&gt;5.17449408991078&lt;/D&gt;&lt;D xsi:type="xsd:double"&gt;5.42573163574969&lt;/D&gt;&lt;D xsi:type="xsd:double"&gt;5.96023561181993&lt;/D&gt;&lt;/FQL&gt;&lt;FQL&gt;&lt;Q&gt;PASP-FDS^FG_PRICE(0)/MAX(FG_PRICE(0,-1AY))&lt;/Q&gt;&lt;R&gt;1&lt;/R&gt;&lt;C&gt;1&lt;/C&gt;&lt;D xsi:type="xsd:double"&gt;0.680272108843537&lt;/D&gt;&lt;/FQL&gt;&lt;FQL&gt;&lt;Q&gt;PLATI-FDS^FG_PRICE_MAVG(0,,,,30)&lt;/Q&gt;&lt;R&gt;1&lt;/R&gt;&lt;C&gt;1&lt;/C&gt;&lt;D xsi:type="xsd:double"&gt;982.26666&lt;/D&gt;&lt;/FQL&gt;&lt;FQL&gt;&lt;Q&gt;BRENT-FDS^FG_PRICE(0)/MAX(FG_PRICE(0,-1AY))&lt;/Q&gt;&lt;R&gt;1&lt;/R&gt;&lt;C&gt;1&lt;/C&gt;&lt;D xsi:type="xsd:double"&gt;0.870614479821537&lt;/D&gt;&lt;/FQL&gt;&lt;FQL&gt;&lt;Q&gt;FC0000ZA^FG_PRICE(0)&lt;/Q&gt;&lt;R&gt;1&lt;/R&gt;&lt;C&gt;1&lt;/C&gt;&lt;D xsi:type="xsd:double"&gt;325.7893&lt;/D&gt;&lt;/FQL&gt;&lt;FQL&gt;&lt;Q&gt;TRYFR10Y-FDS^FG_YIELD(-10AY,0,Y,,"YTM")&lt;/Q&gt;&lt;R&gt;10&lt;/R&gt;&lt;C&gt;1&lt;/C&gt;&lt;D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xsi:type="xsd:double"&gt;2.534&lt;/D&gt;&lt;/FQL&gt;&lt;FQL&gt;&lt;Q&gt;CAGDPY@TH^EE_ACTUAL_ANNUAL(MED,0)&lt;/Q&gt;&lt;R&gt;1&lt;/R&gt;&lt;C&gt;1&lt;/C&gt;&lt;D xsi:type="xsd:double"&gt;1.19744517894672&lt;/D&gt;&lt;/FQL&gt;&lt;FQL&gt;&lt;Q&gt;CAGDPY@PH^EE_ACTUAL_ANNUAL(MED,+1)&lt;/Q&gt;&lt;R&gt;1&lt;/R&gt;&lt;C&gt;1&lt;/C&gt;&lt;D xsi:type="xsd:double"&gt;-2.5&lt;/D&gt;&lt;/FQL&gt;&lt;FQL&gt;&lt;Q&gt;USDTHB^FG_PRICE_CHANGE(0,-3AM)&lt;/Q&gt;&lt;R&gt;1&lt;/R&gt;&lt;C&gt;1&lt;/C&gt;&lt;D xsi:type="xsd:double"&gt;1.1631966&lt;/D&gt;&lt;/FQL&gt;&lt;FQL&gt;&lt;Q&gt;USDMXN^FG_PRICE_CHANGE(0,-3AM)&lt;/Q&gt;&lt;R&gt;1&lt;/R&gt;&lt;C&gt;1&lt;/C&gt;&lt;D xsi:type="xsd:double"&gt;-2.3746967&lt;/D&gt;&lt;/FQL&gt;&lt;FQL&gt;&lt;Q&gt;USDMYR^FG_COMPANY_NAME&lt;/Q&gt;&lt;R&gt;1&lt;/R&gt;&lt;C&gt;1&lt;/C&gt;&lt;D xsi:type="xsd:string"&gt;Malaysian Ringgit per U.S. Dollar&lt;/D&gt;&lt;/FQL&gt;&lt;FQL&gt;&lt;Q&gt;USDCNH^STD(FG_PRICE_CHANGE(0,-1AY,AM))&lt;/Q&gt;&lt;R&gt;1&lt;/R&gt;&lt;C&gt;1&lt;/C&gt;&lt;D xsi:type="xsd:double"&gt;1.16737890136985&lt;/D&gt;&lt;/FQL&gt;&lt;FQL&gt;&lt;Q&gt;EWZ^P_PRICE_RETURNS_PR('52W',2,-10AY,0,AM)&lt;/Q&gt;&lt;R&gt;121&lt;/R&gt;&lt;C&gt;1&lt;/C&gt;&lt;D xsi:type="xsd:double"&gt;-9.620703&lt;/D&gt;&lt;D xsi:type="xsd:double"&gt;16.333258&lt;/D&gt;&lt;D xsi:type="xsd:double"&gt;16.656792&lt;/D&gt;&lt;D xsi:type="xsd:double"&gt;24.14962&lt;/D&gt;&lt;D xsi:type="xsd:double"&gt;-2.545023&lt;/D&gt;&lt;D xsi:type="xsd:double"&gt;-18.264347&lt;/D&gt;&lt;D xsi:type="xsd:double"&gt;-4.2633176&lt;/D&gt;&lt;D xsi:type="xsd:double"&gt;-14.641678&lt;/D&gt;&lt;D xsi:type="xsd:double"&gt;-7.784331&lt;/D&gt;&lt;D xsi:type="xsd:double"&gt;-12.002707&lt;/D&gt;&lt;D xsi:type="xsd:double"&gt;-20.315063&lt;/D&gt;&lt;D xsi:type="xsd:double"&gt;-20.48304&lt;/D&gt;&lt;D xsi:type="xsd:double"&gt;-26.79385&lt;/D&gt;&lt;D xsi:type="xsd:double"&gt;-28.853666&lt;/D&gt;&lt;D xsi:type="xsd:double"&gt;-40.911484&lt;/D&gt;&lt;D xsi:type="xsd:double"&gt;-49.30259&lt;/D&gt;&lt;D xsi:type="xsd:double"&gt;-53.172695&lt;/D&gt;&lt;D xsi:type="xsd:double"&gt;-38.931763&lt;/D&gt;&lt;D xsi:type="xsd:double"&gt;-41.710514&lt;/D&gt;&lt;D xsi:type="xsd:double"&gt;-39.198017&lt;/D&gt;&lt;D xsi:type="xsd:double"&gt;-50.869064&lt;/D&gt;&lt;D xsi:type="xsd:double"&gt;-39.07895&lt;/D&gt;&lt;D xsi:type="xsd:double"&gt;-17.797464&lt;/D&gt;&lt;D xsi:type="xsd:double"&gt;-18.354828&lt;/D&gt;&lt;D xsi:type="xsd:double"&gt;-21.532112&lt;/D&gt;&lt;D xsi:type="xsd:double"&gt;-11.697096&lt;/D&gt;&lt;D xsi:type="xsd:double"&gt;9.90287&lt;/D&gt;&lt;D xsi:type="xsd:double"&gt;35.80743&lt;/D&gt;&lt;D xsi:type="xsd:double"&gt;64.3895&lt;/D&gt;&lt;D xsi:type="xsd:double"&gt;68.10187&lt;/D&gt;&lt;D xsi:type="xsd:double"&gt;38.608574&lt;/D&gt;&lt;D xsi:type="xsd:double"&gt;52.944767&lt;/D&gt;&lt;D xsi:type="xsd:double"&gt;112.55724&lt;/D&gt;&lt;D xsi:type="xsd:double"&gt;96.34211&lt;/D&gt;&lt;D xsi:type="xsd:double"&gt;45.337547&lt;/D&gt;&lt;D xsi:type="xsd:double"&gt;31.233978&lt;/D&gt;&lt;D xsi:type="xsd:double"&gt;36.285698&lt;/D&gt;&lt;D xsi:type="xsd:double"&gt;16.222881&lt;/D&gt;&lt;D xsi:type="xsd:double"&gt;16.80435&lt;/D&gt;&lt;D xsi:type="xsd:double"&gt;22.351337&lt;/D&gt;&lt;D xsi:type="xsd:double"&gt;27.28895&lt;/D&gt;&lt;D xsi:type="xsd:double"&gt;11.471785&lt;/D&gt;&lt;D xsi:type="xsd:double"&gt;22.110224&lt;/D&gt;&lt;D xsi:type="xsd:double"&gt;27.921104&lt;/D&gt;&lt;D xsi:type="xsd:double"&gt;18.12681&lt;/D&gt;&lt;D xsi:type="xsd:double"&gt;20.448816&lt;/D&gt;&lt;D xsi:type="xsd:double"&gt;22.237373&lt;/D&gt;&lt;D xsi:type="xsd:double"&gt;20.071936&lt;/D&gt;&lt;D xsi:type="xsd:double"&gt;13.166582&lt;/D&gt;&lt;D xsi:type="xsd:double"&gt;-0.5810857&lt;/D&gt;&lt;D xsi:type="xsd:double"&gt;-2.0864785&lt;/D&gt;&lt;D xsi:type="xsd:double"&gt;-19.222134&lt;/D&gt;&lt;D xsi:type="xsd:double"&gt;-18.643278&lt;/D&gt;&lt;D xsi:type="xsd:double"&gt;-1.4520884&lt;/D&gt;&lt;D xsi:type="xsd:double"&gt;-2.7214527&lt;/D&gt;&lt;D xsi:type="xsd:double"&gt;-2.9439986&lt;/D&gt;&lt;D xsi:type="xsd:double"&gt;2.2983432&lt;/D&gt;&lt;D xsi:type="xsd:double"&gt;-1.5331984&lt;/D&gt;&lt;D xsi:type="xsd:double"&gt;-5.0040603&lt;/D&gt;&lt;D xsi:type="xsd:double"&gt;-0.36328435&lt;/D&gt;&lt;D xsi:type="xsd:double"&gt;4.37423&lt;/D&gt;&lt;D xsi:type="xsd:double"&gt;43.100403&lt;/D&gt;&lt;D xsi:type="xsd:double"&gt;32.997143&lt;/D&gt;&lt;D xsi:type="xsd:double"&gt;28.840614&lt;/D&gt;&lt;D xsi:type="xsd:double"&gt;27.42628&lt;/D&gt;&lt;D xsi:type="xsd:double"&gt;15.553451&lt;/D&gt;&lt;D xsi:type="xsd:double"&gt;12.630224&lt;/D&gt;&lt;D xsi:type="xsd:double"&gt;28.955566&lt;/D&gt;&lt;D xsi:type="xsd:double"&gt;11.718082&lt;/D&gt;&lt;D xsi:type="xsd:double"&gt;0.19613504&lt;/D&gt;&lt;D xsi:type="xsd:double"&gt;-47.07802&lt;/D&gt;&lt;D xsi:type="xsd:double"&gt;-40.04767&lt;/D&gt;&lt;D xsi:type="xsd:double"&gt;-35.613167&lt;/D&gt;&lt;D xsi:type="xsd:double"&gt;-29.331572&lt;/D&gt;&lt;D xsi:type="xsd:double"&gt;-27.680094&lt;/D&gt;&lt;D xsi:type="xsd:double"&gt;-27.443928&lt;/D&gt;&lt;D xsi:type="xsd:double"&gt;-31.121445&lt;/D&gt;&lt;D xsi:type="xsd:double"&gt;-31.877064&lt;/D&gt;&lt;D xsi:type="xsd:double"&gt;-23.019474&lt;/D&gt;&lt;D xsi:type="xsd:double"&gt;-19.77806&lt;/D&gt;&lt;D xsi:type="xsd:double"&gt;-23.16814&lt;/D&gt;&lt;D xsi:type="xsd:double"&gt;-17.424833&lt;/D&gt;&lt;D xsi:type="xsd:double"&gt;62.6716&lt;/D&gt;&lt;D xsi:type="xsd:double"&gt;51.018356&lt;/D&gt;&lt;D xsi:type="xsd:double"&gt;52.232838&lt;/D&gt;&lt;D xsi:type="xsd:double"&gt;37.691593&lt;/D&gt;&lt;D xsi:type="xsd:double"&gt;21.952475&lt;/D&gt;&lt;D xsi:type="xsd:double"&gt;20.006&lt;/D&gt;&lt;D xsi:type="xsd:double"&gt;23.634089&lt;/D&gt;&lt;D xsi:type="xsd:double"&gt;3.1281233&lt;/D&gt;&lt;D xsi:type="xsd:double"&gt;-6.6128073&lt;/D&gt;&lt;D xsi:type="xsd:double"&gt;-17.777426&lt;/D&gt;&lt;D xsi:type="xsd:double"&gt;-9.152341&lt;/D&gt;&lt;D xsi:type="xsd:double"&gt;6.483376&lt;/D&gt;&lt;D xsi:type="xsd:double"&gt;20.004976&lt;/D&gt;&lt;D xsi:type="xsd:double"&gt;7.241988&lt;/D&gt;&lt;D xsi:type="xsd:double"&gt;2.8146625&lt;/D&gt;&lt;D xsi:type="xsd:double"&gt;-25.545269&lt;/D&gt;&lt;D xsi:type="xsd:double"&gt;-24.043583&lt;/D&gt;&lt;D xsi:type="xsd:double"&gt;4.038501&lt;/D&gt;&lt;D xsi:type="xsd:double"&gt;2.1867633&lt;/D&gt;&lt;D xsi:type="xsd:double"&gt;27.66713&lt;/D&gt;&lt;D xsi:type="xsd:double"&gt;12.991774&lt;/D&gt;&lt;D xsi:type="xsd:double"&gt;17.653715&lt;/D&gt;&lt;D xsi:type="xsd:double"&gt;9.96586&lt;/D&gt;&lt;D xsi:type="xsd:double"&gt;-3.9348483&lt;/D&gt;&lt;D xsi:type="xsd:double"&gt;-21.924877&lt;/D&gt;&lt;D xsi:type="xsd:double"&gt;-14.0060005&lt;/D&gt;&lt;D xsi:type="xsd:double"&gt;-3.5242975&lt;/D&gt;&lt;D xsi:type="xsd:double"&gt;32.820724&lt;/D&gt;&lt;D xsi:type="xsd:double"&gt;39.93634&lt;/D&gt;&lt;D xsi:type="xsd:double"&gt;9.652519&lt;/D&gt;&lt;D xsi:type="xsd:double"&gt;6.743562&lt;/D&gt;&lt;D xsi:type="xsd:double"&gt;-3.573656&lt;/D&gt;&lt;D xsi:type="xsd:double"&gt;26.323175&lt;/D&gt;&lt;D xsi:type="xsd:double"&gt;30.279278&lt;/D&gt;&lt;D xsi:type="xsd:double"&gt;19.83664&lt;/D&gt;&lt;D xsi:type="xsd:double"&gt;23.150326&lt;/D&gt;&lt;D xsi:type="xsd:double"&gt;30.683744&lt;/D&gt;&lt;D xsi:type="xsd:double"&gt;19.417774&lt;/D&gt;&lt;D xsi:type="xsd:double"&gt;9.113407&lt;/D&gt;&lt;/FQL&gt;&lt;FQL&gt;&lt;Q&gt;INDA^FG_TOTAL_RETURNC(-10AY,0,AM)&lt;/Q&gt;&lt;R&gt;121&lt;/R&gt;&lt;C&gt;1&lt;/C&gt;&lt;D xsi:type="xsd:double"&gt;12.765956&lt;/D&gt;&lt;D xsi:type="xsd:double"&gt;-1.0107875&lt;/D&gt;&lt;D xsi:type="xsd:double"&gt;4.3501616&lt;/D&gt;&lt;D xsi:type="xsd:double"&gt;1.1445403&lt;/D&gt;&lt;D xsi:type="xsd:double"&gt;-0.8729398&lt;/D&gt;&lt;D xsi:type="xsd:double"&gt;-0.61970353&lt;/D&gt;&lt;D xsi:type="xsd:double"&gt;6.2684655&lt;/D&gt;&lt;D xsi:type="xsd:double"&gt;-7.8306017&lt;/D&gt;&lt;D xsi:type="xsd:double"&gt;11.167169&lt;/D&gt;&lt;D xsi:type="xsd:double"&gt;-1.3615727&lt;/D&gt;&lt;D xsi:type="xsd:double"&gt;-1.3803601&lt;/D&gt;&lt;D xsi:type="xsd:double"&gt;-3.576988&lt;/D&gt;&lt;D xsi:type="xsd:double"&gt;0.0967741&lt;/D&gt;&lt;D xsi:type="xsd:double"&gt;-1.2890816&lt;/D&gt;&lt;D xsi:type="xsd:double"&gt;1.5013218&lt;/D&gt;&lt;D xsi:type="xsd:double"&gt;-7.590437&lt;/D&gt;&lt;D xsi:type="xsd:double"&gt;-4.1244326&lt;/D&gt;&lt;D xsi:type="xsd:double"&gt;8.931828&lt;/D&gt;&lt;D xsi:type="xsd:double"&gt;-9.203482&lt;/D&gt;&lt;D xsi:type="xsd:double"&gt;2.626264&lt;/D&gt;&lt;D xsi:type="xsd:double"&gt;-8.248913&lt;/D&gt;&lt;D xsi:type="xsd:double"&gt;-4.9684525&lt;/D&gt;&lt;D xsi:type="xsd:double"&gt;10.7053995&lt;/D&gt;&lt;D xsi:type="xsd:double"&gt;1.9490242&lt;/D&gt;&lt;D xsi:type="xsd:double"&gt;-3.7132382&lt;/D&gt;&lt;D xsi:type="xsd:double"&gt;7.6827645&lt;/D&gt;&lt;D xsi:type="xsd:double"&gt;3.4248948&lt;/D&gt;&lt;D xsi:type="xsd:double"&gt;0.48292875&lt;/D&gt;&lt;D xsi:type="xsd:double"&gt;2.1283984&lt;/D&gt;&lt;D xsi:type="xsd:double"&gt;-0.8403361&lt;/D&gt;&lt;D xsi:type="xsd:double"&gt;-12.338978&lt;/D&gt;&lt;D xsi:type="xsd:double"&gt;1.247716&lt;/D&gt;&lt;D xsi:type="xsd:double"&gt;5.859816&lt;/D&gt;&lt;D xsi:type="xsd:double"&gt;8.068026&lt;/D&gt;&lt;D xsi:type="xsd:double"&gt;3.883493&lt;/D&gt;&lt;D xsi:type="xsd:double"&gt;0.32225847&lt;/D&gt;&lt;D xsi:type="xsd:double"&gt;1.5740514&lt;/D&gt;&lt;D xsi:type="xsd:double"&gt;2.1960497&lt;/D&gt;&lt;D xsi:type="xsd:double"&gt;4.970491&lt;/D&gt;&lt;D xsi:type="xsd:double"&gt;0.029587746&lt;/D&gt;&lt;D xsi:type="xsd:double"&gt;-0.9467423&lt;/D&gt;&lt;D xsi:type="xsd:double"&gt;2.6881814&lt;/D&gt;&lt;D xsi:type="xsd:double"&gt;2.0069718&lt;/D&gt;&lt;D xsi:type="xsd:double"&gt;3.0240178&lt;/D&gt;&lt;D xsi:type="xsd:double"&gt;6.1210275&lt;/D&gt;&lt;D xsi:type="xsd:double"&gt;-7.10814&lt;/D&gt;&lt;D xsi:type="xsd:double"&gt;-6.7326665&lt;/D&gt;&lt;D xsi:type="xsd:double"&gt;4.367602&lt;/D&gt;&lt;D xsi:type="xsd:double"&gt;-5.114788&lt;/D&gt;&lt;D xsi:type="xsd:double"&gt;3.5736918&lt;/D&gt;&lt;D xsi:type="xsd:double"&gt;1.0956407&lt;/D&gt;&lt;D xsi:type="xsd:double"&gt;3.5442233&lt;/D&gt;&lt;D xsi:type="xsd:double"&gt;-5.148512&lt;/D&gt;&lt;D xsi:type="xsd:double"&gt;-11.691016&lt;/D&gt;&lt;D xsi:type="xsd:double"&gt;8.409309&lt;/D&gt;&lt;D xsi:type="xsd:double"&gt;2.2365093&lt;/D&gt;&lt;D xsi:type="xsd:double"&gt;0.016069412&lt;/D&gt;&lt;D xsi:type="xsd:double"&gt;-0.39926767&lt;/D&gt;&lt;D xsi:type="xsd:double"&gt;6.9380164&lt;/D&gt;&lt;D xsi:type="xsd:double"&gt;1.0668993&lt;/D&gt;&lt;D xsi:type="xsd:double"&gt;-0.34236312&lt;/D&gt;&lt;D xsi:type="xsd:double"&gt;0.68267584&lt;/D&gt;&lt;D xsi:type="xsd:double"&gt;-2.6685834&lt;/D&gt;&lt;D xsi:type="xsd:double"&gt;-6.662732&lt;/D&gt;&lt;D xsi:type="xsd:double"&gt;7.296276&lt;/D&gt;&lt;D xsi:type="xsd:double"&gt;0.029432774&lt;/D&gt;&lt;D xsi:type="xsd:double"&gt;0.6474376&lt;/D&gt;&lt;D xsi:type="xsd:double"&gt;3.488338&lt;/D&gt;&lt;D xsi:type="xsd:double"&gt;0.22623539&lt;/D&gt;&lt;D xsi:type="xsd:double"&gt;-1.7494321&lt;/D&gt;&lt;D xsi:type="xsd:double"&gt;-41.125786&lt;/D&gt;&lt;D xsi:type="xsd:double"&gt;27.365852&lt;/D&gt;&lt;D xsi:type="xsd:double"&gt;0.038301945&lt;/D&gt;&lt;D xsi:type="xsd:double"&gt;13.782776&lt;/D&gt;&lt;D xsi:type="xsd:double"&gt;7.827258&lt;/D&gt;&lt;D xsi:type="xsd:double"&gt;3.535676&lt;/D&gt;&lt;D xsi:type="xsd:double"&gt;-0.54396987&lt;/D&gt;&lt;D xsi:type="xsd:double"&gt;6.320274&lt;/D&gt;&lt;D xsi:type="xsd:double"&gt;4.629886&lt;/D&gt;&lt;D xsi:type="xsd:double"&gt;6.5064907&lt;/D&gt;&lt;D xsi:type="xsd:double"&gt;6.134498&lt;/D&gt;&lt;D xsi:type="xsd:double"&gt;2.4425745&lt;/D&gt;&lt;D xsi:type="xsd:double"&gt;-0.18886328&lt;/D&gt;&lt;D xsi:type="xsd:double"&gt;-5.2743616&lt;/D&gt;&lt;D xsi:type="xsd:double"&gt;7.5905085&lt;/D&gt;&lt;D xsi:type="xsd:double"&gt;2.786827&lt;/D&gt;&lt;D xsi:type="xsd:double"&gt;0.61017275&lt;/D&gt;&lt;D xsi:type="xsd:double"&gt;4.132974&lt;/D&gt;&lt;D xsi:type="xsd:double"&gt;7.9918027&lt;/D&gt;&lt;D xsi:type="xsd:double"&gt;-1.3482451&lt;/D&gt;&lt;D xsi:type="xsd:double"&gt;-0.30370355&lt;/D&gt;&lt;D xsi:type="xsd:double"&gt;-2.518338&lt;/D&gt;&lt;D xsi:type="xsd:double"&gt;1.9294858&lt;/D&gt;&lt;D xsi:type="xsd:double"&gt;-4.5058784&lt;/D&gt;&lt;D xsi:type="xsd:double"&gt;-0.6838381&lt;/D&gt;&lt;D xsi:type="xsd:double"&gt;1.4459491&lt;/D&gt;&lt;D xsi:type="xsd:double"&gt;-6.6289606&lt;/D&gt;&lt;D xsi:type="xsd:double"&gt;-4.603833&lt;/D&gt;&lt;D xsi:type="xsd:double"&gt;4.4450045&lt;/D&gt;&lt;D xsi:type="xsd:double"&gt;4.9367785&lt;/D&gt;&lt;D xsi:type="xsd:double"&gt;-3.6384702&lt;/D&gt;&lt;D xsi:type="xsd:double"&gt;0.36073923&lt;/D&gt;&lt;D xsi:type="xsd:double"&gt;2.6599526&lt;/D&gt;&lt;D xsi:type="xsd:double"&gt;-3.8515449&lt;/D&gt;&lt;D xsi:type="xsd:double"&gt;3.2289386&lt;/D&gt;&lt;D xsi:type="xsd:double"&gt;-7.337719&lt;/D&gt;&lt;D xsi:type="xsd:double"&gt;-1.7258883&lt;/D&gt;&lt;D xsi:type="xsd:double"&gt;2.9958725&lt;/D&gt;&lt;D xsi:type="xsd:double"&gt;3.1344056&lt;/D&gt;&lt;D xsi:type="xsd:double"&gt;3.7212372&lt;/D&gt;&lt;D xsi:type="xsd:double"&gt;4.18036&lt;/D&gt;&lt;D xsi:type="xsd:double"&gt;-0.38323402&lt;/D&gt;&lt;D xsi:type="xsd:double"&gt;0.65625906&lt;/D&gt;&lt;D xsi:type="xsd:double"&gt;-1.9334555&lt;/D&gt;&lt;D xsi:type="xsd:double"&gt;3.645122&lt;/D&gt;&lt;D xsi:type="xsd:double"&gt;6.967485&lt;/D&gt;&lt;D xsi:type="xsd:double"&gt;0.6617069&lt;/D&gt;&lt;D xsi:type="xsd:double"&gt;6.409204&lt;/D&gt;&lt;D xsi:type="xsd:double"&gt;-2.5289536&lt;/D&gt;&lt;D xsi:type="xsd:double"&gt;3.0104876&lt;/D&gt;&lt;D xsi:type="xsd:double"&gt;3.460884&lt;/D&gt;&lt;/FQL&gt;&lt;FQL&gt;&lt;Q&gt;VNM^FMA_PE(LTMA,-10AY,0,AM,"PORTAGG","MEANR")&lt;/Q&gt;&lt;R&gt;121&lt;/R&gt;&lt;C&gt;1&lt;/C&gt;&lt;D xsi:type="xsd:double"&gt;11.8549411455803&lt;/D&gt;&lt;D xsi:type="xsd:double"&gt;12.3798450421054&lt;/D&gt;&lt;D xsi:type="xsd:double"&gt;12.743414985382&lt;/D&gt;&lt;D xsi:type="xsd:double"&gt;13.0982937781188&lt;/D&gt;&lt;D xsi:type="xsd:double"&gt;13.1976152045022&lt;/D&gt;&lt;D xsi:type="xsd:double"&gt;13.1745312723819&lt;/D&gt;&lt;D xsi:type="xsd:double"&gt;12.9479636432943&lt;/D&gt;&lt;D xsi:type="xsd:double"&gt;12.5715518294542&lt;/D&gt;&lt;D xsi:type="xsd:double"&gt;12.2056026833885&lt;/D&gt;&lt;D xsi:type="xsd:double"&gt;12.9544749265556&lt;/D&gt;&lt;D xsi:type="xsd:double"&gt;16.6210450452564&lt;/D&gt;&lt;D xsi:type="xsd:double"&gt;16.7108913750624&lt;/D&gt;&lt;D xsi:type="xsd:double"&gt;16.7536995747167&lt;/D&gt;&lt;D xsi:type="xsd:double"&gt;16.8121453468588&lt;/D&gt;&lt;D xsi:type="xsd:double"&gt;17.1366594039695&lt;/D&gt;&lt;D xsi:type="xsd:double"&gt;17.037672081025&lt;/D&gt;&lt;D xsi:type="xsd:double"&gt;18.1731016357379&lt;/D&gt;&lt;D xsi:type="xsd:double"&gt;23.156374493919&lt;/D&gt;&lt;D xsi:type="xsd:double"&gt;25.6240783200169&lt;/D&gt;&lt;D xsi:type="xsd:double"&gt;23.5388994352221&lt;/D&gt;&lt;D xsi:type="xsd:double"&gt;16.5849690498927&lt;/D&gt;&lt;D xsi:type="xsd:double"&gt;18.4965653584183&lt;/D&gt;&lt;D xsi:type="xsd:double"&gt;-4.98790578624725&lt;/D&gt;&lt;D xsi:type="xsd:double"&gt;-2.80066549590268&lt;/D&gt;&lt;D xsi:type="xsd:double"&gt;-0.96345616834259&lt;/D&gt;&lt;D xsi:type="xsd:double"&gt;1.34173787473161&lt;/D&gt;&lt;D xsi:type="xsd:double"&gt;2.65060039208881&lt;/D&gt;&lt;D xsi:type="xsd:double"&gt;4.4581545577222&lt;/D&gt;&lt;D xsi:type="xsd:double"&gt;7.99238894180565&lt;/D&gt;&lt;D xsi:type="xsd:double"&gt;10.7467840676407&lt;/D&gt;&lt;D xsi:type="xsd:double"&gt;12.2797556220311&lt;/D&gt;&lt;D xsi:type="xsd:double"&gt;14.1548601804062&lt;/D&gt;&lt;D xsi:type="xsd:double"&gt;14.3078631007314&lt;/D&gt;&lt;D xsi:type="xsd:double"&gt;15.9828080651778&lt;/D&gt;&lt;D xsi:type="xsd:double"&gt;15.7948968724481&lt;/D&gt;&lt;D xsi:type="xsd:double"&gt;15.7003220460743&lt;/D&gt;&lt;D xsi:type="xsd:double"&gt;15.7590816037624&lt;/D&gt;&lt;D xsi:type="xsd:double"&gt;16.3393772770909&lt;/D&gt;&lt;D xsi:type="xsd:double"&gt;15.9509329147987&lt;/D&gt;&lt;D xsi:type="xsd:double"&gt;16.9788626614961&lt;/D&gt;&lt;D xsi:type="xsd:double"&gt;17.6763064021417&lt;/D&gt;&lt;D xsi:type="xsd:double"&gt;18.3991670040126&lt;/D&gt;&lt;D xsi:type="xsd:double"&gt;19.9264278816734&lt;/D&gt;&lt;D xsi:type="xsd:double"&gt;22.0910246135362&lt;/D&gt;&lt;D xsi:type="xsd:double"&gt;25.4735360844643&lt;/D&gt;&lt;D xsi:type="xsd:double"&gt;24.7209029926264&lt;/D&gt;&lt;D xsi:type="xsd:double"&gt;24.5668591739579&lt;/D&gt;&lt;D xsi:type="xsd:double"&gt;24.2244151348669&lt;/D&gt;&lt;D xsi:type="xsd:double"&gt;23.5838809583512&lt;/D&gt;&lt;D xsi:type="xsd:double"&gt;22.3359511767341&lt;/D&gt;&lt;D xsi:type="xsd:double"&gt;21.8296213075672&lt;/D&gt;&lt;D xsi:type="xsd:double"&gt;22.0949276581058&lt;/D&gt;&lt;D xsi:type="xsd:double"&gt;21.819738932384&lt;/D&gt;&lt;D xsi:type="xsd:double"&gt;19.8388144557422&lt;/D&gt;&lt;D xsi:type="xsd:double"&gt;19.2998631874961&lt;/D&gt;&lt;D xsi:type="xsd:double"&gt;18.3219987987038&lt;/D&gt;&lt;D xsi:type="xsd:double"&gt;18.4098607104108&lt;/D&gt;&lt;D xsi:type="xsd:double"&gt;19.9011291865384&lt;/D&gt;&lt;D xsi:type="xsd:double"&gt;19.6940686408112&lt;/D&gt;&lt;D xsi:type="xsd:double"&gt;19.6827476871607&lt;/D&gt;&lt;D xsi:type="xsd:double"&gt;19.6231923844951&lt;/D&gt;&lt;D xsi:type="xsd:double"&gt;19.2968638426597&lt;/D&gt;&lt;D xsi:type="xsd:double"&gt;18.7934268632458&lt;/D&gt;&lt;D xsi:type="xsd:double"&gt;17.699505716112&lt;/D&gt;&lt;D xsi:type="xsd:double"&gt;17.0878186441233&lt;/D&gt;&lt;D xsi:type="xsd:double"&gt;17.3617722749335&lt;/D&gt;&lt;D xsi:type="xsd:double"&gt;17.512087214184&lt;/D&gt;&lt;D xsi:type="xsd:double"&gt;16.9807606103978&lt;/D&gt;&lt;D xsi:type="xsd:double"&gt;16.5075483326917&lt;/D&gt;&lt;D xsi:type="xsd:double"&gt;15.3785420346144&lt;/D&gt;&lt;D xsi:type="xsd:double"&gt;14.4143912578865&lt;/D&gt;&lt;D xsi:type="xsd:double"&gt;15.280620490344&lt;/D&gt;&lt;D xsi:type="xsd:double"&gt;15.826864587098&lt;/D&gt;&lt;D xsi:type="xsd:double"&gt;15.9647907286363&lt;/D&gt;&lt;D xsi:type="xsd:double"&gt;16.4456846546682&lt;/D&gt;&lt;D xsi:type="xsd:double"&gt;16.79759449814&lt;/D&gt;&lt;D xsi:type="xsd:double"&gt;18.2152705293546&lt;/D&gt;&lt;D xsi:type="xsd:double"&gt;18.9957323606929&lt;/D&gt;&lt;D xsi:type="xsd:double"&gt;19.6947377732424&lt;/D&gt;&lt;D xsi:type="xsd:double"&gt;22.6976202046905&lt;/D&gt;&lt;D xsi:type="xsd:double"&gt;24.282979878347&lt;/D&gt;&lt;D xsi:type="xsd:double"&gt;24.5081906116851&lt;/D&gt;&lt;D xsi:type="xsd:double"&gt;23.9205528615905&lt;/D&gt;&lt;D xsi:type="xsd:double"&gt;23.3963242298503&lt;/D&gt;&lt;D xsi:type="xsd:double"&gt;22.7530803428842&lt;/D&gt;&lt;D xsi:type="xsd:double"&gt;22.5925387232565&lt;/D&gt;&lt;D xsi:type="xsd:double"&gt;21.4078880880627&lt;/D&gt;&lt;D xsi:type="xsd:double"&gt;20.6263179160888&lt;/D&gt;&lt;D xsi:type="xsd:double"&gt;20.4455144718703&lt;/D&gt;&lt;D xsi:type="xsd:double"&gt;20.0425002525998&lt;/D&gt;&lt;D xsi:type="xsd:double"&gt;18.9789830060408&lt;/D&gt;&lt;D xsi:type="xsd:double"&gt;18.5547995223506&lt;/D&gt;&lt;D xsi:type="xsd:double"&gt;17.2790659669756&lt;/D&gt;&lt;D xsi:type="xsd:double"&gt;16.8640778726429&lt;/D&gt;&lt;D xsi:type="xsd:double"&gt;16.4194382152106&lt;/D&gt;&lt;D xsi:type="xsd:double"&gt;15.9214529295043&lt;/D&gt;&lt;D xsi:type="xsd:double"&gt;15.1612766069811&lt;/D&gt;&lt;D xsi:type="xsd:double"&gt;14.3269710290841&lt;/D&gt;&lt;D xsi:type="xsd:double"&gt;13.8945972707994&lt;/D&gt;&lt;D xsi:type="xsd:double"&gt;13.9740961831552&lt;/D&gt;&lt;D xsi:type="xsd:double"&gt;13.5639209163757&lt;/D&gt;&lt;D xsi:type="xsd:double"&gt;12.2148273849082&lt;/D&gt;&lt;D xsi:type="xsd:double"&gt;11.4953273247573&lt;/D&gt;&lt;D xsi:type="xsd:double"&gt;11.7814533365331&lt;/D&gt;&lt;D xsi:type="xsd:double"&gt;12.4468536802236&lt;/D&gt;&lt;D xsi:type="xsd:double"&gt;12.7484224474274&lt;/D&gt;&lt;D xsi:type="xsd:double"&gt;12.6235571303058&lt;/D&gt;&lt;D xsi:type="xsd:double"&gt;12.8397239168062&lt;/D&gt;&lt;D xsi:type="xsd:double"&gt;13.4684773216692&lt;/D&gt;&lt;D xsi:type="xsd:double"&gt;14.1158177963247&lt;/D&gt;&lt;D xsi:type="xsd:double"&gt;13.7244905177246&lt;/D&gt;&lt;D xsi:type="xsd:double"&gt;14.3379539002321&lt;/D&gt;&lt;D xsi:type="xsd:double"&gt;14.2886456989532&lt;/D&gt;&lt;D xsi:type="xsd:double"&gt;15.508805593599&lt;/D&gt;&lt;D xsi:type="xsd:double"&gt;15.9618125738787&lt;/D&gt;&lt;D xsi:type="xsd:double"&gt;16.4659557831183&lt;/D&gt;&lt;D xsi:type="xsd:double"&gt;16.8765050458273&lt;/D&gt;&lt;D xsi:type="xsd:double"&gt;17.9883937186691&lt;/D&gt;&lt;D xsi:type="xsd:double"&gt;18.7933284885599&lt;/D&gt;&lt;D xsi:type="xsd:double"&gt;17.9332240271221&lt;/D&gt;&lt;D xsi:type="xsd:double"&gt;18.3161535560651&lt;/D&gt;&lt;/FQL&gt;&lt;FQL&gt;&lt;Q&gt;CNYA^FMA_PE(LTMA,-10AY,0,AM,"PORTAGG","MEANR")&lt;/Q&gt;&lt;R&gt;121&lt;/R&gt;&lt;C&gt;1&lt;/C&gt;&lt;D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xsi:type="xsd:double"&gt;15.0068073964616&lt;/D&gt;&lt;D xsi:type="xsd:double"&gt;15.2871975025412&lt;/D&gt;&lt;D xsi:type="xsd:double"&gt;15.1327565636817&lt;/D&gt;&lt;D xsi:type="xsd:double"&gt;15.0763281683425&lt;/D&gt;&lt;D xsi:type="xsd:double"&gt;14.9101303680964&lt;/D&gt;&lt;D xsi:type="xsd:double"&gt;15.2657547112488&lt;/D&gt;&lt;D xsi:type="xsd:double"&gt;15.3806553952804&lt;/D&gt;&lt;D xsi:type="xsd:double"&gt;15.3165123574459&lt;/D&gt;&lt;D xsi:type="xsd:double"&gt;15.6511552194823&lt;/D&gt;&lt;D xsi:type="xsd:double"&gt;15.884243524552&lt;/D&gt;&lt;D xsi:type="xsd:double"&gt;16.7790010319725&lt;/D&gt;&lt;D xsi:type="xsd:double"&gt;15.9478025868647&lt;/D&gt;&lt;D xsi:type="xsd:double"&gt;16.9648689867912&lt;/D&gt;&lt;D xsi:type="xsd:double"&gt;15.5447818508634&lt;/D&gt;&lt;D xsi:type="xsd:double"&gt;15.0866089326925&lt;/D&gt;&lt;D xsi:type="xsd:double"&gt;14.7781624174562&lt;/D&gt;&lt;D xsi:type="xsd:double"&gt;14.391890401912&lt;/D&gt;&lt;D xsi:type="xsd:double"&gt;13.8950873155981&lt;/D&gt;&lt;D xsi:type="xsd:double"&gt;13.3577623160856&lt;/D&gt;&lt;D xsi:type="xsd:double"&gt;12.5333147799978&lt;/D&gt;&lt;D xsi:type="xsd:double"&gt;12.6885629897478&lt;/D&gt;&lt;D xsi:type="xsd:double"&gt;11.7193297257744&lt;/D&gt;&lt;D xsi:type="xsd:double"&gt;11.3227949994284&lt;/D&gt;&lt;D xsi:type="xsd:double"&gt;10.8089996972215&lt;/D&gt;&lt;D xsi:type="xsd:double"&gt;11.0710671896191&lt;/D&gt;&lt;D xsi:type="xsd:double"&gt;12.2574895507158&lt;/D&gt;&lt;D xsi:type="xsd:double"&gt;12.7074653689074&lt;/D&gt;&lt;D xsi:type="xsd:double"&gt;12.8022650926493&lt;/D&gt;&lt;D xsi:type="xsd:double"&gt;12.2587029892452&lt;/D&gt;&lt;D xsi:type="xsd:double"&gt;12.7409066503091&lt;/D&gt;&lt;D xsi:type="xsd:double"&gt;12.581413190965&lt;/D&gt;&lt;D xsi:type="xsd:double"&gt;12.6781541146903&lt;/D&gt;&lt;D xsi:type="xsd:double"&gt;12.8643381177293&lt;/D&gt;&lt;D xsi:type="xsd:double"&gt;12.8087449088912&lt;/D&gt;&lt;D xsi:type="xsd:double"&gt;12.7458644987584&lt;/D&gt;&lt;D xsi:type="xsd:double"&gt;14.1550714243108&lt;/D&gt;&lt;D xsi:type="xsd:double"&gt;14.385468242851&lt;/D&gt;&lt;D xsi:type="xsd:double"&gt;15.0259310326175&lt;/D&gt;&lt;D xsi:type="xsd:double"&gt;13.8980403915913&lt;/D&gt;&lt;D xsi:type="xsd:double"&gt;14.1305673199151&lt;/D&gt;&lt;D xsi:type="xsd:double"&gt;14.1833416092251&lt;/D&gt;&lt;D xsi:type="xsd:double"&gt;14.8724139647206&lt;/D&gt;&lt;D xsi:type="xsd:double"&gt;16.2362569341961&lt;/D&gt;&lt;D xsi:type="xsd:double"&gt;16.5203360480619&lt;/D&gt;&lt;D xsi:type="xsd:double"&gt;16.9983596751266&lt;/D&gt;&lt;D xsi:type="xsd:double"&gt;17.3009150818162&lt;/D&gt;&lt;D xsi:type="xsd:double"&gt;18.4457322396946&lt;/D&gt;&lt;D xsi:type="xsd:double"&gt;19.3283234640584&lt;/D&gt;&lt;D xsi:type="xsd:double"&gt;21.565242357655&lt;/D&gt;&lt;D xsi:type="xsd:double"&gt;21.2459604463168&lt;/D&gt;&lt;D xsi:type="xsd:double"&gt;19.7047748427422&lt;/D&gt;&lt;D xsi:type="xsd:double"&gt;19.5030676622248&lt;/D&gt;&lt;D xsi:type="xsd:double"&gt;19.215991981211&lt;/D&gt;&lt;D xsi:type="xsd:double"&gt;19.1642736173671&lt;/D&gt;&lt;D xsi:type="xsd:double"&gt;18.6609486144225&lt;/D&gt;&lt;D xsi:type="xsd:double"&gt;17.8934525036376&lt;/D&gt;&lt;D xsi:type="xsd:double"&gt;17.924103316732&lt;/D&gt;&lt;D xsi:type="xsd:double"&gt;17.957486358717&lt;/D&gt;&lt;D xsi:type="xsd:double"&gt;17.9843949095454&lt;/D&gt;&lt;D xsi:type="xsd:double"&gt;18.2407461197739&lt;/D&gt;&lt;D xsi:type="xsd:double"&gt;17.3232083721191&lt;/D&gt;&lt;D xsi:type="xsd:double"&gt;16.7284533006538&lt;/D&gt;&lt;D xsi:type="xsd:double"&gt;16.2703892809624&lt;/D&gt;&lt;D xsi:type="xsd:double"&gt;15.7643064997817&lt;/D&gt;&lt;D xsi:type="xsd:double"&gt;15.7131061099243&lt;/D&gt;&lt;D xsi:type="xsd:double"&gt;15.8323641209089&lt;/D&gt;&lt;D xsi:type="xsd:double"&gt;15.5186987043783&lt;/D&gt;&lt;D xsi:type="xsd:double"&gt;15.240335846024&lt;/D&gt;&lt;D xsi:type="xsd:double"&gt;14.38340401237&lt;/D&gt;&lt;D xsi:type="xsd:double"&gt;13.8595593753381&lt;/D&gt;&lt;D xsi:type="xsd:double"&gt;14.0104428088575&lt;/D&gt;&lt;D xsi:type="xsd:double"&gt;13.8740366748169&lt;/D&gt;&lt;D xsi:type="xsd:double"&gt;15.0591994148773&lt;/D&gt;&lt;D xsi:type="xsd:double"&gt;14.7637643354286&lt;/D&gt;&lt;D xsi:type="xsd:double"&gt;14.433351916929&lt;/D&gt;&lt;D xsi:type="xsd:double"&gt;14.3080265055345&lt;/D&gt;&lt;D xsi:type="xsd:double"&gt;14.0671792628113&lt;/D&gt;&lt;D xsi:type="xsd:double"&gt;13.9568420317257&lt;/D&gt;&lt;D xsi:type="xsd:double"&gt;13.7456944556231&lt;/D&gt;&lt;D xsi:type="xsd:double"&gt;13.4730647281389&lt;/D&gt;&lt;D xsi:type="xsd:double"&gt;13.7915933440448&lt;/D&gt;&lt;D xsi:type="xsd:double"&gt;12.9272086611186&lt;/D&gt;&lt;D xsi:type="xsd:double"&gt;13.5293627270025&lt;/D&gt;&lt;D xsi:type="xsd:double"&gt;13.0803292302616&lt;/D&gt;&lt;D xsi:type="xsd:double"&gt;12.4226200884068&lt;/D&gt;&lt;D xsi:type="xsd:double"&gt;13.4360349310259&lt;/D&gt;&lt;D xsi:type="xsd:double"&gt;13.5610350584364&lt;/D&gt;&lt;D xsi:type="xsd:double"&gt;13.5639628273529&lt;/D&gt;&lt;D xsi:type="xsd:double"&gt;13.8716904212671&lt;/D&gt;&lt;/FQL&gt;&lt;FQL&gt;&lt;Q&gt;EWM^JULIAN(FMA_ROE(NTMA,-20AY,NOW,FY,"PORTAGG","MEANR").DATES)&lt;/Q&gt;&lt;R&gt;20&lt;/R&gt;&lt;C&gt;1&lt;/C&gt;&lt;D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xsi:type="xsd:double"&gt;2.574&lt;/D&gt;&lt;/FQL&gt;&lt;FQL&gt;&lt;Q&gt;CC_TW^FG_COMPANY_NAME&lt;/Q&gt;&lt;R&gt;1&lt;/R&gt;&lt;C&gt;1&lt;/C&gt;&lt;D xsi:type="xsd:string"&gt;Taiwan, China&lt;/D&gt;&lt;/FQL&gt;&lt;FQL&gt;&lt;Q&gt;USDINR^STD(FG_PRICE_CHANGE(0,-3AY,M))&lt;/Q&gt;&lt;R&gt;1&lt;/R&gt;&lt;C&gt;1&lt;/C&gt;&lt;D xsi:type="xsd:double"&gt;1.07904649730989&lt;/D&gt;&lt;/FQL&gt;&lt;FQL&gt;&lt;Q&gt;USDPHP^FG_PRICE_CHANGE(0,-3AM)&lt;/Q&gt;&lt;R&gt;1&lt;/R&gt;&lt;C&gt;1&lt;/C&gt;&lt;D xsi:type="xsd:double"&gt;4.0071487&lt;/D&gt;&lt;/FQL&gt;&lt;FQL&gt;&lt;Q&gt;FC0000TW^FMA_EPS(NTMA,-20AY,0,CY,,"PORTAGG","MEANR")&lt;/Q&gt;&lt;R&gt;20&lt;/R&gt;&lt;C&gt;1&lt;/C&gt;&lt;D xsi:type="xsd:double"&gt;9.12031426379573&lt;/D&gt;&lt;D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xsi:type="xsd:double"&gt;12.9786240188185&lt;/D&gt;&lt;D xsi:type="xsd:double"&gt;15.9439970068329&lt;/D&gt;&lt;D xsi:type="xsd:double"&gt;24.3051164427367&lt;/D&gt;&lt;D xsi:type="xsd:double"&gt;19.7601608611466&lt;/D&gt;&lt;D xsi:type="xsd:double"&gt;19.0980372403794&lt;/D&gt;&lt;/FQL&gt;&lt;FQL&gt;&lt;Q&gt;INDA^FMA_DIV_YLD(NTMA,-10AY,0,AM,"PORTAGG","MEANR")&lt;/Q&gt;&lt;R&gt;121&lt;/R&gt;&lt;C&gt;1&lt;/C&gt;&lt;D xsi:type="xsd:double"&gt;1.58750452759689&lt;/D&gt;&lt;D xsi:type="xsd:double"&gt;1.57001819578261&lt;/D&gt;&lt;D xsi:type="xsd:double"&gt;1.55972705718094&lt;/D&gt;&lt;D xsi:type="xsd:double"&gt;1.57381543384016&lt;/D&gt;&lt;D xsi:type="xsd:double"&gt;1.5711131895144&lt;/D&gt;&lt;D xsi:type="xsd:double"&gt;1.6041230195976&lt;/D&gt;&lt;D xsi:type="xsd:double"&gt;1.53433323593671&lt;/D&gt;&lt;D xsi:type="xsd:double"&gt;1.59010851695595&lt;/D&gt;&lt;D xsi:type="xsd:double"&gt;1.48314767161489&lt;/D&gt;&lt;D xsi:type="xsd:double"&gt;1.48619340804194&lt;/D&gt;&lt;D xsi:type="xsd:double"&gt;1.51972025626239&lt;/D&gt;&lt;D xsi:type="xsd:double"&gt;1.59571731330963&lt;/D&gt;&lt;D xsi:type="xsd:double"&gt;1.60828198355695&lt;/D&gt;&lt;D xsi:type="xsd:double"&gt;1.65284143633797&lt;/D&gt;&lt;D xsi:type="xsd:double"&gt;1.52999696765273&lt;/D&gt;&lt;D xsi:type="xsd:double"&gt;1.58128057181824&lt;/D&gt;&lt;D xsi:type="xsd:double"&gt;1.70098691089001&lt;/D&gt;&lt;D xsi:type="xsd:double"&gt;1.63714756442971&lt;/D&gt;&lt;D xsi:type="xsd:double"&gt;1.73806262391057&lt;/D&gt;&lt;D xsi:type="xsd:double"&gt;1.71798789709739&lt;/D&gt;&lt;D xsi:type="xsd:double"&gt;1.80503258347611&lt;/D&gt;&lt;D xsi:type="xsd:double"&gt;1.84425813969671&lt;/D&gt;&lt;D xsi:type="xsd:double"&gt;1.73042620991381&lt;/D&gt;&lt;D xsi:type="xsd:double"&gt;1.69325148523192&lt;/D&gt;&lt;D xsi:type="xsd:double"&gt;1.73522118353118&lt;/D&gt;&lt;D xsi:type="xsd:double"&gt;1.59522753586793&lt;/D&gt;&lt;D xsi:type="xsd:double"&gt;1.54884606404094&lt;/D&gt;&lt;D xsi:type="xsd:double"&gt;1.54929876464099&lt;/D&gt;&lt;D xsi:type="xsd:double"&gt;1.51498201685&lt;/D&gt;&lt;D xsi:type="xsd:double"&gt;1.54564567623177&lt;/D&gt;&lt;D xsi:type="xsd:double"&gt;1.71422011013808&lt;/D&gt;&lt;D xsi:type="xsd:double"&gt;1.73389399231897&lt;/D&gt;&lt;D xsi:type="xsd:double"&gt;1.66037992225174&lt;/D&gt;&lt;D xsi:type="xsd:double"&gt;1.57852976162302&lt;/D&gt;&lt;D xsi:type="xsd:double"&gt;1.56364973424291&lt;/D&gt;&lt;D xsi:type="xsd:double"&gt;1.58350495777856&lt;/D&gt;&lt;D xsi:type="xsd:double"&gt;1.60949376347222&lt;/D&gt;&lt;D xsi:type="xsd:double"&gt;1.63005184604772&lt;/D&gt;&lt;D xsi:type="xsd:double"&gt;1.54520560305677&lt;/D&gt;&lt;D xsi:type="xsd:double"&gt;1.55803991254959&lt;/D&gt;&lt;D xsi:type="xsd:double"&gt;1.54994481264669&lt;/D&gt;&lt;D xsi:type="xsd:double"&gt;1.53316808889398&lt;/D&gt;&lt;D xsi:type="xsd:double"&gt;1.52230182731398&lt;/D&gt;&lt;D xsi:type="xsd:double"&gt;1.51394026800362&lt;/D&gt;&lt;D xsi:type="xsd:double"&gt;1.43823402862822&lt;/D&gt;&lt;D xsi:type="xsd:double"&gt;1.57205701290784&lt;/D&gt;&lt;D xsi:type="xsd:double"&gt;1.63279301080256&lt;/D&gt;&lt;D xsi:type="xsd:double"&gt;1.60382880913644&lt;/D&gt;&lt;D xsi:type="xsd:double"&gt;1.66084061433312&lt;/D&gt;&lt;D xsi:type="xsd:double"&gt;1.59752134876682&lt;/D&gt;&lt;D xsi:type="xsd:double"&gt;1.57087685103761&lt;/D&gt;&lt;D xsi:type="xsd:double"&gt;1.48604693210025&lt;/D&gt;&lt;D xsi:type="xsd:double"&gt;1.55241834954122&lt;/D&gt;&lt;D xsi:type="xsd:double"&gt;1.73928159518516&lt;/D&gt;&lt;D xsi:type="xsd:double"&gt;1.67649331519795&lt;/D&gt;&lt;D xsi:type="xsd:double"&gt;1.65561396580306&lt;/D&gt;&lt;D xsi:type="xsd:double"&gt;1.65963291390553&lt;/D&gt;&lt;D xsi:type="xsd:double"&gt;1.65625118932476&lt;/D&gt;&lt;D xsi:type="xsd:double"&gt;1.58897920923789&lt;/D&gt;&lt;D xsi:type="xsd:double"&gt;1.6337133738856&lt;/D&gt;&lt;D xsi:type="xsd:double"&gt;1.67991153769973&lt;/D&gt;&lt;D xsi:type="xsd:double"&gt;1.70027470640007&lt;/D&gt;&lt;D xsi:type="xsd:double"&gt;1.7787541887425&lt;/D&gt;&lt;D xsi:type="xsd:double"&gt;1.83456082570316&lt;/D&gt;&lt;D xsi:type="xsd:double"&gt;1.75805781107247&lt;/D&gt;&lt;D xsi:type="xsd:double"&gt;1.8033054711093&lt;/D&gt;&lt;D xsi:type="xsd:double"&gt;1.75507926187236&lt;/D&gt;&lt;D xsi:type="xsd:double"&gt;1.65476813218811&lt;/D&gt;&lt;D xsi:type="xsd:double"&gt;1.64983186661044&lt;/D&gt;&lt;D xsi:type="xsd:double"&gt;1.66255318456189&lt;/D&gt;&lt;D xsi:type="xsd:double"&gt;2.62372620124291&lt;/D&gt;&lt;D xsi:type="xsd:double"&gt;2.02039563653456&lt;/D&gt;&lt;D xsi:type="xsd:double"&gt;1.93916505827772&lt;/D&gt;&lt;D xsi:type="xsd:double"&gt;1.6357372380115&lt;/D&gt;&lt;D xsi:type="xsd:double"&gt;1.5316765602009&lt;/D&gt;&lt;D xsi:type="xsd:double"&gt;1.52039940661649&lt;/D&gt;&lt;D xsi:type="xsd:double"&gt;1.57663894502452&lt;/D&gt;&lt;D xsi:type="xsd:double"&gt;1.52113168135666&lt;/D&gt;&lt;D xsi:type="xsd:double"&gt;1.46432097037218&lt;/D&gt;&lt;D xsi:type="xsd:double"&gt;1.37020052433236&lt;/D&gt;&lt;D xsi:type="xsd:double"&gt;1.32650638015094&lt;/D&gt;&lt;D xsi:type="xsd:double"&gt;1.36747412913153&lt;/D&gt;&lt;D xsi:type="xsd:double"&gt;1.36517473211932&lt;/D&gt;&lt;D xsi:type="xsd:double"&gt;1.42314373793174&lt;/D&gt;&lt;D xsi:type="xsd:double"&gt;1.41371581570049&lt;/D&gt;&lt;D xsi:type="xsd:double"&gt;1.40892811929126&lt;/D&gt;&lt;D xsi:type="xsd:double"&gt;1.38871808272157&lt;/D&gt;&lt;D xsi:type="xsd:double"&gt;1.35181552095288&lt;/D&gt;&lt;D xsi:type="xsd:double"&gt;1.25787955973162&lt;/D&gt;&lt;D xsi:type="xsd:double"&gt;1.30720828052867&lt;/D&gt;&lt;D xsi:type="xsd:double"&gt;1.37196521233528&lt;/D&gt;&lt;D xsi:type="xsd:double"&gt;1.38250622879582&lt;/D&gt;&lt;D xsi:type="xsd:double"&gt;1.3670314024471&lt;/D&gt;&lt;D xsi:type="xsd:double"&gt;1.47657752263102&lt;/D&gt;&lt;D xsi:type="xsd:double"&gt;1.46922214496462&lt;/D&gt;&lt;D xsi:type="xsd:double"&gt;1.48766891936501&lt;/D&gt;&lt;D xsi:type="xsd:double"&gt;1.66916616903246&lt;/D&gt;&lt;D xsi:type="xsd:double"&gt;1.71203992732484&lt;/D&gt;&lt;D xsi:type="xsd:double"&gt;1.57540445786304&lt;/D&gt;&lt;D xsi:type="xsd:double"&gt;1.48757975960906&lt;/D&gt;&lt;D xsi:type="xsd:double"&gt;1.52943290853408&lt;/D&gt;&lt;D xsi:type="xsd:double"&gt;1.51467739527401&lt;/D&gt;&lt;D xsi:type="xsd:double"&gt;1.49074478724677&lt;/D&gt;&lt;D xsi:type="xsd:double"&gt;1.52059096115882&lt;/D&gt;&lt;D xsi:type="xsd:double"&gt;1.51024415439429&lt;/D&gt;&lt;D xsi:type="xsd:double"&gt;1.57788588507684&lt;/D&gt;&lt;D xsi:type="xsd:double"&gt;1.63786597471557&lt;/D&gt;&lt;D xsi:type="xsd:double"&gt;1.62432319149905&lt;/D&gt;&lt;D xsi:type="xsd:double"&gt;1.6108355045725&lt;/D&gt;&lt;D xsi:type="xsd:double"&gt;1.55528173720113&lt;/D&gt;&lt;D xsi:type="xsd:double"&gt;1.4771961798375&lt;/D&gt;&lt;D xsi:type="xsd:double"&gt;1.50681043916693&lt;/D&gt;&lt;D xsi:type="xsd:double"&gt;1.51861220240507&lt;/D&gt;&lt;D xsi:type="xsd:double"&gt;1.53388375323704&lt;/D&gt;&lt;D xsi:type="xsd:double"&gt;1.49785519504142&lt;/D&gt;&lt;D xsi:type="xsd:double"&gt;1.39290225427023&lt;/D&gt;&lt;D xsi:type="xsd:double"&gt;1.40853527787425&lt;/D&gt;&lt;D xsi:type="xsd:double"&gt;1.34145537086586&lt;/D&gt;&lt;D xsi:type="xsd:double"&gt;1.36174854359294&lt;/D&gt;&lt;D xsi:type="xsd:double"&gt;1.34888517582425&lt;/D&gt;&lt;D xsi:type="xsd:double"&gt;1.34482800196986&lt;/D&gt;&lt;/FQL&gt;&lt;FQL&gt;&lt;Q&gt;SET-BKK^FMA_PE(NTMA,-10AY,0,AM,"PORTAGG","MEANR")&lt;/Q&gt;&lt;R&gt;121&lt;/R&gt;&lt;C&gt;1&lt;/C&gt;&lt;D xsi:type="xsd:double"&gt;13.9593545567225&lt;/D&gt;&lt;D xsi:type="xsd:double"&gt;14.0994580367093&lt;/D&gt;&lt;D xsi:type="xsd:double"&gt;14.6346860486055&lt;/D&gt;&lt;D xsi:type="xsd:double"&gt;15.835370816629&lt;/D&gt;&lt;D xsi:type="xsd:double"&gt;15.9640736202223&lt;/D&gt;&lt;D xsi:type="xsd:double"&gt;15.1033882375316&lt;/D&gt;&lt;D xsi:type="xsd:double"&gt;15.5891229970004&lt;/D&gt;&lt;D xsi:type="xsd:double"&gt;15.0888566426516&lt;/D&gt;&lt;D xsi:type="xsd:double"&gt;16.060700302357&lt;/D&gt;&lt;D xsi:type="xsd:double"&gt;16.0189180024802&lt;/D&gt;&lt;D xsi:type="xsd:double"&gt;14.9759562263912&lt;/D&gt;&lt;D xsi:type="xsd:double"&gt;15.2724800899284&lt;/D&gt;&lt;D xsi:type="xsd:double"&gt;15.5385218282422&lt;/D&gt;&lt;D xsi:type="xsd:double"&gt;15.1732979016415&lt;/D&gt;&lt;D xsi:type="xsd:double"&gt;14.7359535431161&lt;/D&gt;&lt;D xsi:type="xsd:double"&gt;13.9350034267193&lt;/D&gt;&lt;D xsi:type="xsd:double"&gt;14.043237965059&lt;/D&gt;&lt;D xsi:type="xsd:double"&gt;14.3957745909267&lt;/D&gt;&lt;D xsi:type="xsd:double"&gt;13.8353656820443&lt;/D&gt;&lt;D xsi:type="xsd:double"&gt;12.502845210771&lt;/D&gt;&lt;D xsi:type="xsd:double"&gt;12.7469115734308&lt;/D&gt;&lt;D xsi:type="xsd:double"&gt;13.6624531541705&lt;/D&gt;&lt;D xsi:type="xsd:double"&gt;14.7095539933771&lt;/D&gt;&lt;D xsi:type="xsd:double"&gt;14.55348485413&lt;/D&gt;&lt;D xsi:type="xsd:double"&gt;14.097841464743&lt;/D&gt;&lt;D xsi:type="xsd:double"&gt;14.6811948931305&lt;/D&gt;&lt;D xsi:type="xsd:double"&gt;15.3272284465668&lt;/D&gt;&lt;D xsi:type="xsd:double"&gt;15.2772515181913&lt;/D&gt;&lt;D xsi:type="xsd:double"&gt;14.6233543528554&lt;/D&gt;&lt;D xsi:type="xsd:double"&gt;14.7015588833993&lt;/D&gt;&lt;D xsi:type="xsd:double"&gt;14.6076384964006&lt;/D&gt;&lt;D xsi:type="xsd:double"&gt;14.6002474834855&lt;/D&gt;&lt;D xsi:type="xsd:double"&gt;15.0327105546033&lt;/D&gt;&lt;D xsi:type="xsd:double"&gt;14.9141214701153&lt;/D&gt;&lt;D xsi:type="xsd:double"&gt;14.9325015507977&lt;/D&gt;&lt;D xsi:type="xsd:double"&gt;14.8483273490344&lt;/D&gt;&lt;D xsi:type="xsd:double"&gt;14.7048332884266&lt;/D&gt;&lt;D xsi:type="xsd:double"&gt;14.8843148429922&lt;/D&gt;&lt;D xsi:type="xsd:double"&gt;14.6724748668705&lt;/D&gt;&lt;D xsi:type="xsd:double"&gt;14.673145128775&lt;/D&gt;&lt;D xsi:type="xsd:double"&gt;15.3723878466073&lt;/D&gt;&lt;D xsi:type="xsd:double"&gt;15.5481918838884&lt;/D&gt;&lt;D xsi:type="xsd:double"&gt;15.5761215136173&lt;/D&gt;&lt;D xsi:type="xsd:double"&gt;15.8035441134149&lt;/D&gt;&lt;D xsi:type="xsd:double"&gt;16.5327637965593&lt;/D&gt;&lt;D xsi:type="xsd:double"&gt;16.0458157029469&lt;/D&gt;&lt;D xsi:type="xsd:double"&gt;15.5077284769188&lt;/D&gt;&lt;D xsi:type="xsd:double"&gt;15.3021962714504&lt;/D&gt;&lt;D xsi:type="xsd:double"&gt;15.3120204024617&lt;/D&gt;&lt;D xsi:type="xsd:double"&gt;14.2178368626521&lt;/D&gt;&lt;D xsi:type="xsd:double"&gt;14.5324691821477&lt;/D&gt;&lt;D xsi:type="xsd:double"&gt;14.6876317395857&lt;/D&gt;&lt;D xsi:type="xsd:double"&gt;15.0698054450114&lt;/D&gt;&lt;D xsi:type="xsd:double"&gt;14.1942649652524&lt;/D&gt;&lt;D xsi:type="xsd:double"&gt;13.9309022254763&lt;/D&gt;&lt;D xsi:type="xsd:double"&gt;13.7491076080872&lt;/D&gt;&lt;D xsi:type="xsd:double"&gt;14.2907508921563&lt;/D&gt;&lt;D xsi:type="xsd:double"&gt;14.9608961824861&lt;/D&gt;&lt;D xsi:type="xsd:double"&gt;14.9254860731606&lt;/D&gt;&lt;D xsi:type="xsd:double"&gt;15.1230197439053&lt;/D&gt;&lt;D xsi:type="xsd:double"&gt;14.6252920403801&lt;/D&gt;&lt;D xsi:type="xsd:double"&gt;15.6977405688743&lt;/D&gt;&lt;D xsi:type="xsd:double"&gt;15.7553632250681&lt;/D&gt;&lt;D xsi:</t>
        </r>
      </text>
    </comment>
    <comment ref="A11" authorId="0" shapeId="0" xr:uid="{B2AA9CAD-F892-42D0-989F-B6679A11D3BB}">
      <text>
        <r>
          <rPr>
            <b/>
            <sz val="9"/>
            <color indexed="81"/>
            <rFont val="Tahoma"/>
            <charset val="1"/>
          </rPr>
          <t>type="xsd:double"&gt;15.3062161666526&lt;/D&gt;&lt;D xsi:type="xsd:double"&gt;15.1155432230067&lt;/D&gt;&lt;D xsi:type="xsd:double"&gt;15.4854838531756&lt;/D&gt;&lt;D xsi:type="xsd:double"&gt;15.6501849555671&lt;/D&gt;&lt;D xsi:type="xsd:double"&gt;15.3139152257632&lt;/D&gt;&lt;D xsi:type="xsd:double"&gt;15.547468732201&lt;/D&gt;&lt;D xsi:type="xsd:double"&gt;15.3296242573794&lt;/D&gt;&lt;D xsi:type="xsd:double"&gt;11.3753894697678&lt;/D&gt;&lt;D xsi:type="xsd:double"&gt;15.5929597171559&lt;/D&gt;&lt;D xsi:type="xsd:double"&gt;18.2725166127032&lt;/D&gt;&lt;D xsi:type="xsd:double"&gt;19.2455035846054&lt;/D&gt;&lt;D xsi:type="xsd:double"&gt;19.6682348616154&lt;/D&gt;&lt;D xsi:type="xsd:double"&gt;18.9845760946062&lt;/D&gt;&lt;D xsi:type="xsd:double"&gt;18.4747015736492&lt;/D&gt;&lt;D xsi:type="xsd:double"&gt;17.3421219239477&lt;/D&gt;&lt;D xsi:type="xsd:double"&gt;19.3311284155328&lt;/D&gt;&lt;D xsi:type="xsd:double"&gt;19.1285594994918&lt;/D&gt;&lt;D xsi:type="xsd:double"&gt;19.5362276294765&lt;/D&gt;&lt;D xsi:type="xsd:double"&gt;19.142404369881&lt;/D&gt;&lt;D xsi:type="xsd:double"&gt;19.4436640396041&lt;/D&gt;&lt;D xsi:type="xsd:double"&gt;18.6273254720724&lt;/D&gt;&lt;D xsi:type="xsd:double"&gt;17.5591443906661&lt;/D&gt;&lt;D xsi:type="xsd:double"&gt;17.5086922434497&lt;/D&gt;&lt;D xsi:type="xsd:double"&gt;16.8160667285974&lt;/D&gt;&lt;D xsi:type="xsd:double"&gt;17.2181897956187&lt;/D&gt;&lt;D xsi:type="xsd:double"&gt;17.4771981931705&lt;/D&gt;&lt;D xsi:type="xsd:double"&gt;17.4056424937679&lt;/D&gt;&lt;D xsi:type="xsd:double"&gt;17.4620976382668&lt;/D&gt;&lt;D xsi:type="xsd:double"&gt;17.1247725747785&lt;/D&gt;&lt;D xsi:type="xsd:double"&gt;17.1471201493892&lt;/D&gt;&lt;D xsi:type="xsd:double"&gt;17.447854918044&lt;/D&gt;&lt;D xsi:type="xsd:double"&gt;17.2421706610892&lt;/D&gt;&lt;D xsi:type="xsd:double"&gt;16.6841216692163&lt;/D&gt;&lt;D xsi:type="xsd:double"&gt;16.2294174402344&lt;/D&gt;&lt;D xsi:type="xsd:double"&gt;15.1050830067416&lt;/D&gt;&lt;D xsi:type="xsd:double"&gt;14.9427828306178&lt;/D&gt;&lt;D xsi:type="xsd:double"&gt;15.5308305596942&lt;/D&gt;&lt;D xsi:type="xsd:double"&gt;15.4086556379172&lt;/D&gt;&lt;D xsi:type="xsd:double"&gt;15.1415072616806&lt;/D&gt;&lt;D xsi:type="xsd:double"&gt;15.6031535441492&lt;/D&gt;&lt;D xsi:type="xsd:double"&gt;15.5180601433499&lt;/D&gt;&lt;D xsi:type="xsd:double"&gt;15.99795986337&lt;/D&gt;&lt;D xsi:type="xsd:double"&gt;15.8127486543325&lt;/D&gt;&lt;D xsi:type="xsd:double"&gt;15.6726368696605&lt;/D&gt;&lt;D xsi:type="xsd:double"&gt;15.488433043669&lt;/D&gt;&lt;D xsi:type="xsd:double"&gt;15.5592257691496&lt;/D&gt;&lt;D xsi:type="xsd:double"&gt;15.3676683555445&lt;/D&gt;&lt;D xsi:type="xsd:double"&gt;15.7905844069301&lt;/D&gt;&lt;D xsi:type="xsd:double"&gt;16.0336065443111&lt;/D&gt;&lt;D xsi:type="xsd:double"&gt;15.628652251609&lt;/D&gt;&lt;D xsi:type="xsd:double"&gt;14.3336108292022&lt;/D&gt;&lt;D xsi:type="xsd:double"&gt;14.5179077930596&lt;/D&gt;&lt;D xsi:type="xsd:double"&gt;14.517062172898&lt;/D&gt;&lt;D xsi:type="xsd:double"&gt;13.9854728237171&lt;/D&gt;&lt;D xsi:type="xsd:double"&gt;14.5180426752489&lt;/D&gt;&lt;D xsi:type="xsd:double"&gt;14.2624894704318&lt;/D&gt;&lt;D xsi:type="xsd:double"&gt;14.0594081424162&lt;/D&gt;&lt;D xsi:type="xsd:double"&gt;14.1708131639666&lt;/D&gt;&lt;/FQL&gt;&lt;FQL&gt;&lt;Q&gt;PASP-FDS^FG_PRICE_CHANGE(0,-3AM)&lt;/Q&gt;&lt;R&gt;1&lt;/R&gt;&lt;C&gt;1&lt;/C&gt;&lt;D xsi:type="xsd:double"&gt;1.5228426395939&lt;/D&gt;&lt;/FQL&gt;&lt;FQL&gt;&lt;Q&gt;PLATI-FDS^FG_PRICE(0)&lt;/Q&gt;&lt;R&gt;1&lt;/R&gt;&lt;C&gt;1&lt;/C&gt;&lt;D xsi:type="xsd:double"&gt;1043&lt;/D&gt;&lt;/FQL&gt;&lt;FQL&gt;&lt;Q&gt;UAE^FG_PRICE_MAVG(0,,,,60)&lt;/Q&gt;&lt;R&gt;1&lt;/R&gt;&lt;C&gt;1&lt;/C&gt;&lt;D xsi:type="xsd:double"&gt;14.598462&lt;/D&gt;&lt;/FQL&gt;&lt;FQL&gt;&lt;Q&gt;EWM^P_PRICE(0)/P_PRICE_LOW_PR(0,,,,,,"PRICE","INTRA","52W")-1&lt;/Q&gt;&lt;R&gt;1&lt;/R&gt;&lt;C&gt;1&lt;/C&gt;&lt;D xsi:type="xsd:double"&gt;0.16834676&lt;/D&gt;&lt;/FQL&gt;&lt;FQL&gt;&lt;Q&gt;EIDO^FG_TOTAL_RETURNC(0,-12AM)&lt;/Q&gt;&lt;R&gt;1&lt;/R&gt;&lt;C&gt;1&lt;/C&gt;&lt;D xsi:type="xsd:double"&gt;-11.764174&lt;/D&gt;&lt;/FQL&gt;&lt;FQL&gt;&lt;Q&gt;URTH^P_PRICE(0)/P_PRICE_LOW_PR(0,,,,,,"PRICE","INTRA","52W")-1&lt;/Q&gt;&lt;R&gt;1&lt;/R&gt;&lt;C&gt;1&lt;/C&gt;&lt;D xsi:type="xsd:double"&gt;0.266783&lt;/D&gt;&lt;/FQL&gt;&lt;FQL&gt;&lt;Q&gt;URTH^FMA_COS_UP("EPS","1M",+1,NOW,,,"PORTAGG","MEANR")&lt;/Q&gt;&lt;R&gt;1&lt;/R&gt;&lt;C&gt;1&lt;/C&gt;&lt;D xsi:type="xsd:double"&gt;743&lt;/D&gt;&lt;/FQL&gt;&lt;FQL&gt;&lt;Q&gt;SET-BKK^SIZE(FG_CONSTITUENTS)&lt;/Q&gt;&lt;R&gt;1&lt;/R&gt;&lt;C&gt;1&lt;/C&gt;&lt;D xsi:type="xsd:long"&gt;1&lt;/D&gt;&lt;/FQL&gt;&lt;FQL&gt;&lt;Q&gt;EPU^FMA_COS_UP("EPS","1M",+1,NOW,,,"PORTAGG","MEANR")&lt;/Q&gt;&lt;R&gt;1&lt;/R&gt;&lt;C&gt;1&lt;/C&gt;&lt;D xsi:type="xsd:double"&gt;11&lt;/D&gt;&lt;/FQL&gt;&lt;FQL&gt;&lt;Q&gt;ECH^FMA_RBICS_REV_CURRENT(30, LOC, "PORTAGG")&lt;/Q&gt;&lt;R&gt;1&lt;/R&gt;&lt;C&gt;1&lt;/C&gt;&lt;D xsi:type="xsd:double"&gt;31.3700783805281&lt;/D&gt;&lt;/FQL&gt;&lt;FQL&gt;&lt;Q&gt;TRYMX10Y-FDS^FG_YIELD_NAME&lt;/Q&gt;&lt;R&gt;1&lt;/R&gt;&lt;C&gt;1&lt;/C&gt;&lt;D xsi:type="xsd:string"&gt;Treasury - Mexico Benchmark Bond 10Y&lt;/D&gt;&lt;/FQL&gt;&lt;FQL&gt;&lt;Q&gt;REFEUREFI-FDS^PROPER_NAME(0,,,"SECURITY","NAME")&lt;/Q&gt;&lt;R&gt;1&lt;/R&gt;&lt;C&gt;1&lt;/C&gt;&lt;D xsi:type="xsd:string"&gt;Eurozone Main Refinancing Operations Minimum Bid Rate&lt;/D&gt;&lt;/FQL&gt;&lt;FQL&gt;&lt;Q&gt;REFMYON-FDS^FG_YIELD(NOW,,,0)&lt;/Q&gt;&lt;R&gt;1&lt;/R&gt;&lt;C&gt;1&lt;/C&gt;&lt;D xsi:type="xsd:double"&gt;3&lt;/D&gt;&lt;/FQL&gt;&lt;FQL&gt;&lt;Q&gt;REFCNRMB-FDS^FG_YIELD(NOW,,,0)&lt;/Q&gt;&lt;R&gt;1&lt;/R&gt;&lt;C&gt;1&lt;/C&gt;&lt;D xsi:type="xsd:double"&gt;3.45&lt;/D&gt;&lt;/FQL&gt;&lt;FQL&gt;&lt;Q&gt;TRYIN10Y-FDS^PCTCHG(FG_YIELD(0,,,,"YTM"),FG_YIELD(-1AM,,,,"YTM"))&lt;/Q&gt;&lt;R&gt;1&lt;/R&gt;&lt;C&gt;1&lt;/C&gt;&lt;D xsi:type="xsd:double"&gt;-1.8548205&lt;/D&gt;&lt;/FQL&gt;&lt;FQL&gt;&lt;Q&gt;CAGDPY@QA^EE_ACTUAL_ANNUAL(MED,+1)&lt;/Q&gt;&lt;R&gt;1&lt;/R&gt;&lt;C&gt;1&lt;/C&gt;&lt;D xsi:type="xsd:double"&gt;15.55&lt;/D&gt;&lt;/FQL&gt;&lt;FQL&gt;&lt;Q&gt;CAGDPY@PH^EE_ACTUAL_ANNUAL(MED,0)&lt;/Q&gt;&lt;R&gt;1&lt;/R&gt;&lt;C&gt;1&lt;/C&gt;&lt;D xsi:type="xsd:double"&gt;-2.56663776811855&lt;/D&gt;&lt;/FQL&gt;&lt;FQL&gt;&lt;Q&gt;USDAED^STD(FG_PRICE_CHANGE(0,-3AY,M))&lt;/Q&gt;&lt;R&gt;1&lt;/R&gt;&lt;C&gt;1&lt;/C&gt;&lt;D xsi:type="xsd:double"&gt;0.0088376970103064&lt;/D&gt;&lt;/FQL&gt;&lt;FQL&gt;&lt;Q&gt;USDTHB^FG_PRICE_CHANGE(0,-1AM)&lt;/Q&gt;&lt;R&gt;1&lt;/R&gt;&lt;C&gt;1&lt;/C&gt;&lt;D xsi:type="xsd:double"&gt;-1.4501512&lt;/D&gt;&lt;/FQL&gt;&lt;FQL&gt;&lt;Q&gt;USDBRL^STD(FG_PRICE_CHANGE(0,-3AY,M))&lt;/Q&gt;&lt;R&gt;1&lt;/R&gt;&lt;C&gt;1&lt;/C&gt;&lt;D xsi:type="xsd:double"&gt;3.65674702016239&lt;/D&gt;&lt;/FQL&gt;&lt;FQL&gt;&lt;Q&gt;USDMXN^FG_PRICE_CHANGE(0,-1AM)&lt;/Q&gt;&lt;R&gt;1&lt;/R&gt;&lt;C&gt;1&lt;/C&gt;&lt;D xsi:type="xsd:double"&gt;-1.553309&lt;/D&gt;&lt;/FQL&gt;&lt;FQL&gt;&lt;Q&gt;USDPEN^STD(FG_PRICE_CHANGE(0,-3AY,M))&lt;/Q&gt;&lt;R&gt;1&lt;/R&gt;&lt;C&gt;1&lt;/C&gt;&lt;D xsi:type="xsd:double"&gt;2.36992963100437&lt;/D&gt;&lt;/FQL&gt;&lt;FQL&gt;&lt;Q&gt;USDCNH^FG_PRICE_CHANGE(0,-6AM)&lt;/Q&gt;&lt;R&gt;1&lt;/R&gt;&lt;C&gt;1&lt;/C&gt;&lt;D xsi:type="xsd:double"&gt;1.5251637&lt;/D&gt;&lt;/FQL&gt;&lt;FQL&gt;&lt;Q&gt;EWY^P_PRICE_RETURNS_PR('52W',2,-10AY,0,AM)&lt;/Q&gt;&lt;R&gt;121&lt;/R&gt;&lt;C&gt;1&lt;/C&gt;&lt;D xsi:type="xsd:double"&gt;14.87875&lt;/D&gt;&lt;D xsi:type="xsd:double"&gt;26.377094&lt;/D&gt;&lt;D xsi:type="xsd:double"&gt;19.007385&lt;/D&gt;&lt;D xsi:type="xsd:double"&gt;21.700012&lt;/D&gt;&lt;D xsi:type="xsd:double"&gt;1.0361314&lt;/D&gt;&lt;D xsi:type="xsd:double"&gt;-9.334946&lt;/D&gt;&lt;D xsi:type="xsd:double"&gt;-8.947545&lt;/D&gt;&lt;D xsi:type="xsd:double"&gt;-10.572142&lt;/D&gt;&lt;D xsi:type="xsd:double"&gt;-2.1584988&lt;/D&gt;&lt;D xsi:type="xsd:double"&gt;-5.3567767&lt;/D&gt;&lt;D xsi:type="xsd:double"&gt;-0.11006594&lt;/D&gt;&lt;D xsi:type="xsd:double"&gt;0.51373243&lt;/D&gt;&lt;D xsi:type="xsd:double"&gt;-7.157797&lt;/D&gt;&lt;D xsi:type="xsd:double"&gt;-10.05618&lt;/D&gt;&lt;D xsi:type="xsd:double"&gt;-20.21076&lt;/D&gt;&lt;D xsi:type="xsd:double"&gt;-29.362171&lt;/D&gt;&lt;D xsi:type="xsd:double"&gt;-21.541435&lt;/D&gt;&lt;D xsi:type="xsd:double"&gt;-3.8567543&lt;/D&gt;&lt;D xsi:type="xsd:double"&gt;-5.4997387&lt;/D&gt;&lt;D xsi:type="xsd:double"&gt;-4.5511484&lt;/D&gt;&lt;D xsi:type="xsd:double"&gt;-15.575772&lt;/D&gt;&lt;D xsi:type="xsd:double"&gt;-14.427632&lt;/D&gt;&lt;D xsi:type="xsd:double"&gt;-8.86876&lt;/D&gt;&lt;D xsi:type="xsd:double"&gt;-12.507301&lt;/D&gt;&lt;D xsi:type="xsd:double"&gt;-15.78685&lt;/D&gt;&lt;D xsi:type="xsd:double"&gt;-3.754437&lt;/D&gt;&lt;D xsi:type="xsd:double"&gt;6.8174005&lt;/D&gt;&lt;D xsi:type="xsd:double"&gt;27.477968&lt;/D&gt;&lt;D xsi:type="xsd:double"&gt;22.367191&lt;/D&gt;&lt;D xsi:type="xsd:double"&gt;6.820905&lt;/D&gt;&lt;D xsi:type="xsd:double"&gt;1.928401&lt;/D&gt;&lt;D xsi:type="xsd:double"&gt;4.213059&lt;/D&gt;&lt;D xsi:type="xsd:double"&gt;21.828127&lt;/D&gt;&lt;D xsi:type="xsd:double"&gt;28.690529&lt;/D&gt;&lt;D xsi:type="xsd:double"&gt;21.859991&lt;/D&gt;&lt;D xsi:type="xsd:double"&gt;15.430236&lt;/D&gt;&lt;D xsi:type="xsd:double"&gt;37.27536&lt;/D&gt;&lt;D xsi:type="xsd:double"&gt;28.933&lt;/D&gt;&lt;D xsi:type="xsd:double"&gt;34.432125&lt;/D&gt;&lt;D xsi:type="xsd:double"&gt;21.675932&lt;/D&gt;&lt;D xsi:type="xsd:double"&gt;20.358013&lt;/D&gt;&lt;D xsi:type="xsd:double"&gt;30.335247&lt;/D&gt;&lt;D xsi:type="xsd:double"&gt;46.63385&lt;/D&gt;&lt;D xsi:type="xsd:double"&gt;41.62947&lt;/D&gt;&lt;D xsi:type="xsd:double"&gt;39.437855&lt;/D&gt;&lt;D xsi:type="xsd:double"&gt;28.52646&lt;/D&gt;&lt;D xsi:type="xsd:double"&gt;19.161999&lt;/D&gt;&lt;D xsi:type="xsd:double"&gt;25.22012&lt;/D&gt;&lt;D xsi:type="xsd:double"&gt;14.766062&lt;/D&gt;&lt;D xsi:type="xsd:double"&gt;3.949225&lt;/D&gt;&lt;D xsi:type="xsd:double"&gt;-6.3516083&lt;/D&gt;&lt;D xsi:type="xsd:double"&gt;-1.7124414&lt;/D&gt;&lt;D xsi:type="xsd:double"&gt;0.3124833&lt;/D&gt;&lt;D xsi:type="xsd:double"&gt;-13.992232&lt;/D&gt;&lt;D xsi:type="xsd:double"&gt;-22.024483&lt;/D&gt;&lt;D xsi:type="xsd:double"&gt;-18.38283&lt;/D&gt;&lt;D xsi:type="xsd:double"&gt;-19.88538&lt;/D&gt;&lt;D xsi:type="xsd:double"&gt;-10.144377&lt;/D&gt;&lt;D xsi:type="xsd:double"&gt;-16.467535&lt;/D&gt;&lt;D xsi:type="xsd:double"&gt;-13.552403&lt;/D&gt;&lt;D xsi:type="xsd:double"&gt;-24.62566&lt;/D&gt;&lt;D xsi:type="xsd:double"&gt;-10.311932&lt;/D&gt;&lt;D xsi:type="xsd:double"&gt;-9.409899&lt;/D&gt;&lt;D xsi:type="xsd:double"&gt;-19.741362&lt;/D&gt;&lt;D xsi:type="xsd:double"&gt;-14.385027&lt;/D&gt;&lt;D xsi:type="xsd:double"&gt;-1.0124743&lt;/D&gt;&lt;D xsi:type="xsd:double"&gt;0.21451712&lt;/D&gt;&lt;D xsi:type="xsd:double"&gt;8.763086&lt;/D&gt;&lt;D xsi:type="xsd:double"&gt;6.006193&lt;/D&gt;&lt;D xsi:type="xsd:double"&gt;-6.629771&lt;/D&gt;&lt;D xsi:type="xsd:double"&gt;-34.96416&lt;/D&gt;&lt;D xsi:type="xsd:double"&gt;-19.584173&lt;/D&gt;&lt;D xsi:type="xsd:double"&gt;-6.350404&lt;/D&gt;&lt;D xsi:type="xsd:double"&gt;-0.6717324&lt;/D&gt;&lt;D xsi:type="xsd:double"&gt;3.7689567&lt;/D&gt;&lt;D xsi:type="xsd:double"&gt;19.951523&lt;/D&gt;&lt;D xsi:type="xsd:double"&gt;13.019312&lt;/D&gt;&lt;D xsi:type="xsd:double"&gt;18.232584&lt;/D&gt;&lt;D xsi:type="xsd:double"&gt;31.774616&lt;/D&gt;&lt;D xsi:type="xsd:double"&gt;32.06265&lt;/D&gt;&lt;D xsi:type="xsd:double"&gt;47.983837&lt;/D&gt;&lt;D xsi:type="xsd:double"&gt;57.092606&lt;/D&gt;&lt;D xsi:type="xsd:double"&gt;123.6336&lt;/D&gt;&lt;D xsi:type="xsd:double"&gt;88.02107&lt;/D&gt;&lt;D xsi:type="xsd:double"&gt;73.48222&lt;/D&gt;&lt;D xsi:type="xsd:double"&gt;61.26405&lt;/D&gt;&lt;D xsi:type="xsd:double"&gt;54.006516&lt;/D&gt;&lt;D xsi:type="xsd:double"&gt;34.864353&lt;/D&gt;&lt;D xsi:type="xsd:double"&gt;33.39192&lt;/D&gt;&lt;D xsi:type="xsd:double"&gt;20.22357&lt;/D&gt;&lt;D xsi:type="xsd:double"&gt;5.144179&lt;/D&gt;&lt;D xsi:type="xsd:double"&gt;-0.45227408&lt;/D&gt;&lt;D xsi:type="xsd:double"&gt;-20.73822&lt;/D&gt;&lt;D xsi:type="xsd:double"&gt;-19.3591&lt;/D&gt;&lt;D xsi:type="xsd:double"&gt;-16.6892&lt;/D&gt;&lt;D xsi:type="xsd:double"&gt;-24.565495&lt;/D&gt;&lt;D xsi:type="xsd:double"&gt;-23.380953&lt;/D&gt;&lt;D xsi:type="xsd:double"&gt;-36.70723&lt;/D&gt;&lt;D xsi:type="xsd:double"&gt;-33.78297&lt;/D&gt;&lt;D xsi:type="xsd:double"&gt;-29.32772&lt;/D&gt;&lt;D xsi:type="xsd:double"&gt;-38.47329&lt;/D&gt;&lt;D xsi:type="xsd:double"&gt;-35.89769&lt;/D&gt;&lt;D xsi:type="xsd:double"&gt;-25.45451&lt;/D&gt;&lt;D xsi:type="xsd:double"&gt;-26.719654&lt;/D&gt;&lt;D xsi:type="xsd:double"&gt;-13.224554&lt;/D&gt;&lt;D xsi:type="xsd:double"&gt;-14.736748&lt;/D&gt;&lt;D xsi:type="xsd:double"&gt;-13.236928&lt;/D&gt;&lt;D xsi:type="xsd:double"&gt;-8.815795&lt;/D&gt;&lt;D xsi:type="xsd:double"&gt;-6.0084763&lt;/D&gt;&lt;D xsi:type="xsd:double"&gt;11.967838&lt;/D&gt;&lt;D xsi:type="xsd:double"&gt;12.834454&lt;/D&gt;&lt;D xsi:type="xsd:double"&gt;7.2433114&lt;/D&gt;&lt;D xsi:type="xsd:double"&gt;17.419743&lt;/D&gt;&lt;D xsi:type="xsd:double"&gt;14.806843&lt;/D&gt;&lt;D xsi:type="xsd:double"&gt;11.964846&lt;/D&gt;&lt;D xsi:type="xsd:double"&gt;15.366006&lt;/D&gt;&lt;D xsi:type="xsd:double"&gt;-5.3816023&lt;/D&gt;&lt;D xsi:type="xsd:double"&gt;10.483122&lt;/D&gt;&lt;D xsi:type="xsd:double"&gt;15.656101&lt;/D&gt;&lt;D xsi:type="xsd:double"&gt;4.9993753&lt;/D&gt;&lt;D xsi:type="xsd:double"&gt;5.13376&lt;/D&gt;&lt;/FQL&gt;&lt;FQL&gt;&lt;Q&gt;GREK^FG_TOTAL_RETURNC(-10AY,0,AM)&lt;/Q&gt;&lt;R&gt;121&lt;/R&gt;&lt;C&gt;1&lt;/C&gt;&lt;D xsi:type="xsd:double"&gt;-4.705882&lt;/D&gt;&lt;D xsi:type="xsd:double"&gt;8.230448&lt;/D&gt;&lt;D xsi:type="xsd:double"&gt;-9.378952&lt;/D&gt;&lt;D xsi:type="xsd:double"&gt;-2.5641203&lt;/D&gt;&lt;D xsi:type="xsd:double"&gt;-7.703334&lt;/D&gt;&lt;D xsi:type="xsd:double"&gt;-10.419899&lt;/D&gt;&lt;D xsi:type="xsd:double"&gt;-1.3888955&lt;/D&gt;&lt;D xsi:type="xsd:double"&gt;-16.72536&lt;/D&gt;&lt;D xsi:type="xsd:double"&gt;-7.0949373&lt;/D&gt;&lt;D xsi:type="xsd:double"&gt;4.670763&lt;/D&gt;&lt;D xsi:type="xsd:double"&gt;-18.580849&lt;/D&gt;&lt;D xsi:type="xsd:double"&gt;-5.300987&lt;/D&gt;&lt;D xsi:type="xsd:double"&gt;17.172695&lt;/D&gt;&lt;D xsi:type="xsd:double"&gt;-1.7004073&lt;/D&gt;&lt;D xsi:type="xsd:double"&gt;-17.215818&lt;/D&gt;&lt;D xsi:type="xsd:double"&gt;-6.4676642&lt;/D&gt;&lt;D xsi:type="xsd:double"&gt;3.2978773&lt;/D&gt;&lt;D xsi:type="xsd:double"&gt;10.504627&lt;/D&gt;&lt;D xsi:type="xsd:double"&gt;-15.843433&lt;/D&gt;&lt;D xsi:type="xsd:double"&gt;-8.527118&lt;/D&gt;&lt;D xsi:type="xsd:double"&gt;-18.170559&lt;/D&gt;&lt;D xsi:type="xsd:double"&gt;-7.507509&lt;/D&gt;&lt;D xsi:type="xsd:double"&gt;13.311696&lt;/D&gt;&lt;D xsi:type="xsd:double"&gt;18.19483&lt;/D&gt;&lt;D xsi:type="xsd:double"&gt;9.454536&lt;/D&gt;&lt;D xsi:type="xsd:double"&gt;-8.182722&lt;/D&gt;&lt;D xsi:type="xsd:double"&gt;-11.350721&lt;/D&gt;&lt;D xsi:type="xsd:double"&gt;-0.1360476&lt;/D&gt;&lt;D xsi:type="xsd:double"&gt;-0.95368624&lt;/D&gt;&lt;D xsi:type="xsd:double"&gt;2.3370028&lt;/D&gt;&lt;D xsi:type="xsd:double"&gt;7.797146&lt;/D&gt;&lt;D xsi:type="xsd:double"&gt;-3.2418907&lt;/D&gt;&lt;D xsi:type="xsd:double"&gt;3.8131356&lt;/D&gt;&lt;D xsi:type="xsd:double"&gt;-1.7721534&lt;/D&gt;&lt;D xsi:type="xsd:double"&gt;-0.3866017&lt;/D&gt;&lt;D xsi:type="xsd:double"&gt;2.4579525&lt;/D&gt;&lt;D xsi:type="xsd:double"&gt;22.348488&lt;/D&gt;&lt;D xsi:type="xsd:double"&gt;2.1671772&lt;/D&gt;&lt;D xsi:type="xsd:double"&gt;7.6767683&lt;/D&gt;&lt;D xsi:type="xsd:double"&gt;-2.3452044&lt;/D&gt;&lt;D xsi:type="xsd:double"&gt;-5.763692&lt;/D&gt;&lt;D xsi:type="xsd:double"&gt;-7.645255&lt;/D&gt;&lt;D xsi:type="xsd:double"&gt;-1.76602&lt;/D&gt;&lt;D xsi:type="xsd:double"&gt;15.955067&lt;/D&gt;&lt;D xsi:type="xsd:double"&gt;11.838425&lt;/D&gt;&lt;D xsi:type="xsd:double"&gt;-5.5752277&lt;/D&gt;&lt;D xsi:type="xsd:double"&gt;-10.3092785&lt;/D&gt;&lt;D xsi:type="xsd:double"&gt;10.344828&lt;/D&gt;&lt;D xsi:type="xsd:double"&gt;-9.943175&lt;/D&gt;&lt;D xsi:type="xsd:double"&gt;-1.4721453&lt;/D&gt;&lt;D xsi:type="xsd:double"&gt;-2.988255&lt;/D&gt;&lt;D xsi:type="xsd:double"&gt;-2.8602898&lt;/D&gt;&lt;D xsi:type="xsd:double"&gt;-3.8505018&lt;/D&gt;&lt;D xsi:type="xsd:double"&gt;-10.24735&lt;/D&gt;&lt;D xsi:type="xsd:double"&gt;-6.955385&lt;/D&gt;&lt;D xsi:type="xsd:double"&gt;-0.9873092&lt;/D&gt;&lt;D xsi:type="xsd:double"&gt;3.3264399&lt;/D&gt;&lt;D xsi:type="xsd:double"&gt;7.6271176&lt;/D&gt;&lt;D xsi:type="xsd:double"&gt;3.2808304&lt;/D&gt;&lt;D xsi:type="xsd:double"&gt;9.148669&lt;/D&gt;&lt;D xsi:type="xsd:double"&gt;-8.614677&lt;/D&gt;&lt;D xsi:type="xsd:double"&gt;17.707014&lt;/D&gt;&lt;D xsi:type="xsd:double"&gt;2.7279854&lt;/D&gt;&lt;D xsi:type="xsd:double"&gt;-7.0899367&lt;/D&gt;&lt;D xsi:type="xsd:double"&gt;7.0614934&lt;/D&gt;&lt;D xsi:type="xsd:double"&gt;4.5744658&lt;/D&gt;&lt;D xsi:type="xsd:double"&gt;-0.40691495&lt;/D&gt;&lt;D xsi:type="xsd:double"&gt;3.2686472&lt;/D&gt;&lt;D xsi:type="xsd:double"&gt;0.54222345&lt;/D&gt;&lt;D xsi:type="xsd:double"&gt;-9.519041&lt;/D&gt;&lt;D xsi:type="xsd:double"&gt;-44.96124&lt;/D&gt;&lt;D xsi:type="xsd:double"&gt;17.102634&lt;/D&gt;&lt;D xsi:type="xsd:double"&gt;3.092873&lt;/D&gt;&lt;D xsi:type="xsd:double"&gt;14.555561&lt;/D&gt;&lt;D xsi:type="xsd:double"&gt;-0.9370327&lt;/D&gt;&lt;D xsi:type="xsd:double"&gt;1.1828423&lt;/D&gt;&lt;D xsi:type="xsd:double"&gt;-5.650264&lt;/D&gt;&lt;D xsi:type="xsd:double"&gt;0.61950684&lt;/D&gt;&lt;D xsi:type="xsd:double"&gt;12.929714&lt;/D&gt;&lt;D xsi:type="xsd:double"&gt;16.53793&lt;/D&gt;&lt;D xsi:type="xsd:double"&gt;-2.7407825&lt;/D&gt;&lt;D xsi:type="xsd:double"&gt;-0.409168&lt;/D&gt;&lt;D xsi:type="xsd:double"&gt;4.724729&lt;/D&gt;&lt;D xsi:type="xsd:double"&gt;10.906243&lt;/D&gt;&lt;D xsi:type="xsd:double"&gt;-2.4053752&lt;/D&gt;&lt;D xsi:type="xsd:double"&gt;3.7332416&lt;/D&gt;&lt;D xsi:type="xsd:double"&gt;-6.813419&lt;/D&gt;&lt;D xsi:type="xsd:double"&gt;5.061865&lt;/D&gt;&lt;D xsi:type="xsd:double"&gt;-0.7494688&lt;/D&gt;&lt;D xsi:type="xsd:double"&gt;3.0564547&lt;/D&gt;&lt;D xsi:type="xsd:double"&gt;-6.629449&lt;/D&gt;&lt;D xsi:type="xsd:double"&gt;0.71002245&lt;/D&gt;&lt;D xsi:type="xsd:double"&gt;6.7731857&lt;/D&gt;&lt;D xsi:type="xsd:double"&gt;1.953125&lt;/D&gt;&lt;D xsi:type="xsd:double"&gt;-10.37966&lt;/D&gt;&lt;D xsi:type="xsd:double"&gt;5.596578&lt;/D&gt;&lt;D xsi:type="xsd:double"&gt;-5.9256554&lt;/D&gt;&lt;D xsi:type="xsd:double"&gt;-4.264474&lt;/D&gt;&lt;D xsi:type="xsd:double"&gt;-5.435175&lt;/D&gt;&lt;D xsi:type="xsd:double"&gt;6.1041236&lt;/D&gt;&lt;D xsi:type="xsd:double"&gt;-12.290734&lt;/D&gt;&lt;D xsi:type="xsd:double"&gt;10.102427&lt;/D&gt;&lt;D xsi:type="xsd:double"&gt;10.570824&lt;/D&gt;&lt;D xsi:type="xsd:double"&gt;3.938818&lt;/D&gt;&lt;D xsi:type="xsd:double"&gt;11.788214&lt;/D&gt;&lt;D xsi:type="xsd:double"&gt;8.561325&lt;/D&gt;&lt;D xsi:type="xsd:double"&gt;-6.3141527&lt;/D&gt;&lt;D xsi:type="xsd:double"&gt;7.0717096&lt;/D&gt;&lt;D xsi:type="xsd:double"&gt;6.2015533&lt;/D&gt;&lt;D xsi:type="xsd:double"&gt;7.007301&lt;/D&gt;&lt;D xsi:type="xsd:double"&gt;8.985591&lt;/D&gt;&lt;D xsi:type="xsd:double"&gt;-5.3638816&lt;/D&gt;&lt;D xsi:type="xsd:double"&gt;-9.340077&lt;/D&gt;&lt;D xsi:type="xsd:double"&gt;-0.8511901&lt;/D&gt;&lt;D xsi:type="xsd:double"&gt;8.940208&lt;/D&gt;&lt;D xsi:type="xsd:double"&gt;2.927184&lt;/D&gt;&lt;D xsi:type="xsd:double"&gt;3.9193392&lt;/D&gt;&lt;D xsi:type="xsd:double"&gt;4.250908&lt;/D&gt;&lt;D xsi:type="xsd:double"&gt;0.72102547&lt;/D&gt;&lt;D xsi:type="xsd:double"&gt;1.1849046&lt;/D&gt;&lt;D xsi:type="xsd:double"&gt;2.5128007&lt;/D&gt;&lt;/FQL&gt;&lt;FQL&gt;&lt;Q&gt;UAE^FMA_PE(LTMA,-10AY,0,AM,"PORTAGG","MEANR")&lt;/Q&gt;&lt;R&gt;121&lt;/R&gt;&lt;C&gt;1&lt;/C&gt;&lt;D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xsi:type="xsd:double"&gt;12.1334011504002&lt;/D&gt;&lt;D xsi:type="xsd:double"&gt;12.6182375517669&lt;/D&gt;&lt;D xsi:type="xsd:double"&gt;12.8954741283025&lt;/D&gt;&lt;D xsi:type="xsd:double"&gt;13.4926338724413&lt;/D&gt;&lt;D xsi:type="xsd:double"&gt;13.8292748369884&lt;/D&gt;&lt;D xsi:type="xsd:double"&gt;13.580981679025&lt;/D&gt;&lt;D xsi:type="xsd:double"&gt;13.7945168717371&lt;/D&gt;&lt;D xsi:type="xsd:double"&gt;12.8607343719007&lt;/D&gt;&lt;D xsi:type="xsd:double"&gt;13.375845185335&lt;/D&gt;&lt;D xsi:type="xsd:double"&gt;13.410084883621&lt;/D&gt;&lt;D xsi:type="xsd:double"&gt;12.090427110163&lt;/D&gt;&lt;D xsi:type="xsd:double"&gt;12.3623186981224&lt;/D&gt;&lt;D xsi:type="xsd:double"&gt;11.2101656139476&lt;/D&gt;&lt;D xsi:type="xsd:double"&gt;12.791628290415&lt;/D&gt;&lt;D xsi:type="xsd:double"&gt;13.0419269016528&lt;/D&gt;&lt;D xsi:type="xsd:double"&gt;13.3884150975546&lt;/D&gt;&lt;D xsi:type="xsd:double"&gt;13.103165088421&lt;/D&gt;&lt;D xsi:type="xsd:double"&gt;13.3504826184507&lt;/D&gt;&lt;D xsi:type="xsd:double"&gt;13.574987500289&lt;/D&gt;&lt;D xsi:type="xsd:double"&gt;13.5306684747677&lt;/D&gt;&lt;D xsi:type="xsd:double"&gt;13.459803119438&lt;/D&gt;&lt;D xsi:type="xsd:double"&gt;13.5157450383228&lt;/D&gt;&lt;D xsi:type="xsd:double"&gt;12.6259923524329&lt;/D&gt;&lt;D xsi:type="xsd:double"&gt;12.5548746235416&lt;/D&gt;&lt;D xsi:type="xsd:double"&gt;13.5383655286167&lt;/D&gt;&lt;D xsi:type="xsd:double"&gt;13.7673548667096&lt;/D&gt;&lt;D xsi:type="xsd:double"&gt;13.3198343831271&lt;/D&gt;&lt;D xsi:type="xsd:double"&gt;13.2864524870727&lt;/D&gt;&lt;D xsi:type="xsd:double"&gt;13.0819372789268&lt;/D&gt;&lt;D xsi:type="xsd:double"&gt;12.7838958943841&lt;/D&gt;&lt;D xsi:type="xsd:double"&gt;13.0221048673579&lt;/D&gt;&lt;D xsi:type="xsd:double"&gt;12.6596726451272&lt;/D&gt;&lt;D xsi:type="xsd:double"&gt;12.2648318816258&lt;/D&gt;&lt;D xsi:type="xsd:double"&gt;12.3536530489518&lt;/D&gt;&lt;D xsi:type="xsd:double"&gt;11.4096992629466&lt;/D&gt;&lt;D xsi:type="xsd:double"&gt;11.6888105719231&lt;/D&gt;&lt;D xsi:type="xsd:double"&gt;12.5262962206669&lt;/D&gt;&lt;D xsi:type="xsd:double"&gt;12.6591225983171&lt;/D&gt;&lt;D xsi:type="xsd:double"&gt;12.3547383530952&lt;/D&gt;&lt;D xsi:type="xsd:double"&gt;12.4047054589721&lt;/D&gt;&lt;D xsi:type="xsd:double"&gt;11.869056670733&lt;/D&gt;&lt;D xsi:type="xsd:double"&gt;12.0237211543986&lt;/D&gt;&lt;D xsi:type="xsd:double"&gt;12.2046907590125&lt;/D&gt;&lt;D xsi:type="xsd:double"&gt;12.2278664906232&lt;/D&gt;&lt;D xsi:type="xsd:double"&gt;12.668232922244&lt;/D&gt;&lt;D xsi:type="xsd:double"&gt;12.5463323204973&lt;/D&gt;&lt;D xsi:type="xsd:double"&gt;12.93256395039&lt;/D&gt;&lt;D xsi:type="xsd:double"&gt;12.0485552614342&lt;/D&gt;&lt;D xsi:type="xsd:double"&gt;11.9553001888647&lt;/D&gt;&lt;D xsi:type="xsd:double"&gt;12.5427379143089&lt;/D&gt;&lt;D xsi:type="xsd:double"&gt;12.7745644088078&lt;/D&gt;&lt;D xsi:type="xsd:double"&gt;12.9115922022434&lt;/D&gt;&lt;D xsi:type="xsd:double"&gt;12.4641912487792&lt;/D&gt;&lt;D xsi:type="xsd:double"&gt;12.8892728731348&lt;/D&gt;&lt;D xsi:type="xsd:double"&gt;13.274770293413&lt;/D&gt;&lt;D xsi:type="xsd:double"&gt;13.6791008304187&lt;/D&gt;&lt;D xsi:type="xsd:double"&gt;14.2447761722048&lt;/D&gt;&lt;D xsi:type="xsd:double"&gt;14.3592384597438&lt;/D&gt;&lt;D xsi:type="xsd:double"&gt;14.0516364546342&lt;/D&gt;&lt;D xsi:type="xsd:double"&gt;16.0725464033252&lt;/D&gt;&lt;D xsi:type="xsd:double"&gt;16.1459827796955&lt;/D&gt;&lt;D xsi:type="xsd:double"&gt;14.9109726873542&lt;/D&gt;&lt;D xsi:type="xsd:double"&gt;13.7754547191478&lt;/D&gt;&lt;D xsi:type="xsd:double"&gt;15.4448676620112&lt;/D&gt;&lt;D xsi:type="xsd:double"&gt;16.3817680830059&lt;/D&gt;&lt;D xsi:type="xsd:double"&gt;18.0320246403359&lt;/D&gt;&lt;D xsi:type="xsd:double"&gt;17.8942681180743&lt;/D&gt;&lt;D xsi:type="xsd:double"&gt;16.4220407536877&lt;/D&gt;&lt;D xsi:type="xsd:double"&gt;18.1084357568545&lt;/D&gt;&lt;D xsi:type="xsd:double"&gt;21.3689403219014&lt;/D&gt;&lt;D xsi:type="xsd:double"&gt;25.5916877194899&lt;/D&gt;&lt;D xsi:type="xsd:double"&gt;24.3074843284141&lt;/D&gt;&lt;D xsi:type="xsd:double"&gt;27.1280100707831&lt;/D&gt;&lt;D xsi:type="xsd:double"&gt;27.9384891054585&lt;/D&gt;&lt;D xsi:type="xsd:double"&gt;26.7508768837826&lt;/D&gt;&lt;D xsi:type="xsd:double"&gt;25.2151412406868&lt;/D&gt;&lt;D xsi:type="xsd:double"&gt;24.2446983373662&lt;/D&gt;&lt;D xsi:type="xsd:double"&gt;23.3708677979703&lt;/D&gt;&lt;D xsi:type="xsd:double"&gt;21.9142916382413&lt;/D&gt;&lt;D xsi:type="xsd:double"&gt;21.0492881319581&lt;/D&gt;&lt;D xsi:type="xsd:double"&gt;20.0727648307169&lt;/D&gt;&lt;D xsi:type="xsd:double"&gt;18.8100367327056&lt;/D&gt;&lt;D xsi:type="xsd:double"&gt;18.4217663067873&lt;/D&gt;&lt;D xsi:type="xsd:double"&gt;16.8652937246247&lt;/D&gt;&lt;D xsi:type="xsd:double"&gt;17.1105210892844&lt;/D&gt;&lt;D xsi:type="xsd:double"&gt;16.787212748159&lt;/D&gt;&lt;D xsi:type="xsd:double"&gt;17.2154335168578&lt;/D&gt;&lt;D xsi:type="xsd:double"&gt;17.4183777204533&lt;/D&gt;&lt;D xsi:type="xsd:double"&gt;16.596807126785&lt;/D&gt;&lt;D xsi:type="xsd:double"&gt;15.7320851332946&lt;/D&gt;&lt;D xsi:type="xsd:double"&gt;15.7256967709502&lt;/D&gt;&lt;D xsi:type="xsd:double"&gt;15.4850831096785&lt;/D&gt;&lt;D xsi:type="xsd:double"&gt;15.0462316283814&lt;/D&gt;&lt;D xsi:type="xsd:double"&gt;14.3191839132915&lt;/D&gt;&lt;D xsi:type="xsd:double"&gt;13.7521237395608&lt;/D&gt;&lt;D xsi:type="xsd:double"&gt;12.7436337855335&lt;/D&gt;&lt;D xsi:type="xsd:double"&gt;12.4977948603517&lt;/D&gt;&lt;D xsi:type="xsd:double"&gt;12.2590871633641&lt;/D&gt;&lt;D xsi:type="xsd:double"&gt;12.0938687173842&lt;/D&gt;&lt;D xsi:type="xsd:double"&gt;12.0776219949319&lt;/D&gt;&lt;D xsi:type="xsd:double"&gt;11.8357956577514&lt;/D&gt;&lt;D xsi:type="xsd:double"&gt;11.7890232574894&lt;/D&gt;&lt;D xsi:type="xsd:double"&gt;11.7038472476547&lt;/D&gt;&lt;D xsi:type="xsd:double"&gt;11.4088717260333&lt;/D&gt;&lt;D xsi:type="xsd:double"&gt;11.282441857143&lt;/D&gt;&lt;D xsi:type="xsd:double"&gt;10.1060915767598&lt;/D&gt;&lt;D xsi:type="xsd:double"&gt;10.2077657084711&lt;/D&gt;&lt;D xsi:type="xsd:double"&gt;10.0469679039112&lt;/D&gt;&lt;D xsi:type="xsd:double"&gt;10.1397257003847&lt;/D&gt;&lt;D xsi:type="xsd:double"&gt;9.4053498562216&lt;/D&gt;&lt;D xsi:type="xsd:double"&gt;9.43555499560689&lt;/D&gt;&lt;D xsi:type="xsd:double"&gt;9.28941050909472&lt;/D&gt;&lt;D xsi:type="xsd:double"&gt;9.09282010278711&lt;/D&gt;&lt;/FQL&gt;&lt;FQL&gt;&lt;Q&gt;ECH^JULIAN(FMA_DIV_YLD(LTMA,-10AY,0,AM,"PORTAGG","MEANR").DATES)&lt;/Q&gt;&lt;R&gt;121&lt;/R&gt;&lt;C&gt;1&lt;/C&gt;&lt;D xsi:type="xsd:long"&gt;41782&lt;/D&gt;&lt;D xsi:type="xsd:long"&gt;41813&lt;/D&gt;&lt;D xsi:type="xsd:long"&gt;41843&lt;/D&gt;&lt;D xsi:type="xsd:long"&gt;41873&lt;/D&gt;&lt;D xsi:type="xsd:long"&gt;41905&lt;/D&gt;&lt;D xsi:type="xsd:long"&gt;41935&lt;/D&gt;&lt;D xsi:type="xsd:long"&gt;41964&lt;/D&gt;&lt;D xsi:type="xsd:long"&gt;41996&lt;/D&gt;&lt;D xsi:type="xsd:long"&gt;42027&lt;/D&gt;&lt;D xsi:type="xsd:long"&gt;42058&lt;/D&gt;&lt;D xsi:type="xsd:long"&gt;42086&lt;/D&gt;&lt;D xsi:type="xsd:long"&gt;42117&lt;/D&gt;&lt;D xsi:type="xsd:long"&gt;42146&lt;/D&gt;&lt;D xsi:type="xsd:long"&gt;42178&lt;/D&gt;&lt;D xsi:type="xsd:long"&gt;42208&lt;/D&gt;&lt;D xsi:type="xsd:long"&gt;42237&lt;/D&gt;&lt;D xsi:type="xsd:long"&gt;42270&lt;/D&gt;&lt;D xsi:type="xsd:long"&gt;42300&lt;/D&gt;&lt;D xsi:type="xsd:long"&gt;42331&lt;/D&gt;&lt;D xsi:type="xsd:long"&gt;42361&lt;/D&gt;&lt;D xsi:type="xsd:long"&gt;42391&lt;/D&gt;&lt;D xsi:type="xsd:long"&gt;42423&lt;/D&gt;&lt;D xsi:type="xsd:long"&gt;42452&lt;/D&gt;&lt;D xsi:type="xsd:long"&gt;42482&lt;/D&gt;&lt;D xsi:type="xsd:long"&gt;42513&lt;/D&gt;&lt;D xsi:type="xsd:long"&gt;42544&lt;/D&gt;&lt;D xsi:type="xsd:long"&gt;42573&lt;/D&gt;&lt;D xsi:type="xsd:long"&gt;42605&lt;/D&gt;&lt;D xsi:type="xsd:long"&gt;42636&lt;/D&gt;&lt;D xsi:type="xsd:long"&gt;42664&lt;/D&gt;&lt;D xsi:type="xsd:long"&gt;42697&lt;/D&gt;&lt;D xsi:type="xsd:long"&gt;42727&lt;/D&gt;&lt;D xsi:type="xsd:long"&gt;42758&lt;/D&gt;&lt;D xsi:type="xsd:long"&gt;42789&lt;/D&gt;&lt;D xsi:type="xsd:long"&gt;42817&lt;/D&gt;&lt;D xsi:type="xsd:long"&gt;42846&lt;/D&gt;&lt;D xsi:type="xsd:long"&gt;42878&lt;/D&gt;&lt;D xsi:type="xsd:long"&gt;42909&lt;/D&gt;&lt;D xsi:type="xsd:long"&gt;42937&lt;/D&gt;&lt;D xsi:type="xsd:long"&gt;42970&lt;/D&gt;&lt;D xsi:type="xsd:long"&gt;43000&lt;/D&gt;&lt;D xsi:type="xsd:long"&gt;43031&lt;/D&gt;&lt;D xsi:type="xsd:long"&gt;43061&lt;/D&gt;&lt;D xsi:type="xsd:long"&gt;43091&lt;/D&gt;&lt;D xsi:type="xsd:long"&gt;43123&lt;/D&gt;&lt;D xsi:type="xsd:long"&gt;43154&lt;/D&gt;&lt;D xsi:type="xsd:long"&gt;43182&lt;/D&gt;&lt;D xsi:type="xsd:long"&gt;43213&lt;/D&gt;&lt;D xsi:type="xsd:long"&gt;43243&lt;/D&gt;&lt;D xsi:type="xsd:long"&gt;43273&lt;/D&gt;&lt;D xsi:type="xsd:long"&gt;43304&lt;/D&gt;&lt;D xsi:type="xsd:long"&gt;43335&lt;/D&gt;&lt;D xsi:type="xsd:long"&gt;43364&lt;/D&gt;&lt;D xsi:type="xsd:long"&gt;43396&lt;/D&gt;&lt;D xsi:type="xsd:long"&gt;43427&lt;/D&gt;&lt;D xsi:type="xsd:long"&gt;43455&lt;/D&gt;&lt;D xsi:type="xsd:long"&gt;43488&lt;/D&gt;&lt;D xsi:type="xsd:long"&gt;43518&lt;/D&gt;&lt;D xsi:type="xsd:long"&gt;43546&lt;/D&gt;&lt;D xsi:type="xsd:long"&gt;43578&lt;/D&gt;&lt;D xsi:type="xsd:long"&gt;43608&lt;/D&gt;&lt;D xsi:type="xsd:long"&gt;43637&lt;/D&gt;&lt;D xsi:type="xsd:long"&gt;43669&lt;/D&gt;&lt;D xsi:type="xsd:long"&gt;43700&lt;/D&gt;&lt;D xsi:type="xsd:long"&gt;43731&lt;/D&gt;&lt;D xsi:type="xsd:long"&gt;43761&lt;/D&gt;&lt;D xsi:type="xsd:long"&gt;43791&lt;/D&gt;&lt;D xsi:type="xsd:long"&gt;43822&lt;/D&gt;&lt;D xsi:type="xsd:long"&gt;43853&lt;/D&gt;&lt;D xsi:type="xsd:long"&gt;43882&lt;/D&gt;&lt;D xsi:type="xsd:long"&gt;43913&lt;/D&gt;&lt;D xsi:type="xsd:long"&gt;43944&lt;/D&gt;&lt;D xsi:type="xsd:long"&gt;43973&lt;/D&gt;&lt;D xsi:type="xsd:long"&gt;44005&lt;/D&gt;&lt;D xsi:type="xsd:long"&gt;44035&lt;/D&gt;&lt;D xsi:type="xsd:long"&gt;44064&lt;/D&gt;&lt;D xsi:type="xsd:long"&gt;44097&lt;/D&gt;&lt;D xsi:type="xsd:long"&gt;44127&lt;/D&gt;&lt;D xsi:type="xsd:long"&gt;44158&lt;/D&gt;&lt;D xsi:type="xsd:long"&gt;44188&lt;/D&gt;&lt;D xsi:type="xsd:long"&gt;44218&lt;/D&gt;&lt;D xsi:type="xsd:long"&gt;44250&lt;/D&gt;&lt;D xsi:type="xsd:long"&gt;44278&lt;/D&gt;&lt;D xsi:type="xsd:long"&gt;44309&lt;/D&gt;&lt;D xsi:type="xsd:long"&gt;44337&lt;/D&gt;&lt;D xsi:type="xsd:long"&gt;44370&lt;/D&gt;&lt;D xsi:type="xsd:long"&gt;44400&lt;/D&gt;&lt;D xsi:type="xsd:long"&gt;44431&lt;/D&gt;&lt;D xsi:type="xsd:long"&gt;44462&lt;/D&gt;&lt;D xsi:type="xsd:long"&gt;44491&lt;/D&gt;&lt;D xsi:type="xsd:long"&gt;44523&lt;/D&gt;&lt;D xsi:type="xsd:long"&gt;44553&lt;/D&gt;&lt;D xsi:type="xsd:long"&gt;44582&lt;/D&gt;&lt;D xsi:type="xsd:long"&gt;44615&lt;/D&gt;&lt;D xsi:type="xsd:long"&gt;44643&lt;/D&gt;&lt;D xsi:type="xsd:long"&gt;44673&lt;/D&gt;&lt;D xsi:type="xsd:long"&gt;44704&lt;/D&gt;&lt;D xsi:type="xsd:long"&gt;44735&lt;/D&gt;&lt;D xsi:type="xsd:long"&gt;44764&lt;/D&gt;&lt;D xsi:type="xsd:long"&gt;44796&lt;/D&gt;&lt;D xsi:type="xsd:long"&gt;44827&lt;/D&gt;&lt;D xsi:type="xsd:long"&gt;44855&lt;/D&gt;&lt;D xsi:type="xsd:long"&gt;44888&lt;/D&gt;&lt;D xsi:type="xsd:long"&gt;44918&lt;/D&gt;&lt;D xsi:type="xsd:long"&gt;44949&lt;/D&gt;&lt;D xsi:type="xsd:long"&gt;44980&lt;/D&gt;&lt;D xsi:type="xsd:long"&gt;45008&lt;/D&gt;&lt;D xsi:type="xsd:long"&gt;45037&lt;/D&gt;&lt;D xsi:type="xsd:long"&gt;45069&lt;/D&gt;&lt;D xsi:type="xsd:long"&gt;45100&lt;/D&gt;&lt;D xsi:type="xsd:long"&gt;45128&lt;/D&gt;&lt;D xsi:type="xsd:long"&gt;45161&lt;/D&gt;&lt;D xsi:type="xsd:long"&gt;45191&lt;/D&gt;&lt;D xsi:type="xsd:long"&gt;45222&lt;/D&gt;&lt;D xsi:type="xsd:long"&gt;45252&lt;/D&gt;&lt;D xsi:type="xsd:long"&gt;45282&lt;/D&gt;&lt;D xsi:type="xsd:long"&gt;45314&lt;/D&gt;&lt;D xsi:type="xsd:long"&gt;45345&lt;/D&gt;&lt;D xsi:type="xsd:long"&gt;45373&lt;/D&gt;&lt;D xsi:type="xsd:long"&gt;45405&lt;/D&gt;&lt;D xsi:type="xsd:long"&gt;45433&lt;/D&gt;&lt;/FQL&gt;&lt;FQL&gt;&lt;Q&gt;BRENT-FDS^FG_PRICE_CHANGE(0,-6AM)&lt;/Q&gt;&lt;R&gt;1&lt;/R&gt;&lt;C&gt;1&lt;/C&gt;&lt;D xsi:type="xsd:double"&gt;0&lt;/D&gt;&lt;/FQL&gt;&lt;FQL&gt;&lt;Q&gt;TIOS-FDS^FG_PRICE_MAVG(0,,,,30)&lt;/Q&gt;&lt;R&gt;1&lt;/R&gt;&lt;C&gt;1&lt;/C&gt;&lt;D xsi:type="xsd:double"&gt;113.52433&lt;/D&gt;&lt;/FQL&gt;&lt;FQL&gt;&lt;Q&gt;INDA^FG_PRICE_MAVG(0,,,,200)&lt;/Q&gt;&lt;R&gt;1&lt;/R&gt;&lt;C&gt;1&lt;/C&gt;&lt;D xsi:type="xsd:double"&gt;48.063675&lt;/D&gt;&lt;/FQL&gt;&lt;FQL&gt;&lt;Q&gt;EWW^FG_PRICE_MAVG(0,,,,200)&lt;/Q&gt;&lt;R&gt;1&lt;/R&gt;&lt;C&gt;1&lt;/C&gt;&lt;D xsi:type="xsd:double"&gt;63.7492&lt;/D&gt;&lt;/FQL&gt;&lt;FQL&gt;&lt;Q&gt;EPOL^FG_PRICE_MAVG(0,,,,30)&lt;/Q&gt;&lt;R&gt;1&lt;/R&gt;&lt;C&gt;1&lt;/C&gt;&lt;D xsi:type="xsd:double"&gt;24.378&lt;/D&gt;&lt;/FQL&gt;&lt;FQL&gt;&lt;Q&gt;KSA^FG_TOTAL_RETURNC(0,-12AM)&lt;/Q&gt;&lt;R&gt;1&lt;/R&gt;&lt;C&gt;1&lt;/C&gt;&lt;D xsi:type="xsd:double"&gt;3.4082294&lt;/D&gt;&lt;/FQL&gt;&lt;FQL&gt;&lt;Q&gt;UAE^FG_TOTAL_RETURNC(0,-12AM)&lt;/Q&gt;&lt;R&gt;1&lt;/R&gt;&lt;C&gt;1&lt;/C&gt;&lt;D xsi:type="xsd:double"&gt;-0.92445016&lt;/D&gt;&lt;/FQL&gt;&lt;FQL&gt;&lt;Q&gt;SET-BKK^FG_TOTAL_RETURNC(0,-12AM)&lt;/Q&gt;&lt;R&gt;1&lt;/R&gt;&lt;C&gt;1&lt;/C&gt;&lt;D xsi:type="xsd:double"&gt;-10.880613&lt;/D&gt;&lt;/FQL&gt;&lt;FQL&gt;&lt;Q&gt;MCHI^FG_TOTAL_RETURNC(0,-12AM)&lt;/Q&gt;&lt;R&gt;1&lt;/R&gt;&lt;C&gt;1&lt;/C&gt;&lt;D xsi:type="xsd:double"&gt;2.2150517&lt;/D&gt;&lt;/FQL&gt;&lt;FQL&gt;&lt;Q&gt;GREK^FG_TOTAL_RETURNC(0,-12AM)&lt;/Q&gt;&lt;R&gt;1&lt;/R&gt;&lt;C&gt;1&lt;/C&gt;&lt;D xsi:type="xsd:double"&gt;25.90723&lt;/D&gt;&lt;/FQL&gt;&lt;FQL&gt;&lt;Q&gt;EWZ^P_PRICE(0)/P_PRICE_HIGH_PR(0,,,,,,"PRICE","INTRA","52W")&lt;/Q&gt;&lt;R&gt;1&lt;/R&gt;&lt;C&gt;1&lt;/C&gt;&lt;D xsi:type="xsd:double"&gt;0.85730267&lt;/D&gt;&lt;/FQL&gt;&lt;FQL&gt;&lt;Q&gt;EWW^P_PRICE(0)/P_PRICE_HIGH_PR(0,,,,,,"PRICE","INTRA","52W")&lt;/Q&gt;&lt;R&gt;1&lt;/R&gt;&lt;C&gt;1&lt;/C&gt;&lt;D xsi:type="xsd:double"&gt;0.9347582&lt;/D&gt;&lt;/FQL&gt;&lt;FQL&gt;&lt;Q&gt;EPOL^P_PRICE(0)/P_PRICE_LOW_PR(0,,,,,,"PRICE","INTRA","52W")-1&lt;/Q&gt;&lt;R&gt;1&lt;/R&gt;&lt;C&gt;1&lt;/C&gt;&lt;D xsi:type="xsd:double"&gt;0.53958595&lt;/D&gt;&lt;/FQL&gt;&lt;FQL&gt;&lt;Q&gt;CNYA^FG_TOTAL_RETURNC(0,-12AM)&lt;/Q&gt;&lt;R&gt;1&lt;/R&gt;&lt;C&gt;1&lt;/C&gt;&lt;D xsi:type="xsd:double"&gt;-8.852953&lt;/D&gt;&lt;/FQL&gt;&lt;FQL&gt;&lt;Q&gt;URTH^PERCENT_CHANGE(FMA_EPS(+1,0,,,,"PORTAGG","MEAN"),FMA_EPS(+1,-3AM,,,,"PORTAGG","MEAN"))&lt;/Q&gt;&lt;R&gt;1&lt;/R&gt;&lt;C&gt;1&lt;/C&gt;&lt;D xsi:type="xsd:double"&gt;0.351019443666334&lt;/D&gt;&lt;/FQL&gt;&lt;FQL&gt;&lt;Q&gt;VWO^SIZE(FG_CONSTITUENTS)&lt;/Q&gt;&lt;R&gt;1&lt;/R&gt;&lt;C&gt;1&lt;/C&gt;&lt;D xsi:type="xsd:long"&gt;4781&lt;/D&gt;&lt;/FQL&gt;&lt;FQL&gt;&lt;Q&gt;EWZ^SIZE(FG_CONSTITUENTS)&lt;/Q&gt;&lt;R&gt;1&lt;/R&gt;&lt;C&gt;1&lt;/C&gt;&lt;D xsi:type="xsd:long"&gt;51&lt;/D&gt;&lt;/FQL&gt;&lt;FQL&gt;&lt;Q&gt;UAE^FMA_RBICS_REV_CURRENT(30, LOC, "PORTAGG")&lt;/Q&gt;&lt;R&gt;1&lt;/R&gt;&lt;C&gt;1&lt;/C&gt;&lt;D xsi:type="xsd:double"&gt;58.4054260571537&lt;/D&gt;&lt;/FQL&gt;&lt;FQL&gt;&lt;Q&gt;EPOL^FG_ROE(0)&lt;/Q&gt;&lt;R&gt;1&lt;/R&gt;&lt;C&gt;1&lt;/C&gt;&lt;D xsi:type="xsd:double"&gt;15.9539198545929&lt;/D&gt;&lt;/FQL&gt;&lt;FQL&gt;&lt;Q&gt;REFTR1WREPO-FDS^(SUBARRAY(NOT_NA(NO_REPEAT_F(FG_YIELD(NOW,-10AY,D))),0,1)-SUBARRAY(NOT_NA(NO_REPEAT_F(FG_YIELD(NOW,-10AY,D))),1,1))*100&lt;/Q&gt;&lt;R&gt;1&lt;/R&gt;&lt;C&gt;1&lt;/C&gt;&lt;D xsi:type="xsd:double"&gt;500&lt;/D&gt;&lt;/FQL&gt;&lt;FQL&gt;&lt;Q&gt;REFMYON-FDS^PROPER_NAME(0,,,"SECURITY","NAME")&lt;/Q&gt;&lt;R&gt;1&lt;/R&gt;&lt;C&gt;1&lt;/C&gt;&lt;D xsi:type="xsd:string"&gt;Malaysia Policy Rate - Overnight&lt;/D&gt;&lt;/FQL&gt;&lt;FQL&gt;&lt;Q&gt;EPOL^FMA_PE(NTMA,0,,,"PORTAGG","MEANR")&lt;/Q&gt;&lt;R&gt;1&lt;/R&gt;&lt;C&gt;1&lt;/C&gt;&lt;D xsi:type="xsd:double"&gt;9.02244933190269&lt;/D&gt;&lt;/FQL&gt;&lt;FQL&gt;&lt;Q&gt;GREK^P_PRICE(0)/P_PRICE_LOW_PR(0,,,,,,"PRICE","INTRA","52W")-1&lt;/Q&gt;&lt;R&gt;1&lt;/R&gt;&lt;C&gt;1&lt;/C&gt;&lt;D xsi:type="xsd:double"&gt;0.37006402&lt;/D&gt;&lt;/FQL&gt;&lt;FQL&gt;&lt;Q&gt;EWM^P_PRICE(0)/P_PRICE_HIGH_PR(0,,,,,,"PRICE","INTRA","52W")&lt;/Q&gt;&lt;R&gt;1&lt;/R&gt;&lt;C&gt;1&lt;/C&gt;&lt;D xsi:type="xsd:double"&gt;0.98932993&lt;/D&gt;&lt;/FQL&gt;&lt;FQL&gt;&lt;Q&gt;EIDO^P_PRICE(0)/P_PRICE_LOW_PR(0,,,,,,"PRICE","INTRA","52W")-1&lt;/Q&gt;&lt;R&gt;1&lt;/R&gt;&lt;C&gt;1&lt;/C&gt;&lt;D xsi:type="xsd:double"&gt;0.022812724&lt;/D&gt;&lt;/FQL&gt;&lt;FQL&gt;&lt;Q&gt;URTH^P_PRICE(0)/P_PRICE_HIGH_PR(0,,,,,,"PRICE","INTRA","52W")&lt;/Q&gt;&lt;R&gt;1&lt;/R&gt;&lt;C&gt;1&lt;/C&gt;&lt;D xsi:type="xsd:double"&gt;0.9857531&lt;/D&gt;&lt;/FQL&gt;&lt;FQL&gt;&lt;Q&gt;VWO^FMA_COS_DOWN("EPS","1M",+1,NOW,,,"PORTAGG","MEANR")&lt;/Q&gt;&lt;R&gt;1&lt;/R&gt;&lt;C&gt;1&lt;/C&gt;&lt;D xsi:type="xsd:double"&gt;1619&lt;/D&gt;&lt;/FQL&gt;&lt;FQL&gt;&lt;Q&gt;TRYTW10Y-FDS^FG_YIELD_NAME&lt;/Q&gt;&lt;R&gt;1&lt;/R&gt;&lt;C&gt;1&lt;/C&gt;&lt;D xsi:type="xsd:string"&gt;Taiwan China Benchmark Bond - 10 Year&lt;/D&gt;&lt;/FQL&gt;&lt;FQL&gt;&lt;Q&gt;REFPEMPR-FDS^(SUBARRAY(NOT_NA(NO_REPEAT_F(FG_YIELD(NOW,-10AY,D))),0,1)-SUBARRAY(NOT_NA(NO_REPEAT_F(FG_YIELD(NOW,-10AY,D))),1,1))*100&lt;/Q&gt;&lt;R&gt;1&lt;/R&gt;&lt;C&gt;1&lt;/C&gt;&lt;D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xsi:type="xsd:double"&gt;-25&lt;/D&gt;&lt;/FQL&gt;&lt;FQL&gt;&lt;Q&gt;REFCNRMB-FDS^PROPER_NAME(0,,,"SECURITY","NAME")&lt;/Q&gt;&lt;R&gt;1&lt;/R&gt;&lt;C&gt;1&lt;/C&gt;&lt;D xsi:type="xsd:string"&gt;China Loan Prime Rate (LPR) - 1 Year&lt;/D&gt;&lt;/FQL&gt;&lt;FQL&gt;&lt;Q&gt;TRYGR10Y-FDS^PCTCHG(FG_YIELD(0,,,,"YTM"),FG_YIELD(-3AM,,,,"YTM"))&lt;/Q&gt;&lt;R&gt;1&lt;/R&gt;&lt;C&gt;1&lt;/C&gt;&lt;D xsi:type="xsd:double"&gt;4.7535753&lt;/D&gt;&lt;/FQL&gt;&lt;FQL&gt;&lt;Q&gt;TRYPL10Y-FDS^PCTCHG(FG_YIELD(0,,,,"YTM"),FG_YIELD(-1AM,,,,"YTM"))&lt;/Q&gt;&lt;R&gt;1&lt;/R&gt;&lt;C&gt;1&lt;/C&gt;&lt;D xsi:type="xsd:double"&gt;-0.2422158&lt;/D&gt;&lt;/FQL&gt;&lt;FQL&gt;&lt;Q&gt;TRYTR7Y-FDS^FG_YIELD(0,,,,"YTM")&lt;/Q&gt;&lt;R&gt;1&lt;/R&gt;&lt;C&gt;1&lt;/C&gt;&lt;D xsi:type="xsd:double"&gt;24.4331&lt;/D&gt;&lt;/FQL&gt;&lt;FQL&gt;&lt;Q&gt;TRYKR10Y-FDS^FG_YIELD_NAME&lt;/Q&gt;&lt;R&gt;1&lt;/R&gt;&lt;C&gt;1&lt;/C&gt;&lt;D xsi:type="xsd:string"&gt;South Korea Benchmark Bond - 10 Year&lt;/D&gt;&lt;/FQL&gt;&lt;FQL&gt;&lt;Q&gt;TRYCN10Y-FDS^FG_YIELD(0,,,,"YTM")&lt;/Q&gt;&lt;R&gt;1&lt;/R&gt;&lt;C&gt;1&lt;/C&gt;&lt;D xsi:type="xsd:double"&gt;2.3177&lt;/D&gt;&lt;/FQL&gt;&lt;FQL&gt;&lt;Q&gt;CC_PE^IMF_IFS_RCPI_Q(0)&lt;/Q&gt;&lt;R&gt;1&lt;/R&gt;&lt;C&gt;1&lt;/C&gt;&lt;D xsi:type="xsd:double"&gt;2.8496776&lt;/D&gt;&lt;/FQL&gt;&lt;FQL&gt;&lt;Q&gt;VGK^FG_PE_NTM(0,,,90,0)&lt;/Q&gt;&lt;R&gt;1&lt;/R&gt;&lt;C&gt;1&lt;/C&gt;&lt;D xsi:type="xsd:double"&gt;13.6681228708518&lt;/D&gt;&lt;/FQL&gt;&lt;FQL&gt;&lt;Q&gt;MCHI^JULIAN(FMA_DIV_YLD(NTMA,NOW,NOW,M,"PORTAGG","MEANR").DATES)&lt;/Q&gt;&lt;R&gt;1&lt;/R&gt;&lt;C&gt;1&lt;/C&gt;&lt;D xsi:type="xsd:long"&gt;45412&lt;/D&gt;&lt;/FQL&gt;&lt;FQL&gt;&lt;Q&gt;TRYBR10Y-FDS^FG_YIELD(-10AY,0,Y,,"YTM")&lt;/Q&gt;&lt;R&gt;10&lt;/R&gt;&lt;C&gt;1&lt;/C&gt;&lt;D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xsi:type="xsd:double"&gt;21.984322&lt;/D&gt;&lt;/FQL&gt;&lt;FQL&gt;&lt;Q&gt;CC_MY^FG_COMPANY_NAME&lt;/Q&gt;&lt;R&gt;1&lt;/R&gt;&lt;C&gt;1&lt;/C&gt;&lt;D xsi:type="xsd:string"&gt;Malaysia&lt;/D&gt;&lt;/FQL&gt;&lt;FQL&gt;&lt;Q&gt;USDINR^STD(FG_PRICE_CHANGE(0,-1AY,AM))&lt;/Q&gt;&lt;R&gt;1&lt;/R&gt;&lt;C&gt;1&lt;/C&gt;&lt;D xsi:type="xsd:double"&gt;0.493114804221366&lt;/D&gt;&lt;/FQL&gt;&lt;FQL&gt;&lt;Q&gt;USDPHP^FG_PRICE_CHANGE(0,-1AM)&lt;/Q&gt;&lt;R&gt;1&lt;/R&gt;&lt;C&gt;1&lt;/C&gt;&lt;D xsi:type="xsd:double"&gt;1.0831594&lt;/D&gt;&lt;/FQL&gt;&lt;FQL&gt;&lt;Q&gt;EZA^FG_TOTAL_RETURNC(-10AY,0,AM)&lt;/Q&gt;&lt;R&gt;121&lt;/R&gt;&lt;C&gt;1&lt;/C&gt;&lt;D xsi:type="xsd:double"&gt;6.194544&lt;/D&gt;&lt;D xsi:type="xsd:double"&gt;-1.1468172&lt;/D&gt;&lt;D xsi:type="xsd:double"&gt;2.856648&lt;/D&gt;&lt;D xsi:type="xsd:double"&gt;-1.2645781&lt;/D&gt;&lt;D xsi:type="xsd:double"&gt;-7.0442557&lt;/D&gt;&lt;D xsi:type="xsd:double"&gt;0.32149553&lt;/D&gt;&lt;D xsi:type="xsd:double"&gt;9.400284&lt;/D&gt;&lt;D xsi:type="xsd:double"&gt;-9.405333&lt;/D&gt;&lt;D xsi:type="xsd:double"&gt;5.864918&lt;/D&gt;&lt;D xsi:type="xsd:double"&gt;2.3279667&lt;/D&gt;&lt;D xsi:type="xsd:double"&gt;-3.0525506&lt;/D&gt;&lt;D xsi:type="xsd:double"&gt;4.6338797&lt;/D&gt;&lt;D xsi:type="xsd:double"&gt;-1.9020557&lt;/D&gt;&lt;D xsi:type="xsd:double"&gt;-4.268551&lt;/D&gt;&lt;D xsi:type="xsd:double"&gt;-3.0623019&lt;/D&gt;&lt;D xsi:type="xsd:double"&gt;-12.643498&lt;/D&gt;&lt;D xsi:type="xsd:double"&gt;-3.780377&lt;/D&gt;&lt;D xsi:type="xsd:double"&gt;11.281574&lt;/D&gt;&lt;D xsi:type="xsd:double"&gt;-5.665767&lt;/D&gt;&lt;D xsi:type="xsd:double"&gt;-11.1374855&lt;/D&gt;&lt;D xsi:type="xsd:double"&gt;-16.044092&lt;/D&gt;&lt;D xsi:type="xsd:double"&gt;11.50012&lt;/D&gt;&lt;D xsi:type="xsd:double"&gt;11.164415&lt;/D&gt;&lt;D xsi:type="xsd:double"&gt;7.355821&lt;/D&gt;&lt;D xsi:type="xsd:double"&gt;-10.889822&lt;/D&gt;&lt;D xsi:type="xsd:double"&gt;15.606129&lt;/D&gt;&lt;D xsi:type="xsd:double"&gt;2.8326035&lt;/D&gt;&lt;D xsi:type="xsd:double"&gt;0.6575465&lt;/D&gt;&lt;D xsi:type="xsd:double"&gt;-0.5649686&lt;/D&gt;&lt;D xsi:type="xsd:double"&gt;-3.7819624&lt;/D&gt;&lt;D xsi:type="xsd:double"&gt;-6.2373104&lt;/D&gt;&lt;D xsi:type="xsd:double"&gt;-0.24936199&lt;/D&gt;&lt;D xsi:type="xsd:double"&gt;10.789787&lt;/D&gt;&lt;D xsi:type="xsd:double"&gt;3.5283566&lt;/D&gt;&lt;D xsi:type="xsd:double"&gt;5.0078273&lt;/D&gt;&lt;D xsi:type="xsd:double"&gt;-4.421258&lt;/D&gt;&lt;D xsi:type="xsd:double"&gt;6.7047834&lt;/D&gt;&lt;D xsi:type="xsd:double"&gt;-5.193776&lt;/D&gt;&lt;D xsi:type="xsd:double"&gt;5.4049373&lt;/D&gt;&lt;D xsi:type="xsd:double"&gt;1.5072107&lt;/D&gt;&lt;D xsi:type="xsd:double"&gt;-2.775979&lt;/D&gt;&lt;D xsi:type="xsd:double"&gt;0.43160915&lt;/D&gt;&lt;D xsi:type="xsd:double"&gt;4.859507&lt;/D&gt;&lt;D xsi:type="xsd:double"&gt;7.7141523&lt;/D&gt;&lt;D xsi:type="xsd:double"&gt;9.379625&lt;/D&gt;&lt;D xsi:type="xsd:double"&gt;1.6745448&lt;/D&gt;&lt;D xsi:type="xsd:double"&gt;-9.137994&lt;/D&gt;&lt;D xsi:type="xsd:double"&gt;-2.485025&lt;/D&gt;&lt;D xsi:type="xsd:double"&gt;-2.7282238&lt;/D&gt;&lt;D xsi:type="xsd:double"&gt;-9.255636&lt;/D&gt;&lt;D xsi:type="xsd:double"&gt;0.017237663&lt;/D&gt;&lt;D xsi:type="xsd:double"&gt;-4.827583&lt;/D&gt;&lt;D xsi:type="xsd:double"&gt;-0.54347515&lt;/D&gt;&lt;D xsi:type="xsd:double"&gt;-9.162116&lt;/D&gt;&lt;D xsi:type="xsd:double"&gt;3.990376&lt;/D&gt;&lt;D xsi:type="xsd:double"&gt;-4.20261&lt;/D&gt;&lt;D xsi:type="xsd:double"&gt;12.399745&lt;/D&gt;&lt;D xsi:type="xsd:double"&gt;-0.6220281&lt;/D&gt;&lt;D xsi:type="xsd:double"&gt;-5.8173776&lt;/D&gt;&lt;D xsi:type="xsd:double"&gt;12.255669&lt;/D&gt;&lt;D xsi:type="xsd:double"&gt;-11.596727&lt;/D&gt;&lt;D xsi:type="xsd:double"&gt;11.12603&lt;/D&gt;&lt;D xsi:type="xsd:double"&gt;-0.018167496&lt;/D&gt;&lt;D xsi:type="xsd:double"&gt;-16.721195&lt;/D&gt;&lt;D xsi:type="xsd:double"&gt;8.926237&lt;/D&gt;&lt;D xsi:type="xsd:double"&gt;3.0855536&lt;/D&gt;&lt;D xsi:type="xsd:double"&gt;-0.058311224&lt;/D&gt;&lt;D xsi:type="xsd:double"&gt;3.6239386&lt;/D&gt;&lt;D xsi:type="xsd:double"&gt;-1.8988669&lt;/D&gt;&lt;D xsi:type="xsd:double"&gt;-4.102665&lt;/D&gt;&lt;D xsi:type="xsd:double"&gt;-46.29224&lt;/D&gt;&lt;D xsi:type="xsd:double"&gt;21.895432&lt;/D&gt;&lt;D xsi:type="xsd:double"&gt;12.600529&lt;/D&gt;&lt;D xsi:type="xsd:double"&gt;10.62249&lt;/D&gt;&lt;D xsi:type="xsd:double"&gt;5.7260275&lt;/D&gt;&lt;D xsi:type="xsd:double"&gt;-2.5913477&lt;/D&gt;&lt;D xsi:type="xsd:double"&gt;-5</t>
        </r>
      </text>
    </comment>
    <comment ref="A12" authorId="0" shapeId="0" xr:uid="{CD26D472-63B6-4A6D-BED4-564853BBB778}">
      <text>
        <r>
          <rPr>
            <b/>
            <sz val="9"/>
            <color indexed="81"/>
            <rFont val="Tahoma"/>
            <charset val="1"/>
          </rPr>
          <t>.613196&lt;/D&gt;&lt;D xsi:type="xsd:double"&gt;13.275087&lt;/D&gt;&lt;D xsi:type="xsd:double"&gt;4.254794&lt;/D&gt;&lt;D xsi:type="xsd:double"&gt;9.958994&lt;/D&gt;&lt;D xsi:type="xsd:double"&gt;2.2835255&lt;/D&gt;&lt;D xsi:type="xsd:double"&gt;7.7144027&lt;/D&gt;&lt;D xsi:type="xsd:double"&gt;-3.2013178&lt;/D&gt;&lt;D xsi:type="xsd:double"&gt;8.077168&lt;/D&gt;&lt;D xsi:type="xsd:double"&gt;-0.13730526&lt;/D&gt;&lt;D xsi:type="xsd:double"&gt;-3.638655&lt;/D&gt;&lt;D xsi:type="xsd:double"&gt;-3.003496&lt;/D&gt;&lt;D xsi:type="xsd:double"&gt;-1.5482545&lt;/D&gt;&lt;D xsi:type="xsd:double"&gt;2.2619605&lt;/D&gt;&lt;D xsi:type="xsd:double"&gt;2.6121736&lt;/D&gt;&lt;D xsi:type="xsd:double"&gt;-5.6456566&lt;/D&gt;&lt;D xsi:type="xsd:double"&gt;2.461493&lt;/D&gt;&lt;D xsi:type="xsd:double"&gt;7.251668&lt;/D&gt;&lt;D xsi:type="xsd:double"&gt;3.4606934&lt;/D&gt;&lt;D xsi:type="xsd:double"&gt;6.322503&lt;/D&gt;&lt;D xsi:type="xsd:double"&gt;-11.3657&lt;/D&gt;&lt;D xsi:type="xsd:double"&gt;-3.7956536&lt;/D&gt;&lt;D xsi:type="xsd:double"&gt;-7.2455764&lt;/D&gt;&lt;D xsi:type="xsd:double"&gt;-2.0216286&lt;/D&gt;&lt;D xsi:type="xsd:double"&gt;1.1276364&lt;/D&gt;&lt;D xsi:type="xsd:double"&gt;-13.190985&lt;/D&gt;&lt;D xsi:type="xsd:double"&gt;3.8535118&lt;/D&gt;&lt;D xsi:type="xsd:double"&gt;17.736853&lt;/D&gt;&lt;D xsi:type="xsd:double"&gt;-1.6491294&lt;/D&gt;&lt;D xsi:type="xsd:double"&gt;6.622052&lt;/D&gt;&lt;D xsi:type="xsd:double"&gt;-9.39191&lt;/D&gt;&lt;D xsi:type="xsd:double"&gt;-2.2689283&lt;/D&gt;&lt;D xsi:type="xsd:double"&gt;5.2297235&lt;/D&gt;&lt;D xsi:type="xsd:double"&gt;-10.33442&lt;/D&gt;&lt;D xsi:type="xsd:double"&gt;3.0527234&lt;/D&gt;&lt;D xsi:type="xsd:double"&gt;8.642292&lt;/D&gt;&lt;D xsi:type="xsd:double"&gt;-5.2483025&lt;/D&gt;&lt;D xsi:type="xsd:double"&gt;-3.8499713&lt;/D&gt;&lt;D xsi:type="xsd:double"&gt;-3.4099698&lt;/D&gt;&lt;D xsi:type="xsd:double"&gt;5.7234526&lt;/D&gt;&lt;D xsi:type="xsd:double"&gt;4.372883&lt;/D&gt;&lt;D xsi:type="xsd:double"&gt;-5.8650312&lt;/D&gt;&lt;D xsi:type="xsd:double"&gt;-0.7038593&lt;/D&gt;&lt;D xsi:type="xsd:double"&gt;0.36754608&lt;/D&gt;&lt;D xsi:type="xsd:double"&gt;1.5956044&lt;/D&gt;&lt;D xsi:type="xsd:double"&gt;9.42328&lt;/D&gt;&lt;/FQL&gt;&lt;FQL&gt;&lt;Q&gt;GREK^FMA_DIV_YLD(NTMA,-10AY,0,AM,"PORTAGG","MEANR")&lt;/Q&gt;&lt;R&gt;121&lt;/R&gt;&lt;C&gt;1&lt;/C&gt;&lt;D xsi:type="xsd:double"&gt;2.1651471325653&lt;/D&gt;&lt;D xsi:type="xsd:double"&gt;1.86056594508087&lt;/D&gt;&lt;D xsi:type="xsd:double"&gt;2.11265776212389&lt;/D&gt;&lt;D xsi:type="xsd:double"&gt;2.05074391260884&lt;/D&gt;&lt;D xsi:type="xsd:double"&gt;2.24326940427337&lt;/D&gt;&lt;D xsi:type="xsd:double"&gt;2.44911592436085&lt;/D&gt;&lt;D xsi:type="xsd:double"&gt;2.4922703479275&lt;/D&gt;&lt;D xsi:type="xsd:double"&gt;2.9937245262805&lt;/D&gt;&lt;D xsi:type="xsd:double"&gt;2.99406233252264&lt;/D&gt;&lt;D xsi:type="xsd:double"&gt;3.27008443351986&lt;/D&gt;&lt;D xsi:type="xsd:double"&gt;3.42793328541001&lt;/D&gt;&lt;D xsi:type="xsd:double"&gt;3.64695741213528&lt;/D&gt;&lt;D xsi:type="xsd:double"&gt;3.2137656990604&lt;/D&gt;&lt;D xsi:type="xsd:double"&gt;3.424615019491&lt;/D&gt;&lt;D xsi:type="xsd:double"&gt;3.30971446356718&lt;/D&gt;&lt;D xsi:type="xsd:double"&gt;4.31831169072964&lt;/D&gt;&lt;D xsi:type="xsd:double"&gt;3.24651083617106&lt;/D&gt;&lt;D xsi:type="xsd:double"&gt;2.74340203556215&lt;/D&gt;&lt;D xsi:type="xsd:double"&gt;3.19281512239792&lt;/D&gt;&lt;D xsi:type="xsd:double"&gt;2.93152056901684&lt;/D&gt;&lt;D xsi:type="xsd:double"&gt;2.73670773000376&lt;/D&gt;&lt;D xsi:type="xsd:double"&gt;2.80589251308131&lt;/D&gt;&lt;D xsi:type="xsd:double"&gt;3.43299823739984&lt;/D&gt;&lt;D xsi:type="xsd:double"&gt;2.83174300556653&lt;/D&gt;&lt;D xsi:type="xsd:double"&gt;2.22519163515286&lt;/D&gt;&lt;D xsi:type="xsd:double"&gt;2.49864574332283&lt;/D&gt;&lt;D xsi:type="xsd:double"&gt;2.89075019694747&lt;/D&gt;&lt;D xsi:type="xsd:double"&gt;2.97349499131969&lt;/D&gt;&lt;D xsi:type="xsd:double"&gt;3.16154997257584&lt;/D&gt;&lt;D xsi:type="xsd:double"&gt;2.95934184432991&lt;/D&gt;&lt;D xsi:type="xsd:double"&gt;2.65684338712241&lt;/D&gt;&lt;D xsi:type="xsd:double"&gt;2.91423991387571&lt;/D&gt;&lt;D xsi:type="xsd:double"&gt;2.92735595754758&lt;/D&gt;&lt;D xsi:type="xsd:double"&gt;3.01222975076122&lt;/D&gt;&lt;D xsi:type="xsd:double"&gt;3.04516728454552&lt;/D&gt;&lt;D xsi:type="xsd:double"&gt;2.67220195967957&lt;/D&gt;&lt;D xsi:type="xsd:double"&gt;2.5532939443028&lt;/D&gt;&lt;D xsi:type="xsd:double"&gt;2.53366308692566&lt;/D&gt;&lt;D xsi:type="xsd:double"&gt;2.43888361670377&lt;/D&gt;&lt;D xsi:type="xsd:double"&gt;2.51924535241549&lt;/D&gt;&lt;D xsi:type="xsd:double"&gt;2.7189714041945&lt;/D&gt;&lt;D xsi:type="xsd:double"&gt;2.90964453252507&lt;/D&gt;&lt;D xsi:type="xsd:double"&gt;3.17252396623456&lt;/D&gt;&lt;D xsi:type="xsd:double"&gt;2.58125276846674&lt;/D&gt;&lt;D xsi:type="xsd:double"&gt;2.49172463389283&lt;/D&gt;&lt;D xsi:type="xsd:double"&gt;2.8699701223426&lt;/D&gt;&lt;D xsi:type="xsd:double"&gt;3.24189117848184&lt;/D&gt;&lt;D xsi:type="xsd:double"&gt;2.98494190204124&lt;/D&gt;&lt;D xsi:type="xsd:double"&gt;3.29662903285896&lt;/D&gt;&lt;D xsi:type="xsd:double"&gt;3.33659000749315&lt;/D&gt;&lt;D xsi:type="xsd:double"&gt;3.48157832924537&lt;/D&gt;&lt;D xsi:type="xsd:double"&gt;3.60504637788652&lt;/D&gt;&lt;D xsi:type="xsd:double"&gt;3.73607128298644&lt;/D&gt;&lt;D xsi:type="xsd:double"&gt;4.25127052701018&lt;/D&gt;&lt;D xsi:type="xsd:double"&gt;4.44418492272924&lt;/D&gt;&lt;D xsi:type="xsd:double"&gt;4.52734861411927&lt;/D&gt;&lt;D xsi:type="xsd:double"&gt;4.33857336364896&lt;/D&gt;&lt;D xsi:type="xsd:double"&gt;4.02050347833981&lt;/D&gt;&lt;D xsi:type="xsd:double"&gt;3.83920930883688&lt;/D&gt;&lt;D xsi:type="xsd:double"&gt;3.59718500521629&lt;/D&gt;&lt;D xsi:type="xsd:double"&gt;3.92549218977748&lt;/D&gt;&lt;D xsi:type="xsd:double"&gt;3.3330026689782&lt;/D&gt;&lt;D xsi:type="xsd:double"&gt;3.22914700079372&lt;/D&gt;&lt;D xsi:type="xsd:double"&gt;3.39222817552828&lt;/D&gt;&lt;D xsi:type="xsd:double"&gt;3.32721565268369&lt;/D&gt;&lt;D xsi:type="xsd:double"&gt;3.22260987338499&lt;/D&gt;&lt;D xsi:type="xsd:double"&gt;3.21138382481954&lt;/D&gt;&lt;D xsi:type="xsd:double"&gt;2.96284805263898&lt;/D&gt;&lt;D xsi:type="xsd:double"&gt;2.89992169042361&lt;/D&gt;&lt;D xsi:type="xsd:double"&gt;2.92213690943162&lt;/D&gt;&lt;D xsi:type="xsd:double"&gt;5.55550782701484&lt;/D&gt;&lt;D xsi:type="xsd:double"&gt;4.69853856107111&lt;/D&gt;&lt;D xsi:type="xsd:double"&gt;4.14364276016855&lt;/D&gt;&lt;D xsi:type="xsd:double"&gt;3.59812383993634&lt;/D&gt;&lt;D xsi:type="xsd:double"&gt;3.57912359655525&lt;/D&gt;&lt;D xsi:type="xsd:double"&gt;3.63332775954712&lt;/D&gt;&lt;D xsi:type="xsd:double"&gt;3.70597260302293&lt;/D&gt;&lt;D xsi:type="xsd:double"&gt;3.93479432950877&lt;/D&gt;&lt;D xsi:type="xsd:double"&gt;3.46180858916432&lt;/D&gt;&lt;D xsi:type="xsd:double"&gt;3.25032157105662&lt;/D&gt;&lt;D xsi:type="xsd:double"&gt;3.34845901936557&lt;/D&gt;&lt;D xsi:type="xsd:double"&gt;3.47755585275413&lt;/D&gt;&lt;D xsi:type="xsd:double"&gt;3.68358793151588&lt;/D&gt;&lt;D xsi:type="xsd:double"&gt;3.45621296972513&lt;/D&gt;&lt;D xsi:type="xsd:double"&gt;3.25384363897563&lt;/D&gt;&lt;D xsi:type="xsd:double"&gt;2.99967562282141&lt;/D&gt;&lt;D xsi:type="xsd:double"&gt;3.03162226756022&lt;/D&gt;&lt;D xsi:type="xsd:double"&gt;3.20621331064206&lt;/D&gt;&lt;D xsi:type="xsd:double"&gt;3.03383539285255&lt;/D&gt;&lt;D xsi:type="xsd:double"&gt;3.01579895654628&lt;/D&gt;&lt;D xsi:type="xsd:double"&gt;2.916379851242&lt;/D&gt;&lt;D xsi:type="xsd:double"&gt;3.20232503734418&lt;/D&gt;&lt;D xsi:type="xsd:double"&gt;3.09985943898752&lt;/D&gt;&lt;D xsi:type="xsd:double"&gt;2.91283617199925&lt;/D&gt;&lt;D xsi:type="xsd:double"&gt;3.08857185934652&lt;/D&gt;&lt;D xsi:type="xsd:double"&gt;3.05533519706436&lt;/D&gt;&lt;D xsi:type="xsd:double"&gt;3.58049157181227&lt;/D&gt;&lt;D xsi:type="xsd:double"&gt;4.11503139241426&lt;/D&gt;&lt;D xsi:type="xsd:double"&gt;4.20977143800085&lt;/D&gt;&lt;D xsi:type="xsd:double"&gt;3.93750819629587&lt;/D&gt;&lt;D xsi:type="xsd:double"&gt;4.73084142491273&lt;/D&gt;&lt;D xsi:type="xsd:double"&gt;4.33253055618274&lt;/D&gt;&lt;D xsi:type="xsd:double"&gt;4.49642695037671&lt;/D&gt;&lt;D xsi:type="xsd:double"&gt;4.46800286071666&lt;/D&gt;&lt;D xsi:type="xsd:double"&gt;4.36065502603739&lt;/D&gt;&lt;D xsi:type="xsd:double"&gt;3.91139272115104&lt;/D&gt;&lt;D xsi:type="xsd:double"&gt;4.35394793649123&lt;/D&gt;&lt;D xsi:type="xsd:double"&gt;4.10848452037422&lt;/D&gt;&lt;D xsi:type="xsd:double"&gt;3.87020606313046&lt;/D&gt;&lt;D xsi:type="xsd:double"&gt;3.91097165617111&lt;/D&gt;&lt;D xsi:type="xsd:double"&gt;3.96894784735976&lt;/D&gt;&lt;D xsi:type="xsd:double"&gt;4.40481930827868&lt;/D&gt;&lt;D xsi:type="xsd:double"&gt;4.60763682519232&lt;/D&gt;&lt;D xsi:type="xsd:double"&gt;5.08641330233946&lt;/D&gt;&lt;D xsi:type="xsd:double"&gt;4.43480574024222&lt;/D&gt;&lt;D xsi:type="xsd:double"&gt;4.55107898592213&lt;/D&gt;&lt;D xsi:type="xsd:double"&gt;4.58870080348012&lt;/D&gt;&lt;D xsi:type="xsd:double"&gt;4.54634489231158&lt;/D&gt;&lt;D xsi:type="xsd:double"&gt;4.97161419314605&lt;/D&gt;&lt;D xsi:type="xsd:double"&gt;5.10957478266198&lt;/D&gt;&lt;D xsi:type="xsd:double"&gt;5.24071253581874&lt;/D&gt;&lt;/FQL&gt;&lt;FQL&gt;&lt;Q&gt;QAT^FMA_PE(NTMA,-10AY,0,AM,"PORTAGG","MEANR")&lt;/Q&gt;&lt;R&gt;121&lt;/R&gt;&lt;C&gt;1&lt;/C&gt;&lt;D xsi:type="xsd:string"&gt;@NA&lt;/D&gt;&lt;D xsi:type="xsd:double"&gt;14.9827234006951&lt;/D&gt;&lt;D xsi:type="xsd:double"&gt;15.580488739485&lt;/D&gt;&lt;D xsi:type="xsd:double"&gt;16.1720399489386&lt;/D&gt;&lt;D xsi:type="xsd:double"&gt;15.6915388459342&lt;/D&gt;&lt;D xsi:type="xsd:double"&gt;15.151993157262&lt;/D&gt;&lt;D xsi:type="xsd:double"&gt;15.2194513655899&lt;/D&gt;&lt;D xsi:type="xsd:double"&gt;13.3169159578194&lt;/D&gt;&lt;D xsi:type="xsd:double"&gt;13.1290365064061&lt;/D&gt;&lt;D xsi:type="xsd:double"&gt;14.0092907989567&lt;/D&gt;&lt;D xsi:type="xsd:double"&gt;12.9211453227707&lt;/D&gt;&lt;D xsi:type="xsd:double"&gt;13.4224501223119&lt;/D&gt;&lt;D xsi:type="xsd:double"&gt;13.5281797946054&lt;/D&gt;&lt;D xsi:type="xsd:double"&gt;13.1695293233093&lt;/D&gt;&lt;D xsi:type="xsd:double"&gt;13.2948176525756&lt;/D&gt;&lt;D xsi:type="xsd:double"&gt;12.5147089020046&lt;/D&gt;&lt;D xsi:type="xsd:double"&gt;12.6563698603364&lt;/D&gt;&lt;D xsi:type="xsd:double"&gt;12.6892612896651&lt;/D&gt;&lt;D xsi:type="xsd:double"&gt;11.7390639587419&lt;/D&gt;&lt;D xsi:type="xsd:double"&gt;10.3748295305031&lt;/D&gt;&lt;D xsi:type="xsd:double"&gt;9.72203114483085&lt;/D&gt;&lt;D xsi:type="xsd:double"&gt;11.6246545282018&lt;/D&gt;&lt;D xsi:type="xsd:double"&gt;12.2006461966124&lt;/D&gt;&lt;D xsi:type="xsd:double"&gt;12.3328187929584&lt;/D&gt;&lt;D xsi:type="xsd:double"&gt;11.3146271321541&lt;/D&gt;&lt;D xsi:type="xsd:double"&gt;11.9525037375563&lt;/D&gt;&lt;D xsi:type="xsd:double"&gt;12.4953598265136&lt;/D&gt;&lt;D xsi:type="xsd:double"&gt;13.4177338026625&lt;/D&gt;&lt;D xsi:type="xsd:double"&gt;12.7162047800451&lt;/D&gt;&lt;D xsi:type="xsd:double"&gt;12.9611271706079&lt;/D&gt;&lt;D xsi:type="xsd:double"&gt;12.0437006216089&lt;/D&gt;&lt;D xsi:type="xsd:double"&gt;13.2485676198167&lt;/D&gt;&lt;D xsi:type="xsd:double"&gt;13.8865534502992&lt;/D&gt;&lt;D xsi:type="xsd:double"&gt;13.4955998226241&lt;/D&gt;&lt;D xsi:type="xsd:double"&gt;12.9009647848188&lt;/D&gt;&lt;D xsi:type="xsd:double"&gt;12.9384202703653&lt;/D&gt;&lt;D xsi:type="xsd:double"&gt;13.0938734275139&lt;/D&gt;&lt;D xsi:type="xsd:double"&gt;12.2525733997439&lt;/D&gt;&lt;D xsi:type="xsd:double"&gt;12.5160823098455&lt;/D&gt;&lt;D xsi:type="xsd:double"&gt;11.9603012765896&lt;/D&gt;&lt;D xsi:type="xsd:double"&gt;10.8845360212123&lt;/D&gt;&lt;D xsi:type="xsd:double"&gt;10.7375608183305&lt;/D&gt;&lt;D xsi:type="xsd:double"&gt;10.793737098287&lt;/D&gt;&lt;D xsi:type="xsd:double"&gt;11.9413038128528&lt;/D&gt;&lt;D xsi:type="xsd:double"&gt;12.2020341822845&lt;/D&gt;&lt;D xsi:type="xsd:double"&gt;11.732650817501&lt;/D&gt;&lt;D xsi:type="xsd:double"&gt;11.3064119675106&lt;/D&gt;&lt;D xsi:type="xsd:double"&gt;11.6986472667083&lt;/D&gt;&lt;D xsi:type="xsd:double"&gt;11.3728117284196&lt;/D&gt;&lt;D xsi:type="xsd:double"&gt;11.0941183879668&lt;/D&gt;&lt;D xsi:type="xsd:double"&gt;11.6341746461396&lt;/D&gt;&lt;D xsi:type="xsd:double"&gt;12.0060996658262&lt;/D&gt;&lt;D xsi:type="xsd:double"&gt;12.255820967757&lt;/D&gt;&lt;D xsi:type="xsd:double"&gt;12.8614984240044&lt;/D&gt;&lt;D xsi:type="xsd:double"&gt;12.9233998182613&lt;/D&gt;&lt;D xsi:type="xsd:double"&gt;13.0034842034088&lt;/D&gt;&lt;D xsi:type="xsd:double"&gt;13.3307347797762&lt;/D&gt;&lt;D xsi:type="xsd:double"&gt;12.5874362923282&lt;/D&gt;&lt;D xsi:type="xsd:double"&gt;12.3537194711208&lt;/D&gt;&lt;D xsi:type="xsd:double"&gt;13.1407956887302&lt;/D&gt;&lt;D xsi:type="xsd:double"&gt;11.9566495538715&lt;/D&gt;&lt;D xsi:type="xsd:double"&gt;13.4568487175799&lt;/D&gt;&lt;D xsi:type="xsd:double"&gt;13.2824964427986&lt;/D&gt;&lt;D xsi:type="xsd:double"&gt;12.6594396540918&lt;/D&gt;&lt;D xsi:type="xsd:double"&gt;13.3417573633743&lt;/D&gt;&lt;D xsi:type="xsd:double"&gt;13.5961905394928&lt;/D&gt;&lt;D xsi:type="xsd:double"&gt;13.1895959084416&lt;/D&gt;&lt;D xsi:type="xsd:double"&gt;13.9578113797004&lt;/D&gt;&lt;D xsi:type="xsd:double"&gt;14.0248027125608&lt;/D&gt;&lt;D xsi:type="xsd:double"&gt;13.1957427624765&lt;/D&gt;&lt;D xsi:type="xsd:double"&gt;11.306047033267&lt;/D&gt;&lt;D xsi:type="xsd:double"&gt;12.4413235502886&lt;/D&gt;&lt;D xsi:type="xsd:double"&gt;13.873333531957&lt;/D&gt;&lt;D xsi:type="xsd:double"&gt;14.6222102637827&lt;/D&gt;&lt;D xsi:type="xsd:double"&gt;15.1656058318511&lt;/D&gt;&lt;D xsi:type="xsd:double"&gt;15.6971385447815&lt;/D&gt;&lt;D xsi:type="xsd:double"&gt;14.9069911695621&lt;/D&gt;&lt;D xsi:type="xsd:double"&gt;15.3161375258465&lt;/D&gt;&lt;D xsi:type="xsd:double"&gt;15.3115120599043&lt;/D&gt;&lt;D xsi:type="xsd:double"&gt;14.2374899939166&lt;/D&gt;&lt;D xsi:type="xsd:double"&gt;14.267755918221&lt;/D&gt;&lt;D xsi:type="xsd:double"&gt;13.1889784601355&lt;/D&gt;&lt;D xsi:type="xsd:double"&gt;13.3862100240834&lt;/D&gt;&lt;D xsi:type="xsd:double"&gt;13.9816061564585&lt;/D&gt;&lt;D xsi:type="xsd:double"&gt;13.7383373437276&lt;/D&gt;&lt;D xsi:type="xsd:double"&gt;13.6825084843541&lt;/D&gt;&lt;D xsi:type="xsd:double"&gt;12.996765941314&lt;/D&gt;&lt;D xsi:type="xsd:double"&gt;13.5124834552067&lt;/D&gt;&lt;D xsi:type="xsd:double"&gt;13.2774631283973&lt;/D&gt;&lt;D xsi:type="xsd:double"&gt;13.7352320280211&lt;/D&gt;&lt;D xsi:type="xsd:double"&gt;13.4119842956816&lt;/D&gt;&lt;D xsi:type="xsd:double"&gt;13.1211950483692&lt;/D&gt;&lt;D xsi:type="xsd:double"&gt;13.6919555171724&lt;/D&gt;&lt;D xsi:type="xsd:double"&gt;13.7078993045763&lt;/D&gt;&lt;D xsi:type="xsd:double"&gt;14.1735986135075&lt;/D&gt;&lt;D xsi:type="xsd:double"&gt;14.077704499897&lt;/D&gt;&lt;D xsi:type="xsd:double"&gt;12.7614063354687&lt;/D&gt;&lt;D xsi:type="xsd:double"&gt;11.7876807873369&lt;/D&gt;&lt;D xsi:type="xsd:double"&gt;13.0247327802185&lt;/D&gt;&lt;D xsi:type="xsd:double"&gt;13.4415889473248&lt;/D&gt;&lt;D xsi:type="xsd:double"&gt;12.6284360771093&lt;/D&gt;&lt;D xsi:type="xsd:double"&gt;12.6058982678765&lt;/D&gt;&lt;D xsi:type="xsd:double"&gt;12.4091518784466&lt;/D&gt;&lt;D xsi:type="xsd:double"&gt;11.4259312697858&lt;/D&gt;&lt;D xsi:type="xsd:double"&gt;11.6043783328239&lt;/D&gt;&lt;D xsi:type="xsd:double"&gt;11.0010548386&lt;/D&gt;&lt;D xsi:type="xsd:double"&gt;10.5908013587246&lt;/D&gt;&lt;D xsi:type="xsd:double"&gt;10.4668078281409&lt;/D&gt;&lt;D xsi:type="xsd:double"&gt;11.252211343094&lt;/D&gt;&lt;D xsi:type="xsd:double"&gt;11.0271506523173&lt;/D&gt;&lt;D xsi:type="xsd:double"&gt;11.3940409705686&lt;/D&gt;&lt;D xsi:type="xsd:double"&gt;11.1196841703354&lt;/D&gt;&lt;D xsi:type="xsd:double"&gt;10.89091049159&lt;/D&gt;&lt;D xsi:type="xsd:double"&gt;10.2511692602021&lt;/D&gt;&lt;D xsi:type="xsd:double"&gt;10.678574735704&lt;/D&gt;&lt;D xsi:type="xsd:double"&gt;10.6289552454553&lt;/D&gt;&lt;D xsi:type="xsd:double"&gt;10.7185082474702&lt;/D&gt;&lt;D xsi:type="xsd:double"&gt;10.5309275478562&lt;/D&gt;&lt;D xsi:type="xsd:double"&gt;10.5190688359522&lt;/D&gt;&lt;D xsi:type="xsd:double"&gt;10.005740221625&lt;/D&gt;&lt;D xsi:type="xsd:double"&gt;9.88963796776014&lt;/D&gt;&lt;/FQL&gt;&lt;FQL&gt;&lt;Q&gt;PASP-FDS^FG_PRICE_CHANGE(0,-1AM)&lt;/Q&gt;&lt;R&gt;1&lt;/R&gt;&lt;C&gt;1&lt;/C&gt;&lt;D xsi:type="xsd:double"&gt;-0.990099009900991&lt;/D&gt;&lt;/FQL&gt;&lt;FQL&gt;&lt;Q&gt;CPALM-FDS^MAX(FG_PRICE(0,-5AY))&lt;/Q&gt;&lt;R&gt;1&lt;/R&gt;&lt;C&gt;1&lt;/C&gt;&lt;D xsi:type="xsd:double"&gt;8163&lt;/D&gt;&lt;/FQL&gt;&lt;FQL&gt;&lt;Q&gt;UAE^FG_PRICE_MAVG(0,,,,30)&lt;/Q&gt;&lt;R&gt;1&lt;/R&gt;&lt;C&gt;1&lt;/C&gt;&lt;D xsi:type="xsd:double"&gt;14.44383&lt;/D&gt;&lt;/FQL&gt;&lt;FQL&gt;&lt;Q&gt;INDA^FG_PRICE_MAVG(0,,,,60)&lt;/Q&gt;&lt;R&gt;1&lt;/R&gt;&lt;C&gt;1&lt;/C&gt;&lt;D xsi:type="xsd:double"&gt;51.799&lt;/D&gt;&lt;/FQL&gt;&lt;FQL&gt;&lt;Q&gt;SET-BKK^FMA_COS_DOWN("EPS","1M",+1,NOW,,,"PORTAGG","MEANR")&lt;/Q&gt;&lt;R&gt;1&lt;/R&gt;&lt;C&gt;1&lt;/C&gt;&lt;D xsi:type="xsd:double"&gt;93&lt;/D&gt;&lt;/FQL&gt;&lt;FQL&gt;&lt;Q&gt;EPOL^SIZE(FG_CONSTITUENTS)&lt;/Q&gt;&lt;R&gt;1&lt;/R&gt;&lt;C&gt;1&lt;/C&gt;&lt;D xsi:type="xsd:long"&gt;34&lt;/D&gt;&lt;/FQL&gt;&lt;FQL&gt;&lt;Q&gt;CNYA^FMA_RBICS_REV_CURRENT(30, LOC, "PORTAGG")&lt;/Q&gt;&lt;R&gt;1&lt;/R&gt;&lt;C&gt;1&lt;/C&gt;&lt;D xsi:type="xsd:double"&gt;20.1955514594949&lt;/D&gt;&lt;/FQL&gt;&lt;FQL&gt;&lt;Q&gt;REFZAREPO-FDS^(SUBARRAY(NOT_NA(NO_REPEAT_F(FG_YIELD(NOW,-10AY,D))),0,1)-SUBARRAY(NOT_NA(NO_REPEAT_F(FG_YIELD(NOW,-10AY,D))),1,1))*100&lt;/Q&gt;&lt;R&gt;1&lt;/R&gt;&lt;C&gt;1&lt;/C&gt;&lt;D xsi:type="xsd:double"&gt;50&lt;/D&gt;&lt;/FQL&gt;&lt;FQL&gt;&lt;Q&gt;UAE^FMA_EVAL_EBIT(LTMA,NOW,NOW,M,"PORTAGG","MEANR")&lt;/Q&gt;&lt;R&gt;1&lt;/R&gt;&lt;C&gt;1&lt;/C&gt;&lt;D xsi:type="xsd:double"&gt;9.96536689307681&lt;/D&gt;&lt;/FQL&gt;&lt;FQL&gt;&lt;Q&gt;SET-BKK^FMA_DIV_YLD(NTMA,NOW,NOW,M,"PORTAGG","MEANR")&lt;/Q&gt;&lt;R&gt;1&lt;/R&gt;&lt;C&gt;1&lt;/C&gt;&lt;D xsi:type="xsd:double"&gt;3.62771385541944&lt;/D&gt;&lt;/FQL&gt;&lt;FQL&gt;&lt;Q&gt;EZA^FG_FCF_YIELD_NTM(0)&lt;/Q&gt;&lt;R&gt;1&lt;/R&gt;&lt;C&gt;1&lt;/C&gt;&lt;D xsi:type="xsd:double"&gt;6.14527183480466&lt;/D&gt;&lt;/FQL&gt;&lt;FQL&gt;&lt;Q&gt;EWY^FMA_PE(LTM,0,,,"PORTAGG","MEANR")&lt;/Q&gt;&lt;R&gt;1&lt;/R&gt;&lt;C&gt;1&lt;/C&gt;&lt;D xsi:type="xsd:double"&gt;17.0024103961071&lt;/D&gt;&lt;/FQL&gt;&lt;FQL&gt;&lt;Q&gt;EWM^FMA_EVAL_EBITDA(NTMA,0,,,"PORTAGG","MEANR")&lt;/Q&gt;&lt;R&gt;1&lt;/R&gt;&lt;C&gt;1&lt;/C&gt;&lt;D xsi:type="xsd:double"&gt;9.07141400119819&lt;/D&gt;&lt;/FQL&gt;&lt;FQL&gt;&lt;Q&gt;EPOL^FMA_PE(LTM,0,,,"PORTAGG","MEANR")&lt;/Q&gt;&lt;R&gt;1&lt;/R&gt;&lt;C&gt;1&lt;/C&gt;&lt;D xsi:type="xsd:double"&gt;7.60590710445043&lt;/D&gt;&lt;/FQL&gt;&lt;FQL&gt;&lt;Q&gt;TRYVN10Y-FDS^FG_YIELD(-10AY,0,Y,,"YTM")&lt;/Q&gt;&lt;R&gt;10&lt;/R&gt;&lt;C&gt;1&lt;/C&gt;&lt;D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xsi:type="xsd:double"&gt;2.9473283&lt;/D&gt;&lt;/FQL&gt;&lt;FQL&gt;&lt;Q&gt;CAGDPY@ID^EE_ACTUAL_ANNUAL(MED,+1)&lt;/Q&gt;&lt;R&gt;1&lt;/R&gt;&lt;C&gt;1&lt;/C&gt;&lt;D xsi:type="xsd:double"&gt;-0.5&lt;/D&gt;&lt;/FQL&gt;&lt;FQL&gt;&lt;Q&gt;USDAED^STD(FG_PRICE_CHANGE(0,-1AY,AM))&lt;/Q&gt;&lt;R&gt;1&lt;/R&gt;&lt;C&gt;1&lt;/C&gt;&lt;D xsi:type="xsd:double"&gt;0.0110656215814481&lt;/D&gt;&lt;/FQL&gt;&lt;FQL&gt;&lt;Q&gt;USDTHB^FG_PRICE_CHANGE(0,-1AY)&lt;/Q&gt;&lt;R&gt;1&lt;/R&gt;&lt;C&gt;1&lt;/C&gt;&lt;D xsi:type="xsd:double"&gt;5.3272724&lt;/D&gt;&lt;/FQL&gt;&lt;FQL&gt;&lt;Q&gt;USDBRL^STD(FG_PRICE_CHANGE(0,-1AY,AM))&lt;/Q&gt;&lt;R&gt;1&lt;/R&gt;&lt;C&gt;1&lt;/C&gt;&lt;D xsi:type="xsd:double"&gt;2.03350752123853&lt;/D&gt;&lt;/FQL&gt;&lt;FQL&gt;&lt;Q&gt;USDMXN^FG_PRICE_CHANGE(0,-1AY)&lt;/Q&gt;&lt;R&gt;1&lt;/R&gt;&lt;C&gt;1&lt;/C&gt;&lt;D xsi:type="xsd:double"&gt;-6.9720864&lt;/D&gt;&lt;/FQL&gt;&lt;FQL&gt;&lt;Q&gt;USDPEN^STD(FG_PRICE_CHANGE(0,-1AY,AM))&lt;/Q&gt;&lt;R&gt;1&lt;/R&gt;&lt;C&gt;1&lt;/C&gt;&lt;D xsi:type="xsd:double"&gt;2.25687360576079&lt;/D&gt;&lt;/FQL&gt;&lt;FQL&gt;&lt;Q&gt;EPU^FMA_EPS(NTMA,-20AY,0,CY,,"PORTAGG","MEANR")&lt;/Q&gt;&lt;R&gt;20&lt;/R&gt;&lt;C&gt;1&lt;/C&gt;&lt;D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xsi:type="xsd:double"&gt;2.43807409059732&lt;/D&gt;&lt;D xsi:type="xsd:double"&gt;2.41141007545713&lt;/D&gt;&lt;D xsi:type="xsd:double"&gt;2.94854993669394&lt;/D&gt;&lt;D xsi:type="xsd:double"&gt;3.11609678108668&lt;/D&gt;&lt;D xsi:type="xsd:double"&gt;2.96006706365419&lt;/D&gt;&lt;/FQL&gt;&lt;FQL&gt;&lt;Q&gt;EWW^P_PRICE_RETURNS_PR('52W',2,-10AY,0,AM)&lt;/Q&gt;&lt;R&gt;121&lt;/R&gt;&lt;C&gt;1&lt;/C&gt;&lt;D xsi:type="xsd:double"&gt;0.22287369&lt;/D&gt;&lt;D xsi:type="xsd:double"&gt;15.881002&lt;/D&gt;&lt;D xsi:type="xsd:double"&gt;5.4944515&lt;/D&gt;&lt;D xsi:type="xsd:double"&gt;11.632824&lt;/D&gt;&lt;D xsi:type="xsd:double"&gt;5.0480723&lt;/D&gt;&lt;D xsi:type="xsd:double"&gt;3.3637166&lt;/D&gt;&lt;D xsi:type="xsd:double"&gt;4.701054&lt;/D&gt;&lt;D xsi:type="xsd:double"&gt;-11.09274&lt;/D&gt;&lt;D xsi:type="xsd:double"&gt;-5.395693&lt;/D&gt;&lt;D xsi:type="xsd:double"&gt;-3.4720898&lt;/D&gt;&lt;D xsi:type="xsd:double"&gt;-3.854996&lt;/D&gt;&lt;D xsi:type="xsd:double"&gt;-4.220706&lt;/D&gt;&lt;D xsi:type="xsd:double"&gt;-10.370546&lt;/D&gt;&lt;D xsi:type="xsd:double"&gt;-11.790257&lt;/D&gt;&lt;D xsi:type="xsd:double"&gt;-19.028973&lt;/D&gt;&lt;D xsi:type="xsd:double"&gt;-28.284842&lt;/D&gt;&lt;D xsi:type="xsd:double"&gt;-24.684858&lt;/D&gt;&lt;D xsi:type="xsd:double"&gt;-15.585661&lt;/D&gt;&lt;D xsi:type="xsd:double"&gt;-16.589361&lt;/D&gt;&lt;D xsi:type="xsd:double"&gt;-12.131101&lt;/D&gt;&lt;D xsi:type="xsd:double"&gt;-22.847832&lt;/D&gt;&lt;D xsi:type="xsd:double"&gt;-17.235786&lt;/D&gt;&lt;D xsi:type="xsd:double"&gt;-9.9939165&lt;/D&gt;&lt;D xsi:type="xsd:double"&gt;-8.511215&lt;/D&gt;&lt;D xsi:type="xsd:double"&gt;-14.627248&lt;/D&gt;&lt;D xsi:type="xsd:double"&gt;-11.461723&lt;/D&gt;&lt;D xsi:type="xsd:double"&gt;-5.6902647&lt;/D&gt;&lt;D xsi:type="xsd:double"&gt;4.351032&lt;/D&gt;&lt;D xsi:type="xsd:double"&gt;-4.158288&lt;/D&gt;&lt;D xsi:type="xsd:double"&gt;-1.850754&lt;/D&gt;&lt;D xsi:type="xsd:double"&gt;-18.7796&lt;/D&gt;&lt;D xsi:type="xsd:double"&gt;-12.637985&lt;/D&gt;&lt;D xsi:type="xsd:double"&gt;-2.078396&lt;/D&gt;&lt;D xsi:type="xsd:double"&gt;0.73595047&lt;/D&gt;&lt;D xsi:type="xsd:double"&gt;-1.7012596&lt;/D&gt;&lt;D xsi:type="xsd:double"&gt;-1.4023542&lt;/D&gt;&lt;D xsi:type="xsd:double"&gt;6.94679&lt;/D&gt;&lt;D xsi:type="xsd:double"&gt;7.274294&lt;/D&gt;&lt;D xsi:type="xsd:double"&gt;14.018154&lt;/D&gt;&lt;D xsi:type="xsd:double"&gt;13.253296&lt;/D&gt;&lt;D xsi:type="xsd:double"&gt;16.769707&lt;/D&gt;&lt;D xsi:type="xsd:double"&gt;0.39303303&lt;/D&gt;&lt;D xsi:type="xsd:double"&gt;20.109058&lt;/D&gt;&lt;D xsi:type="xsd:double"&gt;13.713276&lt;/D&gt;&lt;D xsi:type="xsd:double"&gt;22.395206&lt;/D&gt;&lt;D xsi:type="xsd:double"&gt;11.794448&lt;/D&gt;&lt;D xsi:type="xsd:double"&gt;0.53344965&lt;/D&gt;&lt;D xsi:type="xsd:double"&gt;1.6266227&lt;/D&gt;&lt;D xsi:type="xsd:double"&gt;-8.40404&lt;/D&gt;&lt;D xsi:type="xsd:double"&gt;-11.7899475&lt;/D&gt;&lt;D xsi:type="xsd:double"&gt;-9.360057&lt;/D&gt;&lt;D xsi:type="xsd:double"&gt;-8.834201&lt;/D&gt;&lt;D xsi:type="xsd:double"&gt;-6.3700857&lt;/D&gt;&lt;D xsi:type="xsd:double"&gt;-7.2719216&lt;/D&gt;&lt;D xsi:type="xsd:double"&gt;-20.96647&lt;/D&gt;&lt;D xsi:type="xsd:double"&gt;-15.165025&lt;/D&gt;&lt;D xsi:type="xsd:double"&gt;-13.026846&lt;/D&gt;&lt;D xsi:type="xsd:double"&gt;-12.030005&lt;/D&gt;&lt;D xsi:type="xsd:double"&gt;-12.79065&lt;/D&gt;&lt;D xsi:type="xsd:double"&gt;-6.7069235&lt;/D&gt;&lt;D xsi:type="xsd:double"&gt;-3.7614346&lt;/D&gt;&lt;D xsi:type="xsd:double"&gt;0.9032607&lt;/D&gt;&lt;D xsi:type="xsd:double"&gt;-16.040493&lt;/D&gt;&lt;D xsi:type="xsd:double"&gt;-21.3368&lt;/D&gt;&lt;D xsi:type="xsd:double"&gt;-11.939108&lt;/D&gt;&lt;D xsi:type="xsd:double"&gt;-0.8865297&lt;/D&gt;&lt;D xsi:type="xsd:double"&gt;13.47431&lt;/D&gt;&lt;D xsi:type="xsd:double"&gt;16.386831&lt;/D&gt;&lt;D xsi:type="xsd:double"&gt;9.278393&lt;/D&gt;&lt;D xsi:type="xsd:double"&gt;8.697832&lt;/D&gt;&lt;D xsi:type="xsd:double"&gt;-40.24133&lt;/D&gt;&lt;D xsi:type="xsd:double"&gt;-41.163765&lt;/D&gt;&lt;D xsi:type="xsd:double"&gt;-28.85524&lt;/D&gt;&lt;D xsi:type="xsd:double"&gt;-23.569458&lt;/D&gt;&lt;D xsi:type="xsd:double"&gt;-20.28538&lt;/D&gt;&lt;D xsi:type="xsd:double"&gt;-13.358492&lt;/D&gt;&lt;D xsi:type="xsd:double"&gt;-27.347343&lt;/D&gt;&lt;D xsi:type="xsd:double"&gt;-17.449492&lt;/D&gt;&lt;D xsi:type="xsd:double"&gt;-6.437719&lt;/D&gt;&lt;D xsi:type="xsd:double"&gt;-6.4561186&lt;/D&gt;&lt;D xsi:type="xsd:double"&gt;-8.678638&lt;/D&gt;&lt;D xsi:type="xsd:double"&gt;-8.693457&lt;/D&gt;&lt;D xsi:type="xsd:double"&gt;73.3803&lt;/D&gt;&lt;D xsi:type="xsd:double"&gt;80.22151&lt;/D&gt;&lt;D xsi:type="xsd:double"&gt;59.706177&lt;/D&gt;&lt;D xsi:type="xsd:double"&gt;45.54113&lt;/D&gt;&lt;D xsi:type="xsd:double"&gt;50.271606&lt;/D&gt;&lt;D xsi:type="xsd:double"&gt;47.815918&lt;/D&gt;&lt;D xsi:type="xsd:double"&gt;62.359035&lt;/D&gt;&lt;D xsi:type="xsd:double"&gt;39.460217&lt;/D&gt;&lt;D xsi:type="xsd:double"&gt;15.835929&lt;/D&gt;&lt;D xsi:type="xsd:double"&gt;20.794308&lt;/D&gt;&lt;D xsi:type="xsd:double"&gt;15.0813465&lt;/D&gt;&lt;D xsi:type="xsd:double"&gt;20.136536&lt;/D&gt;&lt;D xsi:type="xsd:double"&gt;25.732363&lt;/D&gt;&lt;D xsi:type="xsd:double"&gt;12.073076&lt;/D&gt;&lt;D xsi:type="xsd:double"&gt;9.142197&lt;/D&gt;&lt;D xsi:type="xsd:double"&gt;-0.8472562&lt;/D&gt;&lt;D xsi:type="xsd:double"&gt;-1.895392&lt;/D&gt;&lt;D xsi:type="xsd:double"&gt;-0.9585619&lt;/D&gt;&lt;D xsi:type="xsd:double"&gt;-7.080972&lt;/D&gt;&lt;D xsi:type="xsd:double"&gt;-1.1742294&lt;/D&gt;&lt;D xsi:type="xsd:double"&gt;19.792044&lt;/D&gt;&lt;D xsi:type="xsd:double"&gt;8.218945&lt;/D&gt;&lt;D xsi:type="xsd:double"&gt;21.659779&lt;/D&gt;&lt;D xsi:type="xsd:double"&gt;21.450256&lt;/D&gt;&lt;D xsi:type="xsd:double"&gt;11.056482&lt;/D&gt;&lt;D xsi:type="xsd:double"&gt;20.054615&lt;/D&gt;&lt;D xsi:type="xsd:double"&gt;19.596148&lt;/D&gt;&lt;D xsi:type="xsd:double"&gt;38.736298&lt;/D&gt;&lt;D xsi:type="xsd:double"&gt;42.5874&lt;/D&gt;&lt;D xsi:type="xsd:double"&gt;37.50534&lt;/D&gt;&lt;D xsi:type="xsd:double"&gt;33.178234&lt;/D&gt;&lt;D xsi:type="xsd:double"&gt;15.613258&lt;/D&gt;&lt;D xsi:type="xsd:double"&gt;19.20991&lt;/D&gt;&lt;D xsi:type="xsd:double"&gt;36.574543&lt;/D&gt;&lt;D xsi:type="xsd:double"&gt;14.363074&lt;/D&gt;&lt;D xsi:type="xsd:double"&gt;17.867744&lt;/D&gt;&lt;D xsi:type="xsd:double"&gt;22.565067&lt;/D&gt;&lt;D xsi:type="xsd:double"&gt;13.454413&lt;/D&gt;&lt;D xsi:type="xsd:double"&gt;15.479195&lt;/D&gt;&lt;/FQL&gt;&lt;FQL&gt;&lt;Q&gt;TUR^FMA_PE(LTMA,-10AY,0,AM,"PORTAGG","MEANR")&lt;/Q&gt;&lt;R&gt;121&lt;/R&gt;&lt;C&gt;1&lt;/C&gt;&lt;D xsi:type="xsd:double"&gt;10.168700882157&lt;/D&gt;&lt;D xsi:type="xsd:double"&gt;10.3473850380612&lt;/D&gt;&lt;D xsi:type="xsd:double"&gt;10.8184271601283&lt;/D&gt;&lt;D xsi:type="xsd:double"&gt;10.5361794108983&lt;/D&gt;&lt;D xsi:type="xsd:double"&gt;10.4731476255138&lt;/D&gt;&lt;D xsi:type="xsd:double"&gt;10.8599598231615&lt;/D&gt;&lt;D xsi:type="xsd:double"&gt;11.495754297262&lt;/D&gt;&lt;D xsi:type="xsd:double"&gt;11.6881546455511&lt;/D&gt;&lt;D xsi:type="xsd:double"&gt;12.845126859634&lt;/D&gt;&lt;D xsi:type="xsd:double"&gt;12.2376251562057&lt;/D&gt;&lt;D xsi:type="xsd:double"&gt;11.8302155433566&lt;/D&gt;&lt;D xsi:type="xsd:double"&gt;11.7178500628643&lt;/D&gt;&lt;D xsi:type="xsd:double"&gt;11.7942020869806&lt;/D&gt;&lt;D xsi:type="xsd:double"&gt;11.6247856992508&lt;/D&gt;&lt;D xsi:type="xsd:double"&gt;11.1433588476846&lt;/D&gt;&lt;D xsi:type="xsd:double"&gt;10.6356696474264&lt;/D&gt;&lt;D xsi:type="xsd:double"&gt;10.5793195009302&lt;/D&gt;&lt;D xsi:type="xsd:double"&gt;11.1420396393769&lt;/D&gt;&lt;D xsi:type="xsd:double"&gt;11.1784202714998&lt;/D&gt;&lt;D xsi:type="xsd:double"&gt;10.0631834004883&lt;/D&gt;&lt;D xsi:type="xsd:double"&gt;9.48632049977115&lt;/D&gt;&lt;D xsi:type="xsd:double"&gt;9.85416928080369&lt;/D&gt;&lt;D xsi:type="xsd:double"&gt;9.79925604785559&lt;/D&gt;&lt;D xsi:type="xsd:double"&gt;9.91477072194727&lt;/D&gt;&lt;D xsi:type="xsd:double"&gt;9.52599184051754&lt;/D&gt;&lt;D xsi:type="xsd:double"&gt;9.53636103639556&lt;/D&gt;&lt;D xsi:type="xsd:double"&gt;9.08646313578386&lt;/D&gt;&lt;D xsi:type="xsd:double"&gt;9.54839209631498&lt;/D&gt;&lt;D xsi:type="xsd:double"&gt;9.67716038414828&lt;/D&gt;&lt;D xsi:type="xsd:double"&gt;9.396470807109&lt;/D&gt;&lt;D xsi:type="xsd:double"&gt;8.89248723507006&lt;/D&gt;&lt;D xsi:type="xsd:double"&gt;8.9209018809034&lt;/D&gt;&lt;D xsi:type="xsd:double"&gt;9.46051161198493&lt;/D&gt;&lt;D xsi:type="xsd:double"&gt;10.0411502749019&lt;/D&gt;&lt;D xsi:type="xsd:double"&gt;9.79427264498969&lt;/D&gt;&lt;D xsi:type="xsd:double"&gt;9.73814498982257&lt;/D&gt;&lt;D xsi:type="xsd:double"&gt;9.7583727048138&lt;/D&gt;&lt;D xsi:type="xsd:double"&gt;9.69178845880834&lt;/D&gt;&lt;D xsi:type="xsd:double"&gt;9.81059716549172&lt;/D&gt;&lt;D xsi:type="xsd:double"&gt;9.55426108744075&lt;/D&gt;&lt;D xsi:type="xsd:double"&gt;9.17359653968626&lt;/D&gt;&lt;D xsi:type="xsd:double"&gt;9.14472491872504&lt;/D&gt;&lt;D xsi:type="xsd:double"&gt;8.7274363126993&lt;/D&gt;&lt;D xsi:type="xsd:double"&gt;8.77265630611145&lt;/D&gt;&lt;D xsi:type="xsd:double"&gt;9.15536246850695&lt;/D&gt;&lt;D xsi:type="xsd:double"&gt;9.14280743787811&lt;/D&gt;&lt;D xsi:type="xsd:double"&gt;9.10654240786224&lt;/D&gt;&lt;D xsi:type="xsd:double"&gt;8.87889566951651&lt;/D&gt;&lt;D xsi:type="xsd:double"&gt;8.47807417351538&lt;/D&gt;&lt;D xsi:type="xsd:double"&gt;8.14099067646884&lt;/D&gt;&lt;D xsi:type="xsd:double"&gt;7.84561370385397&lt;/D&gt;&lt;D xsi:type="xsd:double"&gt;7.35509358890263&lt;/D&gt;&lt;D xsi:type="xsd:double"&gt;7.61324878179186&lt;/D&gt;&lt;D xsi:type="xsd:double"&gt;7.20866939231172&lt;/D&gt;&lt;D xsi:type="xsd:double"&gt;6.73778891392335&lt;/D&gt;&lt;D xsi:type="xsd:double"&gt;6.63594450061381&lt;/D&gt;&lt;D xsi:type="xsd:double"&gt;7.29307683799075&lt;/D&gt;&lt;D xsi:type="xsd:double"&gt;7.30678700914595&lt;/D&gt;&lt;D xsi:type="xsd:double"&gt;7.39973448696281&lt;/D&gt;&lt;D xsi:type="xsd:double"&gt;7.20780488085513&lt;/D&gt;&lt;D xsi:type="xsd:double"&gt;6.89281050785609&lt;/D&gt;&lt;D xsi:type="xsd:double"&gt;7.22324152721781&lt;/D&gt;&lt;D xsi:type="xsd:double"&gt;7.57845661147557&lt;/D&gt;&lt;D xsi:type="xsd:double"&gt;7.55445933356857&lt;/D&gt;&lt;D xsi:type="xsd:double"&gt;7.58221369973841&lt;/D&gt;&lt;D xsi:type="xsd:double"&gt;7.63576813844785&lt;/D&gt;&lt;D xsi:type="xsd:double"&gt;8.30597392158882&lt;/D&gt;&lt;D xsi:type="xsd:double"&gt;8.96338035830265&lt;/D&gt;&lt;D xsi:type="xsd:double"&gt;9.54011099146393&lt;/D&gt;&lt;D xsi:type="xsd:double"&gt;8.97157662362499&lt;/D&gt;&lt;D xsi:type="xsd:double"&gt;7.66866360662138&lt;/D&gt;&lt;D xsi:type="xsd:double"&gt;7.80004230920089&lt;/D&gt;&lt;D xsi:type="xsd:double"&gt;8.43706211742278&lt;/D&gt;&lt;D xsi:type="xsd:double"&gt;9.40374660913295&lt;/D&gt;&lt;D xsi:type="xsd:double"&gt;9.83372532569012&lt;/D&gt;&lt;D xsi:type="xsd:double"&gt;9.91865216107846&lt;/D&gt;&lt;D xsi:type="xsd:double"&gt;10.0170480035462&lt;/D&gt;&lt;D xsi:type="xsd:double"&gt;11.6473506126144&lt;/D&gt;&lt;D xsi:type="xsd:double"&gt;13.0443061265189&lt;/D&gt;&lt;D xsi:type="xsd:double"&gt;12.9136764979923&lt;/D&gt;&lt;D xsi:type="xsd:double"&gt;13.2933739194859&lt;/D&gt;&lt;D xsi:type="xsd:double"&gt;11.8085528868594&lt;/D&gt;&lt;D xsi:type="xsd:double"&gt;11.1084787632277&lt;/D&gt;&lt;D xsi:type="xsd:double"&gt;10.5393026691484&lt;/D&gt;&lt;D xsi:type="xsd:double"&gt;10.1761114816389&lt;/D&gt;&lt;D xsi:type="xsd:double"&gt;9.51868667736529&lt;/D&gt;&lt;D xsi:type="xsd:double"&gt;8.86334970604582&lt;/D&gt;&lt;D xsi:type="xsd:double"&gt;8.31632318380382&lt;/D&gt;&lt;D xsi:type="xsd:double"&gt;7.55701425950459&lt;/D&gt;&lt;D xsi:type="xsd:double"&gt;7.15857008649022&lt;/D&gt;&lt;D xsi:type="xsd:double"&gt;7.1103240744344&lt;/D&gt;&lt;D xsi:type="xsd:double"&gt;6.63269970777532&lt;/D&gt;&lt;D xsi:type="xsd:double"&gt;6.81548021298257&lt;/D&gt;&lt;D xsi:type="xsd:double"&gt;6.04647101382447&lt;/D&gt;&lt;D xsi:type="xsd:double"&gt;5.7478396425044&lt;/D&gt;&lt;D xsi:type="xsd:double"&gt;5.71605348760017&lt;/D&gt;&lt;D xsi:type="xsd:double"&gt;5.40433147691917&lt;/D&gt;&lt;D xsi:type="xsd:double"&gt;5.46825210979188&lt;/D&gt;&lt;D xsi:type="xsd:double"&gt;5.12280370185837&lt;/D&gt;&lt;D xsi:type="xsd:double"&gt;4.97555107619541&lt;/D&gt;&lt;D xsi:type="xsd:double"&gt;4.67342582865546&lt;/D&gt;&lt;D xsi:type="xsd:double"&gt;4.86701503343911&lt;/D&gt;&lt;D xsi:type="xsd:double"&gt;5.19305085591549&lt;/D&gt;&lt;D xsi:type="xsd:double"&gt;5.21597827330897&lt;/D&gt;&lt;D xsi:type="xsd:double"&gt;5.20324618540634&lt;/D&gt;&lt;D xsi:type="xsd:double"&gt;4.58433572291298&lt;/D&gt;&lt;D xsi:type="xsd:double"&gt;4.71292197576868&lt;/D&gt;&lt;D xsi:type="xsd:double"&gt;4.66125682793635&lt;/D&gt;&lt;D xsi:type="xsd:double"&gt;4.43687659455902&lt;/D&gt;&lt;D xsi:type="xsd:double"&gt;4.91565845455746&lt;/D&gt;&lt;D xsi:type="xsd:double"&gt;5.50666873742132&lt;/D&gt;&lt;D xsi:type="xsd:double"&gt;6.05042084540175&lt;/D&gt;&lt;D xsi:type="xsd:double"&gt;6.30403933230859&lt;/D&gt;&lt;D xsi:type="xsd:double"&gt;5.95673561816539&lt;/D&gt;&lt;D xsi:type="xsd:double"&gt;5.7783460526326&lt;/D&gt;&lt;D xsi:type="xsd:double"&gt;5.49486711916123&lt;/D&gt;&lt;D xsi:type="xsd:double"&gt;5.76635247404522&lt;/D&gt;&lt;D xsi:type="xsd:double"&gt;6.78731652135749&lt;/D&gt;&lt;D xsi:type="xsd:double"&gt;6.5496882306199&lt;/D&gt;&lt;D xsi:type="xsd:double"&gt;6.54844398114335&lt;/D&gt;&lt;D xsi:type="xsd:double"&gt;6.77409572985247&lt;/D&gt;&lt;/FQL&gt;&lt;FQL&gt;&lt;Q&gt;DDR3512M-FDS^MAX(FG_PRICE(0,-5AY))&lt;/Q&gt;&lt;R&gt;1&lt;/R&gt;&lt;C&gt;1&lt;/C&gt;&lt;D xsi:type="xsd:double"&gt;3.3053632&lt;/D&gt;&lt;/FQL&gt;&lt;FQL&gt;&lt;Q&gt;BRENT-FDS^FG_PRICE_CHANGE(0,-3AM)&lt;/Q&gt;&lt;R&gt;1&lt;/R&gt;&lt;C&gt;1&lt;/C&gt;&lt;D xsi:type="xsd:double"&gt;0&lt;/D&gt;&lt;/FQL&gt;&lt;FQL&gt;&lt;Q&gt;TIOS-FDS^FG_PRICE(0)&lt;/Q&gt;&lt;R&gt;1&lt;/R&gt;&lt;C&gt;1&lt;/C&gt;&lt;D xsi:type="xsd:double"&gt;117.53&lt;/D&gt;&lt;/FQL&gt;&lt;FQL&gt;&lt;Q&gt;FC0000QA^FG_PRICE(0)&lt;/Q&gt;&lt;R&gt;1&lt;/R&gt;&lt;C&gt;1&lt;/C&gt;&lt;D xsi:type="xsd:double"&gt;97.157875&lt;/D&gt;&lt;/FQL&gt;&lt;FQL&gt;&lt;Q&gt;FC0000CL^FG_PRICE(0)&lt;/Q&gt;&lt;R&gt;1&lt;/R&gt;&lt;C&gt;1&lt;/C&gt;&lt;D xsi:type="xsd:double"&gt;219.11298&lt;/D&gt;&lt;/FQL&gt;&lt;FQL&gt;&lt;Q&gt;INDA^FG_PRICE_MAVG(0,,,,30)&lt;/Q&gt;&lt;R&gt;1&lt;/R&gt;&lt;C&gt;1&lt;/C&gt;&lt;D xsi:type="xsd:double"&gt;52.178&lt;/D&gt;&lt;/FQL&gt;&lt;FQL&gt;&lt;Q&gt;EWW^FG_PRICE_MAVG(0,,,,60)&lt;/Q&gt;&lt;R&gt;1&lt;/R&gt;&lt;C&gt;1&lt;/C&gt;&lt;D xsi:type="xsd:double"&gt;67.2255&lt;/D&gt;&lt;/FQL&gt;&lt;FQL&gt;&lt;Q&gt;EPOL^FG_PRICE(0)&lt;/Q&gt;&lt;R&gt;1&lt;/R&gt;&lt;C&gt;1&lt;/C&gt;&lt;D xsi:type="xsd:double"&gt;25.28&lt;/D&gt;&lt;/FQL&gt;&lt;FQL&gt;&lt;Q&gt;KSA^P_PRICE(0)/P_PRICE_LOW_PR(0,,,,,,"PRICE","INTRA","52W")-1&lt;/Q&gt;&lt;R&gt;1&lt;/R&gt;&lt;C&gt;1&lt;/C&gt;&lt;D xsi:type="xsd:double"&gt;0.13891196&lt;/D&gt;&lt;/FQL&gt;&lt;FQL&gt;&lt;Q&gt;UAE^P_PRICE(0)/P_PRICE_LOW_PR(0,,,,,,"PRICE","INTRA","52W")-1&lt;/Q&gt;&lt;R&gt;1&lt;/R&gt;&lt;C&gt;1&lt;/C&gt;&lt;D xsi:type="xsd:double"&gt;0.051840663&lt;/D&gt;&lt;/FQL&gt;&lt;FQL&gt;&lt;Q&gt;CAGDPY@IN^EE_ACTUAL_ANNUAL(MED,0)&lt;/Q&gt;&lt;R&gt;1&lt;/R&gt;&lt;C&gt;1&lt;/C&gt;&lt;D xsi:type="xsd:double"&gt;-1.8&lt;/D&gt;&lt;/FQL&gt;&lt;FQL&gt;&lt;Q&gt;CC_PE^FG_COMPANY_NAME&lt;/Q&gt;&lt;R&gt;1&lt;/R&gt;&lt;C&gt;1&lt;/C&gt;&lt;D xsi:type="xsd:string"&gt;Peru&lt;/D&gt;&lt;/FQL&gt;&lt;FQL&gt;&lt;Q&gt;USDINR^FG_PRICE_CHANGE(0,-6AM)&lt;/Q&gt;&lt;R&gt;1&lt;/R&gt;&lt;C&gt;1&lt;/C&gt;&lt;D xsi:type="xsd:double"&gt;-0.07349253&lt;/D&gt;&lt;/FQL&gt;&lt;FQL&gt;&lt;Q&gt;USDIDR^STD(FG_PRICE_CHANGE(0,-3AY,M))&lt;/Q&gt;&lt;R&gt;1&lt;/R&gt;&lt;C&gt;1&lt;/C&gt;&lt;D xsi:type="xsd:double"&gt;1.56312460147422&lt;/D&gt;&lt;/FQL&gt;&lt;FQL&gt;&lt;Q&gt;EWW^FG_TOTAL_RETURNC(-10AY,0,AM)&lt;/Q&gt;&lt;R&gt;121&lt;/R&gt;&lt;C&gt;1&lt;/C&gt;&lt;D xsi:type="xsd:double"&gt;5.6195855&lt;/D&gt;&lt;D xsi:type="xsd:double"&gt;1.5692711&lt;/D&gt;&lt;D xsi:type="xsd:double"&gt;3.6766768&lt;/D&gt;&lt;D xsi:type="xsd:double"&gt;1.4238954&lt;/D&gt;&lt;D xsi:type="xsd:double"&gt;-2.807808&lt;/D&gt;&lt;D xsi:type="xsd:double"&gt;-4.188937&lt;/D&gt;&lt;D xsi:type="xsd:double"&gt;1.3870001&lt;/D&gt;&lt;D xsi:type="xsd:double"&gt;-11.283302&lt;/D&gt;&lt;D xsi:type="xsd:double"&gt;0.963974&lt;/D&gt;&lt;D xsi:type="xsd:double"&gt;-1.273036&lt;/D&gt;&lt;D xsi:type="xsd:double"&gt;1.0858536&lt;/D&gt;&lt;D xsi:type="xsd:double"&gt;0.6042242&lt;/D&gt;&lt;D xsi:type="xsd:double"&gt;-1.1177838&lt;/D&gt;&lt;D xsi:type="xsd:double"&gt;-0.084358454&lt;/D&gt;&lt;D xsi:type="xsd:double"&gt;-4.831296&lt;/D&gt;&lt;D xsi:type="xsd:double"&gt;-9.7033615&lt;/D&gt;&lt;D xsi:type="xsd:double"&gt;1.5436411&lt;/D&gt;&lt;D xsi:type="xsd:double"&gt;7.38647&lt;/D&gt;&lt;D xsi:type="xsd:double"&gt;0.18149614&lt;/D&gt;&lt;D xsi:type="xsd:double"&gt;-6.541437&lt;/D&gt;&lt;D xsi:type="xsd:double"&gt;-10.518307&lt;/D&gt;&lt;D xsi:type="xsd:double"&gt;4.9241543&lt;/D&gt;&lt;D xsi:type="xsd:double"&gt;9.9308605&lt;/D&gt;&lt;D xsi:type="xsd:double"&gt;1.0672688&lt;/D&gt;&lt;D xsi:type="xsd:double"&gt;-6.637752&lt;/D&gt;&lt;D xsi:type="xsd:double"&gt;3.62041&lt;/D&gt;&lt;D xsi:type="xsd:double"&gt;1.2817979&lt;/D&gt;&lt;D xsi:type="xsd:double"&gt;0&lt;/D&gt;&lt;D xsi:type="xsd:double"&gt;-6.7367554&lt;/D&gt;&lt;D xsi:type="xsd:double"&gt;8.45511&lt;/D&gt;&lt;D xsi:type="xsd:double"&gt;-15.938407&lt;/D&gt;&lt;D xsi:type="xsd:double"&gt;0.52559376&lt;/D&gt;&lt;D xsi:type="xsd:double"&gt;0.29748678&lt;/D&gt;&lt;D xsi:type="xsd:double"&gt;7.939768&lt;/D&gt;&lt;D xsi:type="xsd:double"&gt;7.2711825&lt;/D&gt;&lt;D xsi:type="xsd:double"&gt;1.2216687&lt;/D&gt;&lt;D xsi:type="xsd:double"&gt;1.4210582&lt;/D&gt;&lt;D xsi:type="xsd:double"&gt;3.9377332&lt;/D&gt;&lt;D xsi:type="xsd:double"&gt;7.0201635&lt;/D&gt;&lt;D xsi:type="xsd:double"&gt;-0.08722544&lt;/D&gt;&lt;D xsi:type="xsd:double"&gt;-2.2350252&lt;/D&gt;&lt;D xsi:type="xsd:double"&gt;-8.287197&lt;/D&gt;&lt;D xsi:type="xsd:double"&gt;0.15579462&lt;/D&gt;&lt;D xsi:type="xsd:double"&gt;-5.3957224&lt;/D&gt;&lt;D xsi:type="xsd:double"&gt;9.053159&lt;/D&gt;&lt;D xsi:type="xsd:double"&gt;-1.4089882&lt;/D&gt;&lt;D xsi:type="xsd:double"&gt;-3.53418&lt;/D&gt;&lt;D xsi:type="xsd:double"&gt;2.3223162&lt;/D&gt;&lt;D xsi:type="xsd:double"&gt;-8.589315&lt;/D&gt;&lt;D xsi:type="xsd:double"&gt;-0.7453799&lt;/D&gt;&lt;D xsi:type="xsd:double"&gt;10.899961&lt;/D&gt;&lt;D xsi:type="xsd:double"&gt;0.4924178&lt;/D&gt;&lt;D xsi:type="xsd:double"&gt;-0.058799982&lt;/D&gt;&lt;D xsi:type="xsd:double"&gt;-8.74682&lt;/D&gt;&lt;D xsi:type="xsd:double"&gt;-14.635712&lt;/D&gt;&lt;D xsi:type="xsd:double"&gt;2.7083993&lt;/D&gt;&lt;D xsi:type="xsd:double"&gt;10.539341&lt;/D&gt;&lt;D xsi:type="xsd:double"&gt;-0.06713867&lt;/D&gt;&lt;D xsi:type="xsd:double"&gt;-3.023523&lt;/D&gt;&lt;D xsi:type="xsd:double"&gt;7.713628&lt;/D&gt;&lt;D xsi:type="xsd:double"&gt;-5.7032585&lt;/D&gt;&lt;D xsi:type="xsd:double"&gt;2.246976&lt;/D&gt;&lt;D xsi:type="xsd:double"&gt;-6.0812354&lt;/D&gt;&lt;D xsi:type="xsd:double"&gt;-5.846816&lt;/D&gt;&lt;D xsi:type="xsd:double"&gt;11.880922&lt;/D&gt;&lt;D xsi:type="xsd:double"&gt;2.7064204&lt;/D&gt;&lt;D xsi:type="xsd:double"&gt;-0.6922662&lt;/D&gt;&lt;D xsi:type="xsd:double"&gt;3.6741018&lt;/D&gt;&lt;D xsi:type="xsd:double"&gt;3.788054&lt;/D&gt;&lt;D xsi:type="xsd:double"&gt;-1.666671&lt;/D&gt;&lt;D xsi:type="xsd:double"&gt;-46.105988&lt;/D&gt;&lt;D xsi:type="xsd:double"&gt;6.0509443&lt;/D&gt;&lt;D xsi:type="xsd:double"&gt;14.827335&lt;/D&gt;&lt;D xsi:type="xsd:double"&gt;9.074699&lt;/D&gt;&lt;D xsi:type="xsd:double"&gt;-2.0457268&lt;/D&gt;&lt;D xsi:type="xsd:double"&gt;4.330468&lt;/D&gt;&lt;D xsi:type="xsd:double"&gt;-7.9776287&lt;/D&gt;&lt;D xsi:type="xsd:double"&gt;16.698658&lt;/D&gt;&lt;D xsi:type="xsd:double"&gt;12.554825&lt;/D&gt;&lt;D xsi:type="xsd:double"&gt;3.653729&lt;/D&gt;&lt;D xsi:type="xsd:double"&gt;2.1130443&lt;/D&gt;&lt;D xsi:type="xsd:double"&gt;-2.4441302&lt;/D&gt;&lt;D xsi:type="xsd:double"&gt;2.338338&lt;/D&gt;&lt;D xsi:type="xsd:double"&gt;10.235489&lt;/D&gt;&lt;D xsi:type="xsd:double"&gt;1.0575294&lt;/D&gt;&lt;D xsi:type="xsd:double"&gt;0.0874877&lt;/D&gt;&lt;D xsi:type="xsd:double"&gt;1.1380434&lt;/D&gt;&lt;D xsi:type="xsd:double"&gt;2.6255488&lt;/D&gt;&lt;D xsi:type="xsd:double"&gt;1.076138&lt;/D&gt;&lt;D xsi:type="xsd:double"&gt;-0.50221086&lt;/D&gt;&lt;D xsi:type="xsd:double"&gt;-5.8146534&lt;/D&gt;&lt;D xsi:type="xsd:double"&gt;8.090663&lt;/D&gt;&lt;D xsi:type="xsd:double"&gt;-1.2670994&lt;/D&gt;&lt;D xsi:type="xsd:double"&gt;0.346303&lt;/D&gt;&lt;D xsi:type="xsd:double"&gt;7.1051598&lt;/D&gt;&lt;D xsi:type="xsd:double"&gt;-2.426076&lt;/D&gt;&lt;D xsi:type="xsd:double"&gt;-0.8935511&lt;/D&gt;&lt;D xsi:type="xsd:double"&gt;-9.073221&lt;/D&gt;&lt;D xsi:type="xsd:double"&gt;-0.3064096&lt;/D&gt;&lt;D xsi:type="xsd:double"&gt;3.9956093&lt;/D&gt;&lt;D xsi:type="xsd:double"&gt;-5.17205&lt;/D&gt;&lt;D xsi:type="xsd:double"&gt;5.587721&lt;/D&gt;&lt;D xsi:type="xsd:double"&gt;14.421248&lt;/D&gt;&lt;D xsi:type="xsd:double"&gt;-2.3519754&lt;/D&gt;&lt;D xsi:type="xsd:double"&gt;10.995567&lt;/D&gt;&lt;D xsi:type="xsd:double"&gt;0.1734972&lt;/D&gt;&lt;D xsi:type="xsd:double"&gt;-2.0609677&lt;/D&gt;&lt;D xsi:type="xsd:double"&gt;6.01238&lt;/D&gt;&lt;D xsi:type="xsd:double"&gt;-1.768142&lt;/D&gt;&lt;D xsi:type="xsd:double"&gt;5.478704&lt;/D&gt;&lt;D xsi:type="xsd:double"&gt;2.0110369&lt;/D&gt;&lt;D xsi:type="xsd:double"&gt;0.7313132&lt;/D&gt;&lt;D xsi:type="xsd:double"&gt;-5.3345976&lt;/D&gt;&lt;D xsi:type="xsd:double"&gt;-11.070358&lt;/D&gt;&lt;D xsi:type="xsd:double"&gt;16.741657&lt;/D&gt;&lt;D xsi:type="xsd:double"&gt;10.577381&lt;/D&gt;&lt;D xsi:type="xsd:double"&gt;-4.9697638&lt;/D&gt;&lt;D xsi:type="xsd:double"&gt;3.2433271&lt;/D&gt;&lt;D xsi:type="xsd:double"&gt;1.4279366&lt;/D&gt;&lt;D xsi:type="xsd:double"&gt;-1.4671087&lt;/D&gt;&lt;D xsi:type="xsd:double"&gt;-0.015032291&lt;/D&gt;&lt;/FQL&gt;&lt;FQL&gt;&lt;Q&gt;EZA^FMA_DIV_YLD(NTMA,-10AY,0,AM,"PORTAGG","MEANR")</t>
        </r>
      </text>
    </comment>
    <comment ref="A13" authorId="0" shapeId="0" xr:uid="{255340C9-09B1-42D6-AAA6-6F88874C374C}">
      <text>
        <r>
          <rPr>
            <b/>
            <sz val="9"/>
            <color indexed="81"/>
            <rFont val="Tahoma"/>
            <charset val="1"/>
          </rPr>
          <t>&lt;/Q&gt;&lt;R&gt;121&lt;/R&gt;&lt;C&gt;1&lt;/C&gt;&lt;D xsi:type="xsd:double"&gt;3.32347316798745&lt;/D&gt;&lt;D xsi:type="xsd:double"&gt;3.30628116545697&lt;/D&gt;&lt;D xsi:type="xsd:double"&gt;3.22537254480871&lt;/D&gt;&lt;D xsi:type="xsd:double"&gt;3.25635768179568&lt;/D&gt;&lt;D xsi:type="xsd:double"&gt;3.43587052624319&lt;/D&gt;&lt;D xsi:type="xsd:double"&gt;3.50042121845787&lt;/D&gt;&lt;D xsi:type="xsd:double"&gt;3.24552213416372&lt;/D&gt;&lt;D xsi:type="xsd:double"&gt;3.34780394643344&lt;/D&gt;&lt;D xsi:type="xsd:double"&gt;3.20325116045347&lt;/D&gt;&lt;D xsi:type="xsd:double"&gt;3.03338903831126&lt;/D&gt;&lt;D xsi:type="xsd:double"&gt;3.06675124588825&lt;/D&gt;&lt;D xsi:type="xsd:double"&gt;2.9471218296033&lt;/D&gt;&lt;D xsi:type="xsd:double"&gt;3.10476342405878&lt;/D&gt;&lt;D xsi:type="xsd:double"&gt;3.19256677536799&lt;/D&gt;&lt;D xsi:type="xsd:double"&gt;3.1718200765118&lt;/D&gt;&lt;D xsi:type="xsd:double"&gt;3.44976945869026&lt;/D&gt;&lt;D xsi:type="xsd:double"&gt;3.43003126781446&lt;/D&gt;&lt;D xsi:type="xsd:double"&gt;3.18483189882196&lt;/D&gt;&lt;D xsi:type="xsd:double"&gt;3.29347475994953&lt;/D&gt;&lt;D xsi:type="xsd:double"&gt;3.4234731571506&lt;/D&gt;&lt;D xsi:type="xsd:double"&gt;3.75062650355298&lt;/D&gt;&lt;D xsi:type="xsd:double"&gt;3.56004052825447&lt;/D&gt;&lt;D xsi:type="xsd:double"&gt;3.29436038500458&lt;/D&gt;&lt;D xsi:type="xsd:double"&gt;3.23808953250946&lt;/D&gt;&lt;D xsi:type="xsd:double"&gt;3.36096759183172&lt;/D&gt;&lt;D xsi:type="xsd:double"&gt;3.05524961171507&lt;/D&gt;&lt;D xsi:type="xsd:double"&gt;2.96337368320125&lt;/D&gt;&lt;D xsi:type="xsd:double"&gt;2.97152163823658&lt;/D&gt;&lt;D xsi:type="xsd:double"&gt;3.12815624130705&lt;/D&gt;&lt;D xsi:type="xsd:double"&gt;3.2022763504184&lt;/D&gt;&lt;D xsi:type="xsd:double"&gt;3.3286601206386&lt;/D&gt;&lt;D xsi:type="xsd:double"&gt;3.33567192029541&lt;/D&gt;&lt;D xsi:type="xsd:double"&gt;3.14587394446592&lt;/D&gt;&lt;D xsi:type="xsd:double"&gt;3.14778992750119&lt;/D&gt;&lt;D xsi:type="xsd:double"&gt;3.14824791365068&lt;/D&gt;&lt;D xsi:type="xsd:double"&gt;3.15593435744976&lt;/D&gt;&lt;D xsi:type="xsd:double"&gt;2.99927537560192&lt;/D&gt;&lt;D xsi:type="xsd:double"&gt;3.34965562229808&lt;/D&gt;&lt;D xsi:type="xsd:double"&gt;3.20205605849676&lt;/D&gt;&lt;D xsi:type="xsd:double"&gt;3.13100842417303&lt;/D&gt;&lt;D xsi:type="xsd:double"&gt;3.33582400329275&lt;/D&gt;&lt;D xsi:type="xsd:double"&gt;3.25250510524515&lt;/D&gt;&lt;D xsi:type="xsd:double"&gt;3.09219166376652&lt;/D&gt;&lt;D xsi:type="xsd:double"&gt;3.36468261017054&lt;/D&gt;&lt;D xsi:type="xsd:double"&gt;3.24200831550789&lt;/D&gt;&lt;D xsi:type="xsd:double"&gt;3.30838506132712&lt;/D&gt;&lt;D xsi:type="xsd:double"&gt;3.22279943517635&lt;/D&gt;&lt;D xsi:type="xsd:double"&gt;3.27556429162225&lt;/D&gt;&lt;D xsi:type="xsd:double"&gt;3.43994603711604&lt;/D&gt;&lt;D xsi:type="xsd:double"&gt;3.53384919951292&lt;/D&gt;&lt;D xsi:type="xsd:double"&gt;3.61569516061482&lt;/D&gt;&lt;D xsi:type="xsd:double"&gt;3.55410410031386&lt;/D&gt;&lt;D xsi:type="xsd:double"&gt;3.71363168248961&lt;/D&gt;&lt;D xsi:type="xsd:double"&gt;4.21669764789091&lt;/D&gt;&lt;D xsi:type="xsd:double"&gt;4.08952677423946&lt;/D&gt;&lt;D xsi:type="xsd:double"&gt;3.97164425333066&lt;/D&gt;&lt;D xsi:type="xsd:double"&gt;3.71883738497393&lt;/D&gt;&lt;D xsi:type="xsd:double"&gt;3.76947858481987&lt;/D&gt;&lt;D xsi:type="xsd:double"&gt;3.93419872024701&lt;/D&gt;&lt;D xsi:type="xsd:double"&gt;3.62646506391888&lt;/D&gt;&lt;D xsi:type="xsd:double"&gt;4.0788727722194&lt;/D&gt;&lt;D xsi:type="xsd:double"&gt;3.7091930930531&lt;/D&gt;&lt;D xsi:type="xsd:double"&gt;3.80889068343571&lt;/D&gt;&lt;D xsi:type="xsd:double"&gt;4.12729322075621&lt;/D&gt;&lt;D xsi:type="xsd:double"&gt;4.25821139512114&lt;/D&gt;&lt;D xsi:type="xsd:double"&gt;4.22276150500069&lt;/D&gt;&lt;D xsi:type="xsd:double"&gt;4.13519660132338&lt;/D&gt;&lt;D xsi:type="xsd:double"&gt;3.72135406887813&lt;/D&gt;&lt;D xsi:type="xsd:double"&gt;3.77339152364386&lt;/D&gt;&lt;D xsi:type="xsd:double"&gt;3.81729328587477&lt;/D&gt;&lt;D xsi:type="xsd:double"&gt;6.06433284829697&lt;/D&gt;&lt;D xsi:type="xsd:double"&gt;4.18018890269532&lt;/D&gt;&lt;D xsi:type="xsd:double"&gt;3.54524247375091&lt;/D&gt;&lt;D xsi:type="xsd:double"&gt;3.35425011710127&lt;/D&gt;&lt;D xsi:type="xsd:double"&gt;3.35105277978207&lt;/D&gt;&lt;D xsi:type="xsd:double"&gt;3.44279878182591&lt;/D&gt;&lt;D xsi:type="xsd:double"&gt;3.63889736491387&lt;/D&gt;&lt;D xsi:type="xsd:double"&gt;3.55412819353889&lt;/D&gt;&lt;D xsi:type="xsd:double"&gt;3.63043875277698&lt;/D&gt;&lt;D xsi:type="xsd:double"&gt;3.85863110126612&lt;/D&gt;&lt;D xsi:type="xsd:double"&gt;3.89846633188752&lt;/D&gt;&lt;D xsi:type="xsd:double"&gt;3.84952196009989&lt;/D&gt;&lt;D xsi:type="xsd:double"&gt;3.88768443783376&lt;/D&gt;&lt;D xsi:type="xsd:double"&gt;4.25082685810195&lt;/D&gt;&lt;D xsi:type="xsd:double"&gt;4.34104847087343&lt;/D&gt;&lt;D xsi:type="xsd:double"&gt;4.35435951227095&lt;/D&gt;&lt;D xsi:type="xsd:double"&gt;4.4537886568657&lt;/D&gt;&lt;D xsi:type="xsd:double"&gt;5.10249821410645&lt;/D&gt;&lt;D xsi:type="xsd:double"&gt;4.84386602625345&lt;/D&gt;&lt;D xsi:type="xsd:double"&gt;4.71045628045265&lt;/D&gt;&lt;D xsi:type="xsd:double"&gt;4.56002510656736&lt;/D&gt;&lt;D xsi:type="xsd:double"&gt;4.62672096785209&lt;/D&gt;&lt;D xsi:type="xsd:double"&gt;4.40233168217354&lt;/D&gt;&lt;D xsi:type="xsd:double"&gt;4.46328723982868&lt;/D&gt;&lt;D xsi:type="xsd:double"&gt;4.38875327379455&lt;/D&gt;&lt;D xsi:type="xsd:double"&gt;4.67145475590802&lt;/D&gt;&lt;D xsi:type="xsd:double"&gt;4.93682965438025&lt;/D&gt;&lt;D xsi:type="xsd:double"&gt;5.21825607861473&lt;/D&gt;&lt;D xsi:type="xsd:double"&gt;4.93323807169492&lt;/D&gt;&lt;D xsi:type="xsd:double"&gt;5.02941534621269&lt;/D&gt;&lt;D xsi:type="xsd:double"&gt;5.61794796481172&lt;/D&gt;&lt;D xsi:type="xsd:double"&gt;5.53558878543348&lt;/D&gt;&lt;D xsi:type="xsd:double"&gt;4.89408169982925&lt;/D&gt;&lt;D xsi:type="xsd:double"&gt;4.88012528950592&lt;/D&gt;&lt;D xsi:type="xsd:double"&gt;4.52023663539845&lt;/D&gt;&lt;D xsi:type="xsd:double"&gt;4.65986667719676&lt;/D&gt;&lt;D xsi:type="xsd:double"&gt;4.73568039953105&lt;/D&gt;&lt;D xsi:type="xsd:double"&gt;4.52288905154769&lt;/D&gt;&lt;D xsi:type="xsd:double"&gt;4.72365444834824&lt;/D&gt;&lt;D xsi:type="xsd:double"&gt;4.58788416563617&lt;/D&gt;&lt;D xsi:type="xsd:double"&gt;4.24293826418425&lt;/D&gt;&lt;D xsi:type="xsd:double"&gt;4.44544183380576&lt;/D&gt;&lt;D xsi:type="xsd:double"&gt;4.46700049827519&lt;/D&gt;&lt;D xsi:type="xsd:double"&gt;4.58963348535315&lt;/D&gt;&lt;D xsi:type="xsd:double"&gt;4.34891926421674&lt;/D&gt;&lt;D xsi:type="xsd:double"&gt;4.23178691446134&lt;/D&gt;&lt;D xsi:type="xsd:double"&gt;4.38504160233714&lt;/D&gt;&lt;D xsi:type="xsd:double"&gt;4.328497355085&lt;/D&gt;&lt;D xsi:type="xsd:double"&gt;4.23895110587139&lt;/D&gt;&lt;D xsi:type="xsd:double"&gt;4.26435929811657&lt;/D&gt;&lt;D xsi:type="xsd:double"&gt;3.88795402401602&lt;/D&gt;&lt;/FQL&gt;&lt;FQL&gt;&lt;Q&gt;DDR3512M-FDS^FG_PRICE(0)/MAX(FG_PRICE(0,-1AY))&lt;/Q&gt;&lt;R&gt;1&lt;/R&gt;&lt;C&gt;1&lt;/C&gt;&lt;D xsi:type="xsd:double"&gt;0.924796211538461&lt;/D&gt;&lt;/FQL&gt;&lt;FQL&gt;&lt;Q&gt;PASP-FDS^FG_PRICE_MAVG(0,,,,30)&lt;/Q&gt;&lt;R&gt;1&lt;/R&gt;&lt;C&gt;1&lt;/C&gt;&lt;D xsi:type="xsd:double"&gt;1002.43335&lt;/D&gt;&lt;/FQL&gt;&lt;FQL&gt;&lt;Q&gt;CPALM-FDS^FG_PRICE(0)/MAX(FG_PRICE(0,-1AY))&lt;/Q&gt;&lt;R&gt;1&lt;/R&gt;&lt;C&gt;1&lt;/C&gt;&lt;D xsi:type="xsd:double"&gt;0.841450098274732&lt;/D&gt;&lt;/FQL&gt;&lt;FQL&gt;&lt;Q&gt;UAE^FG_PRICE(0)&lt;/Q&gt;&lt;R&gt;1&lt;/R&gt;&lt;C&gt;1&lt;/C&gt;&lt;D xsi:type="xsd:double"&gt;14&lt;/D&gt;&lt;/FQL&gt;&lt;FQL&gt;&lt;Q&gt;EWM^FG_TOTAL_RETURNC(0,-6AM)&lt;/Q&gt;&lt;R&gt;1&lt;/R&gt;&lt;C&gt;1&lt;/C&gt;&lt;D xsi:type="xsd:double"&gt;11.114967&lt;/D&gt;&lt;/FQL&gt;&lt;FQL&gt;&lt;Q&gt;EIDO^P_PRICE(0)/P_PRICE_HIGH_PR(0,,,,,,"PRICE","INTRA","52W")&lt;/Q&gt;&lt;R&gt;1&lt;/R&gt;&lt;C&gt;1&lt;/C&gt;&lt;D xsi:type="xsd:double"&gt;0.8553459&lt;/D&gt;&lt;/FQL&gt;&lt;FQL&gt;&lt;Q&gt;URTH^FG_TOTAL_RETURNC(0,-6AM)&lt;/Q&gt;&lt;R&gt;1&lt;/R&gt;&lt;C&gt;1&lt;/C&gt;&lt;D xsi:type="xsd:double"&gt;15.154993&lt;/D&gt;&lt;/FQL&gt;&lt;FQL&gt;&lt;Q&gt;URTH^FMA_PCT_ABOVE_MAVG(200,0,,,,"PORTAGG")&lt;/Q&gt;&lt;R&gt;1&lt;/R&gt;&lt;C&gt;1&lt;/C&gt;&lt;D xsi:type="xsd:double"&gt;75.7015742642026&lt;/D&gt;&lt;/FQL&gt;&lt;FQL&gt;&lt;Q&gt;SET-BKK^FMA_COS_UP("EPS","1M",+1,NOW,,,"PORTAGG","MEANR")&lt;/Q&gt;&lt;R&gt;1&lt;/R&gt;&lt;C&gt;1&lt;/C&gt;&lt;D xsi:type="xsd:double"&gt;66&lt;/D&gt;&lt;/FQL&gt;&lt;FQL&gt;&lt;Q&gt;EPOL^FMA_COS_DOWN("EPS","1M",+1,NOW,,,"PORTAGG","MEANR")&lt;/Q&gt;&lt;R&gt;1&lt;/R&gt;&lt;C&gt;1&lt;/C&gt;&lt;D xsi:type="xsd:double"&gt;13&lt;/D&gt;&lt;/FQL&gt;&lt;FQL&gt;&lt;Q&gt;KSA^FG_ROE(0)&lt;/Q&gt;&lt;R&gt;1&lt;/R&gt;&lt;C&gt;1&lt;/C&gt;&lt;D xsi:type="xsd:double"&gt;10.6591004547012&lt;/D&gt;&lt;/FQL&gt;&lt;FQL&gt;&lt;Q&gt;TRYMY10Y-FDS^FG_YIELD_NAME&lt;/Q&gt;&lt;R&gt;1&lt;/R&gt;&lt;C&gt;1&lt;/C&gt;&lt;D xsi:type="xsd:string"&gt;Treasury - Malaysia Benchmark Bond 10Y&lt;/D&gt;&lt;/FQL&gt;&lt;FQL&gt;&lt;Q&gt;REFZAREPO-FDS^PROPER_NAME(0,,,"SECURITY","NAME")&lt;/Q&gt;&lt;R&gt;1&lt;/R&gt;&lt;C&gt;1&lt;/C&gt;&lt;D xsi:type="xsd:string"&gt;South Africa Repo Rate&lt;/D&gt;&lt;/FQL&gt;&lt;FQL&gt;&lt;Q&gt;^FG_YIELD(-10AY,0,Y,,"YTM")&lt;/Q&gt;&lt;R&gt;10&lt;/R&gt;&lt;C&gt;1&lt;/C&gt;&lt;D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xsi:type="xsd:double"&gt;1.211&lt;/D&gt;&lt;/FQL&gt;&lt;FQL&gt;&lt;Q&gt;USDAED^FG_PRICE_CHANGE(0,-6AM)&lt;/Q&gt;&lt;R&gt;1&lt;/R&gt;&lt;C&gt;1&lt;/C&gt;&lt;D xsi:type="xsd:double"&gt;0.012254715&lt;/D&gt;&lt;/FQL&gt;&lt;FQL&gt;&lt;Q&gt;USDBRL^FG_PRICE_CHANGE(0,-6AM)&lt;/Q&gt;&lt;R&gt;1&lt;/R&gt;&lt;C&gt;1&lt;/C&gt;&lt;D xsi:type="xsd:double"&gt;5.3128004&lt;/D&gt;&lt;/FQL&gt;&lt;FQL&gt;&lt;Q&gt;USDPEN^FG_PRICE_CHANGE(0,-6AM)&lt;/Q&gt;&lt;R&gt;1&lt;/R&gt;&lt;C&gt;1&lt;/C&gt;&lt;D xsi:type="xsd:double"&gt;0.18589497&lt;/D&gt;&lt;/FQL&gt;&lt;FQL&gt;&lt;Q&gt;FC0000PL^FMA_EPS(NTMA,-20AY,0,CY,,"PORTAGG","MEANR")&lt;/Q&gt;&lt;R&gt;20&lt;/R&gt;&lt;C&gt;1&lt;/C&gt;&lt;D xsi:type="xsd:double"&gt;11.3956611787009&lt;/D&gt;&lt;D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xsi:type="xsd:double"&gt;16.9181600231376&lt;/D&gt;&lt;D xsi:type="xsd:double"&gt;12.7251193000516&lt;/D&gt;&lt;D xsi:type="xsd:double"&gt;16.7959254186769&lt;/D&gt;&lt;D xsi:type="xsd:double"&gt;17.0889243836624&lt;/D&gt;&lt;D xsi:type="xsd:double"&gt;23.3955887248491&lt;/D&gt;&lt;/FQL&gt;&lt;FQL&gt;&lt;Q&gt;EWT^P_PRICE_RETURNS_PR('52W',2,-10AY,0,AM)&lt;/Q&gt;&lt;R&gt;121&lt;/R&gt;&lt;C&gt;1&lt;/C&gt;&lt;D xsi:type="xsd:double"&gt;10.621822&lt;/D&gt;&lt;D xsi:type="xsd:double"&gt;23.287296&lt;/D&gt;&lt;D xsi:type="xsd:double"&gt;20.290148&lt;/D&gt;&lt;D xsi:type="xsd:double"&gt;26.99846&lt;/D&gt;&lt;D xsi:type="xsd:double"&gt;11.505735&lt;/D&gt;&lt;D xsi:type="xsd:double"&gt;8.668411&lt;/D&gt;&lt;D xsi:type="xsd:double"&gt;17.341864&lt;/D&gt;&lt;D xsi:type="xsd:double"&gt;8.316982&lt;/D&gt;&lt;D xsi:type="xsd:double"&gt;15.275025&lt;/D&gt;&lt;D xsi:type="xsd:double"&gt;14.882051&lt;/D&gt;&lt;D xsi:type="xsd:double"&gt;18.48719&lt;/D&gt;&lt;D xsi:type="xsd:double"&gt;14.7358055&lt;/D&gt;&lt;D xsi:type="xsd:double"&gt;11.695278&lt;/D&gt;&lt;D xsi:type="xsd:double"&gt;5.6688905&lt;/D&gt;&lt;D xsi:type="xsd:double"&gt;-6.5186205&lt;/D&gt;&lt;D xsi:type="xsd:double"&gt;-21.237778&lt;/D&gt;&lt;D xsi:type="xsd:double"&gt;-13.317263&lt;/D&gt;&lt;D xsi:type="xsd:double"&gt;-4.406518&lt;/D&gt;&lt;D xsi:type="xsd:double"&gt;-11.728639&lt;/D&gt;&lt;D xsi:type="xsd:double"&gt;-9.043276&lt;/D&gt;&lt;D xsi:type="xsd:double"&gt;-22.453499&lt;/D&gt;&lt;D xsi:type="xsd:double"&gt;-16.992504&lt;/D&gt;&lt;D xsi:type="xsd:double"&gt;-12.677622&lt;/D&gt;&lt;D xsi:type="xsd:double"&gt;-14.327359&lt;/D&gt;&lt;D xsi:type="xsd:double"&gt;-18.858253&lt;/D&gt;&lt;D xsi:type="xsd:double"&gt;-8.672487&lt;/D&gt;&lt;D xsi:type="xsd:double"&gt;2.133119&lt;/D&gt;&lt;D xsi:type="xsd:double"&gt;24.617529&lt;/D&gt;&lt;D xsi:type="xsd:double"&gt;21.74753&lt;/D&gt;&lt;D xsi:type="xsd:double"&gt;15.406775&lt;/D&gt;&lt;D xsi:type="xsd:double"&gt;14.086056&lt;/D&gt;&lt;D xsi:type="xsd:double"&gt;13.7642145&lt;/D&gt;&lt;D xsi:type="xsd:double"&gt;34.618114&lt;/D&gt;&lt;D xsi:type="xsd:double"&gt;31.817318&lt;/D&gt;&lt;D xsi:type="xsd:double"&gt;25.495731&lt;/D&gt;&lt;D xsi:type="xsd:double"&gt;26.090694&lt;/D&gt;&lt;D xsi:type="xsd:double"&gt;36.351227&lt;/D&gt;&lt;D xsi:type="xsd:double"&gt;28.199375&lt;/D&gt;&lt;D xsi:type="xsd:double"&gt;24.759663&lt;/D&gt;&lt;D xsi:type="xsd:double"&gt;25.125336&lt;/D&gt;&lt;D xsi:type="xsd:double"&gt;18.26868&lt;/D&gt;&lt;D xsi:type="xsd:double"&gt;22.17672&lt;/D&gt;&lt;D xsi:type="xsd:double"&gt;27.532578&lt;/D&gt;&lt;D xsi:type="xsd:double"&gt;26.75029&lt;/D&gt;&lt;D xsi:type="xsd:double"&gt;29.751884&lt;/D&gt;&lt;D xsi:type="xsd:double"&gt;18.597376&lt;/D&gt;&lt;D xsi:type="xsd:double"&gt;13.869249&lt;/D&gt;&lt;D xsi:type="xsd:double"&gt;13.875222&lt;/D&gt;&lt;D xsi:type="xsd:double"&gt;10.438871&lt;/D&gt;&lt;D xsi:type="xsd:double"&gt;4.599619&lt;/D&gt;&lt;D xsi:type="xsd:double"&gt;4.6967506&lt;/D&gt;&lt;D xsi:type="xsd:double"&gt;3.278768&lt;/D&gt;&lt;D xsi:type="xsd:double"&gt;3.9693952&lt;/D&gt;&lt;D xsi:type="xsd:double"&gt;-9.627914&lt;/D&gt;&lt;D xsi:type="xsd:double"&gt;-13.276142&lt;/D&gt;&lt;D xsi:type="xsd:double"&gt;-8.9893875&lt;/D&gt;&lt;D xsi:type="xsd:double"&gt;-15.598792&lt;/D&gt;&lt;D xsi:type="xsd:double"&gt;-6.084156&lt;/D&gt;&lt;D xsi:type="xsd:double"&gt;-7.079363&lt;/D&gt;&lt;D xsi:type="xsd:double"&gt;2.1049738&lt;/D&gt;&lt;D xsi:type="xsd:double"&gt;-9.394228&lt;/D&gt;&lt;D xsi:type="xsd:double"&gt;0.9068966&lt;/D&gt;&lt;D xsi:type="xsd:double"&gt;0.19843578&lt;/D&gt;&lt;D xsi:type="xsd:double"&gt;-5.3958654&lt;/D&gt;&lt;D xsi:type="xsd:double"&gt;0.3707528&lt;/D&gt;&lt;D xsi:type="xsd:double"&gt;19.999207&lt;/D&gt;&lt;D xsi:type="xsd:double"&gt;24.849045&lt;/D&gt;&lt;D xsi:type="xsd:double"&gt;34.605717&lt;/D&gt;&lt;D xsi:type="xsd:double"&gt;30.328346&lt;/D&gt;&lt;D xsi:type="xsd:double"&gt;20.375751&lt;/D&gt;&lt;D xsi:type="xsd:double"&gt;-8.0597105&lt;/D&gt;&lt;D xsi:type="xsd:double"&gt;-0.24985075&lt;/D&gt;&lt;D xsi:type="xsd:double"&gt;12.874735&lt;/D&gt;&lt;D xsi:type="xsd:double"&gt;17.731583&lt;/D&gt;&lt;D xsi:type="xsd:double"&gt;23.534405&lt;/D&gt;&lt;D xsi:type="xsd:double"&gt;31.16089&lt;/D&gt;&lt;D xsi:type="xsd:double"&gt;23.392355&lt;/D&gt;&lt;D xsi:type="xsd:double"&gt;24.10444&lt;/D&gt;&lt;D xsi:type="xsd:double"&gt;29.49593&lt;/D&gt;&lt;D xsi:type="xsd:double"&gt;27.389753&lt;/D&gt;&lt;D xsi:type="xsd:double"&gt;44.564056&lt;/D&gt;&lt;D xsi:type="xsd:double"&gt;55.73069&lt;/D&gt;&lt;D xsi:type="xsd:double"&gt;93.45402&lt;/D&gt;&lt;D xsi:type="xsd:double"&gt;85.06148&lt;/D&gt;&lt;D xsi:type="xsd:double"&gt;62.584484&lt;/D&gt;&lt;D xsi:type="xsd:double"&gt;58.511913&lt;/D&gt;&lt;D xsi:type="xsd:double"&gt;49.777866&lt;/D&gt;&lt;D xsi:type="xsd:double"&gt;42.402924&lt;/D&gt;&lt;D xsi:type="xsd:double"&gt;49.095905&lt;/D&gt;&lt;D xsi:type="xsd:double"&gt;36.551964&lt;/D&gt;&lt;D xsi:type="xsd:double"&gt;33.096874&lt;/D&gt;&lt;D xsi:type="xsd:double"&gt;31.60472&lt;/D&gt;&lt;D xsi:type="xsd:double"&gt;13.1683235&lt;/D&gt;&lt;D xsi:type="xsd:double"&gt;10.36812&lt;/D&gt;&lt;D xsi:type="xsd:double"&gt;9.30792&lt;/D&gt;&lt;D xsi:type="xsd:double"&gt;-6.6120567&lt;/D&gt;&lt;D xsi:type="xsd:double"&gt;-4.6435714&lt;/D&gt;&lt;D xsi:type="xsd:double"&gt;-14.793407&lt;/D&gt;&lt;D xsi:type="xsd:double"&gt;-18.055511&lt;/D&gt;&lt;D xsi:type="xsd:double"&gt;-14.687502&lt;/D&gt;&lt;D xsi:type="xsd:double"&gt;-27.887314&lt;/D&gt;&lt;D xsi:type="xsd:double"&gt;-30.393135&lt;/D&gt;&lt;D xsi:type="xsd:double"&gt;-23.181927&lt;/D&gt;&lt;D xsi:type="xsd:double"&gt;-27.101547&lt;/D&gt;&lt;D xsi:type="xsd:double"&gt;-18.143528&lt;/D&gt;&lt;D xsi:type="xsd:double"&gt;-17.688543&lt;/D&gt;&lt;D xsi:type="xsd:double"&gt;-13.02473&lt;/D&gt;&lt;D xsi:type="xsd:double"&gt;-10.088682&lt;/D&gt;&lt;D xsi:type="xsd:double"&gt;-3.4048855&lt;/D&gt;&lt;D xsi:type="xsd:double"&gt;7.072127&lt;/D&gt;&lt;D xsi:type="xsd:double"&gt;9.550535&lt;/D&gt;&lt;D xsi:type="xsd:double"&gt;5.153942&lt;/D&gt;&lt;D xsi:type="xsd:double"&gt;14.040173&lt;/D&gt;&lt;D xsi:type="xsd:double"&gt;23.332548&lt;/D&gt;&lt;D xsi:type="xsd:double"&gt;16.904879&lt;/D&gt;&lt;D xsi:type="xsd:double"&gt;23.62349&lt;/D&gt;&lt;D xsi:type="xsd:double"&gt;12.022245&lt;/D&gt;&lt;D xsi:type="xsd:double"&gt;16.56909&lt;/D&gt;&lt;D xsi:type="xsd:double"&gt;22.325218&lt;/D&gt;&lt;D xsi:type="xsd:double"&gt;18.779255&lt;/D&gt;&lt;D xsi:type="xsd:double"&gt;27.998734&lt;/D&gt;&lt;/FQL&gt;&lt;FQL&gt;&lt;Q&gt;INDA^FMA_PE(NTMA,-10AY,0,AM,"PORTAGG","MEANR")&lt;/Q&gt;&lt;R&gt;121&lt;/R&gt;&lt;C&gt;1&lt;/C&gt;&lt;D xsi:type="xsd:double"&gt;16.1858503792152&lt;/D&gt;&lt;D xsi:type="xsd:double"&gt;16.2801333717397&lt;/D&gt;&lt;D xsi:type="xsd:double"&gt;16.795231551943&lt;/D&gt;&lt;D xsi:type="xsd:double"&gt;16.643311168743&lt;/D&gt;&lt;D xsi:type="xsd:double"&gt;16.6337911586551&lt;/D&gt;&lt;D xsi:type="xsd:double"&gt;16.4685378209581&lt;/D&gt;&lt;D xsi:type="xsd:double"&gt;17.3649551759542&lt;/D&gt;&lt;D xsi:type="xsd:double"&gt;16.7610494951123&lt;/D&gt;&lt;D xsi:type="xsd:double"&gt;18.0997416400488&lt;/D&gt;&lt;D xsi:type="xsd:double"&gt;18.2441207106728&lt;/D&gt;&lt;D xsi:type="xsd:double"&gt;17.8764821609078&lt;/D&gt;&lt;D xsi:type="xsd:double"&gt;17.4365412150429&lt;/D&gt;&lt;D xsi:type="xsd:double"&gt;17.7753509011279&lt;/D&gt;&lt;D xsi:type="xsd:double"&gt;17.5805238336553&lt;/D&gt;&lt;D xsi:type="xsd:double"&gt;18.7158358243584&lt;/D&gt;&lt;D xsi:type="xsd:double"&gt;18.540041679785&lt;/D&gt;&lt;D xsi:type="xsd:double"&gt;17.3115719383548&lt;/D&gt;&lt;D xsi:type="xsd:double"&gt;18.026378496713&lt;/D&gt;&lt;D xsi:type="xsd:double"&gt;17.1561899695912&lt;/D&gt;&lt;D xsi:type="xsd:double"&gt;17.2349364389603&lt;/D&gt;&lt;D xsi:type="xsd:double"&gt;16.3047155927515&lt;/D&gt;&lt;D xsi:type="xsd:double"&gt;16.4155637108195&lt;/D&gt;&lt;D xsi:type="xsd:double"&gt;17.3445562937724&lt;/D&gt;&lt;D xsi:type="xsd:double"&gt;17.5264280495549&lt;/D&gt;&lt;D xsi:type="xsd:double"&gt;16.9874396508989&lt;/D&gt;&lt;D xsi:type="xsd:double"&gt;17.7142308074021&lt;/D&gt;&lt;D xsi:type="xsd:double"&gt;18.1662899472054&lt;/D&gt;&lt;D xsi:type="xsd:double"&gt;18.0386711344866&lt;/D&gt;&lt;D xsi:type="xsd:double"&gt;18.0267864612565&lt;/D&gt;&lt;D xsi:type="xsd:double"&gt;17.6568664653203&lt;/D&gt;&lt;D xsi:type="xsd:double"&gt;16.0725462258212&lt;/D&gt;&lt;D xsi:type="xsd:double"&gt;15.8093838097274&lt;/D&gt;&lt;D xsi:type="xsd:double"&gt;16.6539923243259&lt;/D&gt;&lt;D xsi:type="xsd:double"&gt;17.8704465631181&lt;/D&gt;&lt;D xsi:type="xsd:double"&gt;17.8339309526511&lt;/D&gt;&lt;D xsi:type="xsd:double"&gt;17.8887742035645&lt;/D&gt;&lt;D xsi:type="xsd:double"&gt;17.9805137925049&lt;/D&gt;&lt;D xsi:type="xsd:double"&gt;17.9665400478471&lt;/D&gt;&lt;D xsi:type="xsd:double"&gt;18.7093209575186&lt;/D&gt;&lt;D xsi:type="xsd:double"&gt;18.5629703278111&lt;/D&gt;&lt;D xsi:type="xsd:double"&gt;18.6243484963313&lt;/D&gt;&lt;D xsi:type="xsd:double"&gt;18.7142587769051&lt;/D&gt;&lt;D xsi:type="xsd:double"&gt;18.7810526955954&lt;/D&gt;&lt;D xsi:type="xsd:double"&gt;18.966260413417&lt;/D&gt;&lt;D xsi:type="xsd:double"&gt;19.6815264400131&lt;/D&gt;&lt;D xsi:type="xsd:double"&gt;18.4622168366324&lt;/D&gt;&lt;D xsi:type="xsd:double"&gt;17.5832680599451&lt;/D&gt;&lt;D xsi:type="xsd:double"&gt;18.444312105261&lt;/D&gt;&lt;D xsi:type="xsd:double"&gt;17.882352801551&lt;/D&gt;&lt;D xsi:type="xsd:double"&gt;18.6409884982685&lt;/D&gt;&lt;D xsi:type="xsd:double"&gt;18.8135026928498&lt;/D&gt;&lt;D xsi:type="xsd:double"&gt;19.895904100207&lt;/D&gt;&lt;D xsi:type="xsd:double"&gt;18.9345660082847&lt;/D&gt;&lt;D xsi:type="xsd:double"&gt;16.734150078171&lt;/D&gt;&lt;D xsi:type="xsd:double"&gt;17.7240224659491&lt;/D&gt;&lt;D xsi:type="xsd:double"&gt;17.8790354021236&lt;/D&gt;&lt;D xsi:type="xsd:double"&gt;18.0166980989502&lt;/D&gt;&lt;D xsi:type="xsd:double"&gt;18.1490388233834&lt;/D&gt;&lt;D xsi:type="xsd:double"&gt;18.9158918926833&lt;/D&gt;&lt;D xsi:type="xsd:double"&gt;18.9623162934121&lt;/D&gt;&lt;D xsi:type="xsd:double"&gt;18.9014954469315&lt;/D&gt;&lt;D xsi:type="xsd:double"&gt;18.7536587002126&lt;/D&gt;&lt;D xsi:type="xsd:double"&gt;18.2143080703131&lt;/D&gt;&lt;D xsi:type="xsd:double"&gt;17.8568873823695&lt;/D&gt;&lt;D xsi:type="xsd:double"&gt;18.5226097869125&lt;/D&gt;&lt;D xsi:type="xsd:double"&gt;18.4665811984823&lt;/D&gt;&lt;D xsi:type="xsd:double"&gt;19.2624503451712&lt;/D&gt;&lt;D xsi:type="xsd:double"&gt;19.2981933383799&lt;/D&gt;&lt;D xsi:type="xsd:double"&gt;19.3492808646462&lt;/D&gt;&lt;D xsi:type="xsd:double"&gt;19.2032085614283&lt;/D&gt;&lt;D xsi:type="xsd:double"&gt;12.3508402999862&lt;/D&gt;&lt;D xsi:type="xsd:double"&gt;16.9609883646866&lt;/D&gt;&lt;D xsi:type="xsd:double"&gt;18.431491499937&lt;/D&gt;&lt;D xsi:type="xsd:double"&gt;22.3632473402897&lt;/D&gt;&lt;D xsi:type="xsd:double"&gt;23.8963073179756&lt;/D&gt;&lt;D xsi:type="xsd:double"&gt;23.4865381362292&lt;/D&gt;&lt;D xsi:type="xsd:double"&gt;22.3566263798538&lt;/D&gt;&lt;D xsi:type="xsd:double"&gt;22.7567227499583&lt;/D&gt;&lt;D xsi:type="xsd:double"&gt;22.7674774154467&lt;/D&gt;&lt;D xsi:type="xsd:double"&gt;23.8177662061332&lt;/D&gt;&lt;D xsi:type="xsd:double"&gt;24.0237565970965&lt;/D&gt;&lt;D xsi:type="xsd:double"&gt;23.0540706618119&lt;/D&gt;&lt;D xsi:type="xsd:double"&gt;23.1350894848954&lt;/D&gt;&lt;D xsi:type="xsd:double"&gt;21.9621030597425&lt;/D&gt;&lt;D xsi:type="xsd:double"&gt;22.5164424395947&lt;/D&gt;&lt;D xsi:type="xsd:double"&gt;23.1406832281456&lt;/D&gt;&lt;D xsi:type="xsd:double"&gt;23.1862795627982&lt;/D&gt;&lt;D xsi:type="xsd:double"&gt;23.5689142658898&lt;/D&gt;&lt;D xsi:type="xsd:double"&gt;24.9854420520909&lt;/D&gt;&lt;D xsi:type="xsd:double"&gt;24.2865305952417&lt;/D&gt;&lt;D xsi:type="xsd:double"&gt;23.2523186449259&lt;/D&gt;&lt;D xsi:type="xsd:double"&gt;22.8736872046238&lt;/D&gt;&lt;D xsi:type="xsd:double"&gt;22.9733723203471&lt;/D&gt;&lt;D xsi:type="xsd:double"&gt;21.7933323652282&lt;/D&gt;&lt;D xsi:type="xsd:double"&gt;21.8173904691281&lt;/D&gt;&lt;D xsi:type="xsd:double"&gt;21.9155441530433&lt;/D&gt;&lt;D xsi:type="xsd:double"&gt;20.3152066135379&lt;/D&gt;&lt;D xsi:type="xsd:double"&gt;19.6282673028032&lt;/D&gt;&lt;D xsi:type="xsd:double"&gt;21.2814101262505&lt;/D&gt;&lt;D xsi:type="xsd:double"&gt;22.4845347641519&lt;/D&gt;&lt;D xsi:type="xsd:double"&gt;21.9105363763899&lt;/D&gt;&lt;D xsi:type="xsd:double"&gt;21.8261459478784&lt;/D&gt;&lt;D xsi:type="xsd:double"&gt;22.2995432689812&lt;/D&gt;&lt;D xsi:type="xsd:double"&gt;21.596070789354&lt;/D&gt;&lt;D xsi:type="xsd:double"&gt;21.7003919184449&lt;/D&gt;&lt;D xsi:type="xsd:double"&gt;20.4904989516316&lt;/D&gt;&lt;D xsi:type="xsd:double"&gt;19.7347640994294&lt;/D&gt;&lt;D xsi:type="xsd:double"&gt;20.0973612965228&lt;/D&gt;&lt;D xsi:type="xsd:double"&gt;20.9208425071763&lt;/D&gt;&lt;D xsi:type="xsd:double"&gt;21.3193595169276&lt;/D&gt;&lt;D xsi:type="xsd:double"&gt;21.6139295326181&lt;/D&gt;&lt;D xsi:type="xsd:double"&gt;20.8523909662835&lt;/D&gt;&lt;D xsi:type="xsd:double"&gt;20.6744924085181&lt;/D&gt;&lt;D xsi:type="xsd:double"&gt;19.9793459958577&lt;/D&gt;&lt;D xsi:type="xsd:double"&gt;20.4056910341672&lt;/D&gt;&lt;D xsi:type="xsd:double"&gt;21.6872204061562&lt;/D&gt;&lt;D xsi:type="xsd:double"&gt;21.6620898727823&lt;/D&gt;&lt;D xsi:type="xsd:double"&gt;22.7490879451604&lt;/D&gt;&lt;D xsi:type="xsd:double"&gt;22.1757255803005&lt;/D&gt;&lt;D xsi:type="xsd:double"&gt;22.4314658615307&lt;/D&gt;&lt;D xsi:type="xsd:double"&gt;22.6354821810386&lt;/D&gt;&lt;/FQL&gt;&lt;FQL&gt;&lt;Q&gt;SET-BKK^FMA_PE(LTMA,-10AY,0,AM,"PORTAGG","MEANR")&lt;/Q&gt;&lt;R&gt;121&lt;/R&gt;&lt;C&gt;1&lt;/C&gt;&lt;D xsi:type="xsd:double"&gt;17.9683104011173&lt;/D&gt;&lt;D xsi:type="xsd:double"&gt;17.7540980751045&lt;/D&gt;&lt;D xsi:type="xsd:double"&gt;17.876426786822&lt;/D&gt;&lt;D xsi:type="xsd:double"&gt;18.928968631504&lt;/D&gt;&lt;D xsi:type="xsd:double"&gt;19.2611549294007&lt;/D&gt;&lt;D xsi:type="xsd:double"&gt;18.7515583322989&lt;/D&gt;&lt;D xsi:type="xsd:double"&gt;19.8692532123071&lt;/D&gt;&lt;D xsi:type="xsd:double"&gt;19.6825292178692&lt;/D&gt;&lt;D xsi:type="xsd:double"&gt;21.63619461461&lt;/D&gt;&lt;D xsi:type="xsd:double"&gt;23.7481881405945&lt;/D&gt;&lt;D xsi:type="xsd:double"&gt;22.9864655797668&lt;/D&gt;&lt;D xsi:type="xsd:double"&gt;22.3323804204577&lt;/D&gt;&lt;D xsi:type="xsd:double"&gt;21.9152291922697&lt;/D&gt;&lt;D xsi:type="xsd:double"&gt;21.1418197247432&lt;/D&gt;&lt;D xsi:type="xsd:double"&gt;20.3753624931508&lt;/D&gt;&lt;D xsi:type="xsd:double"&gt;19.3101298418468&lt;/D&gt;&lt;D xsi:type="xsd:double"&gt;18.7847263156343&lt;/D&gt;&lt;D xsi:type="xsd:double"&gt;18.5804721499587&lt;/D&gt;&lt;D xsi:type="xsd:double"&gt;16.398195366225&lt;/D&gt;&lt;D xsi:type="xsd:double"&gt;14.3124822080112&lt;/D&gt;&lt;D xsi:type="xsd:double"&gt;14.1853776975919&lt;/D&gt;&lt;D xsi:type="xsd:double"&gt;16.8093787569411&lt;/D&gt;&lt;D xsi:type="xsd:double"&gt;16.6446148255193&lt;/D&gt;&lt;D xsi:type="xsd:double"&gt;16.4851447322961&lt;/D&gt;&lt;D xsi:type="xsd:double"&gt;16.1982157129593&lt;/D&gt;&lt;D xsi:type="xsd:double"&gt;16.3906781229982&lt;/D&gt;&lt;D xsi:type="xsd:double"&gt;16.7385245729654&lt;/D&gt;&lt;D xsi:type="xsd:double"&gt;16.6594281429348&lt;/D&gt;&lt;D xsi:type="xsd:double"&gt;16.1876053008959&lt;/D&gt;&lt;D xsi:type="xsd:double"&gt;16.1364387990792&lt;/D&gt;&lt;D xsi:type="xsd:double"&gt;15.9928619792093&lt;/D&gt;&lt;D xsi:type="xsd:double"&gt;15.9753524132961&lt;/D&gt;&lt;D xsi:type="xsd:double"&gt;16.5401514321921&lt;/D&gt;&lt;D xsi:type="xsd:double"&gt;16.2447226979276&lt;/D&gt;&lt;D xsi:type="xsd:double"&gt;16.2923404508953&lt;/D&gt;&lt;D xsi:type="xsd:double"&gt;16.2108084749651&lt;/D&gt;&lt;D xsi:type="xsd:double"&gt;16.0797574654153&lt;/D&gt;&lt;D xsi:type="xsd:double"&gt;16.103815405071&lt;/D&gt;&lt;D xsi:type="xsd:double"&gt;15.9639325229063&lt;/D&gt;&lt;D xsi:type="xsd:double"&gt;15.9247481651098&lt;/D&gt;&lt;D xsi:type="xsd:double"&gt;16.4675958906444&lt;/D&gt;&lt;D xsi:type="xsd:double"&gt;16.6521787663744&lt;/D&gt;&lt;D xsi:type="xsd:double"&gt;17.0822927421012&lt;/D&gt;&lt;D xsi:type="xsd:double"&gt;17.6273258638553&lt;/D&gt;&lt;D xsi:type="xsd:double"&gt;18.6132661980334&lt;/D&gt;&lt;D xsi:type="xsd:double"&gt;17.7249493705512&lt;/D&gt;&lt;D xsi:type="xsd:double"&gt;17.5849263957473&lt;/D&gt;&lt;D xsi:type="xsd:double"&gt;17.3363496796833&lt;/D&gt;&lt;D xsi:type="xsd:double"&gt;17.2187247792311&lt;/D&gt;&lt;D xsi:type="xsd:double"&gt;16.5309966865515&lt;/D&gt;&lt;D xsi:type="xsd:double"&gt;16.4824479247237&lt;/D&gt;&lt;D xsi:type="xsd:double"&gt;16.3384676825658&lt;/D&gt;&lt;D xsi:type="xsd:double"&gt;16.5200131803121&lt;/D&gt;&lt;D xsi:type="xsd:double"&gt;15.6217997234097&lt;/D&gt;&lt;D xsi:type="xsd:double"&gt;15.0525538952226&lt;/D&gt;&lt;D xsi:type="xsd:double"&gt;14.6268210921821&lt;/D&gt;&lt;D xsi:type="xsd:double"&gt;15.0870046453986&lt;/D&gt;&lt;D xsi:type="xsd:double"&gt;16.1368518600436&lt;/D&gt;&lt;D xsi:type="xsd:double"&gt;16.1843033965842&lt;/D&gt;&lt;D xsi:type="xsd:double"&gt;16.1704674070726&lt;/D&gt;&lt;D xsi:type="xsd:double"&gt;15.9467502686496&lt;/D&gt;&lt;D xsi:type="xsd:double"&gt;16.4052406321184&lt;/D&gt;&lt;D xsi:type="xsd:double"&gt;16.5134668165064&lt;/D&gt;&lt;D xsi:type="xsd:double"&gt;16.3570255339711&lt;/D&gt;&lt;D xsi:type="xsd:double"&gt;16.2946398577232&lt;/D&gt;&lt;D xsi:type="xsd:double"&gt;16.7642580188424&lt;/D&gt;&lt;D xsi:type="xsd:double"&gt;17.1764326592213&lt;/D&gt;&lt;D xsi:type="xsd:double"&gt;16.921163361369&lt;/D&gt;&lt;D xsi:type="xsd:double"&gt;16.9519708439416&lt;/D&gt;&lt;D xsi:type="xsd:double"&gt;16.6534562126067&lt;/D&gt;&lt;D xsi:type="xsd:double"&gt;14.2779809217128&lt;/D&gt;&lt;D xsi:type="xsd:double"&gt;15.389138485182&lt;/D&gt;&lt;D xsi:type="xsd:double"&gt;16.8994347528871&lt;/D&gt;&lt;D xsi:type="xsd:double"&gt;18.1668464671233&lt;/D&gt;&lt;D xsi:type="xsd:double"&gt;19.2996287894001&lt;/D&gt;&lt;D xsi:type="xsd:double"&gt;20.0194271252196&lt;/D&gt;&lt;D xsi:type="xsd:double"&gt;21.0333277556917&lt;/D&gt;&lt;D xsi:type="xsd:double"&gt;21.2040832526022&lt;/D&gt;&lt;D xsi:type="xsd:double"&gt;23.8823656888042&lt;/D&gt;&lt;D xsi:type="xsd:double"&gt;26.3929838211241&lt;/D&gt;&lt;D xsi:type="xsd:double"&gt;27.3488796233457&lt;/D&gt;&lt;D xsi:type="xsd:double"&gt;28.0178782749059&lt;/D&gt;&lt;D xsi:type="xsd:double"&gt;27.2086870956547&lt;/D&gt;&lt;D xsi:type="xsd:double"&gt;26.2787500960667&lt;/D&gt;&lt;D xsi:type="xsd:double"&gt;25.0554580566657&lt;/D&gt;&lt;D xsi:type="xsd:double"&gt;24.0592653875838&lt;/D&gt;&lt;D xsi:type="xsd:double"&gt;22.8878184414994&lt;/D&gt;&lt;D xsi:type="xsd:double"&gt;22.2445039816425&lt;/D&gt;&lt;D xsi:type="xsd:double"&gt;21.6850316788338&lt;/D&gt;&lt;D xsi:type="xsd:double"&gt;20.8666273659177&lt;/D&gt;&lt;D xsi:type="xsd:double"&gt;20.0064934161273&lt;/D&gt;&lt;D xsi:type="xsd:double"&gt;18.9937292241579&lt;/D&gt;&lt;D xsi:type="xsd:double"&gt;18.8591558674637&lt;/D&gt;&lt;D xsi:type="xsd:double"&gt;19.0367574676988&lt;/D&gt;&lt;D xsi:type="xsd:double"&gt;18.8137743146148&lt;/D&gt;&lt;D xsi:type="xsd:double"&gt;18.5473331204573&lt;/D&gt;&lt;D xsi:type="xsd:double"&gt;18.2379034437355&lt;/D&gt;&lt;D xsi:type="xsd:double"&gt;17.5327125901996&lt;/D&gt;&lt;D xsi:type="xsd:double"&gt;17.2058886772696&lt;/D&gt;&lt;D xsi:type="xsd:double"&gt;17.1734649507015&lt;/D&gt;&lt;D xsi:type="xsd:double"&gt;16.7805007996451&lt;/D&gt;&lt;D xsi:type="xsd:double"&gt;16.3077657963328&lt;/D&gt;&lt;D xsi:type="xsd:double"&gt;16.6336794172685&lt;/D&gt;&lt;D xsi:type="xsd:double"&gt;16.4385424480557&lt;/D&gt;&lt;D xsi:type="xsd:double"&gt;17.2867793868425&lt;/D&gt;&lt;D xsi:type="xsd:double"&gt;17.3736755096481&lt;/D&gt;&lt;D xsi:type="xsd:double"&gt;17.3346131644958&lt;/D&gt;&lt;D xsi:type="xsd:double"&gt;17.2001414844468&lt;/D&gt;&lt;D xsi:type="xsd:double"&gt;17.1450236927887&lt;/D&gt;&lt;D xsi:type="xsd:double"&gt;17.0321134537969&lt;/D&gt;&lt;D xsi:type="xsd:double"&gt;17.2825806831746&lt;/D&gt;&lt;D xsi:type="xsd:double"&gt;17.6093045807655&lt;/D&gt;&lt;D xsi:type="xsd:double"&gt;17.3754710079527&lt;/D&gt;&lt;D xsi:type="xsd:double"&gt;16.477858724914&lt;/D&gt;&lt;D xsi:type="xsd:double"&gt;16.2996059134883&lt;/D&gt;&lt;D xsi:type="xsd:double"&gt;16.2751352153773&lt;/D&gt;&lt;D xsi:type="xsd:double"&gt;15.2547082824294&lt;/D&gt;&lt;D xsi:type="xsd:double"&gt;16.9085249309239&lt;/D&gt;&lt;D xsi:type="xsd:double"&gt;16.5510400288684&lt;/D&gt;&lt;D xsi:type="xsd:double"&gt;16.3159107526044&lt;/D&gt;&lt;D xsi:type="xsd:double"&gt;16.2047438383323&lt;/D&gt;&lt;/FQL&gt;&lt;FQL&gt;&lt;Q&gt;BRENT-FDS^FG_PRICE_CHANGE(0,-1AM)&lt;/Q&gt;&lt;R&gt;1&lt;/R&gt;&lt;C&gt;1&lt;/C&gt;&lt;D xsi:type="xsd:double"&gt;0&lt;/D&gt;&lt;/FQL&gt;&lt;FQL&gt;&lt;Q&gt;GREK^FG_PRICE_MAVG(0,,,,200)&lt;/Q&gt;&lt;R&gt;1&lt;/R&gt;&lt;C&gt;1&lt;/C&gt;&lt;D xsi:type="xsd:double"&gt;37.766235&lt;/D&gt;&lt;/FQL&gt;&lt;FQL&gt;&lt;Q&gt;EWW^FG_PRICE_MAVG(0,,,,30)&lt;/Q&gt;&lt;R&gt;1&lt;/R&gt;&lt;C&gt;1&lt;/C&gt;&lt;D xsi:type="xsd:double"&gt;66.89367&lt;/D&gt;&lt;/FQL&gt;&lt;FQL&gt;&lt;Q&gt;EPHE^FG_PRICE_MAVG(0,,,,200)&lt;/Q&gt;&lt;R&gt;1&lt;/R&gt;&lt;C&gt;1&lt;/C&gt;&lt;D xsi:type="xsd:double"&gt;25.67962&lt;/D&gt;&lt;/FQL&gt;&lt;FQL&gt;&lt;Q&gt;KSA^P_PRICE(0)/P_PRICE_HIGH_PR(0,,,,,,"PRICE","INTRA","52W")&lt;/Q&gt;&lt;R&gt;1&lt;/R&gt;&lt;C&gt;1&lt;/C&gt;&lt;D xsi:type="xsd:double"&gt;0.9145138&lt;/D&gt;&lt;/FQL&gt;&lt;FQL&gt;&lt;Q&gt;UAE^P_PRICE(0)/P_PRICE_HIGH_PR(0,,,,,,"PRICE","INTRA","52W")&lt;/Q&gt;&lt;R&gt;1&lt;/R&gt;&lt;C&gt;1&lt;/C&gt;&lt;D xsi:type="xsd:double"&gt;0.89256114&lt;/D&gt;&lt;/FQL&gt;&lt;FQL&gt;&lt;Q&gt;SET-BKK^P_PRICE(0)/P_PRICE_HIGH_PR(0,,,,,,"PRICE","INTRA","52W")&lt;/Q&gt;&lt;R&gt;1&lt;/R&gt;&lt;C&gt;1&lt;/C&gt;&lt;D xsi:type="xsd:double"&gt;0.8660339&lt;/D&gt;&lt;/FQL&gt;&lt;FQL&gt;&lt;Q&gt;MCHI^P_PRICE(0)/P_PRICE_HIGH_PR(0,,,,,,"PRICE","INTRA","52W")&lt;/Q&gt;&lt;R&gt;1&lt;/R&gt;&lt;C&gt;1&lt;/C&gt;&lt;D xsi:type="xsd:double"&gt;0.9020825&lt;/D&gt;&lt;/FQL&gt;&lt;FQL&gt;&lt;Q&gt;GREK^FG_TOTAL_RETURNC(0,-3AM)&lt;/Q&gt;&lt;R&gt;1&lt;/R&gt;&lt;C&gt;1&lt;/C&gt;&lt;D xsi:type="xsd:double"&gt;4.475379&lt;/D&gt;&lt;/FQL&gt;&lt;FQL&gt;&lt;Q&gt;EWZ^FG_TOTAL_RETURNC(0,-3AM)&lt;/Q&gt;&lt;R&gt;1&lt;/R&gt;&lt;C&gt;1&lt;/C&gt;&lt;D xsi:type="xsd:double"&gt;-7.4879227&lt;/D&gt;&lt;/FQL&gt;&lt;FQL&gt;&lt;Q&gt;EWW^FG_TOTAL_RETURNC(0,-3AM)&lt;/Q&gt;&lt;R&gt;1&lt;/R&gt;&lt;C&gt;1&lt;/C&gt;&lt;D xsi:type="xsd:double"&gt;-0.075149536&lt;/D&gt;&lt;/FQL&gt;&lt;FQL&gt;&lt;Q&gt;EPOL^FG_TOTAL_RETURNC(0,-6AM)&lt;/Q&gt;&lt;R&gt;1&lt;/R&gt;&lt;C&gt;1&lt;/C&gt;&lt;D xsi:type="xsd:double"&gt;19.462717&lt;/D&gt;&lt;/FQL&gt;&lt;FQL&gt;&lt;Q&gt;CNYA^P_PRICE(0)/P_PRICE_HIGH_PR(0,,,,,,"PRICE","INTRA","52W")&lt;/Q&gt;&lt;R&gt;1&lt;/R&gt;&lt;C&gt;1&lt;/C&gt;&lt;D xsi:type="xsd:double"&gt;0.85334617&lt;/D&gt;&lt;/FQL&gt;&lt;FQL&gt;&lt;Q&gt;VWO^PERCENT_CHANGE(FMA_EPS(+1,0,,,,"PORTAGG","MEAN"),FMA_EPS(+1,-3AM,,,,"PORTAGG","MEAN"))&lt;/Q&gt;&lt;R&gt;1&lt;/R&gt;&lt;C&gt;1&lt;/C&gt;&lt;D xsi:type="xsd:double"&gt;-4.17475040822807&lt;/D&gt;&lt;/FQL&gt;&lt;FQL&gt;&lt;Q&gt;VGK^SIZE(FG_CONSTITUENTS)&lt;/Q&gt;&lt;R&gt;1&lt;/R&gt;&lt;C&gt;1&lt;/C&gt;&lt;D xsi:type="xsd:long"&gt;1281&lt;/D&gt;&lt;/FQL&gt;&lt;FQL&gt;&lt;Q&gt;EWZ^FMA_COS_UP("EPS","1M",+1,NOW,,,"PORTAGG","MEANR")&lt;/Q&gt;&lt;R&gt;1&lt;/R&gt;&lt;C&gt;1&lt;/C&gt;&lt;D xsi:type="xsd:double"&gt;18&lt;/D&gt;&lt;/FQL&gt;&lt;FQL&gt;&lt;Q&gt;CAGDPY@CL^EE_ACTUAL_ANNUAL(MED,+1)&lt;/Q&gt;&lt;R&gt;1&lt;/R&gt;&lt;C&gt;1&lt;/C&gt;&lt;D xsi:type="xsd:double"&gt;-3.5&lt;/D&gt;&lt;/FQL&gt;&lt;FQL&gt;&lt;Q&gt;CC_PL^FG_COMPANY_NAME&lt;/Q&gt;&lt;R&gt;1&lt;/R&gt;&lt;C&gt;1&lt;/C&gt;&lt;D xsi:type="xsd:string"&gt;Poland&lt;/D&gt;&lt;/FQL&gt;&lt;FQL&gt;&lt;Q&gt;USDTHB^FG_COMPANY_NAME&lt;/Q&gt;&lt;R&gt;1&lt;/R&gt;&lt;C&gt;1&lt;/C&gt;&lt;D xsi:type="xsd:string"&gt;Thailand Baht per U.S. Dollar&lt;/D&gt;&lt;/FQL&gt;&lt;FQL&gt;&lt;Q&gt;USDINR^FG_PRICE_CHANGE(0,-3AM)&lt;/Q&gt;&lt;R&gt;1&lt;/R&gt;&lt;C&gt;1&lt;/C&gt;&lt;D xsi:type="xsd:double"&gt;0.3993392&lt;/D&gt;&lt;/FQL&gt;&lt;FQL&gt;&lt;Q&gt;USDMXN^FG_COMPANY_NAME&lt;/Q&gt;&lt;R&gt;1&lt;/R&gt;&lt;C&gt;1&lt;/C&gt;&lt;D xsi:type="xsd:string"&gt;Mexican Peso per U.S. Dollar&lt;/D&gt;&lt;/FQL&gt;&lt;FQL&gt;&lt;Q&gt;USDIDR^STD(FG_PRICE_CHANGE(0,-1AY,AM))&lt;/Q&gt;&lt;R&gt;1&lt;/R&gt;&lt;C&gt;1&lt;/C&gt;&lt;D xsi:type="xsd:double"&gt;1.60745084172042&lt;/D&gt;&lt;/FQL&gt;&lt;FQL&gt;&lt;Q&gt;EWT^FG_TOTAL_RETURNC(-10AY,0,AM)&lt;/Q&gt;&lt;R&gt;121&lt;/R&gt;&lt;C&gt;1&lt;/C&gt;&lt;D xsi:type="xsd:double"&gt;2.1753907&lt;/D&gt;&lt;D xsi:type="xsd:double"&gt;2.9940128&lt;/D&gt;&lt;D xsi:type="xsd:double"&gt;5.426359&lt;/D&gt;&lt;D xsi:type="xsd:double"&gt;0&lt;/D&gt;&lt;D xsi:type="xsd:double"&gt;-4.411763&lt;/D&gt;&lt;D xsi:type="xsd:double"&gt;-1.7307699&lt;/D&gt;&lt;D xsi:type="xsd:double"&gt;3.84866&lt;/D&gt;&lt;D xsi:type="xsd:double"&gt;-4.7463655&lt;/D&gt;&lt;D xsi:type="xsd:double"&gt;6.1197042&lt;/D&gt;&lt;D xsi:type="xsd:double"&gt;-0.12673736&lt;/D&gt;&lt;D xsi:type="xsd:double"&gt;2.474618&lt;/D&gt;&lt;D xsi:type="xsd:double"&gt;2.4767756&lt;/D&gt;&lt;D xsi:type="xsd:double"&gt;-0.66464543&lt;/D&gt;&lt;D xsi:type="xsd:double"&gt;-2.4330854&lt;/D&gt;&lt;D xsi:type="xsd:double"&gt;-6.7331734&lt;/D&gt;&lt;D xsi:type="xsd:double"&gt;-16.778076&lt;/D&gt;&lt;D xsi:type="xsd:double"&gt;6.506026&lt;/D&gt;&lt;D xsi:type="xsd:double"&gt;8.371043&lt;/D&gt;&lt;D xsi:type="xsd:double"&gt;-4.105777&lt;/D&gt;&lt;D xsi:type="xsd:double"&gt;-1.8485844&lt;/D&gt;&lt;D xsi:type="xsd:double"&gt;-9.98475&lt;/D&gt;&lt;D xsi:type="xsd:double"&gt;7.451308&lt;/D&gt;&lt;D xsi:type="xsd:double"&gt;7.8014255&lt;/D&gt;&lt;D xsi:type="xsd:double"&gt;-2.192986&lt;/D&gt;&lt;D xsi:type="xsd:double"&gt;-3.2884955&lt;/D&gt;&lt;D xsi:type="xsd:double"&gt;9.814537&lt;/D&gt;&lt;D xsi:type="xsd:double"&gt;5.2779675&lt;/D&gt;&lt;D xsi:type="xsd:double"&gt;0.6016016&lt;/D&gt;&lt;D xsi:type="xsd:double"&gt;4.0531516&lt;/D&gt;&lt;D xsi:type="xsd:double"&gt;0.5108595&lt;/D&gt;&lt;D xsi:type="xsd:double"&gt;-3.113085&lt;/D&gt;&lt;D xsi:type="xsd:double"&gt;-2.1254718&lt;/D&gt;&lt;D xsi:type="xsd:double"&gt;6.515777&lt;/D&gt;&lt;D xsi:type="xsd:double"&gt;5.2157164&lt;/D&gt;&lt;D xsi:type="xsd:double"&gt;2.6315808&lt;/D&gt;&lt;D xsi:type="xsd:double"&gt;-1.7292857&lt;/D&gt;&lt;D xsi:type="xsd:double"&gt;4.5813203&lt;/D&gt;&lt;D xsi:type="xsd:double"&gt;3.2492042&lt;/D&gt;&lt;D xsi:type="xsd:double"&gt;2.2478223&lt;/D&gt;&lt;D xsi:type="xsd:double"&gt;1.099205&lt;/D&gt;&lt;D xsi:type="xsd:double"&gt;-0.70672035&lt;/D&gt;&lt;D xsi:type="xsd:double"&gt;2.84698&lt;/D&gt;&lt;D xsi:type="xsd:double"&gt;1.9962788&lt;/D&gt;&lt;D xsi:type="xsd:double"&gt;-3.878826&lt;/D&gt;&lt;D xsi:type="xsd:double"&gt;9.413409&lt;/D&gt;&lt;D xsi:type="xsd:double"&gt;-3.8294613&lt;/D&gt;&lt;D xsi:type="xsd:double"&gt;-1.4600456&lt;/D&gt;&lt;D xsi:type="xsd:double"&gt;-1.7241359&lt;/D&gt;&lt;D xsi:type="xsd:double"&gt;1.4254451&lt;/D&gt;&lt;D xsi:type="xsd:double"&gt;-2.5945902&lt;/D&gt;&lt;D xsi:type="xsd:double"&gt;2.7469397&lt;/D&gt;&lt;D xsi:type="xsd:double"&gt;-0.2700448&lt;/D&gt;&lt;D xsi:type="xsd:double"&gt;1.4622331&lt;/D&gt;&lt;D xsi:type="xsd:double"&gt;-11.929548&lt;/D&gt;&lt;D xsi:type="xsd:double"&gt;-2.121216&lt;/D&gt;&lt;D xsi:type="xsd:double"&gt;-0.17008781&lt;/D&gt;&lt;D xsi:type="xsd:double"&gt;2.5271893&lt;/D&gt;&lt;D xsi:type="xsd:double"&gt;5.023408&lt;/D&gt;&lt;D xsi:type="xsd:double"&gt;1.1883616&lt;/D&gt;&lt;D xsi:type="xsd:double"&gt;6.0187936&lt;/D&gt;&lt;D xsi:type="xsd:double"&gt;-9.997231&lt;/D&gt;&lt;D xsi:type="xsd:double"&gt;7.9076886&lt;/D&gt;&lt;D xsi:type="xsd:double"&gt;2.5663018&lt;/D&gt;&lt;D xsi:type="xsd:double"&gt;-5.8382034&lt;/D&gt;&lt;D xsi:type="xsd:double"&gt;7.6468825&lt;/D&gt;&lt;D xsi:type="xsd:double"&gt;5.2934766&lt;/D&gt;&lt;D xsi:type="xsd:double"&gt;3.5686374&lt;/D&gt;&lt;D xsi:type="xsd:double"&gt;5.829346&lt;/D&gt;&lt;D xsi:type="xsd:double"&gt;-0.73081255&lt;/D&gt;&lt;D xsi:type="xsd:double"&gt;-3.8036764&lt;/D&gt;&lt;D xsi:type="xsd:double"&gt;-22.06633&lt;/D&gt;&lt;D xsi:type="xsd:double"&gt;15.024555&lt;/D&gt;&lt;D xsi:type="xsd:double"&gt;3.756404&lt;/D&gt;&lt;D xsi:type="xsd:double"&gt;10.477233&lt;/D&gt;&lt;D xsi:type="xsd:double"&gt;7.621646&lt;/D&gt;&lt;D xsi:type="xsd:double"&gt;2.306807&lt;/D&gt;&lt;D xsi:type="xsd:double"&gt;-1.0372043&lt;/D&gt;&lt;D xsi:type="xsd:double"&gt;5.901122&lt;/D&gt;&lt;D xsi:type="xsd:double"&gt;8.067989&lt;/D&gt;&lt;D xsi:type="xsd:double"&gt;4.1080832&lt;/D&gt;&lt;D xsi:type="xsd:double"&gt;13.951672&lt;/D&gt;&lt;D xsi:type="xsd:double"&gt;2.4452806&lt;/D&gt;&lt;D xsi:type="xsd:double"&gt;-3.1881154&lt;/D&gt;&lt;D xsi:type="xsd:double"&gt;10.034477&lt;/D&gt;&lt;D xsi:type="xsd:double"&gt;-7.2704496&lt;/D&gt;&lt;D xsi:type="xsd:double"&gt;5.8803678&lt;/D&gt;&lt;D xsi:type="xsd:double"&gt;1.6916752&lt;/D&gt;&lt;D xsi:type="xsd:double"&gt;-2.7306974&lt;/D&gt;&lt;D xsi:type="xsd:double"&gt;3.614068&lt;/D&gt;&lt;D xsi:type="xsd:double"&gt;-3.3634365&lt;/D&gt;&lt;D xsi:type="xsd:double"&gt;5.7202697&lt;/D&gt;&lt;D xsi:type="xsd:double"&gt;2.940929&lt;/D&gt;&lt;D xsi:type="xsd:double"&gt;-1.6430855&lt;/D&gt;&lt;D xsi:type="xsd:double"&gt;-0.46404004&lt;/D&gt;&lt;D xsi:type="xsd:double"&gt;-4.118103&lt;/D&gt;&lt;D xsi:type="xsd:double"&gt;-7.714754&lt;/D&gt;&lt;D xsi:type="xsd:double"&gt;-3.547597&lt;/D&gt;&lt;D xsi:type="xsd:double"&gt;-5.3896546&lt;/D&gt;&lt;D xsi:type="xsd:double"&gt;-2.1555007&lt;/D&gt;&lt;D xsi:type="xsd:double"&gt;1.219511&lt;/D&gt;&lt;D xsi:type="xsd:double"&gt;-12.417412&lt;/D&gt;&lt;D xsi:type="xsd:double"&gt;-6.345683&lt;/D&gt;&lt;D xsi:type="xsd:double"&gt;16.20469&lt;/D&gt;&lt;D xsi:type="xsd:double"&gt;-2.3115993&lt;/D&gt;&lt;D xsi:type="xsd:double"&gt;10.443354&lt;/D&gt;&lt;D xsi:type="xsd:double"&gt;0.08920431&lt;/D&gt;&lt;D xsi:type="xsd:double"&gt;1.3146162&lt;/D&gt;&lt;D xsi:type="xsd:double"&gt;-3.342867&lt;/D&gt;&lt;D xsi:type="xsd:double"&gt;2.275312&lt;/D&gt;&lt;D xsi:type="xsd:double"&gt;4.8720717&lt;/D&gt;&lt;D xsi:type="xsd:double"&gt;0.70004463&lt;/D&gt;&lt;D xsi:type="xsd:double"&gt;-3.4126878&lt;/D&gt;&lt;D xsi:type="xsd:double"&gt;-2.5081754&lt;/D&gt;&lt;D xsi:type="xsd:double"&gt;-1.3199091&lt;/D&gt;&lt;D xsi:type="xsd:double"&gt;9.317613&lt;/D&gt;&lt;D xsi:type="xsd:double"&gt;3.959608&lt;/D&gt;&lt;D xsi:type="xsd:double"&gt;0.20238161&lt;/D&gt;&lt;D xsi:type="xsd:double"&gt;4.151702&lt;/D&gt;&lt;D xsi:type="xsd:double"&gt;4.891193&lt;/D&gt;&lt;D xsi:type="xsd:double"&gt;-4.8685255&lt;/D&gt;&lt;D xsi:type="xsd:double"&gt;10.21378&lt;/D&gt;&lt;/FQL&gt;&lt;FQL&gt;&lt;Q&gt;EWZ^FMA_DIV_YLD(NTMA,-10AY,0,AM,"PORTAGG","MEANR")&lt;/Q&gt;&lt;R&gt;121&lt;/R&gt;&lt;C&gt;1&lt;/C&gt;&lt;D xsi:type="xsd:double"&gt;4.09193031221882&lt;/D&gt;&lt;D xsi:type="xsd:double"&gt;4.0183218835538&lt;/D&gt;&lt;D xsi:type="xsd:double"&gt;3.75606035755555&lt;/D&gt;&lt;D xsi:type="xsd:double"&gt;3.67675860840491&lt;/D&gt;&lt;D xsi:type="xsd:double"&gt;3.81172924840923&lt;/D&gt;&lt;D xsi:type="xsd:double"&gt;4.07961015593689&lt;/D&gt;&lt;D xsi:type="xsd:double"&gt;3.61218458970893&lt;/D&gt;&lt;D xsi:type="xsd:double"&gt;4.06541739669085&lt;/D&gt;&lt;D xsi:type="xsd:double"&gt;4.07466921341647&lt;/D&gt;&lt;D xsi:type="xsd:double"&gt;3.95571661712725&lt;/D&gt;&lt;D xsi:type="xsd:double"&gt;3.81905729357969&lt;/D&gt;&lt;D xsi:type="xsd:double"&gt;3.63668299488428&lt;/D&gt;&lt;D xsi:type="xsd:double"&gt;3.7394643210628&lt;/D&gt;&lt;D xsi:type="xsd:double"&gt;3.89961063539436&lt;/D&gt;&lt;D xsi:type="xsd:double"&gt;4.04398065896177&lt;/D&gt;&lt;D xsi:type="xsd:double"&gt;4.25142434365353&lt;/D&gt;&lt;D xsi:type="xsd:double"&gt;4.45796706573012&lt;/D&gt;&lt;D xs</t>
        </r>
      </text>
    </comment>
    <comment ref="A14" authorId="0" shapeId="0" xr:uid="{07D77269-799C-4AF8-9695-071A9771E385}">
      <text>
        <r>
          <rPr>
            <b/>
            <sz val="9"/>
            <color indexed="81"/>
            <rFont val="Tahoma"/>
            <charset val="1"/>
          </rPr>
          <t>i:type="xsd:double"&gt;4.0026862864455&lt;/D&gt;&lt;D xsi:type="xsd:double"&gt;3.9055087813484&lt;/D&gt;&lt;D xsi:type="xsd:double"&gt;4.1009900959626&lt;/D&gt;&lt;D xsi:type="xsd:double"&gt;4.93871470585903&lt;/D&gt;&lt;D xsi:type="xsd:double"&gt;4.17308321090726&lt;/D&gt;&lt;D xsi:type="xsd:double"&gt;3.29914353197664&lt;/D&gt;&lt;D xsi:type="xsd:double"&gt;3.1326707881911&lt;/D&gt;&lt;D xsi:type="xsd:double"&gt;3.45019385649222&lt;/D&gt;&lt;D xsi:type="xsd:double"&gt;3.31590101998559&lt;/D&gt;&lt;D xsi:type="xsd:double"&gt;2.94167132652603&lt;/D&gt;&lt;D xsi:type="xsd:double"&gt;3.12159000014777&lt;/D&gt;&lt;D xsi:type="xsd:double"&gt;3.12220397844802&lt;/D&gt;&lt;D xsi:type="xsd:double"&gt;2.85653885684544&lt;/D&gt;&lt;D xsi:type="xsd:double"&gt;3.123895910346&lt;/D&gt;&lt;D xsi:type="xsd:double"&gt;3.64652118325362&lt;/D&gt;&lt;D xsi:type="xsd:double"&gt;3.3218951590451&lt;/D&gt;&lt;D xsi:type="xsd:double"&gt;3.31882412453439&lt;/D&gt;&lt;D xsi:type="xsd:double"&gt;3.6762211079191&lt;/D&gt;&lt;D xsi:type="xsd:double"&gt;3.64361137399715&lt;/D&gt;&lt;D xsi:type="xsd:double"&gt;3.77443043926021&lt;/D&gt;&lt;D xsi:type="xsd:double"&gt;3.73399314568802&lt;/D&gt;&lt;D xsi:type="xsd:double"&gt;3.52139961813136&lt;/D&gt;&lt;D xsi:type="xsd:double"&gt;3.304629151794&lt;/D&gt;&lt;D xsi:type="xsd:double"&gt;3.16204610924087&lt;/D&gt;&lt;D xsi:type="xsd:double"&gt;3.21285423573964&lt;/D&gt;&lt;D xsi:type="xsd:double"&gt;3.40120351560694&lt;/D&gt;&lt;D xsi:type="xsd:double"&gt;3.47139090030214&lt;/D&gt;&lt;D xsi:type="xsd:double"&gt;3.31065556199625&lt;/D&gt;&lt;D xsi:type="xsd:double"&gt;3.27659955191583&lt;/D&gt;&lt;D xsi:type="xsd:double"&gt;3.5175320952838&lt;/D&gt;&lt;D xsi:type="xsd:double"&gt;3.64289772972413&lt;/D&gt;&lt;D xsi:type="xsd:double"&gt;3.95187773638099&lt;/D&gt;&lt;D xsi:type="xsd:double"&gt;4.57961030849654&lt;/D&gt;&lt;D xsi:type="xsd:double"&gt;4.20985813585934&lt;/D&gt;&lt;D xsi:type="xsd:double"&gt;4.39619174887582&lt;/D&gt;&lt;D xsi:type="xsd:double"&gt;4.26673778797935&lt;/D&gt;&lt;D xsi:type="xsd:double"&gt;4.02650624737673&lt;/D&gt;&lt;D xsi:type="xsd:double"&gt;4.03186880563167&lt;/D&gt;&lt;D xsi:type="xsd:double"&gt;4.09124649696892&lt;/D&gt;&lt;D xsi:type="xsd:double"&gt;3.68945585766631&lt;/D&gt;&lt;D xsi:type="xsd:double"&gt;3.45416015021072&lt;/D&gt;&lt;D xsi:type="xsd:double"&gt;3.43174697863723&lt;/D&gt;&lt;D xsi:type="xsd:double"&gt;3.43718033683855&lt;/D&gt;&lt;D xsi:type="xsd:double"&gt;3.50024703283668&lt;/D&gt;&lt;D xsi:type="xsd:double"&gt;3.03733425009915&lt;/D&gt;&lt;D xsi:type="xsd:double"&gt;3.12757505279514&lt;/D&gt;&lt;D xsi:type="xsd:double"&gt;3.47174586833776&lt;/D&gt;&lt;D xsi:type="xsd:double"&gt;3.23204067516214&lt;/D&gt;&lt;D xsi:type="xsd:double"&gt;3.26482180074428&lt;/D&gt;&lt;D xsi:type="xsd:double"&gt;3.2491693158926&lt;/D&gt;&lt;D xsi:type="xsd:double"&gt;3.13080675590228&lt;/D&gt;&lt;D xsi:type="xsd:double"&gt;2.9952633100039&lt;/D&gt;&lt;D xsi:type="xsd:double"&gt;3.17445760501908&lt;/D&gt;&lt;D xsi:type="xsd:double"&gt;5.42515195831755&lt;/D&gt;&lt;D xsi:type="xsd:double"&gt;3.95228460097994&lt;/D&gt;&lt;D xsi:type="xsd:double"&gt;3.53999418732193&lt;/D&gt;&lt;D xsi:type="xsd:double"&gt;2.92457601931846&lt;/D&gt;&lt;D xsi:type="xsd:double"&gt;2.68725313791354&lt;/D&gt;&lt;D xsi:type="xsd:double"&gt;2.81167381248939&lt;/D&gt;&lt;D xsi:type="xsd:double"&gt;3.47636130748545&lt;/D&gt;&lt;D xsi:type="xsd:double"&gt;3.39035054130388&lt;/D&gt;&lt;D xsi:type="xsd:double"&gt;3.42338967949642&lt;/D&gt;&lt;D xsi:type="xsd:double"&gt;3.36453577115794&lt;/D&gt;&lt;D xsi:type="xsd:double"&gt;3.56946914711016&lt;/D&gt;&lt;D xsi:type="xsd:double"&gt;3.92618300384242&lt;/D&gt;&lt;D xsi:type="xsd:double"&gt;4.49550017848964&lt;/D&gt;&lt;D xsi:type="xsd:double"&gt;4.59453090875341&lt;/D&gt;&lt;D xsi:type="xsd:double"&gt;4.73875245350774&lt;/D&gt;&lt;D xsi:type="xsd:double"&gt;4.86998698081419&lt;/D&gt;&lt;D xsi:type="xsd:double"&gt;5.4384180717691&lt;/D&gt;&lt;D xsi:type="xsd:double"&gt;6.01560178066458&lt;/D&gt;&lt;D xsi:type="xsd:double"&gt;6.29477178329404&lt;/D&gt;&lt;D xsi:type="xsd:double"&gt;6.9741919812862&lt;/D&gt;&lt;D xsi:type="xsd:double"&gt;7.64844021313629&lt;/D&gt;&lt;D xsi:type="xsd:double"&gt;7.54133061208104&lt;/D&gt;&lt;D xsi:type="xsd:double"&gt;7.07359752282512&lt;/D&gt;&lt;D xsi:type="xsd:double"&gt;6.92265796055476&lt;/D&gt;&lt;D xsi:type="xsd:double"&gt;8.3610118536252&lt;/D&gt;&lt;D xsi:type="xsd:double"&gt;8.74635739164291&lt;/D&gt;&lt;D xsi:type="xsd:double"&gt;9.86288829720513&lt;/D&gt;&lt;D xsi:type="xsd:double"&gt;11.141703635857&lt;/D&gt;&lt;D xsi:type="xsd:double"&gt;11.4287167484067&lt;/D&gt;&lt;D xsi:type="xsd:double"&gt;10.4499431669269&lt;/D&gt;&lt;D xsi:type="xsd:double"&gt;10.355368272539&lt;/D&gt;&lt;D xsi:type="xsd:double"&gt;8.95075599052739&lt;/D&gt;&lt;D xsi:type="xsd:double"&gt;7.79668347047363&lt;/D&gt;&lt;D xsi:type="xsd:double"&gt;6.77719452175567&lt;/D&gt;&lt;D xsi:type="xsd:double"&gt;6.60663192680469&lt;/D&gt;&lt;D xsi:type="xsd:double"&gt;6.40553288498634&lt;/D&gt;&lt;D xsi:type="xsd:double"&gt;7.02953207887091&lt;/D&gt;&lt;D xsi:type="xsd:double"&gt;6.68246369214508&lt;/D&gt;&lt;D xsi:type="xsd:double"&gt;6.55131239664304&lt;/D&gt;&lt;D xsi:type="xsd:double"&gt;6.05709620948883&lt;/D&gt;&lt;D xsi:type="xsd:double"&gt;5.93132574746464&lt;/D&gt;&lt;D xsi:type="xsd:double"&gt;5.90467470516884&lt;/D&gt;&lt;D xsi:type="xsd:double"&gt;5.9770973130983&lt;/D&gt;&lt;D xsi:type="xsd:double"&gt;6.36613954033056&lt;/D&gt;&lt;D xsi:type="xsd:double"&gt;6.15297187288553&lt;/D&gt;&lt;D xsi:type="xsd:double"&gt;5.75555343798488&lt;/D&gt;&lt;D xsi:type="xsd:double"&gt;5.81444638609153&lt;/D&gt;&lt;D xsi:type="xsd:double"&gt;5.96129926972699&lt;/D&gt;&lt;D xsi:type="xsd:double"&gt;6.31315581523182&lt;/D&gt;&lt;D xsi:type="xsd:double"&gt;6.37865840841947&lt;/D&gt;&lt;D xsi:type="xsd:double"&gt;6.71727214705155&lt;/D&gt;&lt;/FQL&gt;&lt;FQL&gt;&lt;Q&gt;DDR3512M-FDS^FG_PRICE_CHANGE(0,-3AM)&lt;/Q&gt;&lt;R&gt;1&lt;/R&gt;&lt;C&gt;1&lt;/C&gt;&lt;D xsi:type="xsd:double"&gt;-0.961037909903906&lt;/D&gt;&lt;/FQL&gt;&lt;FQL&gt;&lt;Q&gt;PASP-FDS^FG_PRICE(0)&lt;/Q&gt;&lt;R&gt;1&lt;/R&gt;&lt;C&gt;1&lt;/C&gt;&lt;D xsi:type="xsd:double"&gt;1000&lt;/D&gt;&lt;/FQL&gt;&lt;FQL&gt;&lt;Q&gt;TUR^FG_PRICE_MAVG(0,,,,200)&lt;/Q&gt;&lt;R&gt;1&lt;/R&gt;&lt;C&gt;1&lt;/C&gt;&lt;D xsi:type="xsd:double"&gt;36.67575&lt;/D&gt;&lt;/FQL&gt;&lt;FQL&gt;&lt;Q&gt;MCHI^FG_TOTAL_RETURNC(0,-6AM)&lt;/Q&gt;&lt;R&gt;1&lt;/R&gt;&lt;C&gt;1&lt;/C&gt;&lt;D xsi:type="xsd:double"&gt;6.3554287&lt;/D&gt;&lt;/FQL&gt;&lt;FQL&gt;&lt;Q&gt;EWM^FG_TOTAL_RETURNC(0,-3AM)&lt;/Q&gt;&lt;R&gt;1&lt;/R&gt;&lt;C&gt;1&lt;/C&gt;&lt;D xsi:type="xsd:double"&gt;6.9681644&lt;/D&gt;&lt;/FQL&gt;&lt;FQL&gt;&lt;Q&gt;EIDO^FG_TOTAL_RETURNC(0,-6AM)&lt;/Q&gt;&lt;R&gt;1&lt;/R&gt;&lt;C&gt;1&lt;/C&gt;&lt;D xsi:type="xsd:double"&gt;-3.3149064&lt;/D&gt;&lt;/FQL&gt;&lt;FQL&gt;&lt;Q&gt;URTH^FG_TOTAL_RETURNC(0,-3AM)&lt;/Q&gt;&lt;R&gt;1&lt;/R&gt;&lt;C&gt;1&lt;/C&gt;&lt;D xsi:type="xsd:double"&gt;3.5416484&lt;/D&gt;&lt;/FQL&gt;&lt;FQL&gt;&lt;Q&gt;VWO^PERCENT_CHANGE(FMA_EPS(+1,0,,,,"PORTAGG","MEAN"),FMA_EPS(+1,-1AM,,,,"PORTAGG","MEAN"))&lt;/Q&gt;&lt;R&gt;1&lt;/R&gt;&lt;C&gt;1&lt;/C&gt;&lt;D xsi:type="xsd:double"&gt;-2.30795789317252&lt;/D&gt;&lt;/FQL&gt;&lt;FQL&gt;&lt;Q&gt;QAT^SIZE(FG_CONSTITUENTS)&lt;/Q&gt;&lt;R&gt;1&lt;/R&gt;&lt;C&gt;1&lt;/C&gt;&lt;D xsi:type="xsd:long"&gt;34&lt;/D&gt;&lt;/FQL&gt;&lt;FQL&gt;&lt;Q&gt;EPOL^FMA_COS_UP("EPS","1M",+1,NOW,,,"PORTAGG","MEANR")&lt;/Q&gt;&lt;R&gt;1&lt;/R&gt;&lt;C&gt;1&lt;/C&gt;&lt;D xsi:type="xsd:double"&gt;10&lt;/D&gt;&lt;/FQL&gt;&lt;FQL&gt;&lt;Q&gt;VNM^FG_ROE(0)&lt;/Q&gt;&lt;R&gt;1&lt;/R&gt;&lt;C&gt;1&lt;/C&gt;&lt;D xsi:type="xsd:double"&gt;9.48802917449969&lt;/D&gt;&lt;/FQL&gt;&lt;FQL&gt;&lt;Q&gt;TRYPE10Y-FDS^FG_YIELD_NAME&lt;/Q&gt;&lt;R&gt;1&lt;/R&gt;&lt;C&gt;1&lt;/C&gt;&lt;D xsi:type="xsd:string"&gt;Treasury - Peru Benchmark Bond 10Y&lt;/D&gt;&lt;/FQL&gt;&lt;FQL&gt;&lt;Q&gt;REFTHREPO-FDS^(SUBARRAY(NOT_NA(NO_REPEAT_F(FG_YIELD(NOW,-10AY,D))),0,1)-SUBARRAY(NOT_NA(NO_REPEAT_F(FG_YIELD(NOW,-10AY,D))),1,1))*100&lt;/Q&gt;&lt;R&gt;1&lt;/R&gt;&lt;C&gt;1&lt;/C&gt;&lt;D xsi:type="xsd:double"&gt;25&lt;/D&gt;&lt;/FQL&gt;&lt;FQL&gt;&lt;Q&gt;REFBRSELIC-FDS^(SUBARRAY(NOT_NA(NO_REPEAT_F(FG_YIELD(NOW,-10AY,D))),0,1)-SUBARRAY(NOT_NA(NO_REPEAT_F(FG_YIELD(NOW,-10AY,D))),1,1))*100&lt;/Q&gt;&lt;R&gt;1&lt;/R&gt;&lt;C&gt;1&lt;/C&gt;&lt;D xsi:type="xsd:double"&gt;-25&lt;/D&gt;&lt;/FQL&gt;&lt;FQL&gt;&lt;Q&gt;REFPEMPR-FDS^PROPER_NAME(0,,,"SECURITY","NAME")&lt;/Q&gt;&lt;R&gt;1&lt;/R&gt;&lt;C&gt;1&lt;/C&gt;&lt;D xsi:type="xsd:string"&gt;Peru Policy Rate&lt;/D&gt;&lt;/FQL&gt;&lt;FQL&gt;&lt;Q&gt;TRYSA10Y-FDS^PCTCHG(FG_YIELD(0,,,,"YTM"),FG_YIELD(-1AM,,,,"YTM"))&lt;/Q&gt;&lt;R&gt;1&lt;/R&gt;&lt;C&gt;1&lt;/C&gt;&lt;D xsi:type="xsd:double"&gt;-3.7025044&lt;/D&gt;&lt;/FQL&gt;&lt;FQL&gt;&lt;Q&gt;TRYZA10Y-FDS^PCTCHG(FG_YIELD(0,,,,"YTM"),FG_YIELD(-3AM,,,,"YTM"))&lt;/Q&gt;&lt;R&gt;1&lt;/R&gt;&lt;C&gt;1&lt;/C&gt;&lt;D xsi:type="xsd:double"&gt;2.0932853&lt;/D&gt;&lt;/FQL&gt;&lt;FQL&gt;&lt;Q&gt;TRYPH10Y-FDS^PCTCHG(FG_YIELD(0,,,,"YTM"),FG_YIELD(-1AM,,,,"YTM"))&lt;/Q&gt;&lt;R&gt;1&lt;/R&gt;&lt;C&gt;1&lt;/C&gt;&lt;D xsi:type="xsd:double"&gt;-3.89553&lt;/D&gt;&lt;/FQL&gt;&lt;FQL&gt;&lt;Q&gt;TRYTH10Y-FDS^FG_YIELD(0,,,,"YTM")&lt;/Q&gt;&lt;R&gt;1&lt;/R&gt;&lt;C&gt;1&lt;/C&gt;&lt;D xsi:type="xsd:double"&gt;2.828641&lt;/D&gt;&lt;/FQL&gt;&lt;FQL&gt;&lt;Q&gt;CC_SA^IMF_IFS_RCPI_Q(0)&lt;/Q&gt;&lt;R&gt;0&lt;/R&gt;&lt;C&gt;0&lt;/C&gt;&lt;/FQL&gt;&lt;FQL&gt;&lt;Q&gt;TRYSA10Y-FDS^FG_YIELD(-10AY,0,Y,,"YTM")&lt;/Q&gt;&lt;R&gt;10&lt;/R&gt;&lt;C&gt;1&lt;/C&gt;&lt;D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xsi:type="xsd:double"&gt;2.004&lt;/D&gt;&lt;/FQL&gt;&lt;FQL&gt;&lt;Q&gt;USDAED^FG_PRICE_CHANGE(0,-3AM)&lt;/Q&gt;&lt;R&gt;1&lt;/R&gt;&lt;C&gt;1&lt;/C&gt;&lt;D xsi:type="xsd:double"&gt;0.0013589859&lt;/D&gt;&lt;/FQL&gt;&lt;FQL&gt;&lt;Q&gt;USDBRL^FG_PRICE_CHANGE(0,-3AM)&lt;/Q&gt;&lt;R&gt;1&lt;/R&gt;&lt;C&gt;1&lt;/C&gt;&lt;D xsi:type="xsd:double"&gt;3.2655954&lt;/D&gt;&lt;/FQL&gt;&lt;FQL&gt;&lt;Q&gt;USDPEN^FG_PRICE_CHANGE(0,-3AM)&lt;/Q&gt;&lt;R&gt;1&lt;/R&gt;&lt;C&gt;1&lt;/C&gt;&lt;D xsi:type="xsd:double"&gt;-1.3225138&lt;/D&gt;&lt;/FQL&gt;&lt;FQL&gt;&lt;Q&gt;FC0000PH^FMA_EPS(NTMA,-20AY,0,CY,,"PORTAGG","MEANR")&lt;/Q&gt;&lt;R&gt;20&lt;/R&gt;&lt;C&gt;1&lt;/C&gt;&lt;D xsi:type="xsd:double"&gt;8.59220082539698&lt;/D&gt;&lt;D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xsi:type="xsd:double"&gt;33.6632760141823&lt;/D&gt;&lt;D xsi:type="xsd:double"&gt;25.625710924974&lt;/D&gt;&lt;D xsi:type="xsd:double"&gt;24.8900071648497&lt;/D&gt;&lt;D xsi:type="xsd:double"&gt;26.8368786703138&lt;/D&gt;&lt;D xsi:type="xsd:double"&gt;30.8315679687197&lt;/D&gt;&lt;/FQL&gt;&lt;FQL&gt;&lt;Q&gt;EWM^P_PRICE_RETURNS_PR('52W',2,-10AY,0,AM)&lt;/Q&gt;&lt;R&gt;121&lt;/R&gt;&lt;C&gt;1&lt;/C&gt;&lt;D xsi:type="xsd:double"&gt;1.031208&lt;/D&gt;&lt;D xsi:type="xsd:double"&gt;8.887041&lt;/D&gt;&lt;D xsi:type="xsd:double"&gt;4.355526&lt;/D&gt;&lt;D xsi:type="xsd:double"&gt;15.908766&lt;/D&gt;&lt;D xsi:type="xsd:double"&gt;0.95324516&lt;/D&gt;&lt;D xsi:type="xsd:double"&gt;-2.0451605&lt;/D&gt;&lt;D xsi:type="xsd:double"&gt;-1.3784647&lt;/D&gt;&lt;D xsi:type="xsd:double"&gt;-9.594375&lt;/D&gt;&lt;D xsi:type="xsd:double"&gt;-5.3470554&lt;/D&gt;&lt;D xsi:type="xsd:double"&gt;-9.360207&lt;/D&gt;&lt;D xsi:type="xsd:double"&gt;-9.508097&lt;/D&gt;&lt;D xsi:type="xsd:double"&gt;-8.0558&lt;/D&gt;&lt;D xsi:type="xsd:double"&gt;-14.214659&lt;/D&gt;&lt;D xsi:type="xsd:double"&gt;-19.550592&lt;/D&gt;&lt;D xsi:type="xsd:double"&gt;-23.233181&lt;/D&gt;&lt;D xsi:type="xsd:double"&gt;-37.239807&lt;/D&gt;&lt;D xsi:type="xsd:double"&gt;-33.838566&lt;/D&gt;&lt;D xsi:type="xsd:double"&gt;-25.484138&lt;/D&gt;&lt;D xsi:type="xsd:double"&gt;-27.218151&lt;/D&gt;&lt;D xsi:type="xsd:double"&gt;-19.928312&lt;/D&gt;&lt;D xsi:type="xsd:double"&gt;-22.231138&lt;/D&gt;&lt;D xsi:type="xsd:double"&gt;-18.40409&lt;/D&gt;&lt;D xsi:type="xsd:double"&gt;-10.54371&lt;/D&gt;&lt;D xsi:type="xsd:double"&gt;-12.149471&lt;/D&gt;&lt;D xsi:type="xsd:double"&gt;-17.390179&lt;/D&gt;&lt;D xsi:type="xsd:double"&gt;-7.3654594&lt;/D&gt;&lt;D xsi:type="xsd:double"&gt;-6.141603&lt;/D&gt;&lt;D xsi:type="xsd:double"&gt;17.165733&lt;/D&gt;&lt;D xsi:type="xsd:double"&gt;14.819288&lt;/D&gt;&lt;D xsi:type="xsd:double"&gt;5.1130176&lt;/D&gt;&lt;D xsi:type="xsd:double"&gt;-3.203833&lt;/D&gt;&lt;D xsi:type="xsd:double"&gt;-4.964471&lt;/D&gt;&lt;D xsi:type="xsd:double"&gt;1.0813713&lt;/D&gt;&lt;D xsi:type="xsd:double"&gt;-0.29230714&lt;/D&gt;&lt;D xsi:type="xsd:double"&gt;-4.968709&lt;/D&gt;&lt;D xsi:type="xsd:double"&gt;-6.4211187&lt;/D&gt;&lt;D xsi:type="xsd:double"&gt;6.638944&lt;/D&gt;&lt;D xsi:type="xsd:double"&gt;1.9167304&lt;/D&gt;&lt;D xsi:type="xsd:double"&gt;2.4354458&lt;/D&gt;&lt;D xsi:type="xsd:double"&gt;1.7669916&lt;/D&gt;&lt;D xsi:type="xsd:double"&gt;4.7089815&lt;/D&gt;&lt;D xsi:type="xsd:double"&gt;4.9178243&lt;/D&gt;&lt;D xsi:type="xsd:double"&gt;15.663517&lt;/D&gt;&lt;D xsi:type="xsd:double"&gt;23.341274&lt;/D&gt;&lt;D xsi:type="xsd:double"&gt;28.232765&lt;/D&gt;&lt;D xsi:type="xsd:double"&gt;26.703262&lt;/D&gt;&lt;D xsi:type="xsd:double"&gt;20.887386&lt;/D&gt;&lt;D xsi:type="xsd:double"&gt;21.419096&lt;/D&gt;&lt;D xsi:type="xsd:double"&gt;11.914563&lt;/D&gt;&lt;D xsi:type="xsd:double"&gt;4.1415095&lt;/D&gt;&lt;D xsi:type="xsd:double"&gt;8.539653&lt;/D&gt;&lt;D xsi:type="xsd:double"&gt;8.58382&lt;/D&gt;&lt;D xsi:type="xsd:double"&gt;6.7525268&lt;/D&gt;&lt;D xsi:type="xsd:double"&gt;1.4092207&lt;/D&gt;&lt;D xsi:type="xsd:double"&gt;-1.8175781&lt;/D&gt;&lt;D xsi:type="xsd:double"&gt;-6.461787&lt;/D&gt;&lt;D xsi:type="xsd:double"&gt;-10.96046&lt;/D&gt;&lt;D xsi:type="xsd:double"&gt;-8.796263&lt;/D&gt;&lt;D xsi:type="xsd:double"&gt;-11.768019&lt;/D&gt;&lt;D xsi:type="xsd:double"&gt;-13.650608&lt;/D&gt;&lt;D xsi:type="xsd:double"&gt;-14.068657&lt;/D&gt;&lt;D xsi:type="xsd:double"&gt;-0.73896646&lt;/D&gt;&lt;D xsi:type="xsd:double"&gt;-4.9045506&lt;/D&gt;&lt;D xsi:type="xsd:double"&gt;-12.101418&lt;/D&gt;&lt;D xsi:type="xsd:double"&gt;-11.120981&lt;/D&gt;&lt;D xsi:type="xsd:double"&gt;-5.033219&lt;/D&gt;&lt;D xsi:type="xsd:double"&gt;-4.735631&lt;/D&gt;&lt;D xsi:type="xsd:double"&gt;1.8392563&lt;/D&gt;&lt;D xsi:type="xsd:double"&gt;-4.2149663&lt;/D&gt;&lt;D xsi:type="xsd:double"&gt;-12.655288&lt;/D&gt;&lt;D xsi:type="xsd:double"&gt;-30.445402&lt;/D&gt;&lt;D xsi:type="xsd:double"&gt;-20.093197&lt;/D&gt;&lt;D xsi:type="xsd:double"&gt;-11.401921&lt;/D&gt;&lt;D xsi:type="xsd:double"&gt;-11.438394&lt;/D&gt;&lt;D xsi:type="xsd:double"&gt;-4.3835106&lt;/D&gt;&lt;D xsi:type="xsd:double"&gt;1.530838&lt;/D&gt;&lt;D xsi:type="xsd:double"&gt;-6.528574&lt;/D&gt;&lt;D xsi:type="xsd:double"&gt;-2.2517204&lt;/D&gt;&lt;D xsi:type="xsd:double"&gt;2.353835&lt;/D&gt;&lt;D xsi:type="xsd:double"&gt;2.9114842&lt;/D&gt;&lt;D xsi:type="xsd:double"&gt;0.9374857&lt;/D&gt;&lt;D xsi:type="xsd:double"&gt;6.137073&lt;/D&gt;&lt;D xsi:type="xsd:double"&gt;37.83436&lt;/D&gt;&lt;D xsi:type="xsd:double"&gt;23.973953&lt;/D&gt;&lt;D xsi:type="xsd:double"&gt;10.665798&lt;/D&gt;&lt;D xsi:type="xsd:double"&gt;5.2111506&lt;/D&gt;&lt;D xsi:type="xsd:double"&gt;-5.9805393&lt;/D&gt;&lt;D xsi:type="xsd:double"&gt;-5.6754827&lt;/D&gt;&lt;D xsi:type="xsd:double"&gt;3.393805&lt;/D&gt;&lt;D xsi:type="xsd:double"&gt;3.8142323&lt;/D&gt;&lt;D xsi:type="xsd:double"&gt;-7.0314465&lt;/D&gt;&lt;D xsi:type="xsd:double"&gt;-10.392576&lt;/D&gt;&lt;D xsi:type="xsd:double"&gt;-6.925118&lt;/D&gt;&lt;D xsi:type="xsd:double"&gt;-1.6254067&lt;/D&gt;&lt;D xsi:type="xsd:double"&gt;-0.35974383&lt;/D&gt;&lt;D xsi:type="xsd:double"&gt;-4.278767&lt;/D&gt;&lt;D xsi:type="xsd:double"&gt;-4.2734027&lt;/D&gt;&lt;D xsi:type="xsd:double"&gt;-12.012458&lt;/D&gt;&lt;D xsi:type="xsd:double"&gt;-7.19682&lt;/D&gt;&lt;D xsi:type="xsd:double"&gt;-7.0754347&lt;/D&gt;&lt;D xsi:type="xsd:double"&gt;-13.881469&lt;/D&gt;&lt;D xsi:type="xsd:double"&gt;-17.812628&lt;/D&gt;&lt;D xsi:type="xsd:double"&gt;-9.55587&lt;/D&gt;&lt;D xsi:type="xsd:double"&gt;-4.7299623&lt;/D&gt;&lt;D xsi:type="xsd:double"&gt;1.6390085&lt;/D&gt;&lt;D xsi:type="xsd:double"&gt;-10.221505&lt;/D&gt;&lt;D xsi:type="xsd:double"&gt;-12.043476&lt;/D&gt;&lt;D xsi:type="xsd:double"&gt;-10.367459&lt;/D&gt;&lt;D xsi:type="xsd:double"&gt;-9.46542&lt;/D&gt;&lt;D xsi:type="xsd:double"&gt;-5.2473903&lt;/D&gt;&lt;D xsi:type="xsd:double"&gt;-1.2625396&lt;/D&gt;&lt;D xsi:type="xsd:double"&gt;-2.706492&lt;/D&gt;&lt;D xsi:type="xsd:double"&gt;2.4056911&lt;/D&gt;&lt;D xsi:type="xsd:double"&gt;0.77022314&lt;/D&gt;&lt;D xsi:type="xsd:double"&gt;1.5981197&lt;/D&gt;&lt;D xsi:type="xsd:double"&gt;-1.1116385&lt;/D&gt;&lt;D xsi:type="xsd:double"&gt;-9.391027&lt;/D&gt;&lt;D xsi:type="xsd:double"&gt;1.3632178&lt;/D&gt;&lt;D xsi:type="xsd:double"&gt;4.998207&lt;/D&gt;&lt;D xsi:type="xsd:double"&gt;4.033458&lt;/D&gt;&lt;D xsi:type="xsd:double"&gt;13.929987&lt;/D&gt;&lt;/FQL&gt;&lt;FQL&gt;&lt;Q&gt;GREK^FMA_PE(NTMA,-10AY,0,AM,"PORTAGG","MEANR")&lt;/Q&gt;&lt;R&gt;121&lt;/R&gt;&lt;C&gt;1&lt;/C&gt;&lt;D xsi:type="xsd:double"&gt;18.2890644299252&lt;/D&gt;&lt;D xsi:type="xsd:double"&gt;10.2455898572942&lt;/D&gt;&lt;D xsi:type="xsd:double"&gt;8.68991251590548&lt;/D&gt;&lt;D xsi:type="xsd:double"&gt;8.17379692422247&lt;/D&gt;&lt;D xsi:type="xsd:double"&gt;7.44752780543263&lt;/D&gt;&lt;D xsi:type="xsd:double"&gt;6.84533981679624&lt;/D&gt;&lt;D xsi:type="xsd:double"&gt;6.83970558218985&lt;/D&gt;&lt;D xsi:type="xsd:double"&gt;5.0922794157759&lt;/D&gt;&lt;D xsi:type="xsd:double"&gt;4.47637512616531&lt;/D&gt;&lt;D xsi:type="xsd:double"&gt;5.20972234951495&lt;/D&gt;&lt;D xsi:type="xsd:double"&gt;4.68969601769209&lt;/D&gt;&lt;D xsi:type="xsd:double"&gt;4.86828518146991&lt;/D&gt;&lt;D xsi:type="xsd:double"&gt;5.01184275815002&lt;/D&gt;&lt;D xsi:type="xsd:double"&gt;5.87242786172558&lt;/D&gt;&lt;D xsi:type="xsd:double"&gt;4.72906938281872&lt;/D&gt;&lt;D xsi:type="xsd:double"&gt;4.45293180164639&lt;/D&gt;&lt;D xsi:type="xsd:double"&gt;4.17363249268394&lt;/D&gt;&lt;D xsi:type="xsd:double"&gt;4.2524152416818&lt;/D&gt;&lt;D xsi:type="xsd:double"&gt;4.60217714440285&lt;/D&gt;&lt;D xsi:type="xsd:double"&gt;4.83787528133888&lt;/D&gt;&lt;D xsi:type="xsd:double"&gt;9.44358908789922&lt;/D&gt;&lt;D xsi:type="xsd:double"&gt;8.37566353086674&lt;/D&gt;&lt;D xsi:type="xsd:double"&gt;8.50485061854144&lt;/D&gt;&lt;D xsi:type="xsd:double"&gt;10.9156799999675&lt;/D&gt;&lt;D xsi:type="xsd:double"&gt;11.1990895963913&lt;/D&gt;&lt;D xsi:type="xsd:double"&gt;10.0948755798794&lt;/D&gt;&lt;D xsi:type="xsd:double"&gt;9.10440552910143&lt;/D&gt;&lt;D xsi:type="xsd:double"&gt;8.59722010581977&lt;/D&gt;&lt;D xsi:type="xsd:double"&gt;8.96025190986142&lt;/D&gt;&lt;D xsi:type="xsd:double"&gt;9.06667889857601&lt;/D&gt;&lt;D xsi:type="xsd:double"&gt;9.66658786008858&lt;/D&gt;&lt;D xsi:type="xsd:double"&gt;8.75738406790576&lt;/D&gt;&lt;D xsi:type="xsd:double"&gt;9.1621679392772&lt;/D&gt;&lt;D xsi:type="xsd:double"&gt;9.25572493003247&lt;/D&gt;&lt;D xsi:type="xsd:double"&gt;9.00294339613822&lt;/D&gt;&lt;D xsi:type="xsd:double"&gt;10.5516180618376&lt;/D&gt;&lt;D xsi:type="xsd:double"&gt;13.5204102684178&lt;/D&gt;&lt;D xsi:type="xsd:double"&gt;12.9076550287981&lt;/D&gt;&lt;D xsi:type="xsd:double"&gt;13.1255428181851&lt;/D&gt;&lt;D xsi:type="xsd:double"&gt;12.2365384841721&lt;/D&gt;&lt;D xsi:type="xsd:double"&gt;11.2841561818064&lt;/D&gt;&lt;D xsi:type="xsd:double"&gt;11.8628814188614&lt;/D&gt;&lt;D xsi:type="xsd:double"&gt;11.7327369205412&lt;/D&gt;&lt;D xsi:type="xsd:double"&gt;14.1260019522703&lt;/D&gt;&lt;D xsi:type="xsd:double"&gt;14.7769217611274&lt;/D&gt;&lt;D xsi:type="xsd:double"&gt;14.5382086700186&lt;/D&gt;&lt;D xsi:type="xsd:double"&gt;13.2702847725774&lt;/D&gt;&lt;D xsi:type="xsd:double"&gt;15.0475825462932&lt;/D&gt;&lt;D xsi:type="xsd:double"&gt;13.6575807963756&lt;/D&gt;&lt;D xsi:type="xsd:double"&gt;15.1127073303464&lt;/D&gt;&lt;D xsi:type="xsd:double"&gt;14.4181510936951&lt;/D&gt;&lt;D xsi:type="xsd:double"&gt;14.7232174203637&lt;/D&gt;&lt;D xsi:type="xsd:double"&gt;14.6065294439814&lt;/D&gt;&lt;D xsi:type="xsd:double"&gt;12.0979807952539&lt;/D&gt;&lt;D xsi:type="xsd:double"&gt;11.6624885495712&lt;/D&gt;&lt;D xsi:type="xsd:double"&gt;11.0720865683475&lt;/D&gt;&lt;D xsi:type="xsd:double"&gt;11.2820096860952&lt;/D&gt;&lt;D xsi:type="xsd:double"&gt;12.0149660694253&lt;/D&gt;&lt;D xsi:type="xsd:double"&gt;13.0305345934258&lt;/D&gt;&lt;D xsi:type="xsd:double"&gt;13.4889866154709&lt;/D&gt;&lt;D xsi:type="xsd:double"&gt;12.1368287110711&lt;/D&gt;&lt;D xsi:type="xsd:double"&gt;13.4470810394403&lt;/D&gt;&lt;D xsi:type="xsd:double"&gt;13.8824614196736&lt;/D&gt;&lt;D xsi:type="xsd:double"&gt;13.4212144186877&lt;/D&gt;&lt;D xsi:type="xsd:double"&gt;13.7780132172198&lt;/D&gt;&lt;D xsi:type="xsd:double"&gt;11.9354983127743&lt;/D&gt;&lt;D xsi:type="xsd:double"&gt;11.6927074001934&lt;/D&gt;&lt;D xsi:type="xsd:double"&gt;11.4210847435269&lt;/D&gt;&lt;D xsi:type="xsd:double"&gt;11.3012767447642&lt;/D&gt;&lt;D xsi:type="xsd:double"&gt;10.7571057965185&lt;/D&gt;&lt;D xsi:type="xsd:double"&gt;5.87724624749954&lt;/D&gt;&lt;D xsi:type="xsd:double"&gt;8.61603450371077&lt;/D&gt;&lt;D xsi:type="xsd:double"&gt;10.1118360239658&lt;/D&gt;&lt;D xsi:type="xsd:double"&gt;13.9262778598534&lt;/D&gt;&lt;D xsi:type="xsd:double"&gt;13.5221542143094&lt;/D&gt;&lt;D xsi:type="xsd:double"&gt;11.9913866446786&lt;/D&gt;&lt;D xsi:type="xsd:double"&gt;11.49110064036&lt;/D&gt;&lt;D xsi:type="xsd:double"&gt;10.1002811365188&lt;/D&gt;&lt;D xsi:type="xsd:double"&gt;10.8612453271519&lt;/D&gt;&lt;D xsi:type="xsd:double"&gt;11.9106543561193&lt;/D&gt;&lt;D xsi:type="xsd:double"&gt;11.1174176765331&lt;/D&gt;&lt;D xsi:type="xsd:double"&gt;11.5566073619699&lt;/D&gt;&lt;D xsi:type="xsd:double"&gt;11.8007514175249&lt;/D&gt;&lt;D xsi:type="xsd:double"&gt;12.5765689151848&lt;/D&gt;&lt;D xsi:type="xsd:double"&gt;8.26106353725055&lt;/D&gt;&lt;D xsi:type="xsd:double"&gt;12.5833689281681&lt;/D&gt;&lt;D xsi:type="xsd:double"&gt;11.0256520276633&lt;/D&gt;&lt;D xsi:type="xsd:double"&gt;10.8945335233681&lt;/D&gt;&lt;D xsi:type="xsd:double"&gt;10.3718080285583&lt;/D&gt;&lt;D xsi:type="xsd:double"&gt;10.5341532995466&lt;/D&gt;&lt;D xsi:type="xsd:double"&gt;10.6909341586634&lt;/D&gt;&lt;D xsi:type="xsd:double"&gt;9.5933513457044&lt;/D&gt;&lt;D xsi:type="xsd:double"&gt;9.88013817915551&lt;/D&gt;&lt;D xsi:type="xsd:double"&gt;10.1888670988613&lt;/D&gt;&lt;D xsi:type="xsd:double"&gt;9.58989825709166&lt;/D&gt;&lt;D xsi:type="xsd:double"&gt;10.5303065933153&lt;/D&gt;&lt;D xsi:type="xsd:double"&gt;9.01814516241397&lt;/D&gt;&lt;D xsi:type="xsd:double"&gt;8.45313943431747&lt;/D&gt;&lt;D xsi:type="xsd:double"&gt;7.98416372273682&lt;/D&gt;&lt;D xsi:type="xsd:double"&gt;8.27318298307109&lt;/D&gt;&lt;D xsi:type="xsd:double"&gt;6.46515736822654&lt;/D&gt;&lt;D xsi:type="xsd:double"&gt;6.99574086878973&lt;/D&gt;&lt;D xsi:type="xsd:double"&gt;6.87404632561024&lt;/D&gt;&lt;D xsi:type="xsd:double"&gt;6.6922481600607&lt;/D&gt;&lt;D xsi:type="xsd:double"&gt;6.70030751439065&lt;/D&gt;&lt;D xsi:type="xsd:double"&gt;7.9760808941552&lt;/D&gt;&lt;D xsi:type="xsd:double"&gt;7.18322102555159&lt;/D&gt;&lt;D xsi:type="xsd:double"&gt;7.2985098753775&lt;/D&gt;&lt;D xsi:type="xsd:double"&gt;7.48672928868571&lt;/D&gt;&lt;D xsi:type="xsd:double"&gt;7.80371162797068&lt;/D&gt;&lt;D xsi:type="xsd:double"&gt;8.27029726664776&lt;/D&gt;&lt;D xsi:type="xsd:double"&gt;7.46581347606893&lt;/D&gt;&lt;D xsi:type="xsd:double"&gt;6.86586101166047&lt;/D&gt;&lt;D xsi:type="xsd:double"&gt;6.50966078809627&lt;/D&gt;&lt;D xsi:type="xsd:double"&gt;6.80725102048172&lt;/D&gt;&lt;D xsi:type="xsd:double"&gt;6.61861941600179&lt;/D&gt;&lt;D xsi:type="xsd:double"&gt;6.81664728453937&lt;/D&gt;&lt;D xsi:type="xsd:double"&gt;7.06913055834949&lt;/D&gt;&lt;D xsi:type="xsd:double"&gt;7.07595405281345&lt;/D&gt;&lt;D xsi:type="xsd:double"&gt;7.24280109522949&lt;/D&gt;&lt;D xsi:type="xsd:double"&gt;7.36628405726902&lt;/D&gt;&lt;/FQL&gt;&lt;FQL&gt;&lt;Q&gt;QAT^FMA_PE(LTMA,-10AY,0,AM,"PORTAGG","MEANR")&lt;/Q&gt;&lt;R&gt;121&lt;/R&gt;&lt;C&gt;1&lt;/C&gt;&lt;D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xsi:type="xsd:double"&gt;14.3029843674235&lt;/D&gt;&lt;D xsi:type="xsd:double"&gt;15.1819554862839&lt;/D&gt;&lt;D xsi:type="xsd:double"&gt;14.8045968882322&lt;/D&gt;&lt;D xsi:type="xsd:double"&gt;14.8106709469523&lt;/D&gt;&lt;D xsi:type="xsd:double"&gt;14.7583618808619&lt;/D&gt;&lt;D xsi:type="xsd:double"&gt;14.5273151430534&lt;/D&gt;&lt;D xsi:type="xsd:double"&gt;14.5535785121073&lt;/D&gt;&lt;D xsi:type="xsd:double"&gt;14.0279240496185&lt;/D&gt;&lt;D xsi:type="xsd:double"&gt;13.9786607177877&lt;/D&gt;&lt;D xsi:type="xsd:double"&gt;13.9393654105461&lt;/D&gt;&lt;D xsi:type="xsd:double"&gt;12.8078163428642&lt;/D&gt;&lt;D xsi:type="xsd:double"&gt;11.1954385524756&lt;/D&gt;&lt;D xsi:type="xsd:double"&gt;10.165467927628&lt;/D&gt;&lt;D xsi:type="xsd:double"&gt;12.2562320888584&lt;/D&gt;&lt;D xsi:type="xsd:double"&gt;12.1543273629739&lt;/D&gt;&lt;D xsi:type="xsd:double"&gt;12.2867854218964&lt;/D&gt;&lt;D xsi:type="xsd:double"&gt;11.9632342667198&lt;/D&gt;&lt;D xsi:type="xsd:double"&gt;12.2817127223152&lt;/D&gt;&lt;D xsi:type="xsd:double"&gt;12.6387454646154&lt;/D&gt;&lt;D xsi:type="xsd:double"&gt;13.3887230987368&lt;/D&gt;&lt;D xsi:type="xsd:double"&gt;13.1181725127607&lt;/D&gt;&lt;D xsi:type="xsd:double"&gt;13.4893298149221&lt;/D&gt;&lt;D xsi:type="xsd:double"&gt;13.0028456003947&lt;/D&gt;&lt;D xsi:type="xsd:double"&gt;14.3383487839183&lt;/D&gt;&lt;D xsi:type="xsd:double"&gt;15.143615639276&lt;/D&gt;&lt;D xsi:type="xsd:double"&gt;15.1881028524212&lt;/D&gt;&lt;D xsi:type="xsd:double"&gt;14.7419471085067&lt;/D&gt;&lt;D xsi:type="xsd:double"&gt;14.638938181132&lt;/D&gt;&lt;D xsi:type="xsd:double"&gt;14.6340068530388&lt;/D&gt;&lt;D xsi:type="xsd:double"&gt;14.1500977027814&lt;/D&gt;&lt;D xsi:type="xsd:double"&gt;14.2447289548519&lt;/D&gt;&lt;D xsi:type="xsd:double"&gt;13.8308278446277&lt;/D&gt;&lt;D xsi:type="xsd:double"&gt;12.7779607188718&lt;/D&gt;&lt;D xsi:type="xsd:double"&gt;12.5702546340455&lt;/D&gt;&lt;D xsi:type="xsd:double"&gt;12.3813651099541&lt;/D&gt;&lt;D xsi:type="xsd:double"&gt;13.5475171531596&lt;/D&gt;&lt;D xsi:type="xsd:double"&gt;13.6885273638512&lt;/D&gt;&lt;D xsi:type="xsd:double"&gt;13.5357388525824&lt;/D&gt;&lt;D xsi:type="xsd:double"&gt;12.7818739254914&lt;/D&gt;&lt;D xsi:type="xsd:double"&gt;12.8082973380483&lt;/D&gt;&lt;D xsi:type="xsd:double"&gt;12.5988763790739&lt;/D&gt;&lt;D xsi:type="xsd:double"&gt;12.4318729659449&lt;/D&gt;&lt;D xsi:type="xsd:double"&gt;12.6436326665003&lt;/D&gt;&lt;D xsi:type="xsd:double"&gt;12.8722345584867&lt;/D&gt;&lt;D xsi:type="xsd:double"&gt;13.0257669370695&lt;/D&gt;&lt;D xsi:type="xsd:double"&gt;13.6956669048727&lt;/D&gt;&lt;D xsi:type="xsd:double"&gt;13.8919878694545&lt;/D&gt;&lt;D xsi:type="xsd:double"&gt;14.1393138632796&lt;/D&gt;&lt;D xsi:type="xsd:double"&gt;14.5835726211933&lt;/D&gt;&lt;D xsi:type="xsd:double"&gt;13.568760698109&lt;/D&gt;&lt;D xsi:type="xsd:double"&gt;13.5153531194841&lt;/D&gt;&lt;D xsi:type="xsd:double"&gt;13.6761242200253&lt;/D&gt;&lt;D xsi:type="xsd:double"&gt;13.2081090006138&lt;/D&gt;&lt;D xsi:type="xsd:double"&gt;13.8406366862946&lt;/D&gt;&lt;D xsi:type="xsd:double"&gt;13.8505113264746&lt;/D&gt;&lt;D xsi:type="xsd:double"&gt;13.4344796586395&lt;/D&gt;&lt;D xsi:type="xsd:double"&gt;13.9042310039469&lt;/D&gt;&lt;D xsi:type="xsd:double"&gt;14.2139020386926&lt;/D&gt;&lt;D xsi:type="xsd:double"&gt;14.0995850402657&lt;/D&gt;&lt;D xsi:type="xsd:double"&gt;14.7787944752584&lt;/D&gt;&lt;D xsi:type="xsd:double"&gt;15.2199703187481&lt;/D&gt;&lt;D xsi:type="xsd:double"&gt;14.2863927823955&lt;/D&gt;&lt;D xsi:type="xsd:double"&gt;13.4939238498488&lt;/D&gt;&lt;D xsi:type="xsd:double"&gt;13.6859905593985&lt;/D&gt;&lt;D xsi:type="xsd:double"&gt;14.3040600217997&lt;/D&gt;&lt;D xsi:type="xsd:double"&gt;14.8176970529204&lt;/D&gt;&lt;D xsi:type="xsd:double"&gt;15.5384657838696&lt;/D&gt;&lt;D xsi:type="xsd:double"&gt;16.3457825651395&lt;/D&gt;&lt;D xsi:type="xsd:double"&gt;15.9167169581395&lt;/D&gt;&lt;D xsi:type="xsd:double"&gt;16.523309677117&lt;/D&gt;&lt;D xsi:type="xsd:double"&gt;17.6488582159818&lt;/D&gt;&lt;D xsi:type="xsd:double"&gt;17.3881572327317&lt;/D&gt;&lt;D xsi:type="xsd:double"&gt;17.5647619270585&lt;/D&gt;&lt;D xsi:type="xsd:double"&gt;16.5318621123683&lt;/D&gt;&lt;D xsi:type="xsd:double"&gt;16.7012819069329&lt;/D&gt;&lt;D xsi:type="xsd:double"&gt;16.5931950944791&lt;/D&gt;&lt;D xsi:type="xsd:double"&gt;16.3265257269136&lt;/D&gt;&lt;D xsi:type="xsd:double"&gt;16.0594126324173&lt;/D&gt;&lt;D xsi:type="xsd:double"&gt;15.4700864889495&lt;/D&gt;&lt;D xsi:type="xsd:double"&gt;15.5192979280414&lt;/D&gt;&lt;D xsi:type="xsd:double"&gt;15.2971296564764&lt;/D&gt;&lt;D xsi:type="xsd:double"&gt;15.7645581339602&lt;/D&gt;&lt;D xsi:type="xsd:double"&gt;15.3720723752202&lt;/D&gt;&lt;D xsi:type="xsd:double"&gt;14.8467584665665&lt;/D&gt;&lt;D xsi:type="xsd:double"&gt;15.5840172132075&lt;/D&gt;&lt;D xsi:type="xsd:double"&gt;16.0474891643991&lt;/D&gt;&lt;D xsi:type="xsd:double"&gt;16.2028849084972&lt;/D&gt;&lt;D xsi:type="xsd:double"&gt;16.0101797597943&lt;/D&gt;&lt;D xsi:type="xsd:double"&gt;15.3713678521333&lt;/D&gt;&lt;D xsi:type="xsd:double"&gt;14.5814218996148&lt;/D&gt;&lt;D xsi:type="xsd:double"&gt;15.0032735154902&lt;/D&gt;&lt;D xsi:type="xsd:double"&gt;15.0940057563641&lt;/D&gt;&lt;D xsi:type="xsd:double"&gt;14.4009386896092&lt;/D&gt;&lt;D xsi:type="xsd:double"&gt;14.0091310106941&lt;/D&gt;&lt;D xsi:type="xsd:double"&gt;13.5445121461978&lt;/D&gt;&lt;D xsi:type="xsd:double"&gt;12.4266726448259&lt;/D&gt;&lt;D xsi:type="xsd:double"&gt;12.4852320584823&lt;/D&gt;&lt;D xsi:type="xsd:double"&gt;11.6857139699742&lt;/D&gt;&lt;D xsi:type="xsd:double"&gt;11.666612481315&lt;/D&gt;&lt;D xsi:type="xsd:double"&gt;11.5539275654689&lt;/D&gt;&lt;D xsi:type="xsd:double"&gt;11.8010616829062&lt;/D&gt;&lt;D xsi:type="xsd:double"&gt;11.7209410242712&lt;/D&gt;&lt;D xsi:type="xsd:double"&gt;11.9469117915666&lt;/D&gt;&lt;D xsi:type="xsd:double"&gt;11.8390280156679&lt;/D&gt;&lt;D xsi:type="xsd:double"&gt;11.6756745769748&lt;/D&gt;&lt;D xsi:type="xsd:double"&gt;11.1749181016125&lt;/D&gt;&lt;D xsi:type="xsd:double"&gt;11.6091771425086&lt;/D&gt;&lt;D xsi:type="xsd:double"&gt;11.6242240774782&lt;/D&gt;&lt;D xsi:type="xsd:double"&gt;11.6136539799145&lt;/D&gt;&lt;D xsi:type="xsd:double"&gt;11.411767839552&lt;/D&gt;&lt;D xsi:type="xsd:double"&gt;11.4354978498228&lt;/D&gt;&lt;D xsi:type="xsd:double"&gt;11.2007913863441&lt;/D&gt;&lt;D xsi:type="xsd:double"&gt;11.0450508506453&lt;/D&gt;&lt;/FQL&gt;&lt;FQL&gt;&lt;Q&gt;CPALM-FDS^FG_PRICE_CHANGE(0,-6AM)&lt;/Q&gt;&lt;R&gt;1&lt;/R&gt;&lt;C&gt;1&lt;/C&gt;&lt;D xsi:type="xsd:double"&gt;0.0519345624513168&lt;/D&gt;&lt;/FQL&gt;&lt;FQL&gt;&lt;Q&gt;BRENT-FDS^FG_PRICE_MAVG(0,,,,30)&lt;/Q&gt;&lt;R&gt;1&lt;/R&gt;&lt;C&gt;1&lt;/C&gt;&lt;D xsi:type="xsd:double"&gt;85.86&lt;/D&gt;&lt;/FQL&gt;&lt;FQL&gt;&lt;Q&gt;TUR^FG_PRICE_MAVG(0,,,,60)&lt;/Q&gt;&lt;R&gt;1&lt;/R&gt;&lt;C&gt;1&lt;/C&gt;&lt;D xsi:type="xsd:double"&gt;38.46275&lt;/D&gt;&lt;/FQL&gt;&lt;FQL&gt;&lt;Q&gt;GREK^FG_PRICE_MAVG(0,,,,60)&lt;/Q&gt;&lt;R&gt;1&lt;/R&gt;&lt;C&gt;1&lt;/C&gt;&lt;D xsi:type="xsd:double"&gt;40.594917&lt;/D&gt;&lt;/FQL&gt;&lt;FQL&gt;&lt;Q&gt;EWW^FG_PRICE(0)&lt;/Q&gt;&lt;R&gt;1&lt;/R&gt;&lt;C&gt;1&lt;/C&gt;&lt;D xsi:type="xsd:double"&gt;66.48&lt;/D&gt;&lt;/FQL&gt;&lt;FQL&gt;&lt;Q&gt;EPHE^FG_PRICE_MAVG(0,,,,60)&lt;/Q&gt;&lt;R&gt;1&lt;/R&gt;&lt;C&gt;1&lt;/C&gt;&lt;D xsi:type="xsd:double"&gt;26.470167&lt;/D&gt;&lt;/FQL&gt;&lt;FQL&gt;&lt;Q&gt;KSA^FG_TOTAL_RETURNC(0,-6AM)&lt;/Q&gt;&lt;R&gt;1&lt;/R&gt;&lt;C&gt;1&lt;/C&gt;&lt;D xsi:type="xsd:double"&gt;5.577135&lt;/D&gt;&lt;/FQL&gt;&lt;FQL&gt;&lt;Q&gt;UAE^FG_TOTAL_RETURNC(0,-6AM)&lt;/Q&gt;&lt;R&gt;1&lt;/R&gt;&lt;C&gt;1&lt;/C&gt;&lt;D xsi:type="xsd:double"&gt;-3.9438844&lt;/D&gt;&lt;/FQL&gt;&lt;FQL&gt;&lt;Q&gt;SET-BKK^FG_TOTAL_RETURNC(0,-6AM)&lt;/Q&gt;&lt;R&gt;1&lt;/R&gt;&lt;C&gt;1&lt;/C&gt;&lt;D xsi:type="xsd:double"&gt;-2.7562737&lt;/D&gt;&lt;/FQL&gt;&lt;FQL&gt;&lt;Q&gt;MCHI^FG_TOTAL_RETURNC(0,-3AM)&lt;/Q&gt;&lt;R&gt;1&lt;/R&gt;&lt;C&gt;1&lt;/C&gt;&lt;D xsi:type="xsd:double"&gt;12.907267&lt;/D&gt;&lt;/FQL&gt;&lt;FQL&gt;&lt;Q&gt;GREK^FG_TOTAL_RETURNC(0,-1AM)&lt;/Q&gt;&lt;R&gt;1&lt;/R&gt;&lt;C&gt;1&lt;/C&gt;&lt;D xsi:type="xsd:double"&gt;2.5128007&lt;/D&gt;&lt;/FQL&gt;&lt;FQL&gt;&lt;Q&gt;EWZ^FG_TOTAL_RETURNC(0,-1AM)&lt;/Q&gt;&lt;R&gt;1&lt;/R&gt;&lt;C&gt;1&lt;/C&gt;&lt;D xsi:type="xsd:double"&gt;-1.6688049&lt;/D&gt;&lt;/FQL&gt;&lt;FQL&gt;&lt;Q&gt;CAGDPY@ZA^EE_ACTUAL_ANNUAL(MED,+1)&lt;/Q&gt;&lt;R&gt;1&lt;/R&gt;&lt;C&gt;1&lt;/C&gt;&lt;D xsi:type="xsd:double"&gt;-2.4&lt;/D&gt;&lt;/FQL&gt;&lt;FQL&gt;&lt;Q&gt;CAGDPY@CL^EE_ACTUAL_ANNUAL(MED,0)&lt;/Q&gt;&lt;R&gt;1&lt;/R&gt;&lt;C&gt;1&lt;/C&gt;&lt;D xsi:type="xsd:double"&gt;-3.68653581083686&lt;/D&gt;&lt;/FQL&gt;&lt;FQL&gt;&lt;Q&gt;USDQAR^STD(FG_PRICE_CHANGE(0,-3AY,M))&lt;/Q&gt;&lt;R&gt;1&lt;/R&gt;&lt;C&gt;1&lt;/C&gt;&lt;D xsi:type="xsd:double"&gt;0.010855940593524&lt;/D&gt;&lt;/FQL&gt;&lt;FQL&gt;&lt;Q&gt;USDTWD^STD(FG_PRICE_CHANGE(0,-3AY,M))&lt;/Q&gt;&lt;R&gt;1&lt;/R&gt;&lt;C&gt;1&lt;/C&gt;&lt;D xsi:type="xsd:double"&gt;1.70130120767341&lt;/D&gt;&lt;/FQL&gt;&lt;FQL&gt;&lt;Q&gt;USDIDR^FG_PRICE_CHANGE(0,-6AM)&lt;/Q&gt;&lt;R&gt;1&lt;/R&gt;&lt;C&gt;1&lt;/C&gt;&lt;D xsi:type="xsd:double"&gt;2.8126001&lt;/D&gt;&lt;/FQL&gt;&lt;FQL&gt;&lt;Q&gt;EPU^P_PRICE_RETURNS_PR('52W',2,-10AY,0,AM)&lt;/Q&gt;&lt;R&gt;121&lt;/R&gt;&lt;C&gt;1&lt;/C&gt;&lt;D xsi:type="xsd:double"&gt;-7.347411&lt;/D&gt;&lt;D xsi:type="xsd:double"&gt;5.741465&lt;/D&gt;&lt;D xsi:type="xsd:double"&gt;10.504972&lt;/D&gt;&lt;D xsi:type="xsd:double"&gt;7.0055842&lt;/D&gt;&lt;D xsi:type="xsd:double"&gt;4.744506&lt;/D&gt;&lt;D xsi:type="xsd:double"&gt;-3.0944288&lt;/D&gt;&lt;D xsi:type="xsd:double"&gt;9.461474&lt;/D&gt;&lt;D xsi:type="xsd:double"&gt;-1.0365963&lt;/D&gt;&lt;D xsi:type="xsd:double"&gt;-11.143673&lt;/D&gt;&lt;D xsi:type="xsd:double"&gt;-10.325468&lt;/D&gt;&lt;D xsi:type="xsd:double"&gt;-6.7065535&lt;/D&gt;&lt;D xsi:type="xsd:double"&gt;-9.822363&lt;/D&gt;&lt;D xsi:type="xsd:double"&gt;-11.472005&lt;/D&gt;&lt;D xsi:type="xsd:double"&gt;-15.180868&lt;/D&gt;&lt;D xsi:type="xsd:double"&gt;-24.612677&lt;/D&gt;&lt;D xsi:type="xsd:double"&gt;-38.287056&lt;/D&gt;&lt;D xsi:type="xsd:double"&gt;-35.494267&lt;/D&gt;&lt;D xsi:type="xsd:double"&gt;-28.102291&lt;/D&gt;&lt;D xsi:type="xsd:double"&gt;-34.82477&lt;/D&gt;&lt;D xsi:type="xsd:double"&gt;-34.21561&lt;/D&gt;&lt;D xsi:type="xsd:double"&gt;-38.258953&lt;/D&gt;&lt;D xsi:type="xsd:double"&gt;-26.861841&lt;/D&gt;&lt;D xsi:type="xsd:double"&gt;-9.021169&lt;/D&gt;&lt;D xsi:type="xsd:double"&gt;2.400899&lt;/D&gt;&lt;D xsi:type="xsd:double"&gt;-0.92635155&lt;/D&gt;&lt;D xsi:type="xsd:double"&gt;3.9462805&lt;/D&gt;&lt;D xsi:type="xsd:double"&gt;21.088255&lt;/D&gt;&lt;D xsi:type="xsd:double"&gt;59.048878&lt;/D&gt;&lt;D xsi:type="xsd:double"&gt;53.59055&lt;/D&gt;&lt;D xsi:type="xsd:double"&gt;45.028732&lt;/D&gt;&lt;D xsi:type="xsd:double"&gt;48.154842&lt;/D&gt;&lt;D xsi:type="xsd:double"&gt;58.590614&lt;/D&gt;&lt;D xsi:type="xsd:double"&gt;87.5692&lt;/D&gt;&lt;D xsi:type="xsd:double"&gt;66.332504&lt;/D&gt;&lt;D xsi:type="xsd:double"&gt;32.531227&lt;/D&gt;&lt;D xsi:type="xsd:double"&gt;12.703646&lt;/D&gt;&lt;D xsi:type="xsd:double"&gt;17.900585&lt;/D&gt;&lt;D xsi:type="xsd:double"&gt;13.481641&lt;/D&gt;&lt;D xsi:type="xsd:double"&gt;9.413874&lt;/D&gt;&lt;D xsi:type="xsd:double"&gt;8.286023&lt;/D&gt;&lt;D xsi:type="xsd:double"&gt;14.469886&lt;/D&gt;&lt;D xsi:type="xsd:double"&gt;29.364193&lt;/D&gt;&lt;D xsi:type="xsd:double"&gt;30.079329&lt;/D&gt;&lt;D xsi:type="xsd:double"&gt;31.430244&lt;/D&gt;&lt;D xsi:type="xsd:double"&gt;30.059074&lt;/D&gt;&lt;D xsi:type="xsd:double"&gt;22.722412&lt;/D&gt;&lt;D xsi:type="xsd:double"&gt;28.140497&lt;/D&gt;&lt;D xsi:type="xsd:double"&gt;37.167336&lt;/D&gt;&lt;D xsi:type="xsd:double"&gt;27.290726&lt;/D&gt;&lt;D xsi:type="xsd:double"&gt;22.51687&lt;/D&gt;&lt;D xsi:type="xsd:double"&gt;15.672517&lt;/D&gt;&lt;D xsi:type="xsd:double"&gt;3.6343217&lt;/D&gt;&lt;D xsi:type="xsd:double"&gt;0.00011920929&lt;/D&gt;&lt;D xsi:type="xsd:double"&gt;-13.608355&lt;/D&gt;&lt;D xsi:type="xsd:double"&gt;-13.858849&lt;/D&gt;&lt;D xsi:type="xsd:double"&gt;-10.637307&lt;/D&gt;&lt;D xsi:type="xsd:double"&gt;-15.283561&lt;/D&gt;&lt;D xsi:type="xsd:double"&gt;-6.1240854&lt;/D&gt;&lt;D xsi:type="xsd:double"&gt;-4.3053627&lt;/D&gt;&lt;D xsi:type="xsd:double"&gt;-13.1323395&lt;/D&gt;&lt;D xsi:type="xsd:double"&gt;-16.66581&lt;/D&gt;&lt;D xsi:type="xsd:double"&gt;-5.3376856&lt;/D&gt;&lt;D xsi:type="xsd:double"&gt;-2.5542438&lt;/D&gt;&lt;D xsi:type="xsd:double"&gt;-8.761769&lt;/D&gt;&lt;D xsi:type="xsd:double"&gt;-4.6171308&lt;/D&gt;&lt;D xsi:type="xsd:double"&gt;1.365149&lt;/D&gt;&lt;D xsi:type="xsd:double"&gt;-0.5029321&lt;/D&gt;&lt;D xsi:type="xsd:double"&gt;7.4879527&lt;/D&gt;&lt;D xsi:type="xsd:double"&gt;4.4661283&lt;/D&gt;&lt;D xsi:type="xsd:double"&gt;-7.168412&lt;/D&gt;&lt;D xsi:type="xsd:double"&gt;-44.58098&lt;/D&gt;&lt;D xsi:type="xsd:double"&gt;-33.532314&lt;/D&gt;&lt;D xsi:type="xsd:double"&gt;-21.449316&lt;/D&gt;&lt;D xsi:type="xsd:double"&gt;-19.596554&lt;/D&gt;&lt;D xsi:type="xsd:double"&gt;-18.805265&lt;/D&gt;&lt;D xsi:type="xsd:double"&gt;-5.21636&lt;/D&gt;&lt;D xsi:type="xsd:double"&gt;-15.1328745&lt;/D&gt;&lt;D xsi:type="xsd:double"&gt;-10.016739&lt;/D&gt;&lt;D xsi:type="xsd:double"&gt;-4.551858&lt;/D&gt;&lt;D xsi:type="xsd:double"&gt;-3.2565296&lt;/D&gt;&lt;D xsi:type="xsd:double"&gt;-2.3917854&lt;/D&gt;&lt;D xsi:type="xsd:double"&gt;15.2429695&lt;/D&gt;&lt;D xsi:type="xsd:double"&gt;65.498825&lt;/D&gt;&lt;D xsi:type="xsd:double"&gt;32.264984&lt;/D&gt;&lt;D xsi:type="xsd:double"&gt;21.552801&lt;/D&gt;&lt;D xsi:type="xsd:double"&gt;-1.0647297&lt;/D&gt;&lt;D xsi:type="xsd:double"&gt;-4.1730165&lt;/D&gt;&lt;D xsi:type="xsd:double"&gt;-16.466051&lt;/D&gt;&lt;D xsi:type="xsd:double"&gt;-5.4035482&lt;/D&gt;&lt;D xsi:type="xsd:double"&gt;1.9354582&lt;/D&gt;&lt;D xsi:type="xsd:double"&gt;-8.75594&lt;/D&gt;&lt;D xsi:type="xsd:double"&gt;-13.600063&lt;/D&gt;&lt;D xsi:type="xsd:double"&gt;-3.5383224&lt;/D&gt;&lt;D xsi:type="xsd:double"&gt;-9.636921&lt;/D&gt;&lt;D xsi:type="xsd:double"&gt;12.828946&lt;/D&gt;&lt;D xsi:type="xsd:double"&gt;9.622871&lt;/D&gt;&lt;D xsi:type="xsd:double"&gt;-3.7649155&lt;/D&gt;&lt;D xsi:type="xsd:double"&gt;-2.1095932&lt;/D&gt;&lt;D xsi:type="xsd:double"&gt;-4.059535&lt;/D&gt;&lt;D xsi:type="xsd:double"&gt;10.011732&lt;/D&gt;&lt;D xsi:type="xsd:double"&gt;-5.4133415&lt;/D&gt;&lt;D xsi:type="xsd:double"&gt;-9.9478245&lt;/D&gt;&lt;D xsi:type="xsd:double"&gt;8.064985&lt;/D&gt;&lt;D xsi:type="xsd:double"&gt;4.268539&lt;/D&gt;&lt;D xsi:type="xsd:double"&gt;-0.5368352&lt;/D&gt;&lt;D xsi:type="xsd:double"&gt;-9.334641&lt;/D&gt;&lt;D xsi:type="xsd:double"&gt;-17.952883&lt;/D&gt;&lt;D xsi:type="xsd:double"&gt;-3.1114101&lt;/D&gt;&lt;D xsi:type="xsd:double"&gt;4.3139935&lt;/D&gt;&lt;D xsi:type="xsd:double"&gt;20.644855&lt;/D&gt;&lt;D xsi:type="xsd:double"&gt;33.31144&lt;/D&gt;&lt;D xsi:type="xsd:double"&gt;27.587854&lt;/D&gt;&lt;D xsi:type="xsd:double"&gt;25.787842&lt;/D&gt;&lt;D xsi:type="xsd:double"&gt;16.853893&lt;/D&gt;&lt;D xsi:type="xsd:double"&gt;9.546065&lt;/D&gt;&lt;D xsi:type="xsd:double"&gt;27.066158&lt;/D&gt;&lt;D xsi:type="xsd:double"&gt;11.826361&lt;/D&gt;&lt;D xsi:type="xsd:double"&gt;25.278616&lt;/D&gt;&lt;D xsi:type="xsd:double"&gt;41.65423&lt;/D&gt;&lt;D xsi:type="xsd:double"&gt;32.64052&lt;/D&gt;&lt;D xsi:type="xsd:double"&gt;48.77987&lt;/D&gt;&lt;/FQL&gt;&lt;FQL&gt;&lt;Q&gt;EWM^FG_TOTAL_RETURNC(-10AY,0,AM)&lt;/Q&gt;&lt;R&gt;121&lt;/R&gt;&lt;C&gt;1&lt;/C&gt;&lt;D xsi:type="xsd:double"&gt;2.8717399&lt;/D&gt;&lt;D xsi:type="xsd:double"&gt;0.37220716&lt;/D&gt;&lt;D xsi:type="xsd:double"&gt;1.0885954&lt;/D&gt;&lt;D xsi:type="xsd:double"&gt;0.124299526&lt;/D&gt;&lt;D xsi:type="xsd:double"&gt;-4.5934258&lt;/D&gt;&lt;D xsi:type="xsd:double"&gt;-1.3662994&lt;/D&gt;&lt;D xsi:type="xsd:double"&gt;-1.6490757&lt;/D&gt;&lt;D xsi:type="xsd:double"&gt;-8.297295&lt;/D&gt;&lt;D xsi:type="xsd:double"&gt;0.4480958&lt;/D&gt;&lt;D xsi:type="xsd:double"&gt;-0.6691456&lt;/D&gt;&lt;D xsi:type="xsd:double"&gt;-1.2724578&lt;/D&gt;&lt;D xsi:type="xsd:double"&gt;5.2312374&lt;/D&gt;&lt;D xsi:type="xsd:double"&gt;-3.602308&lt;/D&gt;&lt;D xsi:type="xsd:double"&gt;-6.278026&lt;/D&gt;&lt;D xsi:type="xsd:double"&gt;-3.5387635&lt;/D&gt;&lt;D xsi:type="xsd:double"&gt;-17.839188&lt;/D&gt;&lt;D xsi:type="xsd:double"&gt;0.20387173&lt;/D&gt;&lt;D xsi:type="xsd:double"&gt;11.088503&lt;/D&gt;&lt;D xsi:type="xsd:double"&gt;-3.9377332&lt;/D&gt;&lt;D xsi:type="xsd:double"&gt;0.8876562&lt;/D&gt;&lt;D xsi:type="xsd:double"&gt;-1.9329906&lt;/D&gt;&lt;D xsi:type="xsd:double"&gt;3.6793709&lt;/D&gt;&lt;D xsi:type="xsd:double"&gt;8.238279&lt;/D&gt;&lt;D xsi:type="xsd:double"&gt;3.044498&lt;/D&gt;&lt;D xsi:type="xsd:double"&gt;-9.090912&lt;/D&gt;&lt;D xsi:type="xsd:double"&gt;5.095148&lt;/D&gt;&lt;D xsi:type="xsd:double"&gt;-1.4457822&lt;/D&gt;&lt;D xsi:type="xsd:double"&gt;1.7114878&lt;/D&gt;&lt;D xsi:type="xsd:double"&gt;-1.8028796&lt;/D&gt;&lt;D xsi:type="xsd:double"&gt;-1.4687896&lt;/D&gt;&lt;D xsi:type="xsd:double"&gt;-8.695656&lt;/D&gt;&lt;D xsi:type="xsd:double"&gt;-0.9474158&lt;/D&gt;&lt;D xsi:type="xsd:double"&gt;4.3056965&lt;/D&gt;&lt;D xsi:type="xsd:double"&gt;2.2703767&lt;/D&gt;&lt;D xsi:type="xsd:double"&gt;3.161788&lt;/D&gt;&lt;D xsi:type="xsd:double"&gt;1.2389898&lt;/D&gt;&lt;D xsi:type=</t>
        </r>
      </text>
    </comment>
    <comment ref="A15" authorId="0" shapeId="0" xr:uid="{143677FB-7813-472F-A5A0-AD383C93F046}">
      <text>
        <r>
          <rPr>
            <b/>
            <sz val="9"/>
            <color indexed="81"/>
            <rFont val="Tahoma"/>
            <charset val="1"/>
          </rPr>
          <t>"xsd:double"&gt;3.832531&lt;/D&gt;&lt;D xsi:type="xsd:double"&gt;0.4413128&lt;/D&gt;&lt;D xsi:type="xsd:double"&gt;-1.1863828&lt;/D&gt;&lt;D xsi:type="xsd:double"&gt;1.2954235&lt;/D&gt;&lt;D xsi:type="xsd:double"&gt;1.7779112&lt;/D&gt;&lt;D xsi:type="xsd:double"&gt;-1.9920349&lt;/D&gt;&lt;D xsi:type="xsd:double"&gt;2.4703026&lt;/D&gt;&lt;D xsi:type="xsd:double"&gt;3.1243443&lt;/D&gt;&lt;D xsi:type="xsd:double"&gt;9.107817&lt;/D&gt;&lt;D xsi:type="xsd:double"&gt;1.0505319&lt;/D&gt;&lt;D xsi:type="xsd:double"&gt;-1.5734792&lt;/D&gt;&lt;D xsi:type="xsd:double"&gt;1.6842723&lt;/D&gt;&lt;D xsi:type="xsd:double"&gt;-4.295337&lt;/D&gt;&lt;D xsi:type="xsd:double"&gt;-6.885016&lt;/D&gt;&lt;D xsi:type="xsd:double"&gt;3.3740282&lt;/D&gt;&lt;D xsi:type="xsd:double"&gt;1.3366461&lt;/D&gt;&lt;D xsi:type="xsd:double"&gt;0.18405914&lt;/D&gt;&lt;D xsi:type="xsd:double"&gt;-7.011634&lt;/D&gt;&lt;D xsi:type="xsd:double"&gt;-0.79025626&lt;/D&gt;&lt;D xsi:type="xsd:double"&gt;-2.1492898&lt;/D&gt;&lt;D xsi:type="xsd:double"&gt;4.280293&lt;/D&gt;&lt;D xsi:type="xsd:double"&gt;3.0122519&lt;/D&gt;&lt;D xsi:type="xsd:double"&gt;-3.6953747&lt;/D&gt;&lt;D xsi:type="xsd:double"&gt;-1.1344671&lt;/D&gt;&lt;D xsi:type="xsd:double"&gt;-4.758692&lt;/D&gt;&lt;D xsi:type="xsd:double"&gt;7.351625&lt;/D&gt;&lt;D xsi:type="xsd:double"&gt;-0.77284575&lt;/D&gt;&lt;D xsi:type="xsd:double"&gt;-6.332546&lt;/D&gt;&lt;D xsi:type="xsd:double"&gt;1.3015151&lt;/D&gt;&lt;D xsi:type="xsd:double"&gt;-0.642401&lt;/D&gt;&lt;D xsi:type="xsd:double"&gt;0.61063766&lt;/D&gt;&lt;D xsi:type="xsd:double"&gt;3.470838&lt;/D&gt;&lt;D xsi:type="xsd:double"&gt;-1.919049&lt;/D&gt;&lt;D xsi:type="xsd:double"&gt;-5.7630777&lt;/D&gt;&lt;D xsi:type="xsd:double"&gt;-23.556059&lt;/D&gt;&lt;D xsi:type="xsd:double"&gt;13.580251&lt;/D&gt;&lt;D xsi:type="xsd:double"&gt;6.0869575&lt;/D&gt;&lt;D xsi:type="xsd:double"&gt;6.815362&lt;/D&gt;&lt;D xsi:type="xsd:double"&gt;7.13166&lt;/D&gt;&lt;D xsi:type="xsd:double"&gt;0.03657341&lt;/D&gt;&lt;D xsi:type="xsd:double"&gt;-7.2760525&lt;/D&gt;&lt;D xsi:type="xsd:double"&gt;3.9037824&lt;/D&gt;&lt;D xsi:type="xsd:double"&gt;5.3510427&lt;/D&gt;&lt;D xsi:type="xsd:double"&gt;4.034579&lt;/D&gt;&lt;D xsi:type="xsd:double"&gt;-3.081715&lt;/D&gt;&lt;D xsi:type="xsd:double"&gt;-1.6434431&lt;/D&gt;&lt;D xsi:type="xsd:double"&gt;-0.72648525&lt;/D&gt;&lt;D xsi:type="xsd:double"&gt;2.1587968&lt;/D&gt;&lt;D xsi:type="xsd:double"&gt;-4.369622&lt;/D&gt;&lt;D xsi:type="xsd:double"&gt;0.56135654&lt;/D&gt;&lt;D xsi:type="xsd:double"&gt;-4.2643127&lt;/D&gt;&lt;D xsi:type="xsd:double"&gt;0.36115646&lt;/D&gt;&lt;D xsi:type="xsd:double"&gt;1.6393423&lt;/D&gt;&lt;D xsi:type="xsd:double"&gt;4.4846535&lt;/D&gt;&lt;D xsi:type="xsd:double"&gt;-5.798191&lt;/D&gt;&lt;D xsi:type="xsd:double"&gt;0.27337074&lt;/D&gt;&lt;D xsi:type="xsd:double"&gt;0.45285225&lt;/D&gt;&lt;D xsi:type="xsd:double"&gt;4.180324&lt;/D&gt;&lt;D xsi:type="xsd:double"&gt;0.5507469&lt;/D&gt;&lt;D xsi:type="xsd:double"&gt;-2.3865342&lt;/D&gt;&lt;D xsi:type="xsd:double"&gt;-3.8477004&lt;/D&gt;&lt;D xsi:type="xsd:double"&gt;-7.568556&lt;/D&gt;&lt;D xsi:type="xsd:double"&gt;1.3805866&lt;/D&gt;&lt;D xsi:type="xsd:double"&gt;0.090777874&lt;/D&gt;&lt;D xsi:type="xsd:double"&gt;-5.804986&lt;/D&gt;&lt;D xsi:type="xsd:double"&gt;0.24073124&lt;/D&gt;&lt;D xsi:type="xsd:double"&gt;3.121996&lt;/D&gt;&lt;D xsi:type="xsd:double"&gt;5.623758&lt;/D&gt;&lt;D xsi:type="xsd:double"&gt;7.168305&lt;/D&gt;&lt;D xsi:type="xsd:double"&gt;-7.9767346&lt;/D&gt;&lt;D xsi:type="xsd:double"&gt;-1.4898419&lt;/D&gt;&lt;D xsi:type="xsd:double"&gt;0.54996014&lt;/D&gt;&lt;D xsi:type="xsd:double"&gt;-3.9197862&lt;/D&gt;&lt;D xsi:type="xsd:double"&gt;-3.2621443&lt;/D&gt;&lt;D xsi:type="xsd:double"&gt;4.4932604&lt;/D&gt;&lt;D xsi:type="xsd:double"&gt;-0.28666854&lt;/D&gt;&lt;D xsi:type="xsd:double"&gt;0.95831156&lt;/D&gt;&lt;D xsi:type="xsd:double"&gt;-3.1324148&lt;/D&gt;&lt;D xsi:type="xsd:double"&gt;4.017639&lt;/D&gt;&lt;D xsi:type="xsd:double"&gt;1.4319539&lt;/D&gt;&lt;D xsi:type="xsd:double"&gt;-0.51985383&lt;/D&gt;&lt;D xsi:type="xsd:double"&gt;2.9453754&lt;/D&gt;&lt;D xsi:type="xsd:double"&gt;1.1075258&lt;/D&gt;&lt;D xsi:type="xsd:double"&gt;0.54769516&lt;/D&gt;&lt;D xsi:type="xsd:double"&gt;5.220151&lt;/D&gt;&lt;/FQL&gt;&lt;FQL&gt;&lt;Q&gt;EWY^FMA_DIV_YLD(NTMA,-10AY,0,AM,"PORTAGG","MEANR")&lt;/Q&gt;&lt;R&gt;121&lt;/R&gt;&lt;C&gt;1&lt;/C&gt;&lt;D xsi:type="xsd:double"&gt;1.24693530778301&lt;/D&gt;&lt;D xsi:type="xsd:double"&gt;1.28535681095523&lt;/D&gt;&lt;D xsi:type="xsd:double"&gt;1.28227727378725&lt;/D&gt;&lt;D xsi:type="xsd:double"&gt;1.29126138351873&lt;/D&gt;&lt;D xsi:type="xsd:double"&gt;1.340168937359&lt;/D&gt;&lt;D xsi:type="xsd:double"&gt;1.4708591137633&lt;/D&gt;&lt;D xsi:type="xsd:double"&gt;1.40916188351618&lt;/D&gt;&lt;D xsi:type="xsd:double"&gt;1.40469516926374&lt;/D&gt;&lt;D xsi:type="xsd:double"&gt;1.5425187224572&lt;/D&gt;&lt;D xsi:type="xsd:double"&gt;1.58456637270799&lt;/D&gt;&lt;D xsi:type="xsd:double"&gt;1.53186898201384&lt;/D&gt;&lt;D xsi:type="xsd:double"&gt;1.4720487362203&lt;/D&gt;&lt;D xsi:type="xsd:double"&gt;1.55368827086343&lt;/D&gt;&lt;D xsi:type="xsd:double"&gt;1.65222536431286&lt;/D&gt;&lt;D xsi:type="xsd:double"&gt;1.72971180033526&lt;/D&gt;&lt;D xsi:type="xsd:double"&gt;1.88496917044646&lt;/D&gt;&lt;D xsi:type="xsd:double"&gt;1.84282994212871&lt;/D&gt;&lt;D xsi:type="xsd:double"&gt;1.72273882104444&lt;/D&gt;&lt;D xsi:type="xsd:double"&gt;1.86303613922241&lt;/D&gt;&lt;D xsi:type="xsd:double"&gt;1.91204960671868&lt;/D&gt;&lt;D xsi:type="xsd:double"&gt;2.05350928275547&lt;/D&gt;&lt;D xsi:type="xsd:double"&gt;1.95445888283407&lt;/D&gt;&lt;D xsi:type="xsd:double"&gt;1.89523291487274&lt;/D&gt;&lt;D xsi:type="xsd:double"&gt;1.9136631908622&lt;/D&gt;&lt;D xsi:type="xsd:double"&gt;2.00713139433477&lt;/D&gt;&lt;D xsi:type="xsd:double"&gt;1.94780197083684&lt;/D&gt;&lt;D xsi:type="xsd:double"&gt;1.94482472861402&lt;/D&gt;&lt;D xsi:type="xsd:double"&gt;1.86668671595566&lt;/D&gt;&lt;D xsi:type="xsd:double"&gt;1.86215904346975&lt;/D&gt;&lt;D xsi:type="xsd:double"&gt;1.93242455502505&lt;/D&gt;&lt;D xsi:type="xsd:double"&gt;1.97787214009323&lt;/D&gt;&lt;D xsi:type="xsd:double"&gt;1.95010257967147&lt;/D&gt;&lt;D xsi:type="xsd:double"&gt;1.95741739687526&lt;/D&gt;&lt;D xsi:type="xsd:double"&gt;1.90974303748151&lt;/D&gt;&lt;D xsi:type="xsd:double"&gt;1.87581229616556&lt;/D&gt;&lt;D xsi:type="xsd:double"&gt;1.93743947672054&lt;/D&gt;&lt;D xsi:type="xsd:double"&gt;1.8089803483325&lt;/D&gt;&lt;D xsi:type="xsd:double"&gt;1.76065664825631&lt;/D&gt;&lt;D xsi:type="xsd:double"&gt;1.74033149120338&lt;/D&gt;&lt;D xsi:type="xsd:double"&gt;1.83055431145789&lt;/D&gt;&lt;D xsi:type="xsd:double"&gt;1.79720370053399&lt;/D&gt;&lt;D xsi:type="xsd:double"&gt;1.71563247145609&lt;/D&gt;&lt;D xsi:type="xsd:double"&gt;1.96197069878383&lt;/D&gt;&lt;D xsi:type="xsd:double"&gt;2.08336975521431&lt;/D&gt;&lt;D xsi:type="xsd:double"&gt;2.00345084851703&lt;/D&gt;&lt;D xsi:type="xsd:double"&gt;2.14680441272825&lt;/D&gt;&lt;D xsi:type="xsd:double"&gt;2.21443709301921&lt;/D&gt;&lt;D xsi:type="xsd:double"&gt;2.20095124697306&lt;/D&gt;&lt;D xsi:type="xsd:double"&gt;2.21720366414044&lt;/D&gt;&lt;D xsi:type="xsd:double"&gt;2.30236853544621&lt;/D&gt;&lt;D xsi:type="xsd:double"&gt;2.38227515820371&lt;/D&gt;&lt;D xsi:type="xsd:double"&gt;2.40305766394967&lt;/D&gt;&lt;D xsi:type="xsd:double"&gt;2.37444586250232&lt;/D&gt;&lt;D xsi:type="xsd:double"&gt;2.609840135116&lt;/D&gt;&lt;D xsi:type="xsd:double"&gt;2.66578037638704&lt;/D&gt;&lt;D xsi:type="xsd:double"&gt;2.62254697558131&lt;/D&gt;&lt;D xsi:type="xsd:double"&gt;2.55303224417688&lt;/D&gt;&lt;D xsi:type="xsd:double"&gt;2.43875959204186&lt;/D&gt;&lt;D xsi:type="xsd:double"&gt;2.47373993230771&lt;/D&gt;&lt;D xsi:type="xsd:double"&gt;2.4543796508634&lt;/D&gt;&lt;D xsi:type="xsd:double"&gt;2.58954713696272&lt;/D&gt;&lt;D xsi:type="xsd:double"&gt;2.51472553217201&lt;/D&gt;&lt;D xsi:type="xsd:double"&gt;2.51389887936469&lt;/D&gt;&lt;D xsi:type="xsd:double"&gt;2.69400037256879&lt;/D&gt;&lt;D xsi:type="xsd:double"&gt;2.47607316056371&lt;/D&gt;&lt;D xsi:type="xsd:double"&gt;2.47816861918101&lt;/D&gt;&lt;D xsi:type="xsd:double"&gt;2.44141248221246&lt;/D&gt;&lt;D xsi:type="xsd:double"&gt;2.31378096008543&lt;/D&gt;&lt;D xsi:type="xsd:double"&gt;2.27569329985858&lt;/D&gt;&lt;D xsi:type="xsd:double"&gt;2.2964919860625&lt;/D&gt;&lt;D xsi:type="xsd:double"&gt;3.34580981978972&lt;/D&gt;&lt;D xsi:type="xsd:double"&gt;2.54269002830748&lt;/D&gt;&lt;D xsi:type="xsd:double"&gt;2.43458897442638&lt;/D&gt;&lt;D xsi:type="xsd:double"&gt;2.26375058346729&lt;/D&gt;&lt;D xsi:type="xsd:double"&gt;2.2275228881315&lt;/D&gt;&lt;D xsi:type="xsd:double"&gt;2.14901434646354&lt;/D&gt;&lt;D xsi:type="xsd:double"&gt;2.15557856717531&lt;/D&gt;&lt;D xsi:type="xsd:double"&gt;2.16419833644392&lt;/D&gt;&lt;D xsi:type="xsd:double"&gt;1.96309486507436&lt;/D&gt;&lt;D xsi:type="xsd:double"&gt;1.86279580916673&lt;/D&gt;&lt;D xsi:type="xsd:double"&gt;1.63717970145553&lt;/D&gt;&lt;D xsi:type="xsd:double"&gt;1.67458927182523&lt;/D&gt;&lt;D xsi:type="xsd:double"&gt;1.71594749817112&lt;/D&gt;&lt;D xsi:type="xsd:double"&gt;1.69921496847177&lt;/D&gt;&lt;D xsi:type="xsd:double"&gt;1.7519562615325&lt;/D&gt;&lt;D xsi:type="xsd:double"&gt;1.65822904439555&lt;/D&gt;&lt;D xsi:type="xsd:double"&gt;1.71162893943409&lt;/D&gt;&lt;D xsi:type="xsd:double"&gt;1.86069470453119&lt;/D&gt;&lt;D xsi:type="xsd:double"&gt;1.84278185108525&lt;/D&gt;&lt;D xsi:type="xsd:double"&gt;1.9411659154657&lt;/D&gt;&lt;D xsi:type="xsd:double"&gt;1.95832453955021&lt;/D&gt;&lt;D xsi:type="xsd:double"&gt;1.93215141428154&lt;/D&gt;&lt;D xsi:type="xsd:double"&gt;2.05454436004318&lt;/D&gt;&lt;D xsi:type="xsd:double"&gt;2.20023140140099&lt;/D&gt;&lt;D xsi:type="xsd:double"&gt;2.21198282189103&lt;/D&gt;&lt;D xsi:type="xsd:double"&gt;2.27686861247645&lt;/D&gt;&lt;D xsi:type="xsd:double"&gt;2.33343084427227&lt;/D&gt;&lt;D xsi:type="xsd:double"&gt;2.65582460910842&lt;/D&gt;&lt;D xsi:type="xsd:double"&gt;2.58670006894869&lt;/D&gt;&lt;D xsi:type="xsd:double"&gt;2.57750396129028&lt;/D&gt;&lt;D xsi:type="xsd:double"&gt;2.75039989962106&lt;/D&gt;&lt;D xsi:type="xsd:double"&gt;2.7510121515116&lt;/D&gt;&lt;D xsi:type="xsd:double"&gt;2.54384508569716&lt;/D&gt;&lt;D xsi:type="xsd:double"&gt;2.58993417002994&lt;/D&gt;&lt;D xsi:type="xsd:double"&gt;2.49592079494871&lt;/D&gt;&lt;D xsi:type="xsd:double"&gt;2.47910357181677&lt;/D&gt;&lt;D xsi:type="xsd:double"&gt;2.46102727544073&lt;/D&gt;&lt;D xsi:type="xsd:double"&gt;2.33094701308593&lt;/D&gt;&lt;D xsi:type="xsd:double"&gt;2.37132190642914&lt;/D&gt;&lt;D xsi:type="xsd:double"&gt;2.35901240970331&lt;/D&gt;&lt;D xsi:type="xsd:double"&gt;2.33530814037473&lt;/D&gt;&lt;D xsi:type="xsd:double"&gt;2.48588675939815&lt;/D&gt;&lt;D xsi:type="xsd:double"&gt;2.42622453186351&lt;/D&gt;&lt;D xsi:type="xsd:double"&gt;2.5967184936652&lt;/D&gt;&lt;D xsi:type="xsd:double"&gt;2.39723935767392&lt;/D&gt;&lt;D xsi:type="xsd:double"&gt;2.30806205071154&lt;/D&gt;&lt;D xsi:type="xsd:double"&gt;2.41611709131165&lt;/D&gt;&lt;D xsi:type="xsd:double"&gt;2.23771450123924&lt;/D&gt;&lt;D xsi:type="xsd:double"&gt;2.16026491251583&lt;/D&gt;&lt;D xsi:type="xsd:double"&gt;2.25558596534678&lt;/D&gt;&lt;D xsi:type="xsd:double"&gt;2.18158618007861&lt;/D&gt;&lt;/FQL&gt;&lt;FQL&gt;&lt;Q&gt;DDR3512M-FDS^FG_PRICE_CHANGE(0,-1AM)&lt;/Q&gt;&lt;R&gt;1&lt;/R&gt;&lt;C&gt;1&lt;/C&gt;&lt;D xsi:type="xsd:double"&gt;-0.81799870634871&lt;/D&gt;&lt;/FQL&gt;&lt;FQL&gt;&lt;Q&gt;NI-FDS^MAX(FG_PRICE(0,-5AY))&lt;/Q&gt;&lt;R&gt;1&lt;/R&gt;&lt;C&gt;1&lt;/C&gt;&lt;D xsi:type="xsd:double"&gt;48241&lt;/D&gt;&lt;/FQL&gt;&lt;FQL&gt;&lt;Q&gt;FTSEWIVNXXXX^FG_PRICE(0)&lt;/Q&gt;&lt;R&gt;1&lt;/R&gt;&lt;C&gt;1&lt;/C&gt;&lt;D xsi:type="xsd:double"&gt;384.13515362&lt;/D&gt;&lt;/FQL&gt;&lt;FQL&gt;&lt;Q&gt;FC0000PE^FG_PRICE(0)&lt;/Q&gt;&lt;R&gt;1&lt;/R&gt;&lt;C&gt;1&lt;/C&gt;&lt;D xsi:type="xsd:double"&gt;832.88293&lt;/D&gt;&lt;/FQL&gt;&lt;FQL&gt;&lt;Q&gt;TUR^FG_PRICE_MAVG(0,,,,30)&lt;/Q&gt;&lt;R&gt;1&lt;/R&gt;&lt;C&gt;1&lt;/C&gt;&lt;D xsi:type="xsd:double"&gt;40.511166&lt;/D&gt;&lt;/FQL&gt;&lt;FQL&gt;&lt;Q&gt;EWM^FG_TOTAL_RETURNC(0,-1AM)&lt;/Q&gt;&lt;R&gt;1&lt;/R&gt;&lt;C&gt;1&lt;/C&gt;&lt;D xsi:type="xsd:double"&gt;5.220151&lt;/D&gt;&lt;/FQL&gt;&lt;FQL&gt;&lt;Q&gt;EIDO^FG_TOTAL_RETURNC(0,-3AM)&lt;/Q&gt;&lt;R&gt;1&lt;/R&gt;&lt;C&gt;1&lt;/C&gt;&lt;D xsi:type="xsd:double"&gt;-9.89399&lt;/D&gt;&lt;/FQL&gt;&lt;FQL&gt;&lt;Q&gt;VWO^P_PRICE(0)/P_PRICE_HIGH_PR(0,,,,,,"PRICE","INTRA","52W")&lt;/Q&gt;&lt;R&gt;1&lt;/R&gt;&lt;C&gt;1&lt;/C&gt;&lt;D xsi:type="xsd:double"&gt;0.97985363&lt;/D&gt;&lt;/FQL&gt;&lt;FQL&gt;&lt;Q&gt;VWO^FMA_PCT_ABOVE_MAVG(200,0,,,,"PORTAGG")&lt;/Q&gt;&lt;R&gt;1&lt;/R&gt;&lt;C&gt;1&lt;/C&gt;&lt;D xsi:type="xsd:double"&gt;46.8615649183147&lt;/D&gt;&lt;/FQL&gt;&lt;FQL&gt;&lt;Q&gt;QAT^FMA_COS_DOWN("EPS","1M",+1,NOW,,,"PORTAGG","MEANR")&lt;/Q&gt;&lt;R&gt;1&lt;/R&gt;&lt;C&gt;1&lt;/C&gt;&lt;D xsi:type="xsd:double"&gt;11&lt;/D&gt;&lt;/FQL&gt;&lt;FQL&gt;&lt;Q&gt;EPHE^SIZE(FG_CONSTITUENTS)&lt;/Q&gt;&lt;R&gt;1&lt;/R&gt;&lt;C&gt;1&lt;/C&gt;&lt;D xsi:type="xsd:long"&gt;35&lt;/D&gt;&lt;/FQL&gt;&lt;FQL&gt;&lt;Q&gt;UAE^FG_ROE(0)&lt;/Q&gt;&lt;R&gt;1&lt;/R&gt;&lt;C&gt;1&lt;/C&gt;&lt;D xsi:type="xsd:double"&gt;12.8880456831335&lt;/D&gt;&lt;/FQL&gt;&lt;FQL&gt;&lt;Q&gt;TRYPL10Y-FDS^FG_YIELD_NAME&lt;/Q&gt;&lt;R&gt;1&lt;/R&gt;&lt;C&gt;1&lt;/C&gt;&lt;D xsi:type="xsd:string"&gt;Treasury - Poland Benchmark Bond 10Y&lt;/D&gt;&lt;/FQL&gt;&lt;FQL&gt;&lt;Q&gt;REFTHREPO-FDS^PROPER_NAME(0,,,"SECURITY","NAME")&lt;/Q&gt;&lt;R&gt;1&lt;/R&gt;&lt;C&gt;1&lt;/C&gt;&lt;D xsi:type="xsd:string"&gt;Thailand Repo Rate - 1 Day&lt;/D&gt;&lt;/FQL&gt;&lt;FQL&gt;&lt;Q&gt;REFBRSELIC-FDS^FG_YIELD(NOW,,,0)&lt;/Q&gt;&lt;R&gt;1&lt;/R&gt;&lt;C&gt;1&lt;/C&gt;&lt;D xsi:type="xsd:double"&gt;10.5&lt;/D&gt;&lt;/FQL&gt;&lt;FQL&gt;&lt;Q&gt;TRYID10Y-FDS^FG_YIELD(-10AY,0,Y,,"YTM")&lt;/Q&gt;&lt;R&gt;10&lt;/R&gt;&lt;C&gt;1&lt;/C&gt;&lt;D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xsi:type="xsd:double"&gt;3.1928&lt;/D&gt;&lt;/FQL&gt;&lt;FQL&gt;&lt;Q&gt;USDSAR^STD(FG_PRICE_CHANGE(0,-3AY,M))&lt;/Q&gt;&lt;R&gt;1&lt;/R&gt;&lt;C&gt;1&lt;/C&gt;&lt;D xsi:type="xsd:double"&gt;0.0430894837935631&lt;/D&gt;&lt;/FQL&gt;&lt;FQL&gt;&lt;Q&gt;USDAED^FG_PRICE_CHANGE(0,-1AM)&lt;/Q&gt;&lt;R&gt;1&lt;/R&gt;&lt;C&gt;1&lt;/C&gt;&lt;D xsi:type="xsd:double"&gt;0.0040888786&lt;/D&gt;&lt;/FQL&gt;&lt;FQL&gt;&lt;Q&gt;USDEUR^STD(FG_PRICE_CHANGE(0,-3AY,M))&lt;/Q&gt;&lt;R&gt;1&lt;/R&gt;&lt;C&gt;1&lt;/C&gt;&lt;D xsi:type="xsd:double"&gt;2.17952888526641&lt;/D&gt;&lt;/FQL&gt;&lt;FQL&gt;&lt;Q&gt;USDBRL^FG_PRICE_CHANGE(0,-1AM)&lt;/Q&gt;&lt;R&gt;1&lt;/R&gt;&lt;C&gt;1&lt;/C&gt;&lt;D xsi:type="xsd:double"&gt;-0.06302595&lt;/D&gt;&lt;/FQL&gt;&lt;FQL&gt;&lt;Q&gt;USDPEN^FG_PRICE_CHANGE(0,-1AM)&lt;/Q&gt;&lt;R&gt;1&lt;/R&gt;&lt;C&gt;1&lt;/C&gt;&lt;D xsi:type="xsd:double"&gt;1.3461113&lt;/D&gt;&lt;/FQL&gt;&lt;FQL&gt;&lt;Q&gt;FC0000ID^FMA_EPS(NTMA,-20AY,0,CY,,"PORTAGG","MEANR")&lt;/Q&gt;&lt;R&gt;20&lt;/R&gt;&lt;C&gt;1&lt;/C&gt;&lt;D xsi:type="xsd:double"&gt;29.3284073880372&lt;/D&gt;&lt;D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xsi:type="xsd:double"&gt;63.7324767422149&lt;/D&gt;&lt;D xsi:type="xsd:double"&gt;51.5269226239035&lt;/D&gt;&lt;D xsi:type="xsd:double"&gt;58.7717056024802&lt;/D&gt;&lt;D xsi:type="xsd:double"&gt;64.9727942126264&lt;/D&gt;&lt;D xsi:type="xsd:double"&gt;67.9891570262377&lt;/D&gt;&lt;/FQL&gt;&lt;FQL&gt;&lt;Q&gt;EZA^FMA_PE(NTMA,-10AY,0,AM,"PORTAGG","MEANR")&lt;/Q&gt;&lt;R&gt;121&lt;/R&gt;&lt;C&gt;1&lt;/C&gt;&lt;D xsi:type="xsd:double"&gt;14.706419783367&lt;/D&gt;&lt;D xsi:type="xsd:double"&gt;14.7917591007711&lt;/D&gt;&lt;D xsi:type="xsd:double"&gt;15.1754577987265&lt;/D&gt;&lt;D xsi:type="xsd:double"&gt;15.1293960503045&lt;/D&gt;&lt;D xsi:type="xsd:double"&gt;14.5298911754789&lt;/D&gt;&lt;D xsi:type="xsd:double"&gt;14.3754543023227&lt;/D&gt;&lt;D xsi:type="xsd:double"&gt;15.5580556571811&lt;/D&gt;&lt;D xsi:type="xsd:double"&gt;15.6258667859748&lt;/D&gt;&lt;D xsi:type="xsd:double"&gt;16.6215128218401&lt;/D&gt;&lt;D xsi:type="xsd:double"&gt;17.17644940878&lt;/D&gt;&lt;D xsi:type="xsd:double"&gt;16.787147991558&lt;/D&gt;&lt;D xsi:type="xsd:double"&gt;17.7339288233696&lt;/D&gt;&lt;D xsi:type="xsd:double"&gt;16.9854350169837&lt;/D&gt;&lt;D xsi:type="xsd:double"&gt;16.2488513823374&lt;/D&gt;&lt;D xsi:type="xsd:double"&gt;16.2943684784773&lt;/D&gt;&lt;D xsi:type="xsd:double"&gt;14.7868180601351&lt;/D&gt;&lt;D xsi:type="xsd:double"&gt;15.0843845998768&lt;/D&gt;&lt;D xsi:type="xsd:double"&gt;16.1194297535838&lt;/D&gt;&lt;D xsi:type="xsd:double"&gt;15.6003870151601&lt;/D&gt;&lt;D xsi:type="xsd:double"&gt;14.7679304552144&lt;/D&gt;&lt;D xsi:type="xsd:double"&gt;13.3290309691413&lt;/D&gt;&lt;D xsi:type="xsd:double"&gt;13.8606550318405&lt;/D&gt;&lt;D xsi:type="xsd:double"&gt;14.9215342828263&lt;/D&gt;&lt;D xsi:type="xsd:double"&gt;15.0623480919086&lt;/D&gt;&lt;D xsi:type="xsd:double"&gt;14.228994227292&lt;/D&gt;&lt;D xsi:type="xsd:double"&gt;15.0739316034604&lt;/D&gt;&lt;D xsi:type="xsd:double"&gt;15.419688849177&lt;/D&gt;&lt;D xsi:type="xsd:double"&gt;15.5741403928612&lt;/D&gt;&lt;D xsi:type="xsd:double"&gt;15.0298664972187&lt;/D&gt;&lt;D xsi:type="xsd:double"&gt;14.6031366765382&lt;/D&gt;&lt;D xsi:type="xsd:double"&gt;14.0865491003735&lt;/D&gt;&lt;D xsi:type="xsd:double"&gt;14.0968537422465&lt;/D&gt;&lt;D xsi:type="xsd:double"&gt;15.1100763928061&lt;/D&gt;&lt;D xsi:type="xsd:double"&gt;15.6147453522535&lt;/D&gt;&lt;D xsi:type="xsd:double"&gt;16.1267996599742&lt;/D&gt;&lt;D xsi:type="xsd:double"&gt;15.8785456945205&lt;/D&gt;&lt;D xsi:type="xsd:double"&gt;16.5390995965113&lt;/D&gt;&lt;D xsi:type="xsd:double"&gt;15.2737209863898&lt;/D&gt;&lt;D xsi:type="xsd:double"&gt;15.7898670171334&lt;/D&gt;&lt;D xsi:type="xsd:double"&gt;15.9303573732783&lt;/D&gt;&lt;D xsi:type="xsd:double"&gt;15.0980412943844&lt;/D&gt;&lt;D xsi:type="xsd:double"&gt;15.3923601871474&lt;/D&gt;&lt;D xsi:type="xsd:double"&gt;16.0752795187677&lt;/D&gt;&lt;D xsi:type="xsd:double"&gt;14.904076028193&lt;/D&gt;&lt;D xsi:type="xsd:double"&gt;15.5760061308745&lt;/D&gt;&lt;D xsi:type="xsd:double"&gt;15.2313053871749&lt;/D&gt;&lt;D xsi:type="xsd:double"&gt;15.5235698997706&lt;/D&gt;&lt;D xsi:type="xsd:double"&gt;15.3159333573495&lt;/D&gt;&lt;D xsi:type="xsd:double"&gt;14.5369781525129&lt;/D&gt;&lt;D xsi:type="xsd:double"&gt;14.1186601071754&lt;/D&gt;&lt;D xsi:type="xsd:double"&gt;13.8078523263567&lt;/D&gt;&lt;D xsi:type="xsd:double"&gt;13.8530239203068&lt;/D&gt;&lt;D xsi:type="xsd:double"&gt;13.3264188173305&lt;/D&gt;&lt;D xsi:type="xsd:double"&gt;11.742881366135&lt;/D&gt;&lt;D xsi:type="xsd:double"&gt;12.2198696911294&lt;/D&gt;&lt;D xsi:type="xsd:double"&gt;12.325062401193&lt;/D&gt;&lt;D xsi:type="xsd:double"&gt;13.1142052269572&lt;/D&gt;&lt;D xsi:type="xsd:double"&gt;13.1759459255462&lt;/D&gt;&lt;D xsi:type="xsd:double"&gt;12.9245961170935&lt;/D&gt;&lt;D xsi:type="xsd:double"&gt;13.7764998254399&lt;/D&gt;&lt;D xsi:type="xsd:double"&gt;12.4405328423308&lt;/D&gt;&lt;D xsi:type="xsd:double"&gt;13.4761225208188&lt;/D&gt;&lt;D xsi:type="xsd:double"&gt;13.0697672126158&lt;/D&gt;&lt;D xsi:type="xsd:double"&gt;11.798577978978&lt;/D&gt;&lt;D xsi:type="xsd:double"&gt;11.8356347702428&lt;/D&gt;&lt;D xsi:type="xsd:double"&gt;11.6582640296755&lt;/D&gt;&lt;D xsi:type="xsd:double"&gt;12.0259459414098&lt;/D&gt;&lt;D xsi:type="xsd:double"&gt;12.3438793183159&lt;/D&gt;&lt;D xsi:type="xsd:double"&gt;11.9454767533352&lt;/D&gt;&lt;D xsi:type="xsd:double"&gt;11.8621189930322&lt;/D&gt;&lt;D xsi:type="xsd:double"&gt;7.13169624769251&lt;/D&gt;&lt;D xsi:type="xsd:double"&gt;9.91627102472174&lt;/D&gt;&lt;D xsi:type="xsd:double"&gt;10.6690055886314&lt;/D&gt;&lt;D xsi:type="xsd:double"&gt;11.5226497162016&lt;/D&gt;&lt;D xsi:type="xsd:double"&gt;11.8056366668357&lt;/D&gt;&lt;D xsi:type="xsd:double"&gt;11.1612736479771&lt;/D&gt;&lt;D xsi:type="xsd:double"&gt;10.294679737278&lt;/D&gt;&lt;D xsi:type="xsd:double"&gt;10.5514656574296&lt;/D&gt;&lt;D xsi:type="xsd:double"&gt;10.1488146962266&lt;/D&gt;&lt;D xsi:type="xsd:double"&gt;9.86399775211699&lt;/D&gt;&lt;D xsi:type="xsd:double"&gt;10.0943648518816&lt;/D&gt;&lt;D xsi:type="xsd:double"&gt;10.2043851230548&lt;/D&gt;&lt;D xsi:type="xsd:double"&gt;9.87346630771505&lt;/D&gt;&lt;D xsi:type="xsd:double"&gt;9.64197976521676&lt;/D&gt;&lt;D xsi:type="xsd:double"&gt;9.60242465783901&lt;/D&gt;&lt;D xsi:type="xsd:double"&gt;9.45715445227284&lt;/D&gt;&lt;D xsi:type="xsd:double"&gt;9.40061025516946&lt;/D&gt;&lt;D xsi:type="xsd:double"&gt;8.82980222529421&lt;/D&gt;&lt;D xsi:type="xsd:double"&gt;9.18323836808105&lt;/D&gt;&lt;D xsi:type="xsd:double"&gt;9.57146611077374&lt;/D&gt;&lt;D xsi:type="xsd:double"&gt;9.4822727588246&lt;/D&gt;&lt;D xsi:type="xsd:double"&gt;9.62768756913195&lt;/D&gt;&lt;D xsi:type="xsd:double"&gt;9.89821482296437&lt;/D&gt;&lt;D xsi:type="xsd:double"&gt;9.95000469162012&lt;/D&gt;&lt;D xsi:type="xsd:double"&gt;9.92441414772469&lt;/D&gt;&lt;D xsi:type="xsd:double"&gt;9.36270619486573&lt;/D&gt;&lt;D xsi:type="xsd:double"&gt;8.90748990274208&lt;/D&gt;&lt;D xsi:type="xsd:double"&gt;8.40272741122536&lt;/D&gt;&lt;D xsi:type="xsd:double"&gt;8.87390836269429&lt;/D&gt;&lt;D xsi:type="xsd:double"&gt;8.64704903503118&lt;/D&gt;&lt;D xsi:type="xsd:double"&gt;7.77012948632539&lt;/D&gt;&lt;D xsi:type="xsd:double"&gt;8.17394786618558&lt;/D&gt;&lt;D xsi:type="xsd:double"&gt;9.09723224166972&lt;/D&gt;&lt;D xsi:type="xsd:double"&gt;8.98300101598229&lt;/D&gt;&lt;D xsi:type="xsd:double"&gt;9.55370710396892&lt;/D&gt;&lt;D xsi:type="xsd:double"&gt;8.98351396650829&lt;/D&gt;&lt;D xsi:type="xsd:double"&gt;8.82800864692793&lt;/D&gt;&lt;D xsi:type="xsd:double"&gt;9.11633900911806&lt;/D&gt;&lt;D xsi:type="xsd:double"&gt;8.78390695380198&lt;/D&gt;&lt;D xsi:type="xsd:double"&gt;8.94822903282375&lt;/D&gt;&lt;D xsi:type="xsd:double"&gt;9.84527255141341&lt;/D&gt;&lt;D xsi:type="xsd:double"&gt;9.55787722322292&lt;/D&gt;&lt;D xsi:type="xsd:double"&gt;9.50290093855532&lt;/D&gt;&lt;D xsi:type="xsd:double"&gt;9.1823980141649&lt;/D&gt;&lt;D xsi:type="xsd:double"&gt;9.66907361683299&lt;/D&gt;&lt;D xsi:type="xsd:double"&gt;9.72288491525986&lt;/D&gt;&lt;D xsi:type="xsd:double"&gt;9.32486985456263&lt;/D&gt;&lt;D xsi:type="xsd:double"&gt;9.41118459268839&lt;/D&gt;&lt;D xsi:type="xsd:double"&gt;9.35970708691119&lt;/D&gt;&lt;D xsi:type="xsd:double"&gt;9.05806220188105&lt;/D&gt;&lt;D xsi:type="xsd:double"&gt;9.9683201117465&lt;/D&gt;&lt;/FQL&gt;&lt;FQL&gt;&lt;Q&gt;MCHI^FMA_PE(LTMA,-10AY,0,AM,"PORTAGG","MEANR")&lt;/Q&gt;&lt;R&gt;121&lt;/R&gt;&lt;C&gt;1&lt;/C&gt;&lt;D xsi:type="xsd:double"&gt;9.28123037564273&lt;/D&gt;&lt;D xsi:type="xsd:double"&gt;9.25608295826559&lt;/D&gt;&lt;D xsi:type="xsd:double"&gt;9.60636580435597&lt;/D&gt;&lt;D xsi:type="xsd:double"&gt;9.77803512512708&lt;/D&gt;&lt;D xsi:type="xsd:double"&gt;9.43866080730109&lt;/D&gt;&lt;D xsi:type="xsd:double"&gt;9.29179836617662&lt;/D&gt;&lt;D xsi:type="xsd:double"&gt;9.41986996856291&lt;/D&gt;&lt;D xsi:type="xsd:double"&gt;9.93916511158414&lt;/D&gt;&lt;D xsi:type="xsd:double"&gt;10.7605131541673&lt;/D&gt;&lt;D xsi:type="xsd:double"&gt;10.7485514464537&lt;/D&gt;&lt;D xsi:type="xsd:double"&gt;10.8281872768043&lt;/D&gt;&lt;D xsi:type="xsd:double"&gt;11.5058152153514&lt;/D&gt;&lt;D xsi:type="xsd:double"&gt;11.5319641752545&lt;/D&gt;&lt;D xsi:type="xsd:double"&gt;11.4337952479703&lt;/D&gt;&lt;D xsi:type="xsd:double"&gt;10.7774535264466&lt;/D&gt;&lt;D xsi:type="xsd:double"&gt;10.0439914613046&lt;/D&gt;&lt;D xsi:type="xsd:double"&gt;9.75720975669417&lt;/D&gt;&lt;D xsi:type="xsd:double"&gt;10.3907619567007&lt;/D&gt;&lt;D xsi:type="xsd:double"&gt;10.2132071253599&lt;/D&gt;&lt;D xsi:type="xsd:double"&gt;9.9578765732408&lt;/D&gt;&lt;D xsi:type="xsd:double"&gt;9.43731569661725&lt;/D&gt;&lt;D xsi:type="xsd:double"&gt;9.55024048123925&lt;/D&gt;&lt;D xsi:type="xsd:double"&gt;9.5317664374389&lt;/D&gt;&lt;D xsi:type="xsd:double"&gt;9.73677528206828&lt;/D&gt;&lt;D xsi:type="xsd:double"&gt;9.57244884796518&lt;/D&gt;&lt;D xsi:type="xsd:double"&gt;10.3189977451447&lt;/D&gt;&lt;D xsi:type="xsd:double"&gt;10.9437463280466&lt;/D&gt;&lt;D xsi:type="xsd:double"&gt;11.7704155750335&lt;/D&gt;&lt;D xsi:type="xsd:double"&gt;12.6863340710986&lt;/D&gt;&lt;D xsi:type="xsd:double"&gt;12.9573225602003&lt;/D&gt;&lt;D xsi:type="xsd:double"&gt;13.0780420760636&lt;/D&gt;&lt;D xsi:type="xsd:double"&gt;12.7212286236239&lt;/D&gt;&lt;D xsi:type="xsd:double"&gt;13.5782150393421&lt;/D&gt;&lt;D xsi:type="xsd:double"&gt;14.3924901654712&lt;/D&gt;&lt;D xsi:type="xsd:double"&gt;14.0326353374673&lt;/D&gt;&lt;D xsi:type="xsd:double"&gt;13.9137707260682&lt;/D&gt;&lt;D xsi:type="xsd:double"&gt;14.0968106026418&lt;/D&gt;&lt;D xsi:type="xsd:double"&gt;14.1562995668638&lt;/D&gt;&lt;D xsi:type="xsd:double"&gt;14.4119160824591&lt;/D&gt;&lt;D xsi:type="xsd:double"&gt;14.6869053467936&lt;/D&gt;&lt;D xsi:type="xsd:double"&gt;14.899228588904&lt;/D&gt;&lt;D xsi:type="xsd:double"&gt;15.1449900332145&lt;/D&gt;&lt;D xsi:type="xsd:double"&gt;15.9135171487063&lt;/D&gt;&lt;D xsi:type="xsd:double"&gt;15.3658753150638&lt;/D&gt;&lt;D xsi:type="xsd:double"&gt;16.7992178817289&lt;/D&gt;&lt;D xsi:type="xsd:double"&gt;15.8424543897194&lt;/D&gt;&lt;D xsi:type="xsd:double"&gt;15.130968686293&lt;/D&gt;&lt;D xsi:type="xsd:double"&gt;14.7915301598202&lt;/D&gt;&lt;D xsi:type="xsd:double"&gt;14.7586110904411&lt;/D&gt;&lt;D xsi:type="xsd:double"&gt;14.4441994358811&lt;/D&gt;&lt;D xsi:type="xsd:double"&gt;14.1331980945084&lt;/D&gt;&lt;D xsi:type="xsd:double"&gt;13.6679420021873&lt;/D&gt;&lt;D xsi:type="xsd:double"&gt;13.4176683158712&lt;/D&gt;&lt;D xsi:type="xsd:double"&gt;12.1216678916965&lt;/D&gt;&lt;D xsi:type="xsd:double"&gt;12.0504552442171&lt;/D&gt;&lt;D xsi:type="xsd:double"&gt;11.4823346547389&lt;/D&gt;&lt;D xsi:type="xsd:double"&gt;11.996875315586&lt;/D&gt;&lt;D xsi:type="xsd:double"&gt;12.941029080943&lt;/D&gt;&lt;D xsi:type="xsd:double"&gt;12.8282526957651&lt;/D&gt;&lt;D xsi:type="xsd:double"&gt;12.9465114758531&lt;/D&gt;&lt;D xsi:type="xsd:double"&gt;12.3204479724518&lt;/D&gt;&lt;D xsi:type="xsd:double"&gt;12.6509694397692&lt;/D&gt;&lt;D xsi:type="xsd:double"&gt;12.6739669319121&lt;/D&gt;&lt;D xsi:type="xsd:double"&gt;12.3110963834712&lt;/D&gt;&lt;D xsi:type="xsd:double"&gt;12.4890153814875&lt;/D&gt;&lt;D xsi:type="xsd:double"&gt;12.3240177358547&lt;/D&gt;&lt;D xsi:type="xsd:double"&gt;12.4560814322681&lt;/D&gt;&lt;D xsi:type="xsd:double"&gt;13.6873876326669&lt;/D&gt;&lt;D xsi:type="xsd:double"&gt;13.6459747254317&lt;/D&gt;&lt;D xsi:type="xsd:double"&gt;13.7479073956931&lt;/D&gt;&lt;D xsi:type="xsd:double"&gt;12.6901776789277&lt;/D&gt;&lt;D xsi:type="xsd:double"&gt;13.1262482153024&lt;/D&gt;&lt;D xsi:type="xsd:double"&gt;13.1375186317274&lt;/D&gt;&lt;D xsi:type="xsd:double"&gt;14.2831120330486&lt;/D&gt;&lt;D xsi:type="xsd:double"&gt;15.136366798068&lt;/D&gt;&lt;D xsi:type="xsd:double"&gt;15.3713020274662&lt;/D&gt;&lt;D xsi:type="xsd:double"&gt;15.752840860198&lt;/D&gt;&lt;D xsi:type="xsd:double"&gt;16.8607604358997&lt;/D&gt;&lt;D xsi:type="xsd:double"&gt;17.2779240350064&lt;/D&gt;&lt;D xsi:type="xsd:double"&gt;18.0794396293543&lt;/D&gt;&lt;D xsi:type="xsd:double"&gt;21.0278518417567&lt;/D&gt;&lt;D xsi:type="xsd:double"&gt;21.0113838259029&lt;/D&gt;&lt;D xsi:type="xsd:double"&gt;19.4885076511532&lt;/D&gt;&lt;D xsi:type="xsd:double"&gt;19.2403919026055&lt;/D&gt;&lt;D xsi:type="xsd:double"&gt;18.6881033049158&lt;/D&gt;&lt;D xsi:type="xsd:double"&gt;18.7506577037212&lt;/D&gt;&lt;D xsi:type="xsd:double"&gt;17.7936182160919&lt;/D&gt;&lt;D xsi:type="xsd:double"&gt;16.3642436613779&lt;/D&gt;&lt;D xsi:type="xsd:double"&gt;16.1509514111031&lt;/D&gt;&lt;D xsi:type="xsd:double"&gt;16.4748960124778&lt;/D&gt;&lt;D xsi:type="xsd:double"&gt;15.2049112864509&lt;/D&gt;&lt;D xsi:type="xsd:double"&gt;14.186471712508&lt;/D&gt;&lt;D xsi:type="xsd:double"&gt;14.4503040961143&lt;/D&gt;&lt;D xsi:type="xsd:double"&gt;13.3453855554011&lt;/D&gt;&lt;D xsi:type="xsd:double"&gt;12.8701972611602&lt;/D&gt;&lt;D xsi:type="xsd:double"&gt;12.458729554857&lt;/D&gt;&lt;D xsi:type="xsd:double"&gt;12.4723844204524&lt;/D&gt;&lt;D xsi:type="xsd:double"&gt;12.980723364233&lt;/D&gt;&lt;D xsi:type="xsd:double"&gt;12.730697076928&lt;/D&gt;&lt;D xsi:type="xsd:double"&gt;12.2976170275221&lt;/D&gt;&lt;D xsi:type="xsd:double"&gt;11.6928319404272&lt;/D&gt;&lt;D xsi:type="xsd:double"&gt;10.8118195947178&lt;/D&gt;&lt;D xsi:type="xsd:double"&gt;11.3286395480363&lt;/D&gt;&lt;D xsi:type="xsd:double"&gt;12.1926246538033&lt;/D&gt;&lt;D xsi:type="xsd:double"&gt;13.9714806598304&lt;/D&gt;&lt;D xsi:type="xsd:double"&gt;12.725850084437&lt;/D&gt;&lt;D xsi:type="xsd:double"&gt;12.3081789012351&lt;/D&gt;&lt;D xsi:type="xsd:double"&gt;12.1851428812234&lt;/D&gt;&lt;D xsi:type="xsd:double"&gt;11.9413786110124&lt;/D&gt;&lt;D xsi:type="xsd:double"&gt;11.7717366340362&lt;/D&gt;&lt;D xsi:type="xsd:double"&gt;11.7964430978859&lt;/D&gt;&lt;D xsi:type="xsd:double"&gt;11.4621423231025&lt;/D&gt;&lt;D xsi:type="xsd:double"&gt;11.638346742608&lt;/D&gt;&lt;D xsi:type="xsd:double"&gt;10.9779197485958&lt;/D&gt;&lt;D xsi:type="xsd:double"&gt;11.2258496036921&lt;/D&gt;&lt;D xsi:type="xsd:double"&gt;10.3548433703812&lt;/D&gt;&lt;D xsi:type="xsd:double"&gt;9.83770598595043&lt;/D&gt;&lt;D xsi:type="xsd:double"&gt;10.6717426702519&lt;/D&gt;&lt;D xsi:type="xsd:double"&gt;10.4340233983912&lt;/D&gt;&lt;D xsi:type="xsd:double"&gt;10.4344348290508&lt;/D&gt;&lt;D xsi:type="xsd:double"&gt;10.8838738594442&lt;/D&gt;&lt;/FQL&gt;&lt;FQL&gt;&lt;Q&gt;CPALM-FDS^FG_PRICE_CHANGE(0,-3AM)&lt;/Q&gt;&lt;R&gt;1&lt;/R&gt;&lt;C&gt;1&lt;/C&gt;&lt;D xsi:type="xsd:double"&gt;-2.92265054169816&lt;/D&gt;&lt;/FQL&gt;&lt;FQL&gt;&lt;Q&gt;BRENT-FDS^FG_PRICE(0)&lt;/Q&gt;&lt;R&gt;1&lt;/R&gt;&lt;C&gt;1&lt;/C&gt;&lt;D xsi:type="xsd:double"&gt;85.86&lt;/D&gt;&lt;/FQL&gt;&lt;FQL&gt;&lt;Q&gt;GREK^FG_PRICE_MAVG(0,,,,30)&lt;/Q&gt;&lt;R&gt;1&lt;/R&gt;&lt;C&gt;1&lt;/C&gt;&lt;D xsi:type="xsd:double"&gt;40.978832&lt;/D&gt;&lt;/FQL&gt;&lt;FQL&gt;&lt;Q&gt;CAGDPY@ZA^EE_ACTUAL_ANNUAL(MED,0)&lt;/Q&gt;&lt;R&gt;1&lt;/R&gt;&lt;C&gt;1&lt;/C&gt;&lt;D xsi:type="xsd:double"&gt;-1.6&lt;/D&gt;&lt;/FQL&gt;&lt;FQL&gt;&lt;Q&gt;USDQAR^STD(FG_PRICE_CHANGE(0,-1AY,AM))&lt;/Q&gt;&lt;R&gt;1&lt;/R&gt;&lt;C&gt;1&lt;/C&gt;&lt;D xsi:type="xsd:double"&gt;0.00761764787174341&lt;/D&gt;&lt;/FQL&gt;&lt;FQL&gt;&lt;Q&gt;USDTWD^STD(FG_PRICE_CHANGE(0,-1AY,AM))&lt;/Q&gt;&lt;R&gt;1&lt;/R&gt;&lt;C&gt;1&lt;/C&gt;&lt;D xsi:type="xsd:double"&gt;1.30592640199526&lt;/D&gt;&lt;/FQL&gt;&lt;FQL&gt;&lt;Q&gt;USDIDR^FG_PRICE_CHANGE(0,-3AM)&lt;/Q&gt;&lt;R&gt;1&lt;/R&gt;&lt;C&gt;1&lt;/C&gt;&lt;D xsi:type="xsd:double"&gt;2.5521874&lt;/D&gt;&lt;/FQL&gt;&lt;FQL&gt;&lt;Q&gt;EIDO^P_PRICE_RETURNS_PR('52W',2,-10AY,0,AM)&lt;/Q&gt;&lt;R&gt;121&lt;/R&gt;&lt;C&gt;1&lt;/C&gt;&lt;D xsi:type="xsd:double"&gt;-18.371666&lt;/D&gt;&lt;D xsi:type="xsd:double"&gt;-8.860236&lt;/D&gt;&lt;D xsi:type="xsd:double"&gt;-2.0207584&lt;/D&gt;&lt;D xsi:type="xsd:double"&gt;20.340084&lt;/D&gt;&lt;D xsi:type="xsd:double"&gt;8.315409&lt;/D&gt;&lt;D xsi:type="xsd:double"&gt;8.764172&lt;/D&gt;&lt;D xsi:type="xsd:double"&gt;20.098137&lt;/D&gt;&lt;D xsi:type="xsd:double"&gt;24.770153&lt;/D&gt;&lt;D xsi:type="xsd:double"&gt;20.62099&lt;/D&gt;&lt;D xsi:type="xsd:double"&gt;7.775581&lt;/D&gt;&lt;D xsi:type="xsd:double"&gt;2.3368716&lt;/D&gt;&lt;D xsi:type="xsd:double"&gt;2.8502345&lt;/D&gt;&lt;D xsi:type="xsd:double"&gt;-7.009673&lt;/D&gt;&lt;D xsi:type="xsd:double"&gt;-7.178527&lt;/D&gt;&lt;D xsi:type="xsd:double"&gt;-20.310986&lt;/D&gt;&lt;D xsi:type="xsd:double"&gt;-35.241043&lt;/D&gt;&lt;D xsi:type="xsd:double"&gt;-36.263783&lt;/D&gt;&lt;D xsi:type="xsd:double"&gt;-19.904512&lt;/D&gt;&lt;D xsi:type="xsd:double"&gt;-24.429195&lt;/D&gt;&lt;D xsi:type="xsd:double"&gt;-19.890636&lt;/D&gt;&lt;D xsi:type="xsd:double"&gt;-25.348866&lt;/D&gt;&lt;D xsi:type="xsd:double"&gt;-19.89758&lt;/D&gt;&lt;D xsi:type="xsd:double"&gt;-13.634872&lt;/D&gt;&lt;D xsi:type="xsd:double"&gt;-13.012552&lt;/D&gt;&lt;D xsi:type="xsd:double"&gt;-15.575689&lt;/D&gt;&lt;D xsi:type="xsd:double"&gt;1.4635563&lt;/D&gt;&lt;D xsi:type="xsd:double"&gt;11.369001&lt;/D&gt;&lt;D xsi:type="xsd:double"&gt;41.530884&lt;/D&gt;&lt;D xsi:type="xsd:double"&gt;51.47594&lt;/D&gt;&lt;D xsi:type="xsd:double"&gt;27.748001&lt;/D&gt;&lt;D xsi:type="xsd:double"&gt;13.502514&lt;/D&gt;&lt;D xsi:type="xsd:double"&gt;9.086573&lt;/D&gt;&lt;D xsi:type="xsd:double"&gt;17.984497&lt;/D&gt;&lt;D xsi:type="xsd:double"&gt;15.249205&lt;/D&gt;&lt;D xsi:type="xsd:double"&gt;12.920153&lt;/D&gt;&lt;D xsi:type="xsd:double"&gt;11.570835&lt;/D&gt;&lt;D xsi:type="xsd:double"&gt;24.814438&lt;/D&gt;&lt;D xsi:type="xsd:double"&gt;15.160155&lt;/D&gt;&lt;D xsi:type="xsd:double"&gt;6.456673&lt;/D&gt;&lt;D xsi:type="xsd:double"&gt;6.7186&lt;/D&gt;&lt;D xsi:type="xsd:double"&gt;2.5920868&lt;/D&gt;&lt;D xsi:type="xsd:double"&gt;1.7949224&lt;/D&gt;&lt;D xsi:type="xsd:double"&gt;16.432047&lt;/D&gt;&lt;D xsi:type="xsd:double"&gt;25.04648&lt;/D&gt;&lt;D xsi:type="xsd:double"&gt;25.8322&lt;/D&gt;&lt;D xsi:type="xsd:double"&gt;20.815754&lt;/D&gt;&lt;D xsi:type="xsd:double"&gt;3.0170083&lt;/D&gt;&lt;D xsi:type="xsd:double"&gt;4.2321086&lt;/D&gt;&lt;D xsi:type="xsd:double"&gt;-9.36181&lt;/D&gt;&lt;D xsi:type="xsd:double"&gt;-11.572379&lt;/D&gt;&lt;D xsi:type="xsd:double"&gt;-10.087168&lt;/D&gt;&lt;D xsi:type="xsd:double"&gt;-12.589169&lt;/D&gt;&lt;D xsi:type="xsd:double"&gt;-11.698705&lt;/D&gt;&lt;D xsi:type="xsd:double"&gt;-16.602594&lt;/D&gt;&lt;D xsi:type="xsd:double"&gt;-9.971148&lt;/D&gt;&lt;D xsi:type="xsd:double"&gt;-10.079986&lt;/D&gt;&lt;D xsi:type="xsd:double"&gt;-8.714045&lt;/D&gt;&lt;D xsi:type="xsd:double"&gt;-7.9217377&lt;/D&gt;&lt;D xsi:type="xsd:double"&gt;-1.3483107&lt;/D&gt;&lt;D xsi:type="xsd:double"&gt;0.40478706&lt;/D&gt;&lt;D xsi:type="xsd:double"&gt;-0.3397286&lt;/D&gt;&lt;D xsi:type="xsd:double"&gt;11.0324745&lt;/D&gt;&lt;D xsi:type="xsd:double"&gt;14.1549225&lt;/D&gt;&lt;D xsi:type="xsd:double"&gt;5.3852916&lt;/D&gt;&lt;D xsi:type="xsd:double"&gt;9.847593&lt;/D&gt;&lt;D xsi:type="xsd:double"&gt;19.374966&lt;/D&gt;&lt;D xsi:type="xsd:double"&gt;3.901434&lt;/D&gt;&lt;D xsi:type="xsd:double"&gt;7.2942734&lt;/D&gt;&lt;D xsi:type="xsd:double"&gt;-0.75437427&lt;/D&gt;&lt;D xsi:type="xsd:double"&gt;-8.014334&lt;/D&gt;&lt;D xsi:type="xsd:double"&gt;-52.699635&lt;/D&gt;&lt;D xsi:type="xsd:double"&gt;-40.935593&lt;/D&gt;&lt;D xsi:type="xsd:double"&gt;-30.17338&lt;/D&gt;&lt;D xsi:type="xsd:double"&gt;-26.571173&lt;/D&gt;&lt;D xsi:type="xsd:double"&gt;-27.070683&lt;/D&gt;&lt;D xsi:type="xsd:double"&gt;-19.676262&lt;/D&gt;&lt;D xsi:type="xsd:double"&gt;-31.053967&lt;/D&gt;&lt;D xsi:type="xsd:double"&gt;-25.009686&lt;/D&gt;&lt;D xsi:type="xsd:double"&gt;-9.349018&lt;/D&gt;&lt;D xsi:type="xsd:double"&gt;-8.84614&lt;/D&gt;&lt;D xsi:type="xsd:double"&gt;-5.0977707&lt;/D&gt;&lt;D xsi:type="xsd:double"&gt;1.1500835&lt;/D&gt;&lt;D xsi:type="xsd:double"&gt;92.06152&lt;/D&gt;&lt;D xsi:type="xsd:double"&gt;45.047558&lt;/D&gt;&lt;D xsi:type="xsd:double"&gt;32.710648&lt;/D&gt;&lt;D xsi:type="xsd:double"&gt;13.461447&lt;/D&gt;&lt;D xsi:type="xsd:double"&gt;8.123959&lt;/D&gt;&lt;D xsi:type="xsd:double"&gt;10.277998&lt;/D&gt;&lt;D xsi:type="xsd:double"&gt;26.684116&lt;/D&gt;&lt;D xsi:type="xsd:double"&gt;32.17732&lt;/D&gt;&lt;D xsi:type="xsd:double"&gt;9.600676&lt;/D&gt;&lt;D xsi:type="xsd:double"&gt;1.301825&lt;/D&gt;&lt;D xsi:type="xsd:double"&gt;-4.5486393&lt;/D&gt;&lt;D xsi:type="xsd:double"&gt;2.6228786&lt;/D&gt;&lt;D xsi:type="xsd:double"&gt;10.16643&lt;/D&gt;&lt;D xsi:type="xsd:double"&gt;16.799046&lt;/D&gt;&lt;D xsi:type="xsd:double"&gt;13.459182&lt;/D&gt;&lt;D xsi:type="xsd:double"&gt;13.490904&lt;/D&gt;&lt;D xsi:type="xsd:double"&gt;11.763561&lt;/D&gt;&lt;D xsi:type="xsd:double"&gt;14.459372&lt;/D&gt;&lt;D xsi:type="xsd:double"&gt;14.623606&lt;/D&gt;&lt;D xsi:type="xsd:double"&gt;-1.215893&lt;/D&gt;&lt;D xsi:type="xsd:double"&gt;-0.023889542&lt;/D&gt;&lt;D xsi:type="xsd:double"&gt;-0.018399954&lt;/D&gt;&lt;D xsi:type="xsd:double"&gt;1.4745474&lt;/D&gt;&lt;D xsi:type="xsd:double"&gt;-2.281654&lt;/D&gt;&lt;D xsi:type="xsd:double"&gt;-5.516058&lt;/D&gt;&lt;D xsi:type="xsd:double"&gt;-2.5994241&lt;/D&gt;&lt;D xsi:type="xsd:double"&gt;3.6542892&lt;/D&gt;&lt;D xsi:type="xsd:double"&gt;2.4335265&lt;/D&gt;&lt;D xsi:type="xsd:double"&gt;7.919705&lt;/D&gt;&lt;D xsi:type="xsd:double"&gt;0.2399087&lt;/D&gt;&lt;D xsi:type="xsd:double"&gt;-2.868843&lt;/D&gt;&lt;D xsi:type="xsd:double"&gt;-9.936744&lt;/D&gt;&lt;D xsi:type="xsd:double"&gt;-5.554694&lt;/D&gt;&lt;D xsi:type="xsd:double"&gt;1.0193348&lt;/D&gt;&lt;D xsi:type="xsd:double"&gt;-3.250593&lt;/D&gt;&lt;D xsi:type="xsd:double"&gt;1.287961&lt;/D&gt;&lt;D xsi:type="xsd:double"&gt;3.7235618&lt;/D&gt;&lt;D xsi:type="xsd:double"&gt;-8.73158&lt;/D&gt;&lt;D xsi:type="xsd:double"&gt;-11.764174&lt;/D&gt;&lt;/FQL&gt;&lt;FQL&gt;&lt;Q&gt;EPU^FG_TOTAL_RETURNC(-10AY,0,AM)&lt;/Q&gt;&lt;R&gt;121&lt;/R&gt;&lt;C&gt;1&lt;/C&gt;&lt;D xsi:type="xsd:double"&gt;4.8439264&lt;/D&gt;&lt;D xsi:type="xsd:double"&gt;1.9911647&lt;/D&gt;&lt;D xsi:type="xsd:double"&gt;2.5925994&lt;/D&gt;&lt;D xsi:type="xsd:double"&gt;0.13736486&lt;/D&gt;&lt;D xsi:type="xsd:double"&gt;-3.876686&lt;/D&gt;&lt;D xsi:type="xsd:double"&gt;-5.05569&lt;/D&gt;&lt;D xsi:type="xsd:double"&gt;2.4067402&lt;/D&gt;&lt;D xsi:type="xsd:double"&gt;-6.837946&lt;/D&gt;&lt;D xsi:type="xsd:double"&gt;-4.136854&lt;/D&gt;&lt;D xsi:type="xsd:double"&gt;-1.3549209&lt;/D&gt;&lt;D xsi:type="xsd:double"&gt;-3.7185967&lt;/D&gt;&lt;D xsi:type="xsd:double"&gt;3.5490632&lt;/D&gt;&lt;D xsi:type="xsd:double"&gt;2.251339&lt;/D&gt;&lt;D xsi:type="xsd:double"&gt;-1.6370177&lt;/D&gt;&lt;D xsi:type="xsd:double"&gt;-8.815611&lt;/D&gt;&lt;D xsi:type="xsd:double"&gt;-18.22878&lt;/D&gt;&lt;D xsi:type="xsd:double"&gt;0.7220268&lt;/D&gt;&lt;D xsi:type="xsd:double"&gt;5.824375&lt;/D&gt;&lt;D xsi:type="xsd:double"&gt;-7.168359&lt;/D&gt;&lt;D xsi:type="xsd:double"&gt;-5.967206&lt;/D&gt;&lt;D xsi:type="xsd:double"&gt;-8.8991165&lt;/D&gt;&lt;D xsi:type="xsd:double"&gt;15.405262&lt;/D&gt;&lt;D xsi:type="xsd:double"&gt;19.767439&lt;/D&gt;&lt;D xsi:type="xsd:double"&gt;15.883493&lt;/D&gt;&lt;D xsi:type="xsd:double"&gt;-0.50268173&lt;/D&gt;&lt;D xsi:type="xsd:double"&gt;3.2006621&lt;/D&gt;&lt;D xsi:type="xsd:double"&gt;7.750416&lt;/D&gt;&lt;D xsi:type="xsd:double"&gt;5.8823586&lt;/D&gt;&lt;D xsi:type="xsd:double"&gt;-2.7346015&lt;/D&gt;&lt;D xsi:type="xsd:double"&gt;-2.1899998&lt;/D&gt;&lt;D xsi:type="xsd:double"&gt;-3.1164885&lt;/D&gt;&lt;D xsi:type="xsd:double"&gt;0.65630674&lt;/D&gt;&lt;D xsi:type="xsd:double"&gt;7.747364&lt;/D&gt;&lt;D xsi:type="xsd:double"&gt;2.3390055&lt;/D&gt;&lt;D xsi:type="xsd:double"&gt;-4.571104&lt;/D&gt;&lt;D xsi:type="xsd:double"&gt;-0.56179166&lt;/D&gt;&lt;D xsi:type="xsd:double"&gt;3.1519413&lt;/D&gt;&lt;D xsi:type="xsd:double"&gt;-0.6673157&lt;/D&gt;&lt;D xsi:type="xsd:double"&gt;3.6347508&lt;/D&gt;&lt;D xsi:type="xsd:double"&gt;5.047047&lt;/D&gt;&lt;D xsi:type="xsd:double"&gt;3.8545012&lt;/D&gt;&lt;D xsi:type="xsd:double"&gt;9.435439&lt;/D&gt;&lt;D xsi:type="xsd:double"&gt;-0.90756416&lt;/D&gt;&lt;D xsi:type="xsd:double"&gt;0.046479702&lt;/D&gt;&lt;D xsi:type="xsd:double"&gt;6.556964&lt;/D&gt;&lt;D xsi:type="xsd:double"&gt;-3.4339666&lt;/D&gt;&lt;D xsi:type="xsd:double"&gt;-0.35799742&lt;/D&gt;&lt;D xsi:type="xsd:double"&gt;6.443107&lt;/D&gt;&lt;D xsi:type="xsd:double"&gt;-4.275423&lt;/D&gt;&lt;D xsi:type="xsd:double"&gt;-4.9577&lt;/D&gt;&lt;D xsi:type="xsd:double"&gt;-1.5730381&lt;/D&gt;&lt;D xsi:type="xsd:double"&gt;-5.885339&lt;/D&gt;&lt;D xsi:type="xsd:double"&gt;0.1078248&lt;/D&gt;&lt;D xsi:type="xsd:double"&gt;-5.3581&lt;/D&gt;&lt;D xsi:type="xsd:double"&gt;-1.1948824&lt;/D&gt;&lt;D xsi:type="xsd:double"&gt;0.6784797&lt;/D&gt;&lt;D xsi:type="xsd:double"&gt;4.136741&lt;/D&gt;&lt;D xsi:type="xsd:double"&gt;6.7768335&lt;/D&gt;&lt;D xsi:type="xsd:double"&gt;1.3522267&lt;/D&gt;&lt;D xsi:type="xsd:double"&gt;-2.9569209&lt;/D&gt;&lt;D xsi:type="xsd:double"&gt;-8.169163&lt;/D&gt;&lt;D xsi:type="xsd:double"&gt;7.2611094&lt;/D&gt;&lt;D xsi:type="xsd:double"&gt;1.9831538&lt;/D&gt;&lt;D xsi:type="xsd:double"&gt;-11.88066&lt;/D&gt;&lt;D xsi:type="xsd:double"&gt;4.655373&lt;/D&gt;&lt;D xsi:type="xsd:double"&gt;0.57770014&lt;/D&gt;&lt;D xsi:type="xsd:double"&gt;-1.0051668&lt;/D&gt;&lt;D xsi:type="xsd:double"&gt;6.5552235&lt;/D&gt;&lt;D xsi:type="xsd:double"&gt;1.2091279&lt;/D&gt;&lt;D xsi:type="xsd:double"&gt;-6.13631&lt;/D&gt;&lt;D xsi:type="xsd:double"&gt;-38.835983&lt;/D&gt;&lt;D xsi:type="xsd:double"&gt;16.390156&lt;/D&gt;&lt;D xsi:type="xsd:double"&gt;9.548962&lt;/D&gt;&lt;D xsi:type="xsd:double"&gt;8.764374&lt;/D&gt;&lt;D xsi:type="xsd:double"&gt;2.9868245&lt;/D&gt;&lt;D xsi:type="xsd:double"&gt;3.3957958&lt;/D&gt;&lt;D xsi:type="xsd:double"&gt;-6.773037&lt;/D&gt;&lt;D xsi:type="xsd:double"&gt;6.640935&lt;/D&gt;&lt;D xsi:type="xsd:double"&gt;5.006993&lt;/D&gt;&lt;D xsi:type="xsd:double"&gt;8.001268&lt;/D&gt;&lt;D xsi:type="xsd:double"&gt;2.3910522&lt;/D&gt;&lt;D xsi:type="xsd:double"&gt;10.521841&lt;/D&gt;&lt;D xsi:type="xsd:double"&gt;-12.163204&lt;/D&gt;&lt;D xsi:type="xsd:double"&gt;-6.9821777&lt;/D&gt;&lt;D xsi:type="xsd:double"&gt;2.3241282&lt;/D&gt;&lt;D xsi:type="xsd:double"&gt;-12.898999&lt;/D&gt;&lt;D xsi:type="xsd:double"&gt;-0.24875402&lt;/D&gt;&lt;D xsi:type="xsd:double"&gt;-9.868187&lt;/D&gt;&lt;D xsi:type="xsd:double"&gt;5.5731177&lt;/D&gt;&lt;D xsi:type="xsd:double"&gt;14.114571&lt;/D&gt;&lt;D xsi:type="xsd:double"&gt;-5.3477645&lt;/</t>
        </r>
      </text>
    </comment>
    <comment ref="A16" authorId="0" shapeId="0" xr:uid="{11370C13-772F-4253-97C1-C8ACC9DC1434}">
      <text>
        <r>
          <rPr>
            <b/>
            <sz val="9"/>
            <color indexed="81"/>
            <rFont val="Tahoma"/>
            <charset val="1"/>
          </rPr>
          <t>D&gt;&lt;D xsi:type="xsd:double"&gt;2.2675157&lt;/D&gt;&lt;D xsi:type="xsd:double"&gt;15.579462&lt;/D&gt;&lt;D xsi:type="xsd:double"&gt;2.4016738&lt;/D&gt;&lt;D xsi:type="xsd:double"&gt;9.674585&lt;/D&gt;&lt;D xsi:type="xsd:double"&gt;-10.505211&lt;/D&gt;&lt;D xsi:type="xsd:double"&gt;-9.289122&lt;/D&gt;&lt;D xsi:type="xsd:double"&gt;-11.400789&lt;/D&gt;&lt;D xsi:type="xsd:double"&gt;-1.1560738&lt;/D&gt;&lt;D xsi:type="xsd:double"&gt;2.2222161&lt;/D&gt;&lt;D xsi:type="xsd:double"&gt;-9.229594&lt;/D&gt;&lt;D xsi:type="xsd:double"&gt;8.109247&lt;/D&gt;&lt;D xsi:type="xsd:double"&gt;14.146912&lt;/D&gt;&lt;D xsi:type="xsd:double"&gt;-1.3252497&lt;/D&gt;&lt;D xsi:type="xsd:double"&gt;10.25281&lt;/D&gt;&lt;D xsi:type="xsd:double"&gt;-6.6560507&lt;/D&gt;&lt;D xsi:type="xsd:double"&gt;-0.75059533&lt;/D&gt;&lt;D xsi:type="xsd:double"&gt;7.356477&lt;/D&gt;&lt;D xsi:type="xsd:double"&gt;-3.8591087&lt;/D&gt;&lt;D xsi:type="xsd:double"&gt;2.4698496&lt;/D&gt;&lt;D xsi:type="xsd:double"&gt;9.179031&lt;/D&gt;&lt;D xsi:type="xsd:double"&gt;-2.1284223&lt;/D&gt;&lt;D xsi:type="xsd:double"&gt;-4.982871&lt;/D&gt;&lt;D xsi:type="xsd:double"&gt;-5.4113445&lt;/D&gt;&lt;D xsi:type="xsd:double"&gt;6.8990707&lt;/D&gt;&lt;D xsi:type="xsd:double"&gt;14.009989&lt;/D&gt;&lt;D xsi:type="xsd:double"&gt;-2.4911463&lt;/D&gt;&lt;D xsi:type="xsd:double"&gt;4.5728326&lt;/D&gt;&lt;D xsi:type="xsd:double"&gt;11.952602&lt;/D&gt;&lt;D xsi:type="xsd:double"&gt;0.767684&lt;/D&gt;&lt;D xsi:type="xsd:double"&gt;7.839048&lt;/D&gt;&lt;/FQL&gt;&lt;FQL&gt;&lt;Q&gt;INDA^FMA_PE(LTMA,-10AY,0,AM,"PORTAGG","MEANR")&lt;/Q&gt;&lt;R&gt;121&lt;/R&gt;&lt;C&gt;1&lt;/C&gt;&lt;D xsi:type="xsd:double"&gt;16.8257138797495&lt;/D&gt;&lt;D xsi:type="xsd:double"&gt;17.0004801217512&lt;/D&gt;&lt;D xsi:type="xsd:double"&gt;17.459406338026&lt;/D&gt;&lt;D xsi:type="xsd:double"&gt;17.6198330702955&lt;/D&gt;&lt;D xsi:type="xsd:double"&gt;17.942720123435&lt;/D&gt;&lt;D xsi:type="xsd:double"&gt;18.0713471333126&lt;/D&gt;&lt;D xsi:type="xsd:double"&gt;19.3216767474501&lt;/D&gt;&lt;D xsi:type="xsd:double"&gt;19.0831429078739&lt;/D&gt;&lt;D xsi:type="xsd:double"&gt;20.6345342727336&lt;/D&gt;&lt;D xsi:type="xsd:double"&gt;20.8631117167727&lt;/D&gt;&lt;D xsi:type="xsd:double"&gt;20.7987936265167&lt;/D&gt;&lt;D xsi:type="xsd:double"&gt;20.4880836685952&lt;/D&gt;&lt;D xsi:type="xsd:double"&gt;20.4874763460796&lt;/D&gt;&lt;D xsi:type="xsd:double"&gt;20.3359312011598&lt;/D&gt;&lt;D xsi:type="xsd:double"&gt;21.047386412734&lt;/D&gt;&lt;D xsi:type="xsd:double"&gt;21.0446568237059&lt;/D&gt;&lt;D xsi:type="xsd:double"&gt;20.1774044758426&lt;/D&gt;&lt;D xsi:type="xsd:double"&gt;20.8983829421912&lt;/D&gt;&lt;D xsi:type="xsd:double"&gt;20.1609760146502&lt;/D&gt;&lt;D xsi:type="xsd:double"&gt;20.4135528782769&lt;/D&gt;&lt;D xsi:type="xsd:double"&gt;19.270514037500998&lt;/D&gt;&lt;D xsi:type="xsd:double"&gt;19.2038085330859&lt;/D&gt;&lt;D xsi:type="xsd:double"&gt;18.9834032075927&lt;/D&gt;&lt;D xsi:type="xsd:double"&gt;19.0030988663701&lt;/D&gt;&lt;D xsi:type="xsd:double"&gt;18.7803494143763&lt;/D&gt;&lt;D xsi:type="xsd:double"&gt;19.1667613533802&lt;/D&gt;&lt;D xsi:type="xsd:double"&gt;19.5637782350532&lt;/D&gt;&lt;D xsi:type="xsd:double"&gt;19.6828039729186&lt;/D&gt;&lt;D xsi:type="xsd:double"&gt;19.8930494679617&lt;/D&gt;&lt;D xsi:type="xsd:double"&gt;19.7905390234725&lt;/D&gt;&lt;D xsi:type="xsd:double"&gt;18.6127765087123&lt;/D&gt;&lt;D xsi:type="xsd:double"&gt;18.481701380382&lt;/D&gt;&lt;D xsi:type="xsd:double"&gt;19.3632759273632&lt;/D&gt;&lt;D xsi:type="xsd:double"&gt;20.690197125161&lt;/D&gt;&lt;D xsi:type="xsd:double"&gt;20.4425406248024&lt;/D&gt;&lt;D xsi:type="xsd:double"&gt;20.3333331203695&lt;/D&gt;&lt;D xsi:type="xsd:double"&gt;20.2816854871227&lt;/D&gt;&lt;D xsi:type="xsd:double"&gt;20.2521951289958&lt;/D&gt;&lt;D xsi:type="xsd:double"&gt;20.716903671413&lt;/D&gt;&lt;D xsi:type="xsd:double"&gt;20.7521070879519&lt;/D&gt;&lt;D xsi:type="xsd:double"&gt;21.0041107582647&lt;/D&gt;&lt;D xsi:type="xsd:double"&gt;21.3880327572473&lt;/D&gt;&lt;D xsi:type="xsd:double"&gt;21.8323058854859&lt;/D&gt;&lt;D xsi:type="xsd:double"&gt;22.4655445821709&lt;/D&gt;&lt;D xsi:type="xsd:double"&gt;23.5149594211493&lt;/D&gt;&lt;D xsi:type="xsd:double"&gt;21.7794978969978&lt;/D&gt;&lt;D xsi:type="xsd:double"&gt;21.387161584984&lt;/D&gt;&lt;D xsi:type="xsd:double"&gt;21.4032427320722&lt;/D&gt;&lt;D xsi:type="xsd:double"&gt;21.0480228787033&lt;/D&gt;&lt;D xsi:type="xsd:double"&gt;21.2766615742953&lt;/D&gt;&lt;D xsi:type="xsd:double"&gt;21.3604292475585&lt;/D&gt;&lt;D xsi:type="xsd:double"&gt;22.3139578394641&lt;/D&gt;&lt;D xsi:type="xsd:double"&gt;21.8090765143541&lt;/D&gt;&lt;D xsi:type="xsd:double"&gt;19.9612150645496&lt;/D&gt;&lt;D xsi:type="xsd:double"&gt;21.0867275256872&lt;/D&gt;&lt;D xsi:type="xsd:double"&gt;21.425399970689&lt;/D&gt;&lt;D xsi:type="xsd:double"&gt;21.587666594449&lt;/D&gt;&lt;D xsi:type="xsd:double"&gt;21.6160993918259&lt;/D&gt;&lt;D xsi:type="xsd:double"&gt;21.7000513567379&lt;/D&gt;&lt;D xsi:type="xsd:double"&gt;21.571083041571&lt;/D&gt;&lt;D xsi:type="xsd:double"&gt;21.4881328103164&lt;/D&gt;&lt;D xsi:type="xsd:double"&gt;21.3794454909961&lt;/D&gt;&lt;D xsi:type="xsd:double"&gt;21.0726490954427&lt;/D&gt;&lt;D xsi:type="xsd:double"&gt;20.8525996639784&lt;/D&gt;&lt;D xsi:type="xsd:double"&gt;21.5647375637728&lt;/D&gt;&lt;D xsi:type="xsd:double"&gt;21.8021116068884&lt;/D&gt;&lt;D xsi:type="xsd:double"&gt;23.2900854185627&lt;/D&gt;&lt;D xsi:type="xsd:double"&gt;23.4566727420735&lt;/D&gt;&lt;D xsi:type="xsd:double"&gt;23.7520050635863&lt;/D&gt;&lt;D xsi:type="xsd:double"&gt;23.1650755046636&lt;/D&gt;&lt;D xsi:type="xsd:double"&gt;19.8183445262052&lt;/D&gt;&lt;D xsi:type="xsd:double"&gt;20.6337905349768&lt;/D&gt;&lt;D xsi:type="xsd:double"&gt;21.1502746961101&lt;/D&gt;&lt;D xsi:type="xsd:double"&gt;23.3723652888145&lt;/D&gt;&lt;D xsi:type="xsd:double"&gt;24.9533754412634&lt;/D&gt;&lt;D xsi:type="xsd:double"&gt;25.5271029463303&lt;/D&gt;&lt;D xsi:type="xsd:double"&gt;25.4757890006538&lt;/D&gt;&lt;D xsi:type="xsd:double"&gt;26.7683884071341&lt;/D&gt;&lt;D xsi:type="xsd:double"&gt;27.4650925110804&lt;/D&gt;&lt;D xsi:type="xsd:double"&gt;32.6665602451283&lt;/D&gt;&lt;D xsi:type="xsd:double"&gt;33.2677138977606&lt;/D&gt;&lt;D xsi:type="xsd:double"&gt;31.6117339020494&lt;/D&gt;&lt;D xsi:type="xsd:double"&gt;30.6453703977699&lt;/D&gt;&lt;D xsi:type="xsd:double"&gt;29.6534391551326&lt;/D&gt;&lt;D xsi:type="xsd:double"&gt;29.2936362060141&lt;/D&gt;&lt;D xsi:type="xsd:double"&gt;29.0480254195009&lt;/D&gt;&lt;D xsi:type="xsd:double"&gt;28.7371737332487&lt;/D&gt;&lt;D xsi:type="xsd:double"&gt;28.7640613765666&lt;/D&gt;&lt;D xsi:type="xsd:double"&gt;29.7584740240747&lt;/D&gt;&lt;D xsi:type="xsd:double"&gt;29.2321843816455&lt;/D&gt;&lt;D xsi:type="xsd:double"&gt;28.4807265173777&lt;/D&gt;&lt;D xsi:type="xsd:double"&gt;28.248913321462&lt;/D&gt;&lt;D xsi:type="xsd:double"&gt;28.3885303893295&lt;/D&gt;&lt;D xsi:type="xsd:double"&gt;26.8955283920217&lt;/D&gt;&lt;D xsi:type="xsd:double"&gt;26.2579830310035&lt;/D&gt;&lt;D xsi:type="xsd:double"&gt;25.9672280158028&lt;/D&gt;&lt;D xsi:type="xsd:double"&gt;25.0151037031372&lt;/D&gt;&lt;D xsi:type="xsd:double"&gt;24.2754126428883&lt;/D&gt;&lt;D xsi:type="xsd:double"&gt;24.9144440738548&lt;/D&gt;&lt;D xsi:type="xsd:double"&gt;25.7187938881547&lt;/D&gt;&lt;D xsi:type="xsd:double"&gt;25.3393596408077&lt;/D&gt;&lt;D xsi:type="xsd:double"&gt;25.3542334591484&lt;/D&gt;&lt;D xsi:type="xsd:double"&gt;26.1249813736272&lt;/D&gt;&lt;D xsi:type="xsd:double"&gt;25.5843686646455&lt;/D&gt;&lt;D xsi:type="xsd:double"&gt;25.7551293821478&lt;/D&gt;&lt;D xsi:type="xsd:double"&gt;24.5339766095638&lt;/D&gt;&lt;D xsi:type="xsd:double"&gt;23.8417410113709&lt;/D&gt;&lt;D xsi:type="xsd:double"&gt;23.684090743401&lt;/D&gt;&lt;D xsi:type="xsd:double"&gt;23.810912564161&lt;/D&gt;&lt;D xsi:type="xsd:double"&gt;23.9344989237233&lt;/D&gt;&lt;D xsi:type="xsd:double"&gt;24.1619980767834&lt;/D&gt;&lt;D xsi:type="xsd:double"&gt;23.7105847780858&lt;/D&gt;&lt;D xsi:type="xsd:double"&gt;23.6219501536496&lt;/D&gt;&lt;D xsi:type="xsd:double"&gt;23.1113016675949&lt;/D&gt;&lt;D xsi:type="xsd:double"&gt;23.5945888624729&lt;/D&gt;&lt;D xsi:type="xsd:double"&gt;25.3160872937952&lt;/D&gt;&lt;D xsi:type="xsd:double"&gt;25.3587949040791&lt;/D&gt;&lt;D xsi:type="xsd:double"&gt;26.5290504725694&lt;/D&gt;&lt;D xsi:type="xsd:double"&gt;25.9390364649844&lt;/D&gt;&lt;D xsi:type="xsd:double"&gt;25.7543276331273&lt;/D&gt;&lt;D xsi:type="xsd:double"&gt;25.667923023727&lt;/D&gt;&lt;/FQL&gt;&lt;FQL&gt;&lt;Q&gt;DDR3512M-FDS^FG_PRICE_MAVG(0,,,,30)&lt;/Q&gt;&lt;R&gt;1&lt;/R&gt;&lt;C&gt;1&lt;/C&gt;&lt;D xsi:type="xsd:double"&gt;0.96784997&lt;/D&gt;&lt;/FQL&gt;&lt;FQL&gt;&lt;Q&gt;TRYAE10Y-FDS^FG_YIELD(-10AY,0,Y,,"YTM")&lt;/Q&gt;&lt;R&gt;10&lt;/R&gt;&lt;C&gt;1&lt;/C&gt;&lt;D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xsi:type="xsd:double"&gt;5.1912&lt;/D&gt;&lt;/FQL&gt;&lt;FQL&gt;&lt;Q&gt;USDSAR^STD(FG_PRICE_CHANGE(0,-1AY,AM))&lt;/Q&gt;&lt;R&gt;1&lt;/R&gt;&lt;C&gt;1&lt;/C&gt;&lt;D xsi:type="xsd:double"&gt;0.0134358477068219&lt;/D&gt;&lt;/FQL&gt;&lt;FQL&gt;&lt;Q&gt;USDAED^FG_PRICE_CHANGE(0,-1AY)&lt;/Q&gt;&lt;R&gt;1&lt;/R&gt;&lt;C&gt;1&lt;/C&gt;&lt;D xsi:type="xsd:double"&gt;0.020420551&lt;/D&gt;&lt;/FQL&gt;&lt;FQL&gt;&lt;Q&gt;USDEUR^STD(FG_PRICE_CHANGE(0,-1AY,AM))&lt;/Q&gt;&lt;R&gt;1&lt;/R&gt;&lt;C&gt;1&lt;/C&gt;&lt;D xsi:type="xsd:double"&gt;1.59344173606522&lt;/D&gt;&lt;/FQL&gt;&lt;FQL&gt;&lt;Q&gt;USDBRL^FG_PRICE_CHANGE(0,-1AY)&lt;/Q&gt;&lt;R&gt;1&lt;/R&gt;&lt;C&gt;1&lt;/C&gt;&lt;D xsi:type="xsd:double"&gt;3.828442&lt;/D&gt;&lt;/FQL&gt;&lt;FQL&gt;&lt;Q&gt;USDPLN^STD(FG_PRICE_CHANGE(0,-3AY,M))&lt;/Q&gt;&lt;R&gt;1&lt;/R&gt;&lt;C&gt;1&lt;/C&gt;&lt;D xsi:type="xsd:double"&gt;3.30999927089993&lt;/D&gt;&lt;/FQL&gt;&lt;FQL&gt;&lt;Q&gt;FC0000CL^FMA_EPS(NTMA,-20AY,0,CY,,"PORTAGG","MEANR")&lt;/Q&gt;&lt;R&gt;20&lt;/R&gt;&lt;C&gt;1&lt;/C&gt;&lt;D xsi:type="xsd:double"&gt;13.4345645762327&lt;/D&gt;&lt;D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xsi:type="xsd:double"&gt;21.6808239098782&lt;/D&gt;&lt;D xsi:type="xsd:double"&gt;17.3861921503202&lt;/D&gt;&lt;D xsi:type="xsd:double"&gt;15.4747210424778&lt;/D&gt;&lt;D xsi:type="xsd:double"&gt;18.6856862684859&lt;/D&gt;&lt;D xsi:type="xsd:double"&gt;25.9091620891167&lt;/D&gt;&lt;D xsi:type="xsd:double"&gt;28.7038462101019&lt;/D&gt;&lt;/FQL&gt;&lt;FQL&gt;&lt;Q&gt;EWT^FMA_DIV_YLD(NTMA,-10AY,0,AM,"PORTAGG","MEANR")&lt;/Q&gt;&lt;R&gt;121&lt;/R&gt;&lt;C&gt;1&lt;/C&gt;&lt;D xsi:type="xsd:double"&gt;3.23357430628641&lt;/D&gt;&lt;D xsi:type="xsd:double"&gt;3.19085731674829&lt;/D&gt;&lt;D xsi:type="xsd:double"&gt;3.12813346819814&lt;/D&gt;&lt;D xsi:type="xsd:double"&gt;3.22193141222873&lt;/D&gt;&lt;D xsi:type="xsd:double"&gt;3.42047583324518&lt;/D&gt;&lt;D xsi:type="xsd:double"&gt;3.56261356746993&lt;/D&gt;&lt;D xsi:type="xsd:double"&gt;3.39983499251415&lt;/D&gt;&lt;D xsi:type="xsd:double"&gt;3.43506956009578&lt;/D&gt;&lt;D xsi:type="xsd:double"&gt;3.40071301738307&lt;/D&gt;&lt;D xsi:type="xsd:double"&gt;3.41524387764709&lt;/D&gt;&lt;D xsi:type="xsd:double"&gt;3.4111867191058&lt;/D&gt;&lt;D xsi:type="xsd:double"&gt;3.5010114712998&lt;/D&gt;&lt;D xsi:type="xsd:double"&gt;3.72771039182601&lt;/D&gt;&lt;D xsi:type="xsd:double"&gt;3.82284606376185&lt;/D&gt;&lt;D xsi:type="xsd:double"&gt;4.14577136561602&lt;/D&gt;&lt;D xsi:type="xsd:double"&gt;4.56310745669846&lt;/D&gt;&lt;D xsi:type="xsd:double"&gt;4.37760111072642&lt;/D&gt;&lt;D xsi:type="xsd:double"&gt;4.07482843804447&lt;/D&gt;&lt;D xsi:type="xsd:double"&gt;4.12421787986175&lt;/D&gt;&lt;D xsi:type="xsd:double"&gt;4.21198550945401&lt;/D&gt;&lt;D xsi:type="xsd:double"&gt;4.60846035853855&lt;/D&gt;&lt;D xsi:type="xsd:double"&gt;4.31195905805379&lt;/D&gt;&lt;D xsi:type="xsd:double"&gt;4.08959920914369&lt;/D&gt;&lt;D xsi:type="xsd:double"&gt;4.32199002343436&lt;/D&gt;&lt;D xsi:type="xsd:double"&gt;4.40570478011968&lt;/D&gt;&lt;D xsi:type="xsd:double"&gt;4.17593728857319&lt;/D&gt;&lt;D xsi:type="xsd:double"&gt;4.07155552180537&lt;/D&gt;&lt;D xsi:type="xsd:double"&gt;4.08170449028215&lt;/D&gt;&lt;D xsi:type="xsd:double"&gt;3.98245757188791&lt;/D&gt;&lt;D xsi:type="xsd:double"&gt;3.98665861447492&lt;/D&gt;&lt;D xsi:type="xsd:double"&gt;4.16710645253576&lt;/D&gt;&lt;D xsi:type="xsd:double"&gt;4.28952944608497&lt;/D&gt;&lt;D xsi:type="xsd:double"&gt;4.17269659562581&lt;/D&gt;&lt;D xsi:type="xsd:double"&gt;4.09555926761187&lt;/D&gt;&lt;D xsi:type="xsd:double"&gt;4.09124731014486&lt;/D&gt;&lt;D xsi:type="xsd:double"&gt;4.1667212029562&lt;/D&gt;&lt;D xsi:type="xsd:double"&gt;4.08577735351717&lt;/D&gt;&lt;D xsi:type="xsd:double"&gt;3.97750754414585&lt;/D&gt;&lt;D xsi:type="xsd:double"&gt;3.98627679395445&lt;/D&gt;&lt;D xsi:type="xsd:double"&gt;4.06462493176567&lt;/D&gt;&lt;D xsi:type="xsd:double"&gt;4.12052438045331&lt;/D&gt;&lt;D xsi:type="xsd:double"&gt;4.02806858412925&lt;/D&gt;&lt;D xsi:type="xsd:double"&gt;4.02402132845945&lt;/D&gt;&lt;D xsi:type="xsd:double"&gt;4.18118617263729&lt;/D&gt;&lt;D xsi:type="xsd:double"&gt;4.00048181622287&lt;/D&gt;&lt;D xsi:type="xsd:double"&gt;4.18587953432915&lt;/D&gt;&lt;D xsi:type="xsd:double"&gt;4.2024719790933&lt;/D&gt;&lt;D xsi:type="xsd:double"&gt;4.31569746931595&lt;/D&gt;&lt;D xsi:type="xsd:double"&gt;4.34046813076447&lt;/D&gt;&lt;D xsi:type="xsd:double"&gt;4.38639057504593&lt;/D&gt;&lt;D xsi:type="xsd:double"&gt;4.35748548908807&lt;/D&gt;&lt;D xsi:type="xsd:double"&gt;4.37288487475887&lt;/D&gt;&lt;D xsi:type="xsd:double"&gt;4.40746407108526&lt;/D&gt;&lt;D xsi:type="xsd:double"&gt;5.00861675200889&lt;/D&gt;&lt;D xsi:type="xsd:double"&gt;4.96365234182947&lt;/D&gt;&lt;D xsi:type="xsd:double"&gt;4.96039550146729&lt;/D&gt;&lt;D xsi:type="xsd:double"&gt;4.71695855289914&lt;/D&gt;&lt;D xsi:type="xsd:double"&gt;4.46299493821193&lt;/D&gt;&lt;D xsi:type="xsd:double"&gt;4.2798810201834&lt;/D&gt;&lt;D xsi:type="xsd:double"&gt;4.1779461264236&lt;/D&gt;&lt;D xsi:type="xsd:double"&gt;4.56630004140185&lt;/D&gt;&lt;D xsi:type="xsd:double"&gt;4.33369485076764&lt;/D&gt;&lt;D xsi:type="xsd:double"&gt;4.22249738076172&lt;/D&gt;&lt;D xsi:type="xsd:double"&gt;4.4186698660688&lt;/D&gt;&lt;D xsi:type="xsd:double"&gt;4.22936166952434&lt;/D&gt;&lt;D xsi:type="xsd:double"&gt;4.16135265427797&lt;/D&gt;&lt;D xsi:type="xsd:double"&gt;4.06483050456736&lt;/D&gt;&lt;D xsi:type="xsd:double"&gt;3.96369195069063&lt;/D&gt;&lt;D xsi:type="xsd:double"&gt;3.97051624534085&lt;/D&gt;&lt;D xsi:type="xsd:double"&gt;4.09983260701859&lt;/D&gt;&lt;D xsi:type="xsd:double"&gt;5.24616455154867&lt;/D&gt;&lt;D xsi:type="xsd:double"&gt;4.3361154442245&lt;/D&gt;&lt;D xsi:type="xsd:double"&gt;4.18749001461283&lt;/D&gt;&lt;D xsi:type="xsd:double"&gt;3.89832014749123&lt;/D&gt;&lt;D xsi:type="xsd:double"&gt;3.67416592616578&lt;/D&gt;&lt;D xsi:type="xsd:double"&gt;3.7712630017918&lt;/D&gt;&lt;D xsi:type="xsd:double"&gt;3.89812766547476&lt;/D&gt;&lt;D xsi:type="xsd:double"&gt;3.85340276285032&lt;/D&gt;&lt;D xsi:type="xsd:double"&gt;3.71818726716965&lt;/D&gt;&lt;D xsi:type="xsd:double"&gt;3.70741741565257&lt;/D&gt;&lt;D xsi:type="xsd:double"&gt;3.36890219693413&lt;/D&gt;&lt;D xsi:type="xsd:double"&gt;3.45243188564903&lt;/D&gt;&lt;D xsi:type="xsd:double"&gt;3.67523521564283&lt;/D&gt;&lt;D xsi:type="xsd:double"&gt;3.64319259637745&lt;/D&gt;&lt;D xsi:type="xsd:double"&gt;4.19122378525856&lt;/D&gt;&lt;D xsi:type="xsd:double"&gt;4.03711675760108&lt;/D&gt;&lt;D xsi:type="xsd:double"&gt;4.11008528637158&lt;/D&gt;&lt;D xsi:type="xsd:double"&gt;4.39387714524213&lt;/D&gt;&lt;D xsi:type="xsd:double"&gt;4.32698870187277&lt;/D&gt;&lt;D xsi:type="xsd:double"&gt;4.44836940017732&lt;/D&gt;&lt;D xsi:type="xsd:double"&gt;4.25847473069267&lt;/D&gt;&lt;D xsi:type="xsd:double"&gt;4.15974633024887&lt;/D&gt;&lt;D xsi:type="xsd:double"&gt;4.30622806325532&lt;/D&gt;&lt;D xsi:type="xsd:double"&gt;4.32348648115749&lt;/D&gt;&lt;D xsi:type="xsd:double"&gt;4.44960698313403&lt;/D&gt;&lt;D xsi:type="xsd:double"&gt;4.6593313294725&lt;/D&gt;&lt;D xsi:type="xsd:double"&gt;4.83379180206665&lt;/D&gt;&lt;D xsi:type="xsd:double"&gt;5.08034173705056&lt;/D&gt;&lt;D xsi:type="xsd:double"&gt;5.09958597875945&lt;/D&gt;&lt;D xsi:type="xsd:double"&gt;4.96020400882221&lt;/D&gt;&lt;D xsi:type="xsd:double"&gt;5.24053412397593&lt;/D&gt;&lt;D xsi:type="xsd:double"&gt;5.39638874777899&lt;/D&gt;&lt;D xsi:type="xsd:double"&gt;4.46025546687378&lt;/D&gt;&lt;D xsi:type="xsd:double"&gt;4.50921020400068&lt;/D&gt;&lt;D xsi:type="xsd:double"&gt;4.20896172220871&lt;/D&gt;&lt;D xsi:type="xsd:double"&gt;3.97120202465778&lt;/D&gt;&lt;D xsi:type="xsd:double"&gt;3.86305777519876&lt;/D&gt;&lt;D xsi:type="xsd:double"&gt;3.90784252555309&lt;/D&gt;&lt;D xsi:type="xsd:double"&gt;3.63672264398697&lt;/D&gt;&lt;D xsi:type="xsd:double"&gt;3.45479691682863&lt;/D&gt;&lt;D xsi:type="xsd:double"&gt;3.45461554033428&lt;/D&gt;&lt;D xsi:type="xsd:double"&gt;3.58770272309229&lt;/D&gt;&lt;D xsi:type="xsd:double"&gt;3.64802921451241&lt;/D&gt;&lt;D xsi:type="xsd:double"&gt;3.657816756017&lt;/D&gt;&lt;D xsi:type="xsd:double"&gt;3.43278961072821&lt;/D&gt;&lt;D xsi:type="xsd:double"&gt;3.37909072190222&lt;/D&gt;&lt;D xsi:type="xsd:double"&gt;3.38075689254038&lt;/D&gt;&lt;D xsi:type="xsd:double"&gt;3.26412636529326&lt;/D&gt;&lt;D xsi:type="xsd:double"&gt;3.08214916081106&lt;/D&gt;&lt;D xsi:type="xsd:double"&gt;3.2844713762224&lt;/D&gt;&lt;D xsi:type="xsd:double"&gt;3.06386375906568&lt;/D&gt;&lt;/FQL&gt;&lt;FQL&gt;&lt;Q&gt;EWZ^FMA_PE(NTMA,-10AY,0,AM,"PORTAGG","MEANR")&lt;/Q&gt;&lt;R&gt;121&lt;/R&gt;&lt;C&gt;1&lt;/C&gt;&lt;D xsi:type="xsd:double"&gt;10.9450225322569&lt;/D&gt;&lt;D xsi:type="xsd:double"&gt;11.3834169212678&lt;/D&gt;&lt;D xsi:type="xsd:double"&gt;11.8645522046223&lt;/D&gt;&lt;D xsi:type="xsd:double"&gt;12.133778625962&lt;/D&gt;&lt;D xsi:type="xsd:double"&gt;11.7152160770089&lt;/D&gt;&lt;D xsi:type="xsd:double"&gt;10.625956361638&lt;/D&gt;&lt;D xsi:type="xsd:double"&gt;11.9690473018536&lt;/D&gt;&lt;D xsi:type="xsd:double"&gt;11.2837047952463&lt;/D&gt;&lt;D xsi:type="xsd:double"&gt;11.256941870543&lt;/D&gt;&lt;D xsi:type="xsd:double"&gt;12.0728711639192&lt;/D&gt;&lt;D xsi:type="xsd:double"&gt;12.9353626685292&lt;/D&gt;&lt;D xsi:type="xsd:double"&gt;14.208192000928&lt;/D&gt;&lt;D xsi:type="xsd:double"&gt;13.6240495137199&lt;/D&gt;&lt;D xsi:type="xsd:double"&gt;13.2148471178941&lt;/D&gt;&lt;D xsi:type="xsd:double"&gt;12.1795037400158&lt;/D&gt;&lt;D xsi:type="xsd:double"&gt;10.9268004654791&lt;/D&gt;&lt;D xsi:type="xsd:double"&gt;10.7362811504009&lt;/D&gt;&lt;D xsi:type="xsd:double"&gt;11.2102690008993&lt;/D&gt;&lt;D xsi:type="xsd:double"&gt;11.267969159882&lt;/D&gt;&lt;D xsi:type="xsd:double"&gt;10.5231237280835&lt;/D&gt;&lt;D xsi:type="xsd:double"&gt;9.41678887287015&lt;/D&gt;&lt;D xsi:type="xsd:double"&gt;11.0209664683275&lt;/D&gt;&lt;D xsi:type="xsd:double"&gt;13.3043693273512&lt;/D&gt;&lt;D xsi:type="xsd:double"&gt;13.7192310570956&lt;/D&gt;&lt;D xsi:type="xsd:double"&gt;12.2204458610896&lt;/D&gt;&lt;D xsi:type="xsd:double"&gt;12.5965642816035&lt;/D&gt;&lt;D xsi:type="xsd:double"&gt;13.6395307998351&lt;/D&gt;&lt;D xsi:type="xsd:double"&gt;13.7748175039821&lt;/D&gt;&lt;D xsi:type="xsd:double"&gt;13.7821688851253&lt;/D&gt;&lt;D xsi:type="xsd:double"&gt;14.7405397641579&lt;/D&gt;&lt;D xsi:type="xsd:double"&gt;13.8218274232864&lt;/D&gt;&lt;D xsi:type="xsd:double"&gt;12.297922239843&lt;/D&gt;&lt;D xsi:type="xsd:double"&gt;13.5533823563605&lt;/D&gt;&lt;D xsi:type="xsd:double"&gt;13.6315193308927&lt;/D&gt;&lt;D xsi:type="xsd:double"&gt;12.6122114724517&lt;/D&gt;&lt;D xsi:type="xsd:double"&gt;12.4117233439909&lt;/D&gt;&lt;D xsi:type="xsd:double"&gt;12.0895294663413&lt;/D&gt;&lt;D xsi:type="xsd:double"&gt;11.6590929895778&lt;/D&gt;&lt;D xsi:type="xsd:double"&gt;12.2605305398472&lt;/D&gt;&lt;D xsi:type="xsd:double"&gt;13.3603151158615&lt;/D&gt;&lt;D xsi:type="xsd:double"&gt;14.0175847691236&lt;/D&gt;&lt;D xsi:type="xsd:double"&gt;13.8211991680376&lt;/D&gt;&lt;D xsi:type="xsd:double"&gt;13.2808471187366&lt;/D&gt;&lt;D xsi:type="xsd:double"&gt;13.3320789683921&lt;/D&gt;&lt;D xsi:type="xsd:double"&gt;13.5710833347018&lt;/D&gt;&lt;D xsi:type="xsd:double"&gt;13.9078624747142&lt;/D&gt;&lt;D xsi:type="xsd:double"&gt;12.7081552354162&lt;/D&gt;&lt;D xsi:type="xsd:double"&gt;12.8060195368837&lt;/D&gt;&lt;D xsi:type="xsd:double"&gt;11.704870970414&lt;/D&gt;&lt;D xsi:type="xsd:double"&gt;10.2671628956751&lt;/D&gt;&lt;D xsi:type="xsd:double"&gt;11.0218449258034&lt;/D&gt;&lt;D xsi:type="xsd:double"&gt;10.5621859861297&lt;/D&gt;&lt;D xsi:type="xsd:double"&gt;10.7902285495103&lt;/D&gt;&lt;D xsi:type="xsd:double"&gt;11.2517953448994&lt;/D&gt;&lt;D xsi:type="xsd:double"&gt;11.2925255963195&lt;/D&gt;&lt;D xsi:type="xsd:double"&gt;11.2739072198723&lt;/D&gt;&lt;D xsi:type="xsd:double"&gt;13.1000411443325&lt;/D&gt;&lt;D xsi:type="xsd:double"&gt;12.6923295546097&lt;/D&gt;&lt;D xsi:type="xsd:double"&gt;11.9809845148385&lt;/D&gt;&lt;D xsi:type="xsd:double"&gt;11.5628594154975&lt;/D&gt;&lt;D xsi:type="xsd:double"&gt;11.5481011968644&lt;/D&gt;&lt;D xsi:type="xsd:double"&gt;12.5980910139149&lt;/D&gt;&lt;D xsi:type="xsd:double"&gt;12.7151681547154&lt;/D&gt;&lt;D xsi:type="xsd:double"&gt;12.1541338462315&lt;/D&gt;&lt;D xsi:type="xsd:double"&gt;12.9258317365268&lt;/D&gt;&lt;D xsi:type="xsd:double"&gt;13.3680145046416&lt;/D&gt;&lt;D xsi:type="xsd:double"&gt;13.6150076168778&lt;/D&gt;&lt;D xsi:type="xsd:double"&gt;14.4043110720733&lt;/D&gt;&lt;D xsi:type="xsd:double"&gt;14.6004880443943&lt;/D&gt;&lt;D xsi:type="xsd:double"&gt;14.0360689822115&lt;/D&gt;&lt;D xsi:type="xsd:double"&gt;8.86954175954097&lt;/D&gt;&lt;D xsi:type="xsd:double"&gt;12.6469326378755&lt;/D&gt;&lt;D xsi:type="xsd:double"&gt;15.7830282045621&lt;/D&gt;&lt;D xsi:type="xsd:double"&gt;17.9783975730516&lt;/D&gt;&lt;D xsi:type="xsd:double"&gt;25.4774688309862&lt;/D&gt;&lt;D xsi:type="xsd:double"&gt;24.3015917340811&lt;/D&gt;&lt;D xsi:type="xsd:double"&gt;18.1451816904803&lt;/D&gt;&lt;D xsi:type="xsd:double"&gt;16.6096108254551&lt;/D&gt;&lt;D xsi:type="xsd:double"&gt;14.47672327837&lt;/D&gt;&lt;D xsi:type="xsd:double"&gt;13.0977205338155&lt;/D&gt;&lt;D xsi:type="xsd:double"&gt;11.7114063697185&lt;/D&gt;&lt;D xsi:type="xsd:double"&gt;10.6726319782342&lt;/D&gt;&lt;D xsi:type="xsd:double"&gt;9.28772011016796&lt;/D&gt;&lt;D xsi:type="xsd:double"&gt;9.12472318916714&lt;/D&gt;&lt;D xsi:type="xsd:double"&gt;8.96916595900965&lt;/D&gt;&lt;D xsi:type="xsd:double"&gt;9.27626224614958&lt;/D&gt;&lt;D xsi:type="xsd:double"&gt;8.53062037558623&lt;/D&gt;&lt;D xsi:type="xsd:double"&gt;7.72063510816152&lt;/D&gt;&lt;D xsi:type="xsd:double"&gt;7.64876185923029&lt;/D&gt;&lt;D xsi:type="xsd:double"&gt;7.45629101229706&lt;/D&gt;&lt;D xsi:type="xsd:double"&gt;7.39710661408111&lt;/D&gt;&lt;D xsi:type="xsd:double"&gt;7.72621750383723&lt;/D&gt;&lt;D xsi:type="xsd:double"&gt;7.86122606097721&lt;/D&gt;&lt;D xsi:type="xsd:double"&gt;7.9944211450845&lt;/D&gt;&lt;D xsi:type="xsd:double"&gt;7.69250486015004&lt;/D&gt;&lt;D xsi:type="xsd:double"&gt;7.02959899481216&lt;/D&gt;&lt;D xsi:type="xsd:double"&gt;6.74528411242384&lt;/D&gt;&lt;D xsi:type="xsd:double"&gt;5.90586884919632&lt;/D&gt;&lt;D xsi:type="xsd:double"&gt;5.90683801080816&lt;/D&gt;&lt;D xsi:type="xsd:double"&gt;6.46862858669219&lt;/D&gt;&lt;D xsi:type="xsd:double"&gt;6.57248849068595&lt;/D&gt;&lt;D xsi:type="xsd:double"&gt;7.31851212844448&lt;/D&gt;&lt;D xsi:type="xsd:double"&gt;6.60284010889781&lt;/D&gt;&lt;D xsi:type="xsd:double"&gt;6.9695896794741&lt;/D&gt;&lt;D xsi:type="xsd:double"&gt;7.0281821007302&lt;/D&gt;&lt;D xsi:type="xsd:double"&gt;7.01817353270985&lt;/D&gt;&lt;D xsi:type="xsd:double"&gt;6.31755150284056&lt;/D&gt;&lt;D xsi:type="xsd:double"&gt;6.93034772799515&lt;/D&gt;&lt;D xsi:type="xsd:double"&gt;7.12797230966394&lt;/D&gt;&lt;D xsi:type="xsd:double"&gt;7.86931121236346&lt;/D&gt;&lt;D xsi:type="xsd:double"&gt;8.02211909793541&lt;/D&gt;&lt;D xsi:type="xsd:double"&gt;7.96207693005713&lt;/D&gt;&lt;D xsi:type="xsd:double"&gt;7.69674791192226&lt;/D&gt;&lt;D xsi:type="xsd:double"&gt;7.20296755513793&lt;/D&gt;&lt;D xsi:type="xsd:double"&gt;7.79979447185513&lt;/D&gt;&lt;D xsi:type="xsd:double"&gt;7.92424807936258&lt;/D&gt;&lt;D xsi:type="xsd:double"&gt;7.57115699578038&lt;/D&gt;&lt;D xsi:type="xsd:double"&gt;7.94994533631485&lt;/D&gt;&lt;D xsi:type="xsd:double"&gt;7.69470031161745&lt;/D&gt;&lt;D xsi:type="xsd:double"&gt;7.53367377725499&lt;/D&gt;&lt;D xsi:type="xsd:double"&gt;7.50922605091298&lt;/D&gt;&lt;/FQL&gt;&lt;FQL&gt;&lt;Q&gt;CPALM-FDS^FG_PRICE_CHANGE(0,-1AM)&lt;/Q&gt;&lt;R&gt;1&lt;/R&gt;&lt;C&gt;1&lt;/C&gt;&lt;D xsi:type="xsd:double"&gt;-5.40142401178493&lt;/D&gt;&lt;/FQL&gt;&lt;FQL&gt;&lt;Q&gt;COPP-FDS^MAX(FG_PRICE(0,-5AY))&lt;/Q&gt;&lt;R&gt;1&lt;/R&gt;&lt;C&gt;1&lt;/C&gt;&lt;D xsi:type="xsd:double"&gt;5.119&lt;/D&gt;&lt;/FQL&gt;&lt;FQL&gt;&lt;Q&gt;GREK^FG_PRICE(0)&lt;/Q&gt;&lt;R&gt;1&lt;/R&gt;&lt;C&gt;1&lt;/C&gt;&lt;D xsi:type="xsd:double"&gt;42.02&lt;/D&gt;&lt;/FQL&gt;&lt;FQL&gt;&lt;Q&gt;EWT^FG_PRICE_MAVG(0,,,,60)&lt;/Q&gt;&lt;R&gt;1&lt;/R&gt;&lt;C&gt;1&lt;/C&gt;&lt;D xsi:type="xsd:double"&gt;48.469833&lt;/D&gt;&lt;/FQL&gt;&lt;FQL&gt;&lt;Q&gt;EPHE^FG_PRICE(0)&lt;/Q&gt;&lt;R&gt;1&lt;/R&gt;&lt;C&gt;1&lt;/C&gt;&lt;D xsi:type="xsd:double"&gt;25.44&lt;/D&gt;&lt;/FQL&gt;&lt;FQL&gt;&lt;Q&gt;KSA^FG_TOTAL_RETURNC(0,-1AM)&lt;/Q&gt;&lt;R&gt;1&lt;/R&gt;&lt;C&gt;1&lt;/C&gt;&lt;D xsi:type="xsd:double"&gt;-4.8454046&lt;/D&gt;&lt;/FQL&gt;&lt;FQL&gt;&lt;Q&gt;UAE^FG_TOTAL_RETURNC(0,-1AM)&lt;/Q&gt;&lt;R&gt;1&lt;/R&gt;&lt;C&gt;1&lt;/C&gt;&lt;D xsi:type="xsd:double"&gt;-2.0293891&lt;/D&gt;&lt;/FQL&gt;&lt;FQL&gt;&lt;Q&gt;SET-BKK^PERCENT_CHANGE(FMA_EPS(+1,0,,,,"PORTAGG","MEAN"),FMA_EPS(+1,-3AM,,,,"PORTAGG","MEAN"))&lt;/Q&gt;&lt;R&gt;1&lt;/R&gt;&lt;C&gt;1&lt;/C&gt;&lt;D xsi:type="xsd:double"&gt;-2.17280886375953&lt;/D&gt;&lt;/FQL&gt;&lt;FQL&gt;&lt;Q&gt;MCHI^PERCENT_CHANGE(FMA_EPS(+1,0,,,,"PORTAGG","MEAN"),FMA_EPS(+1,-1AM,,,,"PORTAGG","MEAN"))&lt;/Q&gt;&lt;R&gt;1&lt;/R&gt;&lt;C&gt;1&lt;/C&gt;&lt;D xsi:type="xsd:double"&gt;0.0981464921897201&lt;/D&gt;&lt;/FQL&gt;&lt;FQL&gt;&lt;Q&gt;GREK^PERCENT_CHANGE(FMA_EPS(+1,0,,,,"PORTAGG","MEAN"),FMA_EPS(+1,-1AM,,,,"PORTAGG","MEAN"))&lt;/Q&gt;&lt;R&gt;1&lt;/R&gt;&lt;C&gt;1&lt;/C&gt;&lt;D xsi:type="xsd:double"&gt;4.47868920420312&lt;/D&gt;&lt;/FQL&gt;&lt;FQL&gt;&lt;Q&gt;EWZ^PERCENT_CHANGE(FMA_EPS(+1,0,,,,"PORTAGG","MEAN"),FMA_EPS(+1,-1AM,,,,"PORTAGG","MEAN"))&lt;/Q&gt;&lt;R&gt;1&lt;/R&gt;&lt;C&gt;1&lt;/C&gt;&lt;D xsi:type="xsd:double"&gt;1.99974897496411&lt;/D&gt;&lt;/FQL&gt;&lt;FQL&gt;&lt;Q&gt;CAGDPY@BR^EE_ACTUAL_ANNUAL(MED,+1)&lt;/Q&gt;&lt;R&gt;1&lt;/R&gt;&lt;C&gt;1&lt;/C&gt;&lt;D xsi:type="xsd:double"&gt;-1.5&lt;/D&gt;&lt;/FQL&gt;&lt;FQL&gt;&lt;Q&gt;USDQAR^FG_PRICE_CHANGE(0,-6AM)&lt;/Q&gt;&lt;R&gt;1&lt;/R&gt;&lt;C&gt;1&lt;/C&gt;&lt;D xsi:type="xsd:double"&gt;0&lt;/D&gt;&lt;/FQL&gt;&lt;FQL&gt;&lt;Q&gt;USDTWD^FG_PRICE_CHANGE(0,-6AM)&lt;/Q&gt;&lt;R&gt;1&lt;/R&gt;&lt;C&gt;1&lt;/C&gt;&lt;D xsi:type="xsd:double"&gt;2.1860719&lt;/D&gt;&lt;/FQL&gt;&lt;FQL&gt;&lt;Q&gt;USDIDR^FG_PRICE_CHANGE(0,-1AM)&lt;/Q&gt;&lt;R&gt;1&lt;/R&gt;&lt;C&gt;1&lt;/C&gt;&lt;D xsi:type="xsd:double"&gt;-1.4025867&lt;/D&gt;&lt;/FQL&gt;&lt;FQL&gt;&lt;Q&gt;FC0000SA^FMA_EPS(NTMA,-20AY,0,CY,,"PORTAGG","MEANR")&lt;/Q&gt;&lt;R&gt;20&lt;/R&gt;&lt;C&gt;1&lt;/C&gt;&lt;D xsi:type="xsd:string"&gt;@NA&lt;/D&gt;&lt;D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xsi:type="xsd:double"&gt;2.35315851096824&lt;/D&gt;&lt;D xsi:type="xsd:double"&gt;1.93303150127544&lt;/D&gt;&lt;D xsi:type="xsd:double"&gt;3.07367882812738&lt;/D&gt;&lt;D xsi:type="xsd:double"&gt;3.62874668882188&lt;/D&gt;&lt;D xsi:type="xsd:double"&gt;3.01142146924842&lt;/D&gt;&lt;/FQL&gt;&lt;FQL&gt;&lt;Q&gt;ECH^P_PRICE_RETURNS_PR('52W',2,-10AY,0,AM)&lt;/Q&gt;&lt;R&gt;121&lt;/R&gt;&lt;C&gt;1&lt;/C&gt;&lt;D xsi:type="xsd:double"&gt;-20.049126&lt;/D&gt;&lt;D xsi:type="xsd:double"&gt;-8.527004&lt;/D&gt;&lt;D xsi:type="xsd:double"&gt;-11.777282&lt;/D&gt;&lt;D xsi:type="xsd:double"&gt;-6.6768227&lt;/D&gt;&lt;D xsi:type="xsd:double"&gt;-19.390738&lt;/D&gt;&lt;D xsi:type="xsd:double"&gt;-18.345695&lt;/D&gt;&lt;D xsi:type="xsd:double"&gt;-7.2158456&lt;/D&gt;&lt;D xsi:type="xsd:double"&gt;-13.899583&lt;/D&gt;&lt;D xsi:type="xsd:double"&gt;-9.957462&lt;/D&gt;&lt;D xsi:type="xsd:double"&gt;-3.6531746&lt;/D&gt;&lt;D xsi:type="xsd:double"&gt;-6.634575&lt;/D&gt;&lt;D xsi:type="xsd:double"&gt;-5.8197317&lt;/D&gt;&lt;D xsi:type="xsd:double"&gt;-8.046222&lt;/D&gt;&lt;D xsi:type="xsd:double"&gt;-12.469417&lt;/D&gt;&lt;D xsi:type="xsd:double"&gt;-17.6284&lt;/D&gt;&lt;D xsi:type="xsd:double"&gt;-23.146027&lt;/D&gt;&lt;D xsi:type="xsd:double"&gt;-21.693707&lt;/D&gt;&lt;D xsi:type="xsd:double"&gt;-12.463265&lt;/D&gt;&lt;D xsi:type="xsd:double"&gt;-22.003693&lt;/D&gt;&lt;D xsi:type="xsd:double"&gt;-15.271318&lt;/D&gt;&lt;D xsi:type="xsd:double"&gt;-20.743847&lt;/D&gt;&lt;D xsi:type="xsd:double"&gt;-17.127508&lt;/D&gt;&lt;D xsi:type="xsd:double"&gt;-8.002102&lt;/D&gt;&lt;D xsi:type="xsd:double"&gt;-10.012823&lt;/D&gt;&lt;D xsi:type="xsd:double"&gt;-15.604937&lt;/D&gt;&lt;D xsi:type="xsd:double"&gt;-3.7952483&lt;/D&gt;&lt;D xsi:type="xsd:double"&gt;7.305014&lt;/D&gt;&lt;D xsi:type="xsd:double"&gt;15.320683&lt;/D&gt;&lt;D xsi:type="xsd:double"&gt;16.65038&lt;/D&gt;&lt;D xsi:type="xsd:double"&gt;14.580631&lt;/D&gt;&lt;D xsi:type="xsd:double"&gt;15.385496&lt;/D&gt;&lt;D xsi:type="xsd:double"&gt;12.505174&lt;/D&gt;&lt;D xsi:type="xsd:double"&gt;30.277359&lt;/D&gt;&lt;D xsi:type="xsd:double"&gt;25.621582&lt;/D&gt;&lt;D xsi:type="xsd:double"&gt;21.87909&lt;/D&gt;&lt;D xsi:type="xsd:double"&gt;20.51245&lt;/D&gt;&lt;D xsi:type="xsd:double"&gt;23.775566&lt;/D&gt;&lt;D xsi:type="xsd:double"&gt;16.17744&lt;/D&gt;&lt;D xsi:type="xsd:double"&gt;18.278671&lt;/D&gt;&lt;D xsi:type="xsd:double"&gt;27.745115&lt;/D&gt;&lt;D xsi:type="xsd:double"&gt;32.62465&lt;/D&gt;&lt;D xsi:type="xsd:double"&gt;33.475876&lt;/D&gt;&lt;D xsi:type="xsd:double"&gt;27.125608&lt;/D&gt;&lt;D xsi:type="xsd:double"&gt;43.353428&lt;/D&gt;&lt;D xsi:type="xsd:double"&gt;41.746365&lt;/D&gt;&lt;D xsi:type="xsd:double"&gt;38.429176&lt;/D&gt;&lt;D xsi:type="xsd:double"&gt;21.956778&lt;/D&gt;&lt;D xsi:type="xsd:double"&gt;25.479174&lt;/D&gt;&lt;D xsi:type="xsd:double"&gt;24.334394&lt;/D&gt;&lt;D xsi:type="xsd:double"&gt;14.979529&lt;/D&gt;&lt;D xsi:type="xsd:double"&gt;4.5681357&lt;/D&gt;&lt;D xsi:type="xsd:double"&gt;-3.6472738&lt;/D&gt;&lt;D xsi:type="xsd:double"&gt;-4.283881&lt;/D&gt;&lt;D xsi:type="xsd:double"&gt;-15.469778&lt;/D&gt;&lt;D xsi:type="xsd:double"&gt;-6.748658&lt;/D&gt;&lt;D xsi:type="xsd:double"&gt;-17.660677&lt;/D&gt;&lt;D xsi:type="xsd:double"&gt;-15.95872&lt;/D&gt;&lt;D xsi:type="xsd:double"&gt;-12.478489&lt;/D&gt;&lt;D xsi:type="xsd:double"&gt;-16.017193&lt;/D&gt;&lt;D xsi:type="xsd:double"&gt;-18.645126&lt;/D&gt;&lt;D xsi:type="xsd:double"&gt;-23.961699&lt;/D&gt;&lt;D xsi:type="xsd:double"&gt;-12.657791&lt;/D&gt;&lt;D xsi:type="xsd:double"&gt;-13.075214&lt;/D&gt;&lt;D xsi:type="xsd:double"&gt;-19.56404&lt;/D&gt;&lt;D xsi:type="xsd:double"&gt;-17.067856&lt;/D&gt;&lt;D xsi:type="xsd:double"&gt;-12.023968&lt;/D&gt;&lt;D xsi:type="xsd:double"&gt;-25.557922&lt;/D&gt;&lt;D xsi:type="xsd:double"&gt;-16.644794&lt;/D&gt;&lt;D xsi:type="xsd:double"&gt;-27.876776&lt;/D&gt;&lt;D xsi:type="xsd:double"&gt;-33.82897&lt;/D&gt;&lt;D xsi:type="xsd:double"&gt;-56.363472&lt;/D&gt;&lt;D xsi:type="xsd:double"&gt;-45.569706&lt;/D&gt;&lt;D xsi:type="xsd:double"&gt;-36.24127&lt;/D&gt;&lt;D xsi:type="xsd:double"&gt;-35.007923&lt;/D&gt;&lt;D xsi:type="xsd:double"&gt;-29.100163&lt;/D&gt;&lt;D xsi:type="xsd:double"&gt;-25.604593&lt;/D&gt;&lt;D xsi:type="xsd:double"&gt;-37.14053&lt;/D&gt;&lt;D xsi:type="xsd:double"&gt;-28.490948&lt;/D&gt;&lt;D xsi:type="xsd:double"&gt;-11.320829&lt;/D&gt;&lt;D xsi:type="xsd:double"&gt;-9.525532&lt;/D&gt;&lt;D xsi:type="xsd:double"&gt;0.4156947&lt;/D&gt;&lt;D xsi:type="xsd:double"&gt;10.763168&lt;/D&gt;&lt;D xsi:type="xsd:double"&gt;87.98442&lt;/D&gt;&lt;D xsi:type="xsd:double"&gt;51.163208&lt;/D&gt;&lt;D xsi:type="xsd:double"&gt;17.368746&lt;/D&gt;&lt;D xsi:type="xsd:double"&gt;15.852618&lt;/D&gt;&lt;D xsi:type="xsd:double"&gt;1.214695&lt;/D&gt;&lt;D xsi:type="xsd:double"&gt;6.0640335&lt;/D&gt;&lt;D xsi:type="xsd:double"&gt;20.975208&lt;/D&gt;&lt;D xsi:type="xsd:double"&gt;-2.9758513&lt;/D&gt;&lt;D xsi:type="xsd:double"&gt;3.2646775&lt;/D&gt;&lt;D xsi:type="xsd:double"&gt;-19.872267&lt;/D&gt;&lt;D xsi:type="xsd:double"&gt;-14.146507&lt;/D&gt;&lt;D xsi:type="xsd:double"&gt;-18.328684&lt;/D&gt;&lt;D xsi:type="xsd:double"&gt;-10.9358425&lt;/D&gt;&lt;D xsi:type="xsd:double"&gt;-18.1679&lt;/D&gt;&lt;D xsi:type="xsd:double"&gt;7.115495&lt;/D&gt;&lt;D xsi:type="xsd:double"&gt;-9.562844&lt;/D&gt;&lt;D xsi:type="xsd:double"&gt;-4.273176&lt;/D&gt;&lt;D xsi:type="xsd:double"&gt;5.193734&lt;/D&gt;&lt;D xsi:type="xsd:double"&gt;-3.6811411&lt;/D&gt;&lt;D xsi:type="xsd:double"&gt;7.830274&lt;/D&gt;&lt;D xsi:type="xsd:double"&gt;1.6510606&lt;/D&gt;&lt;D xsi:type="xsd:double"&gt;23.858906&lt;/D&gt;&lt;D xsi:type="xsd:double"&gt;14.197612&lt;/D&gt;&lt;D xsi:type="xsd:double"&gt;20.355474&lt;/D&gt;&lt;D xsi:type="xsd:double"&gt;5.933237&lt;/D&gt;&lt;D xsi:type="xsd:double"&gt;8.299398&lt;/D&gt;&lt;D xsi:type="xsd:double"&gt;10.301077&lt;/D&gt;&lt;D xsi:type="xsd:double"&gt;24.526834&lt;/D&gt;&lt;D xsi:type="xsd:double"&gt;30.95585&lt;/D&gt;&lt;D xsi:type="xsd:double"&gt;15.896082&lt;/D&gt;&lt;D xsi:type="xsd:double"&gt;9.168375&lt;/D&gt;&lt;D xsi:type="xsd:double"&gt;4.3810368&lt;/D&gt;&lt;D xsi:type="xsd:double"&gt;10.912442&lt;/D&gt;&lt;D xsi:type="xsd:double"&gt;10.431933&lt;/D&gt;&lt;D xsi:type="xsd:double"&gt;-5.0814924&lt;/D&gt;&lt;D xsi:type="xsd:double"&gt;-8.106375&lt;/D&gt;&lt;D xsi:type="xsd:double"&gt;-1.2234926&lt;/D&gt;&lt;D xsi:type="xsd:double"&gt;0.89621544&lt;/D&gt;&lt;D xsi:type="xsd:double"&gt;1.5075445&lt;/D&gt;&lt;/FQL&gt;&lt;FQL&gt;&lt;Q&gt;EPOL^FG_TOTAL_RETURNC(-10AY,0,AM)&lt;/Q&gt;&lt;R&gt;121&lt;/R&gt;&lt;C&gt;1&lt;/C&gt;&lt;D xsi:type="xsd:double"&gt;0.56666136&lt;/D&gt;&lt;D xsi:type="xsd:double"&gt;0.49718618&lt;/D&gt;&lt;D xsi:type="xsd:double"&gt;-2.7546167&lt;/D&gt;&lt;D xsi:type="xsd:double"&gt;-2.1203816&lt;/D&gt;&lt;D xsi:type="xsd:double"&gt;0.52410364&lt;/D&gt;&lt;D xsi:type="xsd:double"&gt;-5.109495&lt;/D&gt;&lt;D xsi:type="xsd:double"&gt;-1.3186753&lt;/D&gt;&lt;D xsi:type="xsd:double"&gt;-7.717228&lt;/D&gt;&lt;D xsi:type="xsd:double"&gt;-6.131685&lt;/D&gt;&lt;D xsi:type="xsd:double"&gt;3.2880306&lt;/D&gt;&lt;D xsi:type="xsd:double"&gt;1.6977906&lt;/D&gt;&lt;D xsi:type="xsd:double"&gt;5.6761265&lt;/D&gt;&lt;D xsi:type="xsd:double"&gt;-1.6587675&lt;/D&gt;&lt;D xsi:type="xsd:double"&gt;-4.7389565&lt;/D&gt;&lt;D xsi:type="xsd:double"&gt;-6.1743793&lt;/D&gt;&lt;D xsi:type="xsd:double"&gt;-1.3145924&lt;/D&gt;&lt;D xsi:type="xsd:double"&gt;-3.62885&lt;/D&gt;&lt;D xsi:type="xsd:double"&gt;0.285995&lt;/D&gt;&lt;D xsi:type="xsd:double"&gt;-9.600764&lt;/D&gt;&lt;D xsi:type="xsd:double"&gt;-0.7742286&lt;/D&gt;&lt;D xsi:type="xsd:double"&gt;-13.480127&lt;/D&gt;&lt;D xsi:type="xsd:double"&gt;10.180008&lt;/D&gt;&lt;D xsi:type="xsd:double"&gt;8.563387&lt;/D&gt;&lt;D xsi:type="xsd:double"&gt;-1.8681943&lt;/D&gt;&lt;D xsi:type="xsd:double"&gt;-8.196717&lt;/D&gt;&lt;D xsi:type="xsd:double"&gt;6.8207264&lt;/D&gt;&lt;D xsi:type="xsd:double"&gt;-5.405408&lt;/D&gt;&lt;D xsi:type="xsd:double"&gt;4.285717&lt;/D&gt;&lt;D xsi:type="xsd:double"&gt;0.2739668&lt;/D&gt;&lt;D xsi:type="xsd:double"&gt;-2.7868748&lt;/D&gt;&lt;D xsi:type="xsd:double"&gt;-3.316468&lt;/D&gt;&lt;D xsi:type="xsd:double"&gt;6.394434&lt;/D&gt;&lt;D xsi:type="xsd:double"&gt;7.4651837&lt;/D&gt;&lt;D xsi:type="xsd:double"&gt;12.649035&lt;/D&gt;&lt;D xsi:type="xsd:double"&gt;1.5646577&lt;/D&gt;&lt;D xsi:type="xsd:double"&gt;0.0906229&lt;/D&gt;&lt;D xsi:type="xsd:double"&gt;7.9674125&lt;/D&gt;&lt;D xsi:type="xsd:double"&gt;0.33894777&lt;/D&gt;&lt;D xsi:type="xsd:double"&gt;5.660379&lt;/D&gt;&lt;D xsi:type="xsd:double"&gt;2.3015857&lt;/D&gt;&lt;D xsi:type="xsd:double"&gt;5.1590323&lt;/D&gt;&lt;D xsi:type="xsd:double"&gt;-1.1803746&lt;/D&gt;&lt;D xsi:type="xsd:double"&gt;1.9036889&lt;/D&gt;&lt;D xsi:type="xsd:double"&gt;-0.5275428&lt;/D&gt;&lt;D xsi:type="xsd:double"&gt;11.244154&lt;/D&gt;&lt;D xsi:type="xsd:double"&gt;-8.207196&lt;/D&gt;&lt;D xsi:type="xsd:double"&gt;-8.2081375&lt;/D&gt;&lt;D xsi:type="xsd:double"&gt;1.8363357&lt;/D&gt;&lt;D xsi:type="xsd:double"&gt;-8.780867&lt;/D&gt;&lt;D xsi:type="xsd:double"&gt;-4.176325&lt;/D&gt;&lt;D xsi:type="xsd:double"&gt;3.5008907&lt;/D&gt;&lt;D xsi:type="xsd:double"&gt;3.2957554&lt;/D&gt;&lt;D xsi:type="xsd:double"&gt;0.7556677&lt;/D&gt;&lt;D xsi:type="xsd:double"&gt;-6.833333&lt;/D&gt;&lt;D xsi:type="xsd:double"&gt;0.8497238&lt;/D&gt;&lt;D xsi:type="xsd:double"&gt;1.8749714&lt;/D&gt;&lt;D xsi:type="xsd:double"&gt;7.1019053&lt;/D&gt;&lt;D xsi:type="xsd:double"&gt;-4.118615&lt;/D&gt;&lt;D xsi:type="xsd:double"&gt;-0.8161545&lt;/D&gt;&lt;D xsi:type="xsd:double"&gt;2.122128&lt;/D&gt;&lt;D xsi:type="xsd:double"&gt;-9.414757&lt;/D&gt;&lt;D xsi:type="xsd:double"&gt;9.696984&lt;/D&gt;&lt;D xsi:type="xsd:double"&gt;-0.29926896&lt;/D&gt;&lt;D xsi:type="xsd:double"&gt;-12.735844&lt;/D&gt;&lt;D xsi:type="xsd:double"&gt;1.2284994&lt;/D&gt;&lt;D xsi:type="xsd:double"&gt;6.5048575&lt;/D&gt;&lt;D xsi:type="xsd:double"&gt;-2.6435733&lt;/D&gt;&lt;D xsi:type="xsd:double"&gt;-0.5625367&lt;/D&gt;&lt;D xsi:type="xsd:double"&gt;2.0722866&lt;/D&gt;&lt;D xsi:type="xsd:double"&gt;-7.3654356&lt;/D&gt;&lt;D xsi:type="xsd:double"&gt;-36.08563&lt;/D&gt;&lt;D xsi:type="xsd:double"&gt;15.948962999999999&lt;/D&gt;&lt;D xsi:type="xsd:double"&gt;3.0261278&lt;/D&gt;&lt;D xsi:type="xsd:double"&gt;17.351007&lt;/D&gt;&lt;D xsi:type="xsd:double"&gt;2.4712682&lt;/D&gt;&lt;D xsi:type="xsd:double"&gt;1.0936618&lt;/D&gt;&lt;D xsi:type="xsd:double"&gt;-10.624128&lt;/D&gt;&lt;D xsi:type="xsd:double"&gt;-3.0415952&lt;/D&gt;&lt;D xsi:type="xsd:double"&gt;11.843788&lt;/D&gt;&lt;D xsi:type="xsd:double"&gt;8.863425&lt;/D&gt;&lt;D xsi:type="xsd:double"&gt;1.2156367&lt;/D&gt;&lt;D xsi:type="xsd:double"&gt;-0.15665293&lt;/D&gt;&lt;D xsi:type="xsd:double"&gt;-6.1192455&lt;/D&gt;&lt;D xsi:type="xsd:double"&gt;8.412242&lt;/D&gt;&lt;D xsi:type="xsd:double"&gt;9.506679&lt;/D&gt;&lt;D xsi:type="xsd:double"&gt;2.387786&lt;/D&gt;&lt;D xsi:type="xsd:double"&gt;-1.4705896&lt;/D&gt;&lt;D xsi:type="xsd:double"&gt;2.378738&lt;/D&gt;&lt;D xsi:type="xsd:double"&gt;1.8678784&lt;/D&gt;&lt;D xsi:type="xsd:double"&gt;4.651153&lt;/D&gt;&lt;D xsi:type="xsd:double"&gt;-10.854697&lt;/D&gt;&lt;D xsi:type="xsd:double"&gt;-0.37927032&lt;/D&gt;&lt;D xsi:type="xsd:double"&gt;3.550589&lt;/D&gt;&lt;D xsi:type="xsd:double"&gt;-10.850173&lt;/D&gt;&lt;D xsi:type="xsd:double"&gt;-3.0558467&lt;/D&gt;&lt;D xsi:type="xsd:double"&gt;-5.760866&lt;/D&gt;&lt;D xsi:type="xsd:double"&gt;-6.055361&lt;/D&gt;&lt;D xsi:type="xsd:double"&gt;-12.160593&lt;/D&gt;&lt;D xsi:type="xsd:double"&gt;-1.4809608&lt;/D&gt;&lt;D xsi:type="xsd:double"&gt;-4.652834&lt;/D&gt;&lt;D xsi:type="xsd:double"&gt;-13.363361&lt;/D&gt;&lt;D xsi:type="xsd:double"&gt;-0.5199373&lt;/D&gt;&lt;D xsi:type="xsd:double"&gt;27.439034&lt;/D&gt;&lt;D xsi:type="xsd:double"&gt;7.388115&lt;/D&gt;&lt;D xsi:type="xsd:double"&gt;9.650267&lt;/D&gt;&lt;D xsi:type="xsd:double"&gt;-7.855874&lt;/D&gt;&lt;D xsi:type="xsd:double"&gt;-5.0641003&lt;/D&gt;&lt;D xsi:type="xsd:double"&gt;16.272783&lt;/D&gt;&lt;D xsi:type="xsd:double"&gt;5.3426266&lt;/D&gt;&lt;D xsi:type="xsd:double"&gt;4.0793777&lt;/D&gt;&lt;D xsi:type="xsd:double"&gt;9.269071&lt;/D&gt;&lt;D xsi:type="xsd:double"&gt;-6.64081&lt;/D&gt;&lt;D xsi:type="xsd:double"&gt;-8.463144&lt;/D&gt;&lt;D xsi:type="xsd:double"&gt;6.2960863&lt;/D&gt;&lt;D xsi:type="xsd:double"&gt;16.221989&lt;/D&gt;&lt;D xsi:type="xsd:double"&gt;7.4124813&lt;/D&gt;&lt;D xsi:type="xsd:double"&gt;-8.007038&lt;/D&gt;&lt;D xsi:type="xsd:double"&gt;14.347208&lt;/D&gt;&lt;D xsi:type="xsd:double"&gt;-3.345877&lt;/D&gt;&lt;D xsi:type="xsd:double"&gt;4.0674925&lt;/D&gt;&lt;D xsi:type="xsd:double"&gt;5.1143527&lt;/D&gt;&lt;/FQL&gt;&lt;FQL&gt;&lt;Q&gt;EWZ^FMA_PE(LTMA,-10AY,0,AM,"PORTAGG","MEANR")&lt;/Q&gt;&lt;R&gt;121&lt;/R&gt;&lt;C&gt;1&lt;/C&gt;&lt;D xsi:type="xsd:double"&gt;11.5385554167616&lt;/D&gt;&lt;D xsi:type="xsd:double"&gt;11.8381115954805&lt;/D&gt;&lt;D xsi:type="xsd:double"&gt;12.2070824162428&lt;/D&gt;&lt;D xsi:type="xsd:double"&gt;12.6551366647007&lt;/D&gt;&lt;D xsi:type="xsd:double"&gt;12.4622213636107&lt;/D&gt;&lt;D xsi:type="xsd:double"&gt;11.7438758533767&lt;/D&gt;&lt;D xsi:type="xsd:double"&gt;13.0961291261847&lt;/D&gt;&lt;D xsi:type="xsd:double"&gt;12.5412102997745&lt;/D&gt;&lt;D xsi:type</t>
        </r>
      </text>
    </comment>
    <comment ref="A17" authorId="0" shapeId="0" xr:uid="{351ABAA3-DFA4-4FF0-BEE2-FEB38C90A33D}">
      <text>
        <r>
          <rPr>
            <b/>
            <sz val="9"/>
            <color indexed="81"/>
            <rFont val="Tahoma"/>
            <charset val="1"/>
          </rPr>
          <t>="xsd:double"&gt;12.2435061803487&lt;/D&gt;&lt;D xsi:type="xsd:double"&gt;12.8573251644444&lt;/D&gt;&lt;D xsi:type="xsd:double"&gt;13.0718559553909&lt;/D&gt;&lt;D xsi:type="xsd:double"&gt;13.6515475670897&lt;/D&gt;&lt;D xsi:type="xsd:double"&gt;13.7371433118958&lt;/D&gt;&lt;D xsi:type="xsd:double"&gt;13.8770603461429&lt;/D&gt;&lt;D xsi:type="xsd:double"&gt;13.3139576276442&lt;/D&gt;&lt;D xsi:type="xsd:double"&gt;12.563297639708&lt;/D&gt;&lt;D xsi:type="xsd:double"&gt;12.2603757540182&lt;/D&gt;&lt;D xsi:type="xsd:double"&gt;12.7041543336979&lt;/D&gt;&lt;D xsi:type="xsd:double"&gt;13.0341607558538&lt;/D&gt;&lt;D xsi:type="xsd:double"&gt;12.3789379836606&lt;/D&gt;&lt;D xsi:type="xsd:double"&gt;11.0301625582873&lt;/D&gt;&lt;D xsi:type="xsd:double"&gt;12.1699744595572&lt;/D&gt;&lt;D xsi:type="xsd:double"&gt;13.1109769904926&lt;/D&gt;&lt;D xsi:type="xsd:double"&gt;13.3556295868391&lt;/D&gt;&lt;D xsi:type="xsd:double"&gt;12.9523717058957&lt;/D&gt;&lt;D xsi:type="xsd:double"&gt;13.2438739239823&lt;/D&gt;&lt;D xsi:type="xsd:double"&gt;14.0075801196819&lt;/D&gt;&lt;D xsi:type="xsd:double"&gt;14.3862525886579&lt;/D&gt;&lt;D xsi:type="xsd:double"&gt;14.4903136549678&lt;/D&gt;&lt;D xsi:type="xsd:double"&gt;15.5582628153809&lt;/D&gt;&lt;D xsi:type="xsd:double"&gt;15.1612820145748&lt;/D&gt;&lt;D xsi:type="xsd:double"&gt;14.262452306826&lt;/D&gt;&lt;D xsi:type="xsd:double"&gt;15.7850725941011&lt;/D&gt;&lt;D xsi:type="xsd:double"&gt;17.0812643103656&lt;/D&gt;&lt;D xsi:type="xsd:double"&gt;16.4645766584493&lt;/D&gt;&lt;D xsi:type="xsd:double"&gt;16.0733418008958&lt;/D&gt;&lt;D xsi:type="xsd:double"&gt;15.6153583405208&lt;/D&gt;&lt;D xsi:type="xsd:double"&gt;14.9983179314451&lt;/D&gt;&lt;D xsi:type="xsd:double"&gt;14.9961836228002&lt;/D&gt;&lt;D xsi:type="xsd:double"&gt;15.478968714558&lt;/D&gt;&lt;D xsi:type="xsd:double"&gt;15.7161469694387&lt;/D&gt;&lt;D xsi:type="xsd:double"&gt;15.3926283935261&lt;/D&gt;&lt;D xsi:type="xsd:double"&gt;14.9089892653022&lt;/D&gt;&lt;D xsi:type="xsd:double"&gt;14.771530202965&lt;/D&gt;&lt;D xsi:type="xsd:double"&gt;15.584816172085&lt;/D&gt;&lt;D xsi:type="xsd:double"&gt;16.7253700843344&lt;/D&gt;&lt;D xsi:type="xsd:double"&gt;16.2622813778986&lt;/D&gt;&lt;D xsi:type="xsd:double"&gt;15.9706938422234&lt;/D&gt;&lt;D xsi:type="xsd:double"&gt;15.2728826289505&lt;/D&gt;&lt;D xsi:type="xsd:double"&gt;14.2313294461723&lt;/D&gt;&lt;D xsi:type="xsd:double"&gt;14.2830216168926&lt;/D&gt;&lt;D xsi:type="xsd:double"&gt;13.5482503181691&lt;/D&gt;&lt;D xsi:type="xsd:double"&gt;13.4165198169983&lt;/D&gt;&lt;D xsi:type="xsd:double"&gt;13.8299833895385&lt;/D&gt;&lt;D xsi:type="xsd:double"&gt;13.567034858102&lt;/D&gt;&lt;D xsi:type="xsd:double"&gt;13.4928490490513&lt;/D&gt;&lt;D xsi:type="xsd:double"&gt;14.9514348790993&lt;/D&gt;&lt;D xsi:type="xsd:double"&gt;15.0061578110922&lt;/D&gt;&lt;D xsi:type="xsd:double"&gt;14.5578154360009&lt;/D&gt;&lt;D xsi:type="xsd:double"&gt;14.1784340379809&lt;/D&gt;&lt;D xsi:type="xsd:double"&gt;13.9872510164843&lt;/D&gt;&lt;D xsi:type="xsd:double"&gt;14.370944045858&lt;/D&gt;&lt;D xsi:type="xsd:double"&gt;14.3441990428386&lt;/D&gt;&lt;D xsi:type="xsd:double"&gt;13.9497314561242&lt;/D&gt;&lt;D xsi:type="xsd:double"&gt;14.2216247210112&lt;/D&gt;&lt;D xsi:type="xsd:double"&gt;15.0568755259067&lt;/D&gt;&lt;D xsi:type="xsd:double"&gt;15.4660967081574&lt;/D&gt;&lt;D xsi:type="xsd:double"&gt;17.1871828018951&lt;/D&gt;&lt;D xsi:type="xsd:double"&gt;17.9018245591542&lt;/D&gt;&lt;D xsi:type="xsd:double"&gt;18.7483292907179&lt;/D&gt;&lt;D xsi:type="xsd:double"&gt;15.8878184472837&lt;/D&gt;&lt;D xsi:type="xsd:double"&gt;16.5497657291563&lt;/D&gt;&lt;D xsi:type="xsd:double"&gt;18.2265383900271&lt;/D&gt;&lt;D xsi:type="xsd:double"&gt;20.1161702408268&lt;/D&gt;&lt;D xsi:type="xsd:double"&gt;30.6017575415472&lt;/D&gt;&lt;D xsi:type="xsd:double"&gt;34.911503647802&lt;/D&gt;&lt;D xsi:type="xsd:double"&gt;30.5585501244317&lt;/D&gt;&lt;D xsi:type="xsd:double"&gt;32.929523199132&lt;/D&gt;&lt;D xsi:type="xsd:double"&gt;31.7522252422207&lt;/D&gt;&lt;D xsi:type="xsd:double"&gt;35.4908145541448&lt;/D&gt;&lt;D xsi:type="xsd:double"&gt;29.7410569696423&lt;/D&gt;&lt;D xsi:type="xsd:double"&gt;25.7299813710487&lt;/D&gt;&lt;D xsi:type="xsd:double"&gt;19.7191307353473&lt;/D&gt;&lt;D xsi:type="xsd:double"&gt;18.4931229414514&lt;/D&gt;&lt;D xsi:type="xsd:double"&gt;17.4047236328454&lt;/D&gt;&lt;D xsi:type="xsd:double"&gt;16.2987712360551&lt;/D&gt;&lt;D xsi:type="xsd:double"&gt;14.6815568834537&lt;/D&gt;&lt;D xsi:type="xsd:double"&gt;12.9134267820592&lt;/D&gt;&lt;D xsi:type="xsd:double"&gt;11.3040410353445&lt;/D&gt;&lt;D xsi:type="xsd:double"&gt;9.75298854537972&lt;/D&gt;&lt;D xsi:type="xsd:double"&gt;8.13431383025753&lt;/D&gt;&lt;D xsi:type="xsd:double"&gt;6.84068682844081&lt;/D&gt;&lt;D xsi:type="xsd:double"&gt;6.8288746189535&lt;/D&gt;&lt;D xsi:type="xsd:double"&gt;7.10781913424278&lt;/D&gt;&lt;D xsi:type="xsd:double"&gt;7.01720625615083&lt;/D&gt;&lt;D xsi:type="xsd:double"&gt;6.85476153373632&lt;/D&gt;&lt;D xsi:type="xsd:double"&gt;6.69128894281858&lt;/D&gt;&lt;D xsi:type="xsd:double"&gt;6.27533892723316&lt;/D&gt;&lt;D xsi:type="xsd:double"&gt;6.13124899205194&lt;/D&gt;&lt;D xsi:type="xsd:double"&gt;6.26346822699111&lt;/D&gt;&lt;D xsi:type="xsd:double"&gt;6.11153855239413&lt;/D&gt;&lt;D xsi:type="xsd:double"&gt;6.48281260074228&lt;/D&gt;&lt;D xsi:type="xsd:double"&gt;5.78906095774462&lt;/D&gt;&lt;D xsi:type="xsd:double"&gt;5.68616478537052&lt;/D&gt;&lt;D xsi:type="xsd:double"&gt;5.81592773136631&lt;/D&gt;&lt;D xsi:type="xsd:double"&gt;5.71743871649497&lt;/D&gt;&lt;D xsi:type="xsd:double"&gt;5.52793775197601&lt;/D&gt;&lt;D xsi:type="xsd:double"&gt;5.79931007063472&lt;/D&gt;&lt;D xsi:type="xsd:double"&gt;6.00993102896503&lt;/D&gt;&lt;D xsi:type="xsd:double"&gt;6.65083237632404&lt;/D&gt;&lt;D xsi:type="xsd:double"&gt;7.02258734423169&lt;/D&gt;&lt;D xsi:type="xsd:double"&gt;7.16576164083168&lt;/D&gt;&lt;D xsi:type="xsd:double"&gt;7.22575385525482&lt;/D&gt;&lt;D xsi:type="xsd:double"&gt;7.17024922825965&lt;/D&gt;&lt;D xsi:type="xsd:double"&gt;7.99724930320777&lt;/D&gt;&lt;D xsi:type="xsd:double"&gt;8.61233804166976&lt;/D&gt;&lt;D xsi:type="xsd:double"&gt;8.20810142600923&lt;/D&gt;&lt;D xsi:type="xsd:double"&gt;8.61408913318976&lt;/D&gt;&lt;D xsi:type="xsd:double"&gt;8.38220693093114&lt;/D&gt;&lt;D xsi:type="xsd:double"&gt;8.28299554567023&lt;/D&gt;&lt;D xsi:type="xsd:double"&gt;8.20646818908606&lt;/D&gt;&lt;/FQL&gt;&lt;FQL&gt;&lt;Q&gt;DDR3512M-FDS^FG_PRICE(0)&lt;/Q&gt;&lt;R&gt;1&lt;/R&gt;&lt;C&gt;1&lt;/C&gt;&lt;D xsi:type="xsd:double"&gt;0.96178806&lt;/D&gt;&lt;/FQL&gt;&lt;FQL&gt;&lt;Q&gt;COPP-FDS^FG_PRICE(0)/MAX(FG_PRICE(0,-1AY))&lt;/Q&gt;&lt;R&gt;1&lt;/R&gt;&lt;C&gt;1&lt;/C&gt;&lt;D xsi:type="xsd:double"&gt;0.94090642703653&lt;/D&gt;&lt;/FQL&gt;&lt;FQL&gt;&lt;Q&gt;SET-BKK^FG_PRICE_MAVG(0,,,,60)&lt;/Q&gt;&lt;R&gt;1&lt;/R&gt;&lt;C&gt;1&lt;/C&gt;&lt;D xsi:type="xsd:double"&gt;1375.7979&lt;/D&gt;&lt;/FQL&gt;&lt;FQL&gt;&lt;Q&gt;EWM^PERCENT_CHANGE(FMA_EPS(+1,0,,,,"PORTAGG","MEAN"),FMA_EPS(+1,-1AM,,,,"PORTAGG","MEAN"))&lt;/Q&gt;&lt;R&gt;1&lt;/R&gt;&lt;C&gt;1&lt;/C&gt;&lt;D xsi:type="xsd:double"&gt;1.98876890110644&lt;/D&gt;&lt;/FQL&gt;&lt;FQL&gt;&lt;Q&gt;EIDO^PERCENT_CHANGE(FMA_EPS(+1,0,,,,"PORTAGG","MEAN"),FMA_EPS(+1,-3AM,,,,"PORTAGG","MEAN"))&lt;/Q&gt;&lt;R&gt;1&lt;/R&gt;&lt;C&gt;1&lt;/C&gt;&lt;D xsi:type="xsd:double"&gt;-0.818752994339081&lt;/D&gt;&lt;/FQL&gt;&lt;FQL&gt;&lt;Q&gt;CNYA^PERCENT_CHANGE(FMA_EPS(+1,0,,,,"PORTAGG","MEAN"),FMA_EPS(+1,-1AM,,,,"PORTAGG","MEAN"))&lt;/Q&gt;&lt;R&gt;1&lt;/R&gt;&lt;C&gt;1&lt;/C&gt;&lt;D xsi:type="xsd:double"&gt;-2.69451332055331&lt;/D&gt;&lt;/FQL&gt;&lt;FQL&gt;&lt;Q&gt;VGK^PERCENT_CHANGE(FMA_EPS(+1,0,,,,"PORTAGG","MEAN"),FMA_EPS(+1,-1AM,,,,"PORTAGG","MEAN"))&lt;/Q&gt;&lt;R&gt;1&lt;/R&gt;&lt;C&gt;1&lt;/C&gt;&lt;D xsi:type="xsd:double"&gt;0&lt;/D&gt;&lt;/FQL&gt;&lt;FQL&gt;&lt;Q&gt;MCHI^SIZE(FG_CONSTITUENTS)&lt;/Q&gt;&lt;R&gt;1&lt;/R&gt;&lt;C&gt;1&lt;/C&gt;&lt;D xsi:type="xsd:long"&gt;661&lt;/D&gt;&lt;/FQL&gt;&lt;FQL&gt;&lt;Q&gt;EPHE^FMA_COS_UP("EPS","1M",+1,NOW,,,"PORTAGG","MEANR")&lt;/Q&gt;&lt;R&gt;1&lt;/R&gt;&lt;C&gt;1&lt;/C&gt;&lt;D xsi:type="xsd:double"&gt;19&lt;/D&gt;&lt;/FQL&gt;&lt;FQL&gt;&lt;Q&gt;SET-BKK^FG_ROE(0)&lt;/Q&gt;&lt;R&gt;1&lt;/R&gt;&lt;C&gt;1&lt;/C&gt;&lt;D xsi:type="xsd:double"&gt;7.54510131066329&lt;/D&gt;&lt;/FQL&gt;&lt;FQL&gt;&lt;Q&gt;REFQALEND-FDS^FG_YIELD(NOW,,,0)&lt;/Q&gt;&lt;R&gt;1&lt;/R&gt;&lt;C&gt;1&lt;/C&gt;&lt;D xsi:type="xsd:double"&gt;6.25&lt;/D&gt;&lt;/FQL&gt;&lt;FQL&gt;&lt;Q&gt;REFKRBASE-FDS^(SUBARRAY(NOT_NA(NO_REPEAT_F(FG_YIELD(NOW,-10AY,D))),0,1)-SUBARRAY(NOT_NA(NO_REPEAT_F(FG_YIELD(NOW,-10AY,D))),1,1))*100&lt;/Q&gt;&lt;R&gt;1&lt;/R&gt;&lt;C&gt;1&lt;/C&gt;&lt;D xsi:type="xsd:double"&gt;25&lt;/D&gt;&lt;/FQL&gt;&lt;FQL&gt;&lt;Q&gt;REFPL7D-FDS^PROPER_NAME(0,,,"SECURITY","NAME")&lt;/Q&gt;&lt;R&gt;1&lt;/R&gt;&lt;C&gt;1&lt;/C&gt;&lt;D xsi:type="xsd:string"&gt;Poland Reference Rate - 7 Day&lt;/D&gt;&lt;/FQL&gt;&lt;FQL&gt;&lt;Q&gt;TRYAE10Y-FDS^PCTCHG(FG_YIELD(0,,,,"YTM"),FG_YIELD(-3AM,,,,"YTM"))&lt;/Q&gt;&lt;R&gt;0&lt;/R&gt;&lt;C&gt;0&lt;/C&gt;&lt;/FQL&gt;&lt;FQL&gt;&lt;Q&gt;TRYBR10Y-FDS^PCTCHG(FG_YIELD(0,,,,"YTM"),FG_YIELD(-1AM,,,,"YTM"))&lt;/Q&gt;&lt;R&gt;1&lt;/R&gt;&lt;C&gt;1&lt;/C&gt;&lt;D xsi:type="xsd:double"&gt;1.3822771&lt;/D&gt;&lt;/FQL&gt;&lt;FQL&gt;&lt;Q&gt;TIPSCL10Y-FDS^PCTCHG(FG_YIELD(0,,,,"YTM"),FG_YIELD(-3AM,,,,"YTM"))&lt;/Q&gt;&lt;R&gt;1&lt;/R&gt;&lt;C&gt;1&lt;/C&gt;&lt;D xsi:type="xsd:double"&gt;5.1226315&lt;/D&gt;&lt;/FQL&gt;&lt;FQL&gt;&lt;Q&gt;TRYQA10Y-FDS^FG_YIELD_NAME&lt;/Q&gt;&lt;R&gt;1&lt;/R&gt;&lt;C&gt;1&lt;/C&gt;&lt;D xsi:type="xsd:string"&gt;Treasury - Qatar Benchmark Bond 10Y&lt;/D&gt;&lt;/FQL&gt;&lt;FQL&gt;&lt;Q&gt;TRYZA10Y-FDS^FG_YIELD(-10AY,0,Y,,"YTM")&lt;/Q&gt;&lt;R&gt;10&lt;/R&gt;&lt;C&gt;1&lt;/C&gt;&lt;D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xsi:type="xsd:double"&gt;11.358896&lt;/D&gt;&lt;/FQL&gt;&lt;FQL&gt;&lt;Q&gt;USDSAR^FG_PRICE_CHANGE(0,-6AM)&lt;/Q&gt;&lt;R&gt;1&lt;/R&gt;&lt;C&gt;1&lt;/C&gt;&lt;D xsi:type="xsd:double"&gt;-0.001335144&lt;/D&gt;&lt;/FQL&gt;&lt;FQL&gt;&lt;Q&gt;USDEUR^FG_PRICE_CHANGE(0,-6AM)&lt;/Q&gt;&lt;R&gt;1&lt;/R&gt;&lt;C&gt;1&lt;/C&gt;&lt;D xsi:type="xsd:double"&gt;0.77126026&lt;/D&gt;&lt;/FQL&gt;&lt;FQL&gt;&lt;Q&gt;USDPLN^STD(FG_PRICE_CHANGE(0,-1AY,AM))&lt;/Q&gt;&lt;R&gt;1&lt;/R&gt;&lt;C&gt;1&lt;/C&gt;&lt;D xsi:type="xsd:double"&gt;2.62181440128516&lt;/D&gt;&lt;/FQL&gt;&lt;FQL&gt;&lt;Q&gt;CC_SA^FG_COMPANY_NAME&lt;/Q&gt;&lt;R&gt;1&lt;/R&gt;&lt;C&gt;1&lt;/C&gt;&lt;D xsi:type="xsd:string"&gt;Saudi Arabia&lt;/D&gt;&lt;/FQL&gt;&lt;FQL&gt;&lt;Q&gt;CAGDPY@KR^EE_ACTUAL_ANNUAL(MED,+1)&lt;/Q&gt;&lt;R&gt;1&lt;/R&gt;&lt;C&gt;1&lt;/C&gt;&lt;D xsi:type="xsd:double"&gt;2.75&lt;/D&gt;&lt;/FQL&gt;&lt;FQL&gt;&lt;Q&gt;USDSAR^FG_PRICE_CHANGE(0,-3AM)&lt;/Q&gt;&lt;R&gt;1&lt;/R&gt;&lt;C&gt;1&lt;/C&gt;&lt;D xsi:type="xsd:double"&gt;0.001335144&lt;/D&gt;&lt;/FQL&gt;&lt;FQL&gt;&lt;Q&gt;USDEUR^FG_PRICE_CHANGE(0,-3AM)&lt;/Q&gt;&lt;R&gt;1&lt;/R&gt;&lt;C&gt;1&lt;/C&gt;&lt;D xsi:type="xsd:double"&gt;-0.04618168&lt;/D&gt;&lt;/FQL&gt;&lt;FQL&gt;&lt;Q&gt;USDPLN^FG_PRICE_CHANGE(0,-6AM)&lt;/Q&gt;&lt;R&gt;1&lt;/R&gt;&lt;C&gt;1&lt;/C&gt;&lt;D xsi:type="xsd:double"&gt;-1.7594635&lt;/D&gt;&lt;/FQL&gt;&lt;FQL&gt;&lt;Q&gt;EPU^FMA_DIV_YLD(NTMA,-10AY,0,AM,"PORTAGG","MEANR")&lt;/Q&gt;&lt;R&gt;121&lt;/R&gt;&lt;C&gt;1&lt;/C&gt;&lt;D xsi:type="xsd:double"&gt;2.3714664200625&lt;/D&gt;&lt;D xsi:type="xsd:double"&gt;2.19503855306672&lt;/D&gt;&lt;D xsi:type="xsd:double"&gt;2.15385394557582&lt;/D&gt;&lt;D xsi:type="xsd:double"&gt;2.1418065404239&lt;/D&gt;&lt;D xsi:type="xsd:double"&gt;2.19641521074128&lt;/D&gt;&lt;D xsi:type="xsd:double"&gt;2.30054987034681&lt;/D&gt;&lt;D xsi:type="xsd:double"&gt;2.18448524117998&lt;/D&gt;&lt;D xsi:type="xsd:double"&gt;2.1764319503067&lt;/D&gt;&lt;D xsi:type="xsd:double"&gt;2.2743139578586&lt;/D&gt;&lt;D xsi:type="xsd:double"&gt;2.21773733169683&lt;/D&gt;&lt;D xsi:type="xsd:double"&gt;2.32901111407489&lt;/D&gt;&lt;D xsi:type="xsd:double"&gt;2.23075429788402&lt;/D&gt;&lt;D xsi:type="xsd:double"&gt;1.82068512955091&lt;/D&gt;&lt;D xsi:type="xsd:double"&gt;1.98914945080036&lt;/D&gt;&lt;D xsi:type="xsd:double"&gt;2.07680676340965&lt;/D&gt;&lt;D xsi:type="xsd:double"&gt;2.42048964366886&lt;/D&gt;&lt;D xsi:type="xsd:double"&gt;2.58538932541128&lt;/D&gt;&lt;D xsi:type="xsd:double"&gt;2.51800095947289&lt;/D&gt;&lt;D xsi:type="xsd:double"&gt;2.42664822021453&lt;/D&gt;&lt;D xsi:type="xsd:double"&gt;2.49491130241136&lt;/D&gt;&lt;D xsi:type="xsd:double"&gt;2.88056309991135&lt;/D&gt;&lt;D xsi:type="xsd:double"&gt;2.41830157720405&lt;/D&gt;&lt;D xsi:type="xsd:double"&gt;2.11150011094668&lt;/D&gt;&lt;D xsi:type="xsd:double"&gt;1.93729472615966&lt;/D&gt;&lt;D xsi:type="xsd:double"&gt;1.76293397150619&lt;/D&gt;&lt;D xsi:type="xsd:double"&gt;1.77458364943276&lt;/D&gt;&lt;D xsi:type="xsd:double"&gt;1.70731374167674&lt;/D&gt;&lt;D xsi:type="xsd:double"&gt;1.45574968033491&lt;/D&gt;&lt;D xsi:type="xsd:double"&gt;1.52826060885298&lt;/D&gt;&lt;D xsi:type="xsd:double"&gt;1.5038808254457&lt;/D&gt;&lt;D xsi:type="xsd:double"&gt;1.93966861234496&lt;/D&gt;&lt;D xsi:type="xsd:double"&gt;2.31253645232679&lt;/D&gt;&lt;D xsi:type="xsd:double"&gt;2.15970863696778&lt;/D&gt;&lt;D xsi:type="xsd:double"&gt;1.99200272960364&lt;/D&gt;&lt;D xsi:type="xsd:double"&gt;2.10843702659508&lt;/D&gt;&lt;D xsi:type="xsd:double"&gt;2.12288428861933&lt;/D&gt;&lt;D xsi:type="xsd:double"&gt;2.24810257014158&lt;/D&gt;&lt;D xsi:type="xsd:double"&gt;2.24853044316926&lt;/D&gt;&lt;D xsi:type="xsd:double"&gt;2.28171289599248&lt;/D&gt;&lt;D xsi:type="xsd:double"&gt;2.07845333508109&lt;/D&gt;&lt;D xsi:type="xsd:double"&gt;2.26072235093614&lt;/D&gt;&lt;D xsi:type="xsd:double"&gt;2.29919268229508&lt;/D&gt;&lt;D xsi:type="xsd:double"&gt;2.65366097170324&lt;/D&gt;&lt;D xsi:type="xsd:double"&gt;2.76889752684158&lt;/D&gt;&lt;D xsi:type="xsd:double"&gt;2.55457310288273&lt;/D&gt;&lt;D xsi:type="xsd:double"&gt;2.35557651613463&lt;/D&gt;&lt;D xsi:type="xsd:double"&gt;2.23832984316253&lt;/D&gt;&lt;D xsi:type="xsd:double"&gt;2.11186915991005&lt;/D&gt;&lt;D xsi:type="xsd:double"&gt;4.63799461545092&lt;/D&gt;&lt;D xsi:type="xsd:double"&gt;2.00960276524124&lt;/D&gt;&lt;D xsi:type="xsd:double"&gt;2.10541532105567&lt;/D&gt;&lt;D xsi:type="xsd:double"&gt;2.46119212422621&lt;/D&gt;&lt;D xsi:type="xsd:double"&gt;2.2939148809027&lt;/D&gt;&lt;D xsi:type="xsd:double"&gt;2.54590951751801&lt;/D&gt;&lt;D xsi:type="xsd:double"&gt;2.33134995661479&lt;/D&gt;&lt;D xsi:type="xsd:double"&gt;2.4020507530222&lt;/D&gt;&lt;D xsi:type="xsd:double"&gt;2.37913352998701&lt;/D&gt;&lt;D xsi:type="xsd:double"&gt;2.1606402598265&lt;/D&gt;&lt;D xsi:type="xsd:double"&gt;2.23175364362212&lt;/D&gt;&lt;D xsi:type="xsd:double"&gt;2.40365104608927&lt;/D&gt;&lt;D xsi:type="xsd:double"&gt;2.78772113883828&lt;/D&gt;&lt;D xsi:type="xsd:double"&gt;2.65335422168751&lt;/D&gt;&lt;D xsi:type="xsd:double"&gt;2.66956057838021&lt;/D&gt;&lt;D xsi:type="xsd:double"&gt;2.98770418737609&lt;/D&gt;&lt;D xsi:type="xsd:double"&gt;2.97898456404565&lt;/D&gt;&lt;D xsi:type="xsd:double"&gt;3.04863199269067&lt;/D&gt;&lt;D xsi:type="xsd:double"&gt;2.95143016065873&lt;/D&gt;&lt;D xsi:type="xsd:double"&gt;2.63884777512577&lt;/D&gt;&lt;D xsi:type="xsd:double"&gt;2.64490031390592&lt;/D&gt;&lt;D xsi:type="xsd:double"&gt;2.94874537547338&lt;/D&gt;&lt;D xsi:type="xsd:double"&gt;4.84992225355292&lt;/D&gt;&lt;D xsi:type="xsd:double"&gt;3.58758759079371&lt;/D&gt;&lt;D xsi:type="xsd:double"&gt;3.19213881459427&lt;/D&gt;&lt;D xsi:type="xsd:double"&gt;3.09694790989496&lt;/D&gt;&lt;D xsi:type="xsd:double"&gt;2.86798367733345&lt;/D&gt;&lt;D xsi:type="xsd:double"&gt;2.53653552909206&lt;/D&gt;&lt;D xsi:type="xsd:double"&gt;2.75334573176859&lt;/D&gt;&lt;D xsi:type="xsd:double"&gt;2.51621638903032&lt;/D&gt;&lt;D xsi:type="xsd:double"&gt;2.08943529681973&lt;/D&gt;&lt;D xsi:type="xsd:double"&gt;1.70120755981724&lt;/D&gt;&lt;D xsi:type="xsd:double"&gt;1.75590524119026&lt;/D&gt;&lt;D xsi:type="xsd:double"&gt;1.68043251015628&lt;/D&gt;&lt;D xsi:type="xsd:double"&gt;2.12562148484951&lt;/D&gt;&lt;D xsi:type="xsd:double"&gt;2.38866639158729&lt;/D&gt;&lt;D xsi:type="xsd:double"&gt;2.4149049660553&lt;/D&gt;&lt;D xsi:type="xsd:double"&gt;2.8784796485485&lt;/D&gt;&lt;D xsi:type="xsd:double"&gt;3.05036490839567&lt;/D&gt;&lt;D xsi:type="xsd:double"&gt;3.61749959703765&lt;/D&gt;&lt;D xsi:type="xsd:double"&gt;3.68875628134777&lt;/D&gt;&lt;D xsi:type="xsd:double"&gt;3.45758834712626&lt;/D&gt;&lt;D xsi:type="xsd:double"&gt;3.90099735885751&lt;/D&gt;&lt;D xsi:type="xsd:double"&gt;4.19005524628877&lt;/D&gt;&lt;D xsi:type="xsd:double"&gt;3.61122150137121&lt;/D&gt;&lt;D xsi:type="xsd:double"&gt;3.50184716182991&lt;/D&gt;&lt;D xsi:type="xsd:double"&gt;3.51385504157834&lt;/D&gt;&lt;D xsi:type="xsd:double"&gt;4.00738205095558&lt;/D&gt;&lt;D xsi:type="xsd:double"&gt;4.56769984756502&lt;/D&gt;&lt;D xsi:type="xsd:double"&gt;5.16805054079578&lt;/D&gt;&lt;D xsi:type="xsd:double"&gt;5.19770968511208&lt;/D&gt;&lt;D xsi:type="xsd:double"&gt;5.24908920127585&lt;/D&gt;&lt;D xsi:type="xsd:double"&gt;5.29508949626302&lt;/D&gt;&lt;D xsi:type="xsd:double"&gt;5.05699840758512&lt;/D&gt;&lt;D xsi:type="xsd:double"&gt;3.73493247948595&lt;/D&gt;&lt;D xsi:type="xsd:double"&gt;3.86129842025461&lt;/D&gt;&lt;D xsi:type="xsd:double"&gt;3.74354816112384&lt;/D&gt;&lt;D xsi:type="xsd:double"&gt;4.28575290613858&lt;/D&gt;&lt;D xsi:type="xsd:double"&gt;4.70003818485948&lt;/D&gt;&lt;D xsi:type="xsd:double"&gt;4.6710948966793&lt;/D&gt;&lt;D xsi:type="xsd:double"&gt;5.16692162249373&lt;/D&gt;&lt;D xsi:type="xsd:double"&gt;5.0683466347423&lt;/D&gt;&lt;D xsi:type="xsd:double"&gt;4.43413274286824&lt;/D&gt;&lt;D xsi:type="xsd:double"&gt;4.60385342229843&lt;/D&gt;&lt;D xsi:type="xsd:double"&gt;4.91316888985861&lt;/D&gt;&lt;D xsi:type="xsd:double"&gt;5.19745642437836&lt;/D&gt;&lt;D xsi:type="xsd:double"&gt;4.29048107221378&lt;/D&gt;&lt;D xsi:type="xsd:double"&gt;3.6393997939058&lt;/D&gt;&lt;D xsi:type="xsd:double"&gt;3.5259164781994&lt;/D&gt;&lt;D xsi:type="xsd:double"&gt;3.80586466818949&lt;/D&gt;&lt;D xsi:type="xsd:double"&gt;3.38675586909554&lt;/D&gt;&lt;D xsi:type="xsd:double"&gt;3.44682087717753&lt;/D&gt;&lt;D xsi:type="xsd:double"&gt;3.34085138797985&lt;/D&gt;&lt;/FQL&gt;&lt;FQL&gt;&lt;Q&gt;EWW^FMA_PE(NTMA,-10AY,0,AM,"PORTAGG","MEANR")&lt;/Q&gt;&lt;R&gt;121&lt;/R&gt;&lt;C&gt;1&lt;/C&gt;&lt;D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xsi:type="xsd:double"&gt;16.3905697613918&lt;/D&gt;&lt;D xsi:type="xsd:double"&gt;17.4355824974771&lt;/D&gt;&lt;D xsi:type="xsd:double"&gt;18.5340563044187&lt;/D&gt;&lt;D xsi:type="xsd:double"&gt;19.5008745897367&lt;/D&gt;&lt;D xsi:type="xsd:double"&gt;19.1409325051999&lt;/D&gt;&lt;D xsi:type="xsd:double"&gt;18.6645905702089&lt;/D&gt;&lt;D xsi:type="xsd:double"&gt;18.8183052541725&lt;/D&gt;&lt;D xsi:type="xsd:double"&gt;18.5678054334577&lt;/D&gt;&lt;D xsi:type="xsd:double"&gt;17.9412428379478&lt;/D&gt;&lt;D xsi:type="xsd:double"&gt;18.2823970235697&lt;/D&gt;&lt;D xsi:type="xsd:double"&gt;16.5842263447738&lt;/D&gt;&lt;D xsi:type="xsd:double"&gt;16.0747288222427&lt;/D&gt;&lt;D xsi:type="xsd:double"&gt;16.35648543256&lt;/D&gt;&lt;D xsi:type="xsd:double"&gt;16.4258042621998&lt;/D&gt;&lt;D xsi:type="xsd:double"&gt;17.0736220315057&lt;/D&gt;&lt;D xsi:type="xsd:double"&gt;16.8705192837943&lt;/D&gt;&lt;D xsi:type="xsd:double"&gt;16.4935920362008&lt;/D&gt;&lt;D xsi:type="xsd:double"&gt;16.4415735674003&lt;/D&gt;&lt;D xsi:type="xsd:double"&gt;17.2592589657713&lt;/D&gt;&lt;D xsi:type="xsd:double"&gt;17.2220493277002&lt;/D&gt;&lt;D xsi:type="xsd:double"&gt;16.8447752884774&lt;/D&gt;&lt;D xsi:type="xsd:double"&gt;16.1409241060121&lt;/D&gt;&lt;D xsi:type="xsd:double"&gt;15.822428245884&lt;/D&gt;&lt;D xsi:type="xsd:double"&gt;15.6902300167327&lt;/D&gt;&lt;D xsi:type="xsd:double"&gt;16.2095446253048&lt;/D&gt;&lt;D xsi:type="xsd:double"&gt;15.7346940806597&lt;/D&gt;&lt;D xsi:type="xsd:double"&gt;15.0159597117035&lt;/D&gt;&lt;D xsi:type="xsd:double"&gt;15.5715120948711&lt;/D&gt;&lt;D xsi:type="xsd:double"&gt;14.5087228470415&lt;/D&gt;&lt;D xsi:type="xsd:double"&gt;14.8076533039697&lt;/D&gt;&lt;D xsi:type="xsd:double"&gt;15.4839539549971&lt;/D&gt;&lt;D xsi:type="xsd:double"&gt;15.3294654401582&lt;/D&gt;&lt;D xsi:type="xsd:double"&gt;15.0534424998048&lt;/D&gt;&lt;D xsi:type="xsd:double"&gt;13.9504784938226&lt;/D&gt;&lt;D xsi:type="xsd:double"&gt;12.250140992589&lt;/D&gt;&lt;D xsi:type="xsd:double"&gt;12.4070160358187&lt;/D&gt;&lt;D xsi:type="xsd:double"&gt;13.1143495354203&lt;/D&gt;&lt;D xsi:type="xsd:double"&gt;13.1441965922027&lt;/D&gt;&lt;D xsi:type="xsd:double"&gt;12.812960271461&lt;/D&gt;&lt;D xsi:type="xsd:double"&gt;13.6254534768892&lt;/D&gt;&lt;D xsi:type="xsd:double"&gt;12.8489404120343&lt;/D&gt;&lt;D xsi:type="xsd:double"&gt;13.0638786598471&lt;/D&gt;&lt;D xsi:type="xsd:double"&gt;12.4564131679889&lt;/D&gt;&lt;D xsi:type="xsd:double"&gt;12.3265186895993&lt;/D&gt;&lt;D xsi:type="xsd:double"&gt;13.5564196551268&lt;/D&gt;&lt;D xsi:type="xsd:double"&gt;13.7780618732621&lt;/D&gt;&lt;D xsi:type="xsd:double"&gt;13.7717620295924&lt;/D&gt;&lt;D xsi:type="xsd:double"&gt;14.0565481612606&lt;/D&gt;&lt;D xsi:type="xsd:double"&gt;14.5000649940591&lt;/D&gt;&lt;D xsi:type="xsd:double"&gt;14.2209141119998&lt;/D&gt;&lt;D xsi:type="xsd:double"&gt;9.85948845739642&lt;/D&gt;&lt;D xsi:type="xsd:double"&gt;11.8297226499895&lt;/D&gt;&lt;D xsi:type="xsd:double"&gt;14.6154443735492&lt;/D&gt;&lt;D xsi:type="xsd:double"&gt;17.3249391061113&lt;/D&gt;&lt;D xsi:type="xsd:double"&gt;16.9572581406423&lt;/D&gt;&lt;D xsi:type="xsd:double"&gt;17.1048584954919&lt;/D&gt;&lt;D xsi:type="xsd:double"&gt;14.8628256306308&lt;/D&gt;&lt;D xsi:type="xsd:double"&gt;15.1061659983291&lt;/D&gt;&lt;D xsi:type="xsd:double"&gt;15.446698311399&lt;/D&gt;&lt;D xsi:type="xsd:double"&gt;15.0520880961697&lt;/D&gt;&lt;D xsi:type="xsd:double"&gt;14.7931834628062&lt;/D&gt;&lt;D xsi:type="xsd:double"&gt;14.4143068188426&lt;/D&gt;&lt;D xsi:type="xsd:double"&gt;14.6888675614227&lt;/D&gt;&lt;D xsi:type="xsd:double"&gt;15.1970826459823&lt;/D&gt;&lt;D xsi:type="xsd:double"&gt;14.9805066187321&lt;/D&gt;&lt;D xsi:type="xsd:double"&gt;14.9464024129406&lt;/D&gt;&lt;D xsi:type="xsd:double"&gt;14.3645948587993&lt;/D&gt;&lt;D xsi:type="xsd:double"&gt;14.5612590801976&lt;/D&gt;&lt;D xsi:type="xsd:double"&gt;14.0476942154789&lt;/D&gt;&lt;D xsi:type="xsd:double"&gt;13.9414058913321&lt;/D&gt;&lt;D xsi:type="xsd:double"&gt;13.2912560984059&lt;/D&gt;&lt;D xsi:type="xsd:double"&gt;13.7680073519074&lt;/D&gt;&lt;D xsi:type="xsd:double"&gt;13.4265443356229&lt;/D&gt;&lt;D xsi:type="xsd:double"&gt;13.1886371895011&lt;/D&gt;&lt;D xsi:type="xsd:double"&gt;13.9135657999829&lt;/D&gt;&lt;D xsi:type="xsd:double"&gt;13.3474477369682&lt;/D&gt;&lt;D xsi:type="xsd:double"&gt;12.5635160391795&lt;/D&gt;&lt;D xsi:type="xsd:double"&gt;11.4556196063283&lt;/D&gt;&lt;D xsi:type="xsd:double"&gt;11.5518971620286&lt;/D&gt;&lt;D xsi:type="xsd:double"&gt;11.6484840042141&lt;/D&gt;&lt;D xsi:type="xsd:double"&gt;11.2254149311438&lt;/D&gt;&lt;D xsi:type="xsd:double"&gt;11.6501340174593&lt;/D&gt;&lt;D xsi:type="xsd:double"&gt;12.7117465252261&lt;/D&gt;&lt;D xsi:type="xsd:double"&gt;12.212078016183&lt;/D&gt;&lt;D xsi:type="xsd:double"&gt;13.0049963394227&lt;/D&gt;&lt;D xsi:type="xsd:double"&gt;12.6507745605129&lt;/D&gt;&lt;D xsi:type="xsd:double"&gt;12.4593604329747&lt;/D&gt;&lt;D xsi:type="xsd:double"&gt;12.5103734695812&lt;/D&gt;&lt;D xsi:type="xsd:double"&gt;11.9520287175756&lt;/D&gt;&lt;D xsi:type="xsd:double"&gt;11.670883166896&lt;/D&gt;&lt;D xsi:type="xsd:double"&gt;11.85950624598&lt;/D&gt;&lt;D xsi:type="xsd:double"&gt;11.8028157547482&lt;/D&gt;&lt;D xsi:type="xsd:double"&gt;11.5237266290903&lt;/D&gt;&lt;D xsi:type="xsd:double"&gt;10.8602215517052&lt;/D&gt;&lt;D xsi:type="xsd:double"&gt;11.9746951610637&lt;/D&gt;&lt;D xsi:type="xsd:double"&gt;12.9491638996742&lt;/D&gt;&lt;D xsi:type="xsd:double"&gt;12.4610789161701&lt;/D&gt;&lt;D xsi:type="xsd:double"&gt;12.7221721490236&lt;/D&gt;&lt;D xsi:type="xsd:double"&gt;12.5393644022284&lt;/D&gt;&lt;D xsi:type="xsd:double"&gt;12.5185324231851&lt;/D&gt;&lt;D xsi:type="xsd:double"&gt;12.5510819051596&lt;/D&gt;&lt;/FQL&gt;&lt;FQL&gt;&lt;Q&gt;NI-FDS^FG_PRICE_CHANGE(0,-3AM)&lt;/Q&gt;&lt;R&gt;1&lt;/R&gt;&lt;C&gt;1&lt;/C&gt;&lt;D xsi:type="xsd:double"&gt;15.2502910360885&lt;/D&gt;&lt;/FQL&gt;&lt;FQL&gt;&lt;Q&gt;CPALM-FDS^FG_PRICE(0)&lt;/Q&gt;&lt;R&gt;1&lt;/R&gt;&lt;C&gt;1&lt;/C&gt;&lt;D xsi:type="xsd:double"&gt;3853&lt;/D&gt;&lt;/FQL&gt;&lt;FQL&gt;&lt;Q&gt;FC0000KR^FG_PRICE(0)&lt;/Q&gt;&lt;R&gt;1&lt;/R&gt;&lt;C&gt;1&lt;/C&gt;&lt;D xsi:type="xsd:double"&gt;470.14987&lt;/D&gt;&lt;/FQL&gt;&lt;FQL&gt;&lt;Q&gt;KSA^FG_PRICE_MAVG(0,,,,200)&lt;/Q&gt;&lt;R&gt;1&lt;/R&gt;&lt;C&gt;1&lt;/C&gt;&lt;D xsi:type="xsd:double"&gt;41.51105&lt;/D&gt;&lt;/FQL&gt;&lt;FQL&gt;&lt;Q&gt;EZA^FG_PRICE_MAVG(0,,,,60)&lt;/Q&gt;&lt;R&gt;1&lt;/R&gt;&lt;C&gt;1&lt;/C&gt;&lt;D xsi:type="xsd:double"&gt;40.024666&lt;/D&gt;&lt;/FQL&gt;&lt;FQL&gt;&lt;Q&gt;EWT^FG_PRICE(0)&lt;/Q&gt;&lt;R&gt;1&lt;/R&gt;&lt;C&gt;1&lt;/C&gt;&lt;D xsi:type="xsd:double"&gt;51.04&lt;/D&gt;&lt;/FQL&gt;&lt;FQL&gt;&lt;Q&gt;EIDO^FG_PRICE_MAVG(0,,,,60)&lt;/Q&gt;&lt;R&gt;1&lt;/R&gt;&lt;C&gt;1&lt;/C&gt;&lt;D xsi:type="xsd:double"&gt;21.6305&lt;/D&gt;&lt;/FQL&gt;&lt;FQL&gt;&lt;Q&gt;KSA^PERCENT_CHANGE(FMA_EPS(+1,0,,,,"PORTAGG","MEAN"),FMA_EPS(+1,-1AM,,,,"PORTAGG","MEAN"))&lt;/Q&gt;&lt;R&gt;1&lt;/R&gt;&lt;C&gt;1&lt;/C&gt;&lt;D xsi:type="xsd:double"&gt;0.313857812687594&lt;/D&gt;&lt;/FQL&gt;&lt;FQL&gt;&lt;Q&gt;UAE^FMA_PCT_ABOVE_MAVG(200,0,,,,"PORTAGG")&lt;/Q&gt;&lt;R&gt;1&lt;/R&gt;&lt;C&gt;1&lt;/C&gt;&lt;D xsi:type="xsd:double"&gt;27.027027027027&lt;/D&gt;&lt;/FQL&gt;&lt;FQL&gt;&lt;Q&gt;QAT^FG_TOTAL_RETURNC(0,-12AM)&lt;/Q&gt;&lt;R&gt;1&lt;/R&gt;&lt;C&gt;1&lt;/C&gt;&lt;D xsi:type="xsd:double"&gt;-9.010422&lt;/D&gt;&lt;/FQL&gt;&lt;FQL&gt;&lt;Q&gt;INDA^FG_TOTAL_RETURNC(0,-12AM)&lt;/Q&gt;&lt;R&gt;1&lt;/R&gt;&lt;C&gt;1&lt;/C&gt;&lt;D xsi:type="xsd:double"&gt;31.07655&lt;/D&gt;&lt;/FQL&gt;&lt;FQL&gt;&lt;Q&gt;EZA^FG_TOTAL_RETURNC(0,-12AM)&lt;/Q&gt;&lt;R&gt;1&lt;/R&gt;&lt;C&gt;1&lt;/C&gt;&lt;D xsi:type="xsd:double"&gt;13.382864&lt;/D&gt;&lt;/FQL&gt;&lt;FQL&gt;&lt;Q&gt;EWY^FG_TOTAL_RETURNC(0,-12AM)&lt;/Q&gt;&lt;R&gt;1&lt;/R&gt;&lt;C&gt;1&lt;/C&gt;&lt;D xsi:type="xsd:double"&gt;5.13376&lt;/D&gt;&lt;/FQL&gt;&lt;FQL&gt;&lt;Q&gt;EWT^FG_TOTAL_RETURNC(0,-12AM)&lt;/Q&gt;&lt;R&gt;1&lt;/R&gt;&lt;C&gt;1&lt;/C&gt;&lt;D xsi:type="xsd:double"&gt;27.998734&lt;/D&gt;&lt;/FQL&gt;&lt;FQL&gt;&lt;Q&gt;EPOL^FMA_PCT_ABOVE_MAVG(200,0,,,,"PORTAGG")&lt;/Q&gt;&lt;R&gt;1&lt;/R&gt;&lt;C&gt;1&lt;/C&gt;&lt;D xsi:type="xsd:double"&gt;75.7575757575758&lt;/D&gt;&lt;/FQL&gt;&lt;FQL&gt;&lt;Q&gt;ECH^FG_TOTAL_RETURNC(0,-12AM)&lt;/Q&gt;&lt;R&gt;1&lt;/R&gt;&lt;C&gt;1&lt;/C&gt;&lt;D xsi:type="xsd:double"&gt;1.5075445&lt;/D&gt;&lt;/FQL&gt;&lt;FQL&gt;&lt;Q&gt;TRYPH10Y-FDS^FG_YIELD(-10AY,0,Y,,"YTM")&lt;/Q&gt;&lt;R&gt;10&lt;/R&gt;&lt;C&gt;1&lt;/C&gt;&lt;D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xsi:type="xsd:double"&gt;6.0028777&lt;/D&gt;&lt;/FQL&gt;&lt;FQL&gt;&lt;Q&gt;USDTRY^STD(FG_PRICE_CHANGE(0,-3AY,M))&lt;/Q&gt;&lt;R&gt;1&lt;/R&gt;&lt;C&gt;1&lt;/C&gt;&lt;D xsi:type="xsd:double"&gt;7.54335755075275&lt;/D&gt;&lt;/FQL&gt;&lt;FQL&gt;&lt;Q&gt;USDKRW^STD(FG_PRICE_CHANGE(0,-3AY,M))&lt;/Q&gt;&lt;R&gt;1&lt;/R&gt;&lt;C&gt;1&lt;/C&gt;&lt;D xsi:type="xsd:double"&gt;3.00753693864682&lt;/D&gt;&lt;/FQL&gt;&lt;FQL&gt;&lt;Q&gt;USDTWD^FG_PRICE_CHANGE(0,-1AM)&lt;/Q&gt;&lt;R&gt;1&lt;/R&gt;&lt;C&gt;1&lt;/C&gt;&lt;D xsi:type="xsd:double"&gt;-1.1516452&lt;/D&gt;&lt;/FQL&gt;&lt;FQL&gt;&lt;Q&gt;FC0000AE^FMA_EPS(NTMA,-20AY,0,CY,,"PORTAGG","MEANR")&lt;/Q&gt;&lt;R&gt;20&lt;/R&gt;&lt;C&gt;1&lt;/C&gt;&lt;D xsi:type="xsd:string"&gt;@NA&lt;/D&gt;&lt;D xsi:type="xsd:string"&gt;@NA&lt;/D&gt;&lt;D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xsi:type="xsd:double"&gt;7.02066550038881&lt;/D&gt;&lt;D xsi:type="xsd:double"&gt;5.12773396645605&lt;/D&gt;&lt;D xsi:type="xsd:double"&gt;7.54796836254382&lt;/D&gt;&lt;D xsi:type="xsd:double"&gt;11.3918613623253&lt;/D&gt;&lt;D xsi:type="xsd:double"&gt;11.0560462161177&lt;/D&gt;&lt;/FQL&gt;&lt;FQL&gt;&lt;Q&gt;UAE^P_PRICE_RETURNS_PR('52W',2,-10AY,0,AM)&lt;/Q&gt;&lt;R&gt;121&lt;/R&gt;&lt;C&gt;1&lt;/C&gt;&lt;D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xsi:type="xsd:double"&gt;-12.311297&lt;/D&gt;&lt;D xsi:type="xsd:double"&gt;-3.6572635&lt;/D&gt;&lt;D xsi:type="xsd:double"&gt;-5.822289&lt;/D&gt;&lt;D xsi:type="xsd:double"&gt;-24.486626&lt;/D&gt;&lt;D xsi:type="xsd:double"&gt;-23.844206&lt;/D&gt;&lt;D xsi:type="xsd:double"&gt;-15.171492&lt;/D&gt;&lt;D xsi:type="xsd:double"&gt;-27.750868&lt;/D&gt;&lt;D xsi:type="xsd:double"&gt;-14.041525&lt;/D&gt;&lt;D xsi:type="xsd:double"&gt;-25.407345&lt;/D&gt;&lt;D xsi:type="xsd:double"&gt;-17.82406&lt;/D&gt;&lt;D xsi:type="xsd:double"&gt;-7.657689&lt;/D&gt;&lt;D xsi:type="xsd:double"&gt;-13.820261&lt;/D&gt;&lt;D xsi:type="xsd:double"&gt;-20.610111&lt;/D&gt;&lt;D xsi:type="xsd:double"&gt;-14.002657&lt;/D&gt;&lt;D xsi:type="xsd:double"&gt;-12.008608&lt;/D&gt;&lt;D xsi:type="xsd:double"&gt;1.8974304&lt;/D&gt;&lt;D xsi:type="xsd:double"&gt;-0.663501&lt;/D&gt;&lt;D xsi:type="xsd:double"&gt;-5.4722843&lt;/D&gt;&lt;D xsi:type="xsd:double"&gt;3.597188&lt;/D&gt;&lt;D xsi:type="xsd:double"&gt;12.407457&lt;/D&gt;&lt;D xsi:type="xsd:double"&gt;31.387043&lt;/D&gt;&lt;D xsi:type="xsd:double"&gt;15.390694&lt;/D&gt;&lt;D xsi:type="xsd:double"&gt;7.2402596&lt;/D&gt;&lt;D xsi:type="xsd:double"&gt;1.0061264&lt;/D&gt;&lt;D xsi:type="xsd:double"&gt;12.931335&lt;/D&gt;&lt;D xsi:type="xsd:double"&gt;4.8629403&lt;/D&gt;&lt;D xsi:type="xsd:double"&gt;5.5217147&lt;/D&gt;&lt;D xsi:type="xsd:double"&gt;7.0723653&lt;/D&gt;&lt;D xsi:type="xsd:double"&gt;7.3613763&lt;/D&gt;&lt;D xsi:type="xsd:double"&gt;12.266564&lt;/D&gt;&lt;D xsi:type="xsd:double"&gt;10.372353&lt;/D&gt;&lt;D xsi:type="xsd:double"&gt;3.4203887&lt;/D&gt;&lt;D xsi:type="xsd:double"&gt;5.35326&lt;/D&gt;&lt;D xsi:type="xsd:double"&gt;2.1584153&lt;/D&gt;&lt;D xsi:type="xsd:double"&gt;0.40299892&lt;/D&gt;&lt;D xsi:type="xsd:double"&gt;0.38263798&lt;/D&gt;&lt;D xsi:type="xsd:double"&gt;-1.4380395&lt;/D&gt;&lt;D xsi:type="xsd:double"&gt;-3.1784654&lt;/D&gt;&lt;D xsi:type="xsd:double"&gt;-6.810808&lt;/D&gt;&lt;D xsi:type="xsd:double"&gt;-7.1938396&lt;/D&gt;&lt;D xsi:type="xsd:double"&gt;-8.70018&lt;/D&gt;&lt;D xsi:type="xsd:double"&gt;-11.169767&lt;/D&gt;&lt;D xsi:type="xsd:double"&gt;-6.7670584&lt;/D&gt;&lt;D xsi:type="xsd:double"&gt;-12.949806&lt;/D&gt;&lt;D xsi:type="xsd:double"&gt;-18.400723&lt;/D&gt;&lt;D xsi:type="xsd:double"&gt;-11.017693&lt;/D&gt;&lt;D xsi:type="xsd:double"&gt;-8.079839&lt;/D&gt;&lt;D xsi:type="xsd:double"&gt;-0.27275085&lt;/D&gt;&lt;D xsi:type="xsd:double"&gt;-13.058639&lt;/D&gt;&lt;D xsi:type="xsd:double"&gt;-9.546894&lt;/D&gt;&lt;D xsi:type="xsd:double"&gt;-3.8125992&lt;/D&gt;&lt;D xsi:type="xsd:double"&gt;-9.11476&lt;/D&gt;&lt;D xsi:type="xsd:double"&gt;-5.7001534&lt;/D&gt;&lt;D xsi:type="xsd:double"&gt;-0.24636388&lt;/D&gt;&lt;D xsi:type="xsd:double"&gt;-5.013156&lt;/D&gt;&lt;D xsi:type="xsd:double"&gt;0.97848177&lt;/D&gt;&lt;D xsi:type="xsd:double"&gt;1.2312174&lt;/D&gt;&lt;D xsi:type="xsd:double"&gt;-7.125801&lt;/D&gt;&lt;D xsi:type="xsd:double"&gt;-36.97261&lt;/D&gt;&lt;D xsi:type="xsd:double"&gt;-34.48506&lt;/D&gt;&lt;D xsi:type="xsd:double"&gt;-22.835558&lt;/D&gt;&lt;D xsi:type="xsd:double"&gt;-19.534142&lt;/D&gt;&lt;D xsi:type="xsd:double"&gt;-25.805813&lt;/D&gt;&lt;D xsi:type="xsd:double"&gt;-16.737253&lt;/D&gt;&lt;D xsi:type="xsd:double"&gt;-18.963926&lt;/D&gt;&lt;D xsi:type="xsd:double"&gt;-22.3701&lt;/D&gt;&lt;D xsi:type="xsd:double"&gt;-12.676257&lt;/D&gt;&lt;D xsi:type="xsd:double"&gt;-5.1078377&lt;/D&gt;&lt;D xsi:type="xsd:double"&gt;1.2559295&lt;/D&gt;&lt;D xsi:type="xsd:double"&gt;6.5447927&lt;/D&gt;&lt;D xsi:type="xsd:double"&gt;58.204426&lt;/D&gt;&lt;D xsi:type="xsd:double"&gt;44.05415&lt;/D&gt;&lt;D xsi:type="xsd:double"&gt;50.08886&lt;/D&gt;&lt;D xsi:type="xsd:double"&gt;43.65226&lt;/D&gt;&lt;D xsi:type="xsd:double"&gt;41.987263&lt;/D&gt;&lt;D xsi:type="xsd:double"&gt;41.113197&lt;/D&gt;&lt;D xsi:type="xsd:double"&gt;45.530666&lt;/D&gt;&lt;D xsi:type="xsd:double"&gt;44.07605&lt;/D&gt;&lt;D xsi:type="xsd:double"&gt;52.154423&lt;/D&gt;&lt;D xsi:type="xsd:double"&gt;41.28367&lt;/D&gt;&lt;D xsi:type="xsd:double"&gt;31.638193&lt;/D&gt;&lt;D xsi:type="xsd:double"&gt;37.164425&lt;/D&gt;&lt;D xsi:type="xsd:double"&gt;47.434128&lt;/D&gt;&lt;D xsi:type="xsd:double"&gt;47.1351&lt;/D&gt;&lt;D xsi:type="xsd:double"&gt;21.485233&lt;/D&gt;&lt;D xsi:type="xsd:double"&gt;11.625635&lt;/D&gt;&lt;D xsi:type="xsd:double"&gt;20.97094&lt;/D&gt;&lt;D xsi:type="xsd:double"&gt;15.521145&lt;/D&gt;&lt;D xsi:type="xsd:double"&gt;9.795976&lt;/D&gt;&lt;D xsi:type="xsd:double"&gt;9.159815&lt;/D&gt;&lt;D xsi:type="xsd:double"&gt;-2.1820843&lt;/D&gt;&lt;D xsi:type="xsd:double"&gt;-3.7961423&lt;/D&gt;&lt;D xsi:type="xsd:double"&gt;-7.1050224&lt;/D&gt;&lt;D xsi:type="xsd:double"&gt;-11.650335&lt;/D&gt;&lt;D xsi:type="xsd:double"&gt;-22.465199&lt;/D&gt;&lt;D xsi:type="xsd:double"&gt;-17.799265&lt;/D&gt;&lt;D xsi:type="xsd:double"&gt;-10.496992&lt;/D&gt;&lt;D xsi:type="xsd:double"&gt;-1.5009165&lt;/D&gt;&lt;D xsi:type="xsd:double"&gt;-5.5277405&lt;/D&gt;&lt;D xsi:type="xsd:double"&gt;-5.1750183&lt;/D&gt;&lt;D xsi:type="xsd:double"&gt;0.23828745&lt;/D&gt;&lt;D xsi:type="xsd:double"&gt;-10.320515&lt;/D&gt;&lt;D xsi:type="xsd:double"&gt;-2.7551115&lt;/D&gt;&lt;D xsi:type="xsd:double"&gt;-0.42934418&lt;/D&gt;&lt;D xsi:type="xsd:double"&gt;2.9821277&lt;/D&gt;&lt;D xsi:type="xsd:double"&gt;2.75594&lt;/D&gt;&lt;D xsi:type="xsd:double"&gt;9.306812&lt;/D&gt;&lt;D xsi:type="xsd:double"&gt;-1.4357865&lt;/D&gt;&lt;D xsi:type="xsd:double"&gt;-0.92445016&lt;/D&gt;&lt;/FQL&gt;&lt;FQL&gt;&lt;Q&gt;ECH^JULIAN(P_PRICE_RETURNS_PR('52W',2,-10AY,0,AM).DATES)&lt;/Q&gt;&lt;R&gt;121&lt;/R&gt;&lt;C&gt;1&lt;/C&gt;&lt;D xsi:type="xsd:long"&gt;41782&lt;/D&gt;&lt;D xsi:type="xsd:long"&gt;41813&lt;/D&gt;&lt;D xsi:type="xsd:long"&gt;41843&lt;/D&gt;&lt;D xsi:type="xsd:long"&gt;41873&lt;/D&gt;&lt;D xsi:type="xsd:long"&gt;41905&lt;/D&gt;&lt;D xsi:type="xsd:long"&gt;41935&lt;/D&gt;&lt;D xsi:type="xsd:long"&gt;41964&lt;/D&gt;&lt;D xsi:type="xsd:long"&gt;41996&lt;/D&gt;&lt;D xsi:type="xsd:long"&gt;42027&lt;/D&gt;&lt;D xsi:type="xsd:long"&gt;42058&lt;/D&gt;&lt;D xsi:type="xsd:long"&gt;42086&lt;/D&gt;&lt;D xsi:type="xsd:long"&gt;42117&lt;/D&gt;&lt;D xsi:type="xsd:long"&gt;42146&lt;/D&gt;&lt;D xsi:type="xsd:long"&gt;42178&lt;/D&gt;&lt;D xsi:type="xsd:long"&gt;42208&lt;/D&gt;&lt;D xsi:type="xsd:long"&gt;42237&lt;/D&gt;&lt;D xsi:type="xsd:long"&gt;42270&lt;/D&gt;&lt;D xsi:type="xsd:long"&gt;42300&lt;/D&gt;&lt;D xsi:type="xsd:long"&gt;42331&lt;/D&gt;&lt;D xsi:type="xsd:long"&gt;42361&lt;/D&gt;&lt;D xsi:type="xsd:long"&gt;42391&lt;/D&gt;&lt;D xsi:type="xsd:long"&gt;42423&lt;/D&gt;&lt;D xsi:type="xsd:long"&gt;42452&lt;/D&gt;&lt;D xsi:type="xsd:long"&gt;42482&lt;/D&gt;&lt;D xsi:type="xsd:long"&gt;42513&lt;/D&gt;&lt;D xsi:type="xsd:long"&gt;42544&lt;/D&gt;&lt;D xsi:type="xsd:long"&gt;42573&lt;/D&gt;&lt;D xsi:type="xsd:long"&gt;42605&lt;/D&gt;&lt;D xsi:type="xsd:long"&gt;42636&lt;/D&gt;&lt;D xsi:type="xsd:long"&gt;42664&lt;/D&gt;&lt;D xsi:type="xsd:long"&gt;42697&lt;/D&gt;&lt;D xsi:type="xsd:long"&gt;42727&lt;/D&gt;&lt;D xsi:type="xsd:long"&gt;42758&lt;/D&gt;&lt;D xsi:type="xsd:long"&gt;42789&lt;/D&gt;&lt;D xsi:type="xsd:long"&gt;42817&lt;/D&gt;&lt;D xsi:type="xsd:long"&gt;42846&lt;/D&gt;&lt;D xsi:type="xsd:long"&gt;42878&lt;/D&gt;&lt;D xsi:type="xsd:long"&gt;42909&lt;/D&gt;&lt;D xsi:type="xsd:long"&gt;42937&lt;/D&gt;&lt;D xsi:type="xsd:long"&gt;42970&lt;/D&gt;&lt;D xsi:type="xsd:long"&gt;43000&lt;/D&gt;&lt;D xsi:type="xsd:long"&gt;43031&lt;/D&gt;&lt;D xsi:type="xsd:long"&gt;43061&lt;/D&gt;&lt;D xsi:type="xsd:long"&gt;43091&lt;/D&gt;&lt;D xsi:type="xsd:long"&gt;43123&lt;/D&gt;&lt;D xsi:type="xsd:long"&gt;43154&lt;/D&gt;&lt;D xsi:type="xsd:long"&gt;43182&lt;/D&gt;&lt;D xsi:type="xsd:long"&gt;43213&lt;/D&gt;&lt;D xsi:type="xsd:long"&gt;43243&lt;/D&gt;&lt;D xsi:type="xsd:long"&gt;43273&lt;/D&gt;&lt;D xsi:type="xsd:long"&gt;43304&lt;/D&gt;&lt;D xsi:type="xsd:long"&gt;43335&lt;/D&gt;&lt;D xsi:type="xsd:long"&gt;43364&lt;/D&gt;&lt;D xsi:type="xsd:long"&gt;43396&lt;/D&gt;&lt;D xsi:type="xsd:long"&gt;43427&lt;/D&gt;&lt;D xsi:type="xsd:long"&gt;43455&lt;/D&gt;&lt;D xsi:type="xsd:long"&gt;43488&lt;/D&gt;&lt;D xsi:type="xsd:long"&gt;43518&lt;/D&gt;&lt;D xsi:type="xsd:long"&gt;43546&lt;/D&gt;&lt;D xsi:type="xsd:long"&gt;43578&lt;/D&gt;&lt;D xsi:type="xsd:long"&gt;43608&lt;/D&gt;&lt;D xsi:type="xsd:long"&gt;43637&lt;/D&gt;&lt;D xsi:type="xsd:long"&gt;43669&lt;/D&gt;&lt;D xsi:type="xsd:long"&gt;43700&lt;/D&gt;&lt;D xsi:type="xsd:long"&gt;43731&lt;/D&gt;&lt;D xsi:type="xsd:long"&gt;43761&lt;/D&gt;&lt;D xsi:type="xsd:long"&gt;43791&lt;/D&gt;&lt;D xsi:type="xsd:long"&gt;43822&lt;/D&gt;&lt;D xsi:type="xsd:long"&gt;43853&lt;/D&gt;&lt;D xsi:type="xsd:long"&gt;43882&lt;/D&gt;&lt;D xsi:type="xsd:long"&gt;43913&lt;/D&gt;&lt;D xsi:type="xsd:long"&gt;43944&lt;/D&gt;&lt;D xsi:type="xsd:long"&gt;43973&lt;/D&gt;&lt;D xsi:type="xsd:long"&gt;44005&lt;/D&gt;&lt;D xsi:type="xsd:long"&gt;44035&lt;/D&gt;&lt;D xsi:type="xsd:long"&gt;44064&lt;/D&gt;&lt;D xsi:type="xsd:long"&gt;44097&lt;/D&gt;&lt;D xsi:type="xsd:long"&gt;44127&lt;/D&gt;&lt;D xsi:type="xsd:long"&gt;44158&lt;/D&gt;&lt;D xsi:type="xsd:long"&gt;44188&lt;/D&gt;&lt;D xsi:type="xsd:long"&gt;44218&lt;/D&gt;&lt;D xsi:type="xsd:long"&gt;44250&lt;/D&gt;&lt;D xsi:type="xsd:long"&gt;44278&lt;/D&gt;&lt;D xsi:type="xsd:long"&gt;44309&lt;/D&gt;&lt;D xsi:type="xsd:long"&gt;44337&lt;/D&gt;&lt;D xsi:type="xsd:long"&gt;44370&lt;/D&gt;&lt;D xsi:type="xsd:long"&gt;44400&lt;/D&gt;&lt;D xsi:type="xsd:long"&gt;44431&lt;/D&gt;&lt;D xsi:type="xsd:long"&gt;44462&lt;/D&gt;&lt;D xsi:type="xsd:long"&gt;44491&lt;/D&gt;&lt;D xsi:type="xsd:long"&gt;44523&lt;/D&gt;&lt;D xsi:type="xsd:long"&gt;44553&lt;/D&gt;&lt;D xsi:type="xsd:long"&gt;44582&lt;/D&gt;&lt;D xsi:type="xsd:long"&gt;44615&lt;/D&gt;&lt;D xsi:type="xsd:long"&gt;44643&lt;/D&gt;&lt;D xsi:type="xsd:long"&gt;44673&lt;/D&gt;&lt;D xsi:type="xsd:long"&gt;44704&lt;/D&gt;&lt;D xsi:type="xsd:long"&gt;44735&lt;/D&gt;&lt;D xsi:type="xsd:long"&gt;44764&lt;/D&gt;&lt;D xsi:type="xsd:long"&gt;44796&lt;/D&gt;&lt;D xsi:type="xsd:long"&gt;44827&lt;/D&gt;&lt;D xsi:type="xsd:long"&gt;44855&lt;/D&gt;&lt;D xsi:type="xsd:long"&gt;44888&lt;/D&gt;&lt;D xsi:type="xsd:long"&gt;44918&lt;/D&gt;&lt;D xsi:type="xsd:long"&gt;44949&lt;/D&gt;&lt;D xsi:type="xsd:long"&gt;44980&lt;/D&gt;&lt;D xsi:type="xsd:long"&gt;45008&lt;/D&gt;&lt;D xsi:type="xsd:long"&gt;45037&lt;/D&gt;&lt;D xsi:type="xsd:long"&gt;45069&lt;/D&gt;&lt;D xsi:type="xsd:long"&gt;45100&lt;/D&gt;&lt;D xsi:type="xsd:long"&gt;45128&lt;/D&gt;&lt;D xsi:type="xsd:long"&gt;45161&lt;/D&gt;&lt;D xsi:type="xsd:long"&gt;45191&lt;/D&gt;&lt;D xsi:type="xsd:long"&gt;45222&lt;/D&gt;&lt;D xsi:type="xsd:long"&gt;45252&lt;/D&gt;&lt;D xsi:type="xsd:long"&gt;45282&lt;/D&gt;&lt;D xsi:type="xsd:long"&gt;45314&lt;/D&gt;&lt;D xsi:type="xsd:long"&gt;45345&lt;/D&gt;&lt;D xsi:type="xsd:long"&gt;45373&lt;/D&gt;&lt;D xsi:type="xsd:long"&gt;45405&lt;/D&gt;&lt;D xsi:type="xsd:long"&gt;45435&lt;/D&gt;&lt;/FQL&gt;&lt;FQL&gt;&lt;Q&gt;EWT^FMA_PE(NTMA,-10AY,0,AM,"PORTAGG","MEANR")&lt;/Q&gt;&lt;R&gt;121&lt;/R&gt;&lt;C&gt;1&lt;/C&gt;&lt;D xsi:type="xsd:double"&gt;14.1472508209186&lt;/D&gt;&lt;D xsi:type="xsd:double"&gt;14.3527645301362&lt;/D&gt;&lt;D xsi:type="xsd:double"&gt;14.295129935498&lt;/D&gt;&lt;D xsi:type="xsd:double"&gt;13.8433308355823&lt;/D&gt;&lt;D xsi:type="xsd:double"&gt;13.2406092745559&lt;/D&gt;&lt;D xsi:type="xsd:double"&gt;12.7608104582281&lt;/D&gt;&lt;D xsi:type="xsd:double"&gt;13.222616366087&lt;/D&gt;&lt;D xsi:type="xsd:double"&gt;12.8853819575771&lt;/D&gt;&lt;D xsi:type="xsd:double"&gt;12.9267278882568&lt;/D&gt;&lt;D xsi:type="xsd:double"&gt;12.7680743713571&lt;/D&gt;&lt;D xsi:type="xsd:double"&gt;12.9469915603829&lt;/D&gt;&lt;D xsi:type="xsd:double"&gt;12.959713792139&lt;/D&gt;&lt;D xsi:type="xsd:double"&gt;12.8136890805581&lt;/D&gt;&lt;D xsi:type="xsd:double"&gt;12.6701201843865&lt;/D&gt;&lt;D xsi:type="xsd:double"&gt;11.9018059267782&lt;/D&gt;&lt;D xsi:type="xsd:double"&gt;10.8654043420786&lt;/D&gt;&lt;D xsi:type="xsd:double"&gt;11.522445421322&lt;/D&gt;&lt;D xsi:type="xsd:double"&gt;12.2261813883774&lt;/D&gt;&lt;D xsi:type="xsd:double"&gt;12.1365705659524&lt;/D&gt;&lt;D xsi:type="xsd:double"&gt;11.7715153802202&lt;/D&gt;&lt;D xsi:type="xsd:double"&gt;11.0717091164268&lt;/D&gt;&lt;D xsi:type="xsd:double"&gt;12.1179889107965&lt;/D&gt;&lt;D xsi:type="xsd:double"&gt;12.8646825598691&lt;/D&gt;&lt;D xsi:type="xsd:double"&gt;12.5057584366377&lt;/D&gt;&lt;D xsi:type="xsd:double"&gt;12.5024795398785&lt;/D&gt;&lt;D xsi:type="xsd:double"&gt;13.1297019315227&lt;/D&gt;&lt;D xsi:type="xsd:double"&gt;13.5329980601874&lt;/D&gt;&lt;D xsi:type="xsd:double"&gt;13.5768264308087&lt;/D&gt;&lt;D xsi:type="xsd:double"&gt;13.8450581382126&lt;/D&gt;&lt;D xsi:type="xsd:double"&gt;13.688327</t>
        </r>
      </text>
    </comment>
    <comment ref="A18" authorId="0" shapeId="0" xr:uid="{96454285-286C-48B9-8C68-CC4232FDFCCA}">
      <text>
        <r>
          <rPr>
            <b/>
            <sz val="9"/>
            <color indexed="81"/>
            <rFont val="Tahoma"/>
            <charset val="1"/>
          </rPr>
          <t>744473&lt;/D&gt;&lt;D xsi:type="xsd:double"&gt;13.1244880722701&lt;/D&gt;&lt;D xsi:type="xsd:double"&gt;12.7181267051808&lt;/D&gt;&lt;D xsi:type="xsd:double"&gt;13.0544046357262&lt;/D&gt;&lt;D xsi:type="xsd:double"&gt;13.1329762043267&lt;/D&gt;&lt;D xsi:type="xsd:double"&gt;13.2821156136068&lt;/D&gt;&lt;D xsi:type="xsd:double"&gt;12.9544530285491&lt;/D&gt;&lt;D xsi:type="xsd:double"&gt;13.3401698586766&lt;/D&gt;&lt;D xsi:type="xsd:double"&gt;13.8802648924035&lt;/D&gt;&lt;D xsi:type="xsd:double"&gt;13.982423934942&lt;/D&gt;&lt;D xsi:type="xsd:double"&gt;13.9391433961302&lt;/D&gt;&lt;D xsi:type="xsd:double"&gt;13.3813679185&lt;/D&gt;&lt;D xsi:type="xsd:double"&gt;13.7389865294241&lt;/D&gt;&lt;D xsi:type="xsd:double"&gt;13.8183550408865&lt;/D&gt;&lt;D xsi:type="xsd:double"&gt;13.1742560787347&lt;/D&gt;&lt;D xsi:type="xsd:double"&gt;13.9865249795316&lt;/D&gt;&lt;D xsi:type="xsd:double"&gt;13.3837938835029&lt;/D&gt;&lt;D xsi:type="xsd:double"&gt;13.419098248656&lt;/D&gt;&lt;D xsi:type="xsd:double"&gt;13.2696559447031&lt;/D&gt;&lt;D xsi:type="xsd:double"&gt;13.4729281276226&lt;/D&gt;&lt;D xsi:type="xsd:double"&gt;13.396898663066&lt;/D&gt;&lt;D xsi:type="xsd:double"&gt;13.4625698739513&lt;/D&gt;&lt;D xsi:type="xsd:double"&gt;13.4011658679499&lt;/D&gt;&lt;D xsi:type="xsd:double"&gt;13.2178675824439&lt;/D&gt;&lt;D xsi:type="xsd:double"&gt;11.9257472304935&lt;/D&gt;&lt;D xsi:type="xsd:double"&gt;12.1770898879459&lt;/D&gt;&lt;D xsi:type="xsd:double"&gt;12.3346003498714&lt;/D&gt;&lt;D xsi:type="xsd:double"&gt;13.2534548737474&lt;/D&gt;&lt;D xsi:type="xsd:double"&gt;14.1935309395959&lt;/D&gt;&lt;D xsi:type="xsd:double"&gt;14.8190496561295&lt;/D&gt;&lt;D xsi:type="xsd:double"&gt;15.2984762522897&lt;/D&gt;&lt;D xsi:type="xsd:double"&gt;14.1627922156931&lt;/D&gt;&lt;D xsi:type="xsd:double"&gt;15.0510830414694&lt;/D&gt;&lt;D xsi:type="xsd:double"&gt;15.2283159501053&lt;/D&gt;&lt;D xsi:type="xsd:double"&gt;14.6115806876308&lt;/D&gt;&lt;D xsi:type="xsd:double"&gt;15.237235591611&lt;/D&gt;&lt;D xsi:type="xsd:double"&gt;15.3934747366777&lt;/D&gt;&lt;D xsi:type="xsd:double"&gt;15.6109693994371&lt;/D&gt;&lt;D xsi:type="xsd:double"&gt;15.8579463158222&lt;/D&gt;&lt;D xsi:type="xsd:double"&gt;15.6154542328339&lt;/D&gt;&lt;D xsi:type="xsd:double"&gt;14.9407691744628&lt;/D&gt;&lt;D xsi:type="xsd:double"&gt;11.9963020101439&lt;/D&gt;&lt;D xsi:type="xsd:double"&gt;14.4435668425671&lt;/D&gt;&lt;D xsi:type="xsd:double"&gt;15.1670123025446&lt;/D&gt;&lt;D xsi:type="xsd:double"&gt;16.3132170836674&lt;/D&gt;&lt;D xsi:type="xsd:double"&gt;16.9491406840814&lt;/D&gt;&lt;D xsi:type="xsd:double"&gt;16.1944772454348&lt;/D&gt;&lt;D xsi:type="xsd:double"&gt;15.2674408520446&lt;/D&gt;&lt;D xsi:type="xsd:double"&gt;15.1709024690367&lt;/D&gt;&lt;D xsi:type="xsd:double"&gt;15.6427506631115&lt;/D&gt;&lt;D xsi:type="xsd:double"&gt;15.5499459995299&lt;/D&gt;&lt;D xsi:type="xsd:double"&gt;16.9211739961934&lt;/D&gt;&lt;D xsi:type="xsd:double"&gt;16.2231398683576&lt;/D&gt;&lt;D xsi:type="xsd:double"&gt;15.3003874175747&lt;/D&gt;&lt;D xsi:type="xsd:double"&gt;15.238268669451&lt;/D&gt;&lt;D xsi:type="xsd:double"&gt;13.1268104534066&lt;/D&gt;&lt;D xsi:type="xsd:double"&gt;13.7784085590054&lt;/D&gt;&lt;D xsi:type="xsd:double"&gt;13.6124777817877&lt;/D&gt;&lt;D xsi:type="xsd:double"&gt;12.6894722027461&lt;/D&gt;&lt;D xsi:type="xsd:double"&gt;12.9623379109694&lt;/D&gt;&lt;D xsi:type="xsd:double"&gt;12.717925651213&lt;/D&gt;&lt;D xsi:type="xsd:double"&gt;13.3321374906212&lt;/D&gt;&lt;D xsi:type="xsd:double"&gt;13.5751231719079&lt;/D&gt;&lt;D xsi:type="xsd:double"&gt;12.8694295786917&lt;/D&gt;&lt;D xsi:type="xsd:double"&gt;12.7634369337447&lt;/D&gt;&lt;D xsi:type="xsd:double"&gt;12.4652163862139&lt;/D&gt;&lt;D xsi:type="xsd:double"&gt;11.729184275809&lt;/D&gt;&lt;D xsi:type="xsd:double"&gt;11.4032843502066&lt;/D&gt;&lt;D xsi:type="xsd:double"&gt;10.6762172698876&lt;/D&gt;&lt;D xsi:type="xsd:double"&gt;10.5469649416459&lt;/D&gt;&lt;D xsi:type="xsd:double"&gt;11.0803832337726&lt;/D&gt;&lt;D xsi:type="xsd:double"&gt;10.5288397006109&lt;/D&gt;&lt;D xsi:type="xsd:double"&gt;10.198141546476&lt;/D&gt;&lt;D xsi:type="xsd:double"&gt;12.6410455550512&lt;/D&gt;&lt;D xsi:type="xsd:double"&gt;12.6052965503499&lt;/D&gt;&lt;D xsi:type="xsd:double"&gt;13.8074416917794&lt;/D&gt;&lt;D xsi:type="xsd:double"&gt;14.4765890071161&lt;/D&gt;&lt;D xsi:type="xsd:double"&gt;15.0971747187057&lt;/D&gt;&lt;D xsi:type="xsd:double"&gt;14.862813467421&lt;/D&gt;&lt;D xsi:type="xsd:double"&gt;15.8847613329216&lt;/D&gt;&lt;D xsi:type="xsd:double"&gt;16.4658405826947&lt;/D&gt;&lt;D xsi:type="xsd:double"&gt;16.6577763547822&lt;/D&gt;&lt;D xsi:type="xsd:double"&gt;15.8840887346309&lt;/D&gt;&lt;D xsi:type="xsd:double"&gt;15.3554033679899&lt;/D&gt;&lt;D xsi:type="xsd:double"&gt;14.9091915917274&lt;/D&gt;&lt;D xsi:type="xsd:double"&gt;15.7169918794601&lt;/D&gt;&lt;D xsi:type="xsd:double"&gt;15.9318789727586&lt;/D&gt;&lt;D xsi:type="xsd:double"&gt;15.882111909889&lt;/D&gt;&lt;D xsi:type="xsd:double"&gt;16.4707322337213&lt;/D&gt;&lt;D xsi:type="xsd:double"&gt;17.5443493669206&lt;/D&gt;&lt;D xsi:type="xsd:double"&gt;16.488106010481&lt;/D&gt;&lt;D xsi:type="xsd:double"&gt;17.7415311832713&lt;/D&gt;&lt;/FQL&gt;&lt;FQL&gt;&lt;Q&gt;EWW^FMA_PE(LTMA,-10AY,0,AM,"PORTAGG","MEANR")&lt;/Q&gt;&lt;R&gt;121&lt;/R&gt;&lt;C&gt;1&lt;/C&gt;&lt;D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xsi:type="xsd:double"&gt;22.5213786066229&lt;/D&gt;&lt;D xsi:type="xsd:double"&gt;23.7668181890243&lt;/D&gt;&lt;D xsi:type="xsd:double"&gt;24.6699309625436&lt;/D&gt;&lt;D xsi:type="xsd:double"&gt;24.5654625958452&lt;/D&gt;&lt;D xsi:type="xsd:double"&gt;24.0644755945644&lt;/D&gt;&lt;D xsi:type="xsd:double"&gt;23.2799340444333&lt;/D&gt;&lt;D xsi:type="xsd:double"&gt;23.2084911849494&lt;/D&gt;&lt;D xsi:type="xsd:double"&gt;22.7869994505258&lt;/D&gt;&lt;D xsi:type="xsd:double"&gt;22.0698647206318&lt;/D&gt;&lt;D xsi:type="xsd:double"&gt;22.3854893805004&lt;/D&gt;&lt;D xsi:type="xsd:double"&gt;20.9352477812707&lt;/D&gt;&lt;D xsi:type="xsd:double"&gt;20.356293665146&lt;/D&gt;&lt;D xsi:type="xsd:double"&gt;20.8284129437794&lt;/D&gt;&lt;D xsi:type="xsd:double"&gt;21.5736102412739&lt;/D&gt;&lt;D xsi:type="xsd:double"&gt;21.3585171203469&lt;/D&gt;&lt;D xsi:type="xsd:double"&gt;20.9742246292428&lt;/D&gt;&lt;D xsi:type="xsd:double"&gt;20.4476768240069&lt;/D&gt;&lt;D xsi:type="xsd:double"&gt;19.9400418548552&lt;/D&gt;&lt;D xsi:type="xsd:double"&gt;20.0726134212248&lt;/D&gt;&lt;D xsi:type="xsd:double"&gt;19.6965624790477&lt;/D&gt;&lt;D xsi:type="xsd:double"&gt;19.1959691370784&lt;/D&gt;&lt;D xsi:type="xsd:double"&gt;18.4140519460708&lt;/D&gt;&lt;D xsi:type="xsd:double"&gt;17.0856119246455&lt;/D&gt;&lt;D xsi:type="xsd:double"&gt;16.9628586915397&lt;/D&gt;&lt;D xsi:type="xsd:double"&gt;17.5587154863106&lt;/D&gt;&lt;D xsi:type="xsd:double"&gt;18.0699806620533&lt;/D&gt;&lt;D xsi:type="xsd:double"&gt;17.7410947058751&lt;/D&gt;&lt;D xsi:type="xsd:double"&gt;17.7144010083783&lt;/D&gt;&lt;D xsi:type="xsd:double"&gt;17.1779674628534&lt;/D&gt;&lt;D xsi:type="xsd:double"&gt;17.207012169222&lt;/D&gt;&lt;D xsi:type="xsd:double"&gt;17.5192375093873&lt;/D&gt;&lt;D xsi:type="xsd:double"&gt;17.3572833809206&lt;/D&gt;&lt;D xsi:type="xsd:double"&gt;17.1522197411224&lt;/D&gt;&lt;D xsi:type="xsd:double"&gt;16.1426039588503&lt;/D&gt;&lt;D xsi:type="xsd:double"&gt;14.5426890976191&lt;/D&gt;&lt;D xsi:type="xsd:double"&gt;14.5762578207531&lt;/D&gt;&lt;D xsi:type="xsd:double"&gt;15.3139186237448&lt;/D&gt;&lt;D xsi:type="xsd:double"&gt;15.7971691867357&lt;/D&gt;&lt;D xsi:type="xsd:double"&gt;15.3820761008522&lt;/D&gt;&lt;D xsi:type="xsd:double"&gt;15.4331586972038&lt;/D&gt;&lt;D xsi:type="xsd:double"&gt;15.0075045150822&lt;/D&gt;&lt;D xsi:type="xsd:double"&gt;14.981503318447&lt;/D&gt;&lt;D xsi:type="xsd:double"&gt;14.5720749711144&lt;/D&gt;&lt;D xsi:type="xsd:double"&gt;14.2642676557086&lt;/D&gt;&lt;D xsi:type="xsd:double"&gt;15.1892300385555&lt;/D&gt;&lt;D xsi:type="xsd:double"&gt;15.3913571673507&lt;/D&gt;&lt;D xsi:type="xsd:double"&gt;15.4914284084046&lt;/D&gt;&lt;D xsi:type="xsd:double"&gt;15.7566818329395&lt;/D&gt;&lt;D xsi:type="xsd:double"&gt;16.2733180204284&lt;/D&gt;&lt;D xsi:type="xsd:double"&gt;16.3653089136459&lt;/D&gt;&lt;D xsi:type="xsd:double"&gt;14.2855479795614&lt;/D&gt;&lt;D xsi:type="xsd:double"&gt;14.5704154033264&lt;/D&gt;&lt;D xsi:type="xsd:double"&gt;15.9905181888169&lt;/D&gt;&lt;D xsi:type="xsd:double"&gt;18.0272619426002&lt;/D&gt;&lt;D xsi:type="xsd:double"&gt;18.8842663998868&lt;/D&gt;&lt;D xsi:type="xsd:double"&gt;20.4620804404285&lt;/D&gt;&lt;D xsi:type="xsd:double"&gt;19.4085423007729&lt;/D&gt;&lt;D xsi:type="xsd:double"&gt;21.1644322430528&lt;/D&gt;&lt;D xsi:type="xsd:double"&gt;23.6662879715568&lt;/D&gt;&lt;D xsi:type="xsd:double"&gt;31.4700226567198&lt;/D&gt;&lt;D xsi:type="xsd:double"&gt;30.9631962632315&lt;/D&gt;&lt;D xsi:type="xsd:double"&gt;28.1708903208196&lt;/D&gt;&lt;D xsi:type="xsd:double"&gt;26.6080396798027&lt;/D&gt;&lt;D xsi:type="xsd:double"&gt;25.5604145242794&lt;/D&gt;&lt;D xsi:type="xsd:double"&gt;24.4301246241385&lt;/D&gt;&lt;D xsi:type="xsd:double"&gt;23.1838365821703&lt;/D&gt;&lt;D xsi:type="xsd:double"&gt;21.6446353982714&lt;/D&gt;&lt;D xsi:type="xsd:double"&gt;20.5208432498116&lt;/D&gt;&lt;D xsi:type="xsd:double"&gt;18.9675228962634&lt;/D&gt;&lt;D xsi:type="xsd:double"&gt;17.5200686128769&lt;/D&gt;&lt;D xsi:type="xsd:double"&gt;16.0164236027967&lt;/D&gt;&lt;D xsi:type="xsd:double"&gt;15.5412161963384&lt;/D&gt;&lt;D xsi:type="xsd:double"&gt;14.8638701954889&lt;/D&gt;&lt;D xsi:type="xsd:double"&gt;14.6241251516853&lt;/D&gt;&lt;D xsi:type="xsd:double"&gt;15.0406681650176&lt;/D&gt;&lt;D xsi:type="xsd:double"&gt;14.8463639708322&lt;/D&gt;&lt;D xsi:type="xsd:double"&gt;14.4249625219245&lt;/D&gt;&lt;D xsi:type="xsd:double"&gt;13.7644765052975&lt;/D&gt;&lt;D xsi:type="xsd:double"&gt;13.5948572155073&lt;/D&gt;&lt;D xsi:type="xsd:double"&gt;13.4000027438627&lt;/D&gt;&lt;D xsi:type="xsd:double"&gt;12.8253478740596&lt;/D&gt;&lt;D xsi:type="xsd:double"&gt;13.04526728412&lt;/D&gt;&lt;D xsi:type="xsd:double"&gt;13.7926411813902&lt;/D&gt;&lt;D xsi:type="xsd:double"&gt;13.2619411578288&lt;/D&gt;&lt;D xsi:type="xsd:double"&gt;14.1221064550402&lt;/D&gt;&lt;D xsi:type="xsd:double"&gt;14.4976322699101&lt;/D&gt;&lt;D xsi:type="xsd:double"&gt;14.4615178967342&lt;/D&gt;&lt;D xsi:type="xsd:double"&gt;14.3364452386913&lt;/D&gt;&lt;D xsi:type="xsd:double"&gt;13.96262391401&lt;/D&gt;&lt;D xsi:type="xsd:double"&gt;13.5396613586337&lt;/D&gt;&lt;D xsi:type="xsd:double"&gt;13.4328518004782&lt;/D&gt;&lt;D xsi:type="xsd:double"&gt;13.1421612316703&lt;/D&gt;&lt;D xsi:type="xsd:double"&gt;12.7734338553672&lt;/D&gt;&lt;D xsi:type="xsd:double"&gt;12.0226747187578&lt;/D&gt;&lt;D xsi:type="xsd:double"&gt;12.9751176899199&lt;/D&gt;&lt;D xsi:type="xsd:double"&gt;14.0637260593982&lt;/D&gt;&lt;D xsi:type="xsd:double"&gt;13.6110935852549&lt;/D&gt;&lt;D xsi:type="xsd:double"&gt;16.3123120311426&lt;/D&gt;&lt;D xsi:type="xsd:double"&gt;15.6905985169725&lt;/D&gt;&lt;D xsi:type="xsd:double"&gt;15.4216021517412&lt;/D&gt;&lt;D xsi:type="xsd:double"&gt;15.2263052679633&lt;/D&gt;&lt;/FQL&gt;&lt;FQL&gt;&lt;Q&gt;WL-FDS^FG_PRICE(0)/MAX(FG_PRICE(0,-1AY))&lt;/Q&gt;&lt;R&gt;1&lt;/R&gt;&lt;C&gt;1&lt;/C&gt;&lt;D xsi:type="xsd:double"&gt;0.706968823683521&lt;/D&gt;&lt;/FQL&gt;&lt;FQL&gt;&lt;Q&gt;COPP-FDS^FG_PRICE_CHANGE(0,-1AM)&lt;/Q&gt;&lt;R&gt;1&lt;/R&gt;&lt;C&gt;1&lt;/C&gt;&lt;D xsi:type="xsd:double"&gt;7.25977062687895&lt;/D&gt;&lt;/FQL&gt;&lt;FQL&gt;&lt;Q&gt;EPU^FG_TOTAL_RETURNC(0,-12AM)&lt;/Q&gt;&lt;R&gt;1&lt;/R&gt;&lt;C&gt;1&lt;/C&gt;&lt;D xsi:type="xsd:double"&gt;48.77987&lt;/D&gt;&lt;/FQL&gt;&lt;FQL&gt;&lt;Q&gt;EPHE^FG_TOTAL_RETURNC(0,-12AM)&lt;/Q&gt;&lt;R&gt;1&lt;/R&gt;&lt;C&gt;1&lt;/C&gt;&lt;D xsi:type="xsd:double"&gt;-1.2965322&lt;/D&gt;&lt;/FQL&gt;&lt;FQL&gt;&lt;Q&gt;SPY^P_PRICE(0)/P_PRICE_LOW_PR(0,,,,,,"PRICE","INTRA","52W")-1&lt;/Q&gt;&lt;R&gt;1&lt;/R&gt;&lt;C&gt;1&lt;/C&gt;&lt;D xsi:type="xsd:double"&gt;0.28530586&lt;/D&gt;&lt;/FQL&gt;&lt;FQL&gt;&lt;Q&gt;SPY^SIZE(FG_CONSTITUENTS)&lt;/Q&gt;&lt;R&gt;1&lt;/R&gt;&lt;C&gt;1&lt;/C&gt;&lt;D xsi:type="xsd:long"&gt;504&lt;/D&gt;&lt;/FQL&gt;&lt;FQL&gt;&lt;Q&gt;MCHI^FMA_COS_UP("EPS","1M",+1,NOW,,,"PORTAGG","MEANR")&lt;/Q&gt;&lt;R&gt;1&lt;/R&gt;&lt;C&gt;1&lt;/C&gt;&lt;D xsi:type="xsd:double"&gt;184&lt;/D&gt;&lt;/FQL&gt;&lt;FQL&gt;&lt;Q&gt;EIDO^FMA_COS_DOWN("EPS","1M",+1,NOW,,,"PORTAGG","MEANR")&lt;/Q&gt;&lt;R&gt;1&lt;/R&gt;&lt;C&gt;1&lt;/C&gt;&lt;D xsi:type="xsd:double"&gt;34&lt;/D&gt;&lt;/FQL&gt;&lt;FQL&gt;&lt;Q&gt;INDA^FG_ROE(0)&lt;/Q&gt;&lt;R&gt;1&lt;/R&gt;&lt;C&gt;1&lt;/C&gt;&lt;D xsi:type="xsd:double"&gt;15.1731668544428&lt;/D&gt;&lt;/FQL&gt;&lt;FQL&gt;&lt;Q&gt;TRYTH10Y-FDS^FG_YIELD_NAME&lt;/Q&gt;&lt;R&gt;1&lt;/R&gt;&lt;C&gt;1&lt;/C&gt;&lt;D xsi:type="xsd:string"&gt;Thailand Benchmark Bond - 10 Year&lt;/D&gt;&lt;/FQL&gt;&lt;FQL&gt;&lt;Q&gt;REFCNRMB-FDS^(SUBARRAY(NOT_NA(NO_REPEAT_F(FG_YIELD(NOW,-10AY,D))),0,1)-SUBARRAY(NOT_NA(NO_REPEAT_F(FG_YIELD(NOW,-10AY,D))),1,1))*100&lt;/Q&gt;&lt;R&gt;1&lt;/R&gt;&lt;C&gt;1&lt;/C&gt;&lt;D xsi:type="xsd:double"&gt;-9.99999999999996&lt;/D&gt;&lt;/FQL&gt;&lt;FQL&gt;&lt;Q&gt;REFKRBASE-FDS^PROPER_NAME(0,,,"SECURITY","NAME")&lt;/Q&gt;&lt;R&gt;1&lt;/R&gt;&lt;C&gt;1&lt;/C&gt;&lt;D xsi:type="xsd:string"&gt;South Korea Base Rate&lt;/D&gt;&lt;/FQL&gt;&lt;FQL&gt;&lt;Q&gt;REFPHRREPO-FDS^FG_YIELD(NOW,,,0)&lt;/Q&gt;&lt;R&gt;1&lt;/R&gt;&lt;C&gt;1&lt;/C&gt;&lt;D xsi:type="xsd:double"&gt;6.5&lt;/D&gt;&lt;/FQL&gt;&lt;FQL&gt;&lt;Q&gt;TRYTR7Y-FDS^PCTCHG(FG_YIELD(0,,,,"YTM"),FG_YIELD(-3AM,,,,"YTM"))&lt;/Q&gt;&lt;R&gt;1&lt;/R&gt;&lt;C&gt;1&lt;/C&gt;&lt;D xsi:type="xsd:double"&gt;6.0671926&lt;/D&gt;&lt;/FQL&gt;&lt;FQL&gt;&lt;Q&gt;TRYKR10Y-FDS^PCTCHG(FG_YIELD(0,,,,"YTM"),FG_YIELD(-1AM,,,,"YTM"))&lt;/Q&gt;&lt;R&gt;1&lt;/R&gt;&lt;C&gt;1&lt;/C&gt;&lt;D xsi:type="xsd:double"&gt;-4.618851&lt;/D&gt;&lt;/FQL&gt;&lt;FQL&gt;&lt;Q&gt;TRYCN10Y-FDS^FG_YIELD_NAME&lt;/Q&gt;&lt;R&gt;1&lt;/R&gt;&lt;C&gt;1&lt;/C&gt;&lt;D xsi:type="xsd:string"&gt;Treasury - China Benchmark Bond 10Y&lt;/D&gt;&lt;/FQL&gt;&lt;FQL&gt;&lt;Q&gt;CAGDPY@KR^EE_ACTUAL_ANNUAL(MED,0)&lt;/Q&gt;&lt;R&gt;1&lt;/R&gt;&lt;C&gt;1&lt;/C&gt;&lt;D xsi:type="xsd:double"&gt;2.04376201054732&lt;/D&gt;&lt;/FQL&gt;&lt;FQL&gt;&lt;Q&gt;CC_QA^FG_COMPANY_NAME&lt;/Q&gt;&lt;R&gt;1&lt;/R&gt;&lt;C&gt;1&lt;/C&gt;&lt;D xsi:type="xsd:string"&gt;Qatar&lt;/D&gt;&lt;/FQL&gt;&lt;FQL&gt;&lt;Q&gt;USDSAR^FG_PRICE_CHANGE(0,-1AM)&lt;/Q&gt;&lt;R&gt;1&lt;/R&gt;&lt;C&gt;1&lt;/C&gt;&lt;D xsi:type="xsd:double"&gt;-0.0066637993&lt;/D&gt;&lt;/FQL&gt;&lt;FQL&gt;&lt;Q&gt;USDEUR^FG_PRICE_CHANGE(0,-1AM)&lt;/Q&gt;&lt;R&gt;1&lt;/R&gt;&lt;C&gt;1&lt;/C&gt;&lt;D xsi:type="xsd:double"&gt;-1.1868954&lt;/D&gt;&lt;/FQL&gt;&lt;FQL&gt;&lt;Q&gt;USDPLN^FG_PRICE_CHANGE(0,-3AM)&lt;/Q&gt;&lt;R&gt;1&lt;/R&gt;&lt;C&gt;1&lt;/C&gt;&lt;D xsi:type="xsd:double"&gt;-1.1774182&lt;/D&gt;&lt;/FQL&gt;&lt;FQL&gt;&lt;Q&gt;USDIDR^FG_COMPANY_NAME&lt;/Q&gt;&lt;R&gt;1&lt;/R&gt;&lt;C&gt;1&lt;/C&gt;&lt;D xsi:type="xsd:string"&gt;Indonesian Rupiah per U.S. Dollar&lt;/D&gt;&lt;/FQL&gt;&lt;FQL&gt;&lt;Q&gt;ECH^FG_TOTAL_RETURNC(-10AY,0,AM)&lt;/Q&gt;&lt;R&gt;121&lt;/R&gt;&lt;C&gt;1&lt;/C&gt;&lt;D xsi:type="xsd:double"&gt;3.2052636&lt;/D&gt;&lt;D xsi:type="xsd:double"&gt;-1.765579&lt;/D&gt;&lt;D xsi:type="xsd:double"&gt;-0.7847786&lt;/D&gt;&lt;D xsi:type="xsd:double"&gt;-4.005307&lt;/D&gt;&lt;D xsi:type="xsd:double"&gt;-2.2360563&lt;/D&gt;&lt;D xsi:type="xsd:double"&gt;-2.004242&lt;/D&gt;&lt;D xsi:type="xsd:double"&gt;4.018283&lt;/D&gt;&lt;D xsi:type="xsd:double"&gt;-8.703762&lt;/D&gt;&lt;D xsi:type="xsd:double"&gt;-0.6089866&lt;/D&gt;&lt;D xsi:type="xsd:double"&gt;4.748535&lt;/D&gt;&lt;D xsi:type="xsd:double"&gt;-3.3633888&lt;/D&gt;&lt;D xsi:type="xsd:double"&gt;6.557369&lt;/D&gt;&lt;D xsi:type="xsd:double"&gt;0.6153822&lt;/D&gt;&lt;D xsi:type="xsd:double"&gt;-6.3514414&lt;/D&gt;&lt;D xsi:type="xsd:double"&gt;-6.6324472&lt;/D&gt;&lt;D xsi:type="xsd:double"&gt;-9.60961&lt;/D&gt;&lt;D xsi:type="xsd:double"&gt;-1.2987018&lt;/D&gt;&lt;D xsi:type="xsd:double"&gt;9.547114&lt;/D&gt;&lt;D xsi:type="xsd:double"&gt;-7.318431&lt;/D&gt;&lt;D xsi:type="xsd:double"&gt;-0.8233905&lt;/D&gt;&lt;D xsi:type="xsd:double"&gt;-6.0079336&lt;/D&gt;&lt;D xsi:type="xsd:double"&gt;8.3387375&lt;/D&gt;&lt;D xsi:type="xsd:double"&gt;7.2776318&lt;/D&gt;&lt;D xsi:type="xsd:double"&gt;3.2663345&lt;/D&gt;&lt;D xsi:type="xsd:double"&gt;-4.758048&lt;/D&gt;&lt;D xsi:type="xsd:double"&gt;6.753123&lt;/D&gt;&lt;D xsi:type="xsd:double"&gt;5.3629518&lt;/D&gt;&lt;D xsi:type="xsd:double"&gt;-3.9845824&lt;/D&gt;&lt;D xsi:type="xsd:double"&gt;-0.16063452&lt;/D&gt;&lt;D xsi:type="xsd:double"&gt;4.237056&lt;/D&gt;&lt;D xsi:type="xsd:double"&gt;-3.6531985&lt;/D&gt;&lt;D xsi:type="xsd:double"&gt;-3.2991111&lt;/D&gt;&lt;D xsi:type="xsd:double"&gt;8.839787&lt;/D&gt;&lt;D xsi:type="xsd:double"&gt;4.4669986&lt;/D&gt;&lt;D xsi:type="xsd:double"&gt;4.0816307&lt;/D&gt;&lt;D xsi:type="xsd:double"&gt;3.5714269&lt;/D&gt;&lt;D xsi:type="xsd:double"&gt;-3.5609603&lt;/D&gt;&lt;D xsi:type="xsd:double"&gt;0.19993782&lt;/D&gt;&lt;D xsi:type="xsd:double"&gt;6.6619277&lt;/D&gt;&lt;D xsi:type="xsd:double"&gt;4.2898297&lt;/D&gt;&lt;D xsi:type="xsd:double"&gt;4.987216&lt;/D&gt;&lt;D xsi:type="xsd:double"&gt;3.5728812&lt;/D&gt;&lt;D xsi:type="xsd:double"&gt;-7.722461&lt;/D&gt;&lt;D xsi:type="xsd:double"&gt;9.874737&lt;/D&gt;&lt;D xsi:type="xsd:double"&gt;6.2112927&lt;/D&gt;&lt;D xsi:type="xsd:double"&gt;2.0222306&lt;/D&gt;&lt;D xsi:type="xsd:double"&gt;-8.303576&lt;/D&gt;&lt;D xsi:type="xsd:double"&gt;6.562805&lt;/D&gt;&lt;D xsi:type="xsd:double"&gt;-4.44079&lt;/D&gt;&lt;D xsi:type="xsd:double"&gt;-7.9322157&lt;/D&gt;&lt;D xsi:type="xsd:double"&gt;-2.3713708&lt;/D&gt;&lt;D xsi:type="xsd:double"&gt;-3.903705&lt;/D&gt;&lt;D xsi:type="xsd:double"&gt;4.3782353&lt;/D&gt;&lt;D xsi:type="xsd:double"&gt;-8.605403&lt;/D&gt;&lt;D xsi:type="xsd:double"&gt;1.7979622&lt;/D&gt;&lt;D xsi:type="xsd:double"&gt;-4.5781794&lt;/D&gt;&lt;D xsi:type="xsd:double"&gt;10.219515&lt;/D&gt;&lt;D xsi:type="xsd:double"&gt;4.6913147&lt;/D&gt;&lt;D xsi:type="xsd:double"&gt;-10.103578&lt;/D&gt;&lt;D xsi:type="xsd:double"&gt;2.5393844&lt;/D&gt;&lt;D xsi:type="xsd:double"&gt;-10.685623&lt;/D&gt;&lt;D xsi:type="xsd:double"&gt;5.5531263&lt;/D&gt;&lt;D xsi:type="xsd:double"&gt;-2.6524544&lt;/D&gt;&lt;D xsi:type="xsd:double"&gt;-11.077166&lt;/D&gt;&lt;D xsi:type="xsd:double"&gt;7.617426&lt;/D&gt;&lt;D xsi:type="xsd:double"&gt;-3.0468345&lt;/D&gt;&lt;D xsi:type="xsd:double"&gt;-12.721289&lt;/D&gt;&lt;D xsi:type="xsd:double"&gt;5.450058&lt;/D&gt;&lt;D xsi:type="xsd:double"&gt;-4.6323957&lt;/D&gt;&lt;D xsi:type="xsd:double"&gt;-5.3901553&lt;/D&gt;&lt;D xsi:type="xsd:double"&gt;-39.814507&lt;/D&gt;&lt;D xsi:type="xsd:double"&gt;27.90314&lt;/D&gt;&lt;D xsi:type="xsd:double"&gt;5.5077434&lt;/D&gt;&lt;D xsi:type="xsd:double"&gt;6.691015&lt;/D&gt;&lt;D xsi:type="xsd:double"&gt;6.1964154&lt;/D&gt;&lt;D xsi:type="xsd:double"&gt;-3.1926632&lt;/D&gt;&lt;D xsi:type="xsd:double"&gt;-12.357843&lt;/D&gt;&lt;D xsi:type="xsd:double"&gt;10.294115&lt;/D&gt;&lt;D xsi:type="xsd:double"&gt;8.2353&lt;/D&gt;&lt;D xsi:type="xsd:double"&gt;7.58487&lt;/D&gt;&lt;D xsi:type="xsd:double"&gt;7.007444&lt;/D&gt;&lt;D xsi:type="xsd:double"&gt;3.2268286&lt;/D&gt;&lt;D xsi:type="xsd:double"&gt;2.1452665&lt;/D&gt;&lt;D xsi:type="xsd:double"&gt;2.8502703&lt;/D&gt;&lt;D xsi:type="xsd:double"&gt;-17.211199&lt;/D&gt;&lt;D xsi:type="xsd:double"&gt;4.2078376&lt;/D&gt;&lt;D xsi:type="xsd:double"&gt;-7.2214603&lt;/D&gt;&lt;D xsi:type="xsd:double"&gt;1.4455199&lt;/D&gt;&lt;D xsi:type="xsd:double"&gt;-0.036537647&lt;/D&gt;&lt;D xsi:type="xsd:double"&gt;-11.403513&lt;/D&gt;&lt;D xsi:type="xsd:double"&gt;15.016497&lt;/D&gt;&lt;D xsi:type="xsd:double"&gt;-16.52003&lt;/D&gt;&lt;D xsi:type="xsd:double"&gt;18.535006&lt;/D&gt;&lt;D xsi:type="xsd:double"&gt;-5.0168395&lt;/D&gt;&lt;D xsi:type="xsd:double"&gt;11.391401&lt;/D&gt;&lt;D xsi:type="xsd:double"&gt;-5.060154&lt;/D&gt;&lt;D xsi:type="xsd:double"&gt;7.864332&lt;/D&gt;&lt;D xsi:type="xsd:double"&gt;-12.01778&lt;/D&gt;&lt;D xsi:type="xsd:double"&gt;0.898695&lt;/D&gt;&lt;D xsi:type="xsd:double"&gt;8.502018&lt;/D&gt;&lt;D xsi:type="xsd:double"&gt;-8.470142&lt;/D&gt;&lt;D xsi:type="xsd:double"&gt;-0.8968651&lt;/D&gt;&lt;D xsi:type="xsd:double"&gt;8.515013&lt;/D&gt;&lt;D xsi:type="xsd:double"&gt;1.7179489&lt;/D&gt;&lt;D xsi:type="xsd:double"&gt;9.28899&lt;/D&gt;&lt;D xsi:type="xsd:double"&gt;0.10493994&lt;/D&gt;&lt;D xsi:type="xsd:double"&gt;-1.9566774&lt;/D&gt;&lt;D xsi:type="xsd:double"&gt;-1.7818987&lt;/D&gt;&lt;D xsi:type="xsd:double"&gt;8.563137&lt;/D&gt;&lt;D xsi:type="xsd:double"&gt;-0.67054033&lt;/D&gt;&lt;D xsi:type="xsd:double"&gt;8.642399&lt;/D&gt;&lt;D xsi:type="xsd:double"&gt;-6.215775&lt;/D&gt;&lt;D xsi:type="xsd:double"&gt;-10.233521&lt;/D&gt;&lt;D xsi:type="xsd:double"&gt;-8.990049&lt;/D&gt;&lt;D xsi:type="xsd:double"&gt;11.895752&lt;/D&gt;&lt;D xsi:type="xsd:double"&gt;4.083812&lt;/D&gt;&lt;D xsi:type="xsd:double"&gt;-5.81184&lt;/D&gt;&lt;D xsi:type="xsd:double"&gt;-3.0852318&lt;/D&gt;&lt;D xsi:type="xsd:double"&gt;4.29765&lt;/D&gt;&lt;D xsi:type="xsd:double"&gt;1.3735294&lt;/D&gt;&lt;D xsi:type="xsd:double"&gt;9.220934&lt;/D&gt;&lt;/FQL&gt;&lt;FQL&gt;&lt;Q&gt;EPOL^FMA_DIV_YLD(NTMA,-10AY,0,AM,"PORTAGG","MEANR")&lt;/Q&gt;&lt;R&gt;121&lt;/R&gt;&lt;C&gt;1&lt;/C&gt;&lt;D xsi:type="xsd:double"&gt;3.94331340061411&lt;/D&gt;&lt;D xsi:type="xsd:double"&gt;3.97121871272158&lt;/D&gt;&lt;D xsi:type="xsd:double"&gt;4.09128071285876&lt;/D&gt;&lt;D xsi:type="xsd:double"&gt;4.14857540156441&lt;/D&gt;&lt;D xsi:type="xsd:double"&gt;4.16709631553051&lt;/D&gt;&lt;D xsi:type="xsd:double"&gt;4.00376763929936&lt;/D&gt;&lt;D xsi:type="xsd:double"&gt;3.97806182128945&lt;/D&gt;&lt;D xsi:type="xsd:double"&gt;4.02858480181422&lt;/D&gt;&lt;D xsi:type="xsd:double"&gt;4.01201249714613&lt;/D&gt;&lt;D xsi:type="xsd:double"&gt;3.75330601045703&lt;/D&gt;&lt;D xsi:type="xsd:double"&gt;3.67268852058106&lt;/D&gt;&lt;D xsi:type="xsd:double"&gt;3.30819717391424&lt;/D&gt;&lt;D xsi:type="xsd:double"&gt;3.33738133246464&lt;/D&gt;&lt;D xsi:type="xsd:double"&gt;3.59381918308438&lt;/D&gt;&lt;D xsi:type="xsd:double"&gt;3.70546401383508&lt;/D&gt;&lt;D xsi:type="xsd:double"&gt;3.6980808670116&lt;/D&gt;&lt;D xsi:type="xsd:double"&gt;3.69094097719138&lt;/D&gt;&lt;D xsi:type="xsd:double"&gt;3.63268107847398&lt;/D&gt;&lt;D xsi:type="xsd:double"&gt;3.91946343842782&lt;/D&gt;&lt;D xsi:type="xsd:double"&gt;4.04075949378329&lt;/D&gt;&lt;D xsi:type="xsd:double"&gt;4.33074448031447&lt;/D&gt;&lt;D xsi:type="xsd:double"&gt;4.01040791232157&lt;/D&gt;&lt;D xsi:type="xsd:double"&gt;3.69240619173003&lt;/D&gt;&lt;D xsi:type="xsd:double"&gt;3.61657596829226&lt;/D&gt;&lt;D xsi:type="xsd:double"&gt;3.88564329704711&lt;/D&gt;&lt;D xsi:type="xsd:double"&gt;3.7470938191868&lt;/D&gt;&lt;D xsi:type="xsd:double"&gt;3.62716511429091&lt;/D&gt;&lt;D xsi:type="xsd:double"&gt;3.55975005050879&lt;/D&gt;&lt;D xsi:type="xsd:double"&gt;3.54445405359843&lt;/D&gt;&lt;D xsi:type="xsd:double"&gt;3.38951982704466&lt;/D&gt;&lt;D xsi:type="xsd:double"&gt;3.21524290355408&lt;/D&gt;&lt;D xsi:type="xsd:double"&gt;3.10285139785054&lt;/D&gt;&lt;D xsi:type="xsd:double"&gt;2.8611784638672&lt;/D&gt;&lt;D xsi:type="xsd:double"&gt;2.53669542619764&lt;/D&gt;&lt;D xsi:type="xsd:double"&gt;2.44045618640753&lt;/D&gt;&lt;D xsi:type="xsd:double"&gt;2.44272614858742&lt;/D&gt;&lt;D xsi:type="xsd:double"&gt;2.48828863462347&lt;/D&gt;&lt;D xsi:type="xsd:double"&gt;2.53627945443174&lt;/D&gt;&lt;D xsi:type="xsd:double"&gt;2.2898290684881&lt;/D&gt;&lt;D xsi:type="xsd:double"&gt;2.43521849797878&lt;/D&gt;&lt;D xsi:type="xsd:double"&gt;2.52742925162632&lt;/D&gt;&lt;D xsi:type="xsd:double"&gt;2.4396806689372&lt;/D&gt;&lt;D xsi:type="xsd:double"&gt;2.4569577307971&lt;/D&gt;&lt;D xsi:type="xsd:double"&gt;2.82577407196425&lt;/D&gt;&lt;D xsi:type="xsd:double"&gt;2.73243142886759&lt;/D&gt;&lt;D xsi:type="xsd:double"&gt;3.01128036528457&lt;/D&gt;&lt;D xsi:type="xsd:double"&gt;3.13757669125509&lt;/D&gt;&lt;D xsi:type="xsd:double"&gt;3.04731509465985&lt;/D&gt;&lt;D xsi:type="xsd:double"&gt;3.12692175094897&lt;/D&gt;&lt;D xsi:type="xsd:double"&gt;3.13817259447092&lt;/D&gt;&lt;D xsi:type="xsd:double"&gt;2.9316508490061&lt;/D&gt;&lt;D xsi:type="xsd:double"&gt;2.8113885441897&lt;/D&gt;&lt;D xsi:type="xsd:double"&gt;2.97131564433315&lt;/D&gt;&lt;D xsi:type="xsd:double"&gt;3.21634282035253&lt;/D&gt;&lt;D xsi:type="xsd:double"&gt;3.11501836755641&lt;/D&gt;&lt;D xsi:type="xsd:double"&gt;3.16982102020365&lt;/D&gt;&lt;D xsi:type="xsd:double"&gt;2.96687841562572&lt;/D&gt;&lt;D xsi:type="xsd:double"&gt;3.0169192313856&lt;/D&gt;&lt;D xsi:type="xsd:double"&gt;3.04387633161516&lt;/D&gt;&lt;D xsi:type="xsd:double"&gt;3.04633984331712&lt;/D&gt;&lt;D xsi:type="xsd:double"&gt;3.36115634249285&lt;/D&gt;&lt;D xsi:type="xsd:double"&gt;3.25888408582172&lt;/D&gt;&lt;D xsi:type="xsd:double"&gt;3.32492036258587&lt;/D&gt;&lt;D xsi:type="xsd:double"&gt;3.82129037995159&lt;/D&gt;&lt;D xsi:type="xsd:double"&gt;3.64918265334987&lt;/D&gt;&lt;D xsi:type="xsd:double"&gt;3.42599638449544&lt;/D&gt;&lt;D xsi:type="xsd:double"&gt;3.40058665764177&lt;/D&gt;&lt;D xsi:type="xsd:double"&gt;3.5378439605228&lt;/D&gt;&lt;D xsi:type="xsd:double"&gt;3.63151654441597&lt;/D&gt;&lt;D xsi:type="xsd:double"&gt;3.71665334832437&lt;/D&gt;&lt;D xsi:type="xsd:double"&gt;5.06912441309519&lt;/D&gt;&lt;D xsi:type="xsd:double"&gt;3.57055320083357&lt;/D&gt;&lt;D xsi:type="xsd:double"&gt;2.82946392199203&lt;/D&gt;&lt;D xsi:type="xsd:double"&gt;2.41554640267935&lt;/D&gt;&lt;D xsi:type="xsd:double"&gt;2.45096551899506&lt;/D&gt;&lt;D xsi:type="xsd:double"&gt;2.77722041537698&lt;/D&gt;&lt;D xsi:type="xsd:double"&gt;3.05514837012633&lt;/D&gt;&lt;D xsi:type="xsd:double"&gt;3.45663445879627&lt;/D&gt;&lt;D xsi:type="xsd:double"&gt;2.55447667137772&lt;/D&gt;&lt;D xsi:type="xsd:double"&gt;2.78039278419432&lt;/D&gt;&lt;D xsi:type="xsd:double"&gt;2.78689248898773&lt;/D&gt;&lt;D xsi:type="xsd:double"&gt;2.9413556224563&lt;/D&gt;&lt;D xsi:type="xsd:double"&gt;2.94896110827365&lt;/D&gt;&lt;D xsi:type="xsd:double"&gt;2.90332775618905&lt;/D&gt;&lt;D xsi:type="xsd:double"&gt;2.83217385767086&lt;/D&gt;&lt;D xsi:type="xsd:double"&gt;3.01027921971089&lt;/D&gt;&lt;D xsi:type="xsd:double"&gt;3.07421445624615&lt;/D&gt;&lt;D xsi:type="xsd:double"&gt;2.99135100933177&lt;/D&gt;&lt;D xsi:type="xsd:double"&gt;3.01365699332945&lt;/D&gt;&lt;D xsi:type="xsd:double"&gt;2.87918647998304&lt;/D&gt;&lt;D xsi:type="xsd:double"&gt;3.23488260361064&lt;/D&gt;&lt;D xsi:type="xsd:double"&gt;3.38025203029284&lt;/D&gt;&lt;D xsi:type="xsd:double"&gt;3.17882836245655&lt;/D&gt;&lt;D xsi:type="xsd:double"&gt;3.62808497704602&lt;/D&gt;&lt;D xsi:type="xsd:double"&gt;3.48675049880936&lt;/D&gt;&lt;D xsi:type="xsd:double"&gt;3.622932009096&lt;/D&gt;&lt;D xsi:type="xsd:double"&gt;3.90422148841454&lt;/D&gt;&lt;D xsi:type="xsd:double"&gt;4.48848984404391&lt;/D&gt;&lt;D xsi:type="xsd:double"&gt;4.26524875344498&lt;/D&gt;&lt;D xsi:type="xsd:double"&gt;4.35825258799843&lt;/D&gt;&lt;D xsi:type="xsd:double"&gt;4.68616189075511&lt;/D&gt;&lt;D xsi:type="xsd:double"&gt;4.87354918613583&lt;/D&gt;&lt;D xsi:type="xsd:double"&gt;4.24861829895014&lt;/D&gt;&lt;D xsi:type="xsd:double"&gt;4.19952834489739&lt;/D&gt;&lt;D xsi:type="xsd:double"&gt;3.91398196326142&lt;/D&gt;&lt;D xsi:type="xsd:double"&gt;4.32307848879443&lt;/D&gt;&lt;D xsi:type="xsd:double"&gt;4.84191434621859&lt;/D&gt;&lt;D xsi:type="xsd:double"&gt;4.33859289737764&lt;/D&gt;&lt;D xsi:type="xsd:double"&gt;4.238620207012&lt;/D&gt;&lt;D xsi:type="xsd:double"&gt;3.97622251372998&lt;/D&gt;&lt;D xsi:type="xsd:double"&gt;3.78036103493785&lt;/D&gt;&lt;D xsi:type="xsd:double"&gt;4.01765046821463&lt;/D&gt;&lt;D xsi:type="xsd:double"&gt;4.31117430266147&lt;/D&gt;&lt;D xsi:type="xsd:double"&gt;4.26360031203865&lt;/D&gt;&lt;D xsi:type="xsd:double"&gt;4.47240313682019&lt;/D&gt;&lt;D xsi:type="xsd:double"&gt;4.68630613958721&lt;/D&gt;&lt;D xsi:type="xsd:double"&gt;5.1757895739786&lt;/D&gt;&lt;D xsi:type="xsd:double"&gt;4.61378159017143&lt;/D&gt;&lt;D xsi:type="xsd:double"&gt;5.04390713273552&lt;/D&gt;&lt;D xsi:type="xsd:double"&gt;4.990518316622&lt;/D&gt;&lt;D xsi:type="xsd:double"&gt;5.00912590331172&lt;/D&gt;&lt;/FQL&gt;&lt;FQL&gt;&lt;Q&gt;NI-FDS^FG_PRICE_CHANGE(0,-1AM)&lt;/Q&gt;&lt;R&gt;1&lt;/R&gt;&lt;C&gt;1&lt;/C&gt;&lt;D xsi:type="xsd:double"&gt;5.40324727175938&lt;/D&gt;&lt;/FQL&gt;&lt;FQL&gt;&lt;Q&gt;W-FDS^MAX(FG_PRICE(0,-5AY))&lt;/Q&gt;&lt;R&gt;1&lt;/R&gt;&lt;C&gt;1&lt;/C&gt;&lt;D xsi:type="xsd:double"&gt;14.2525&lt;/D&gt;&lt;/FQL&gt;&lt;FQL&gt;&lt;Q&gt;USDTRY^STD(FG_PRICE_CHANGE(0,-1AY,AM))&lt;/Q&gt;&lt;R&gt;1&lt;/R&gt;&lt;C&gt;1&lt;/C&gt;&lt;D xsi:type="xsd:double"&gt;6.93985628830018&lt;/D&gt;&lt;/FQL&gt;&lt;FQL&gt;&lt;Q&gt;USDKRW^STD(FG_PRICE_CHANGE(0,-1AY,AM))&lt;/Q&gt;&lt;R&gt;1&lt;/R&gt;&lt;C&gt;1&lt;/C&gt;&lt;D xsi:type="xsd:double"&gt;2.19917118649272&lt;/D&gt;&lt;/FQL&gt;&lt;FQL&gt;&lt;Q&gt;USDMYR^STD(FG_PRICE_CHANGE(0,-3AY,M))&lt;/Q&gt;&lt;R&gt;1&lt;/R&gt;&lt;C&gt;1&lt;/C&gt;&lt;D xsi:type="xsd:double"&gt;2.1805311027277&lt;/D&gt;&lt;/FQL&gt;&lt;FQL&gt;&lt;Q&gt;FC0000TR^FMA_EPS(NTMA,-20AY,0,CY,,"PORTAGG","MEANR")&lt;/Q&gt;&lt;R&gt;20&lt;/R&gt;&lt;C&gt;1&lt;/C&gt;&lt;D xsi:type="xsd:double"&gt;9.86463285413856&lt;/D&gt;&lt;D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xsi:type="xsd:double"&gt;22.5659659752379&lt;/D&gt;&lt;D xsi:type="xsd:double"&gt;23.2814280899331&lt;/D&gt;&lt;D xsi:type="xsd:double"&gt;19.7583568197709&lt;/D&gt;&lt;D xsi:type="xsd:double"&gt;36.4008275641257&lt;/D&gt;&lt;D xsi:type="xsd:double"&gt;47.716878299101&lt;/D&gt;&lt;/FQL&gt;&lt;FQL&gt;&lt;Q&gt;TUR^P_PRICE_RETURNS_PR('52W',2,-10AY,0,AM)&lt;/Q&gt;&lt;R&gt;121&lt;/R&gt;&lt;C&gt;1&lt;/C&gt;&lt;D xsi:type="xsd:double"&gt;-23.868782&lt;/D&gt;&lt;D xsi:type="xsd:double"&gt;-0.7252276&lt;/D&gt;&lt;D xsi:type="xsd:double"&gt;1.4293194&lt;/D&gt;&lt;D xsi:type="xsd:double"&gt;7.4836016&lt;/D&gt;&lt;D xsi:type="xsd:double"&gt;-10.919851&lt;/D&gt;&lt;D xsi:type="xsd:double"&gt;-10.008555&lt;/D&gt;&lt;D xsi:type="xsd:double"&gt;2.6247263&lt;/D&gt;&lt;D xsi:type="xsd:double"&gt;13.814772&lt;/D&gt;&lt;D xsi:type="xsd:double"&gt;35.791134&lt;/D&gt;&lt;D xsi:type="xsd:double"&gt;18.896639&lt;/D&gt;&lt;D xsi:type="xsd:double"&gt;14.706314&lt;/D&gt;&lt;D xsi:type="xsd:double"&gt;-6.835991&lt;/D&gt;&lt;D xsi:type="xsd:double"&gt;-11.30032&lt;/D&gt;&lt;D xsi:type="xsd:double"&gt;-15.637243&lt;/D&gt;&lt;D xsi:type="xsd:double"&gt;-27.120596&lt;/D&gt;&lt;D xsi:type="xsd:double"&gt;-30.778854&lt;/D&gt;&lt;D xsi:type="xsd:double"&gt;-27.314138&lt;/D&gt;&lt;D xsi:type="xsd:double"&gt;-21.040314&lt;/D&gt;&lt;D xsi:type="xsd:double"&gt;-24.540632&lt;/D&gt;&lt;D xsi:type="xsd:double"&gt;-28.826231&lt;/D&gt;&lt;D xsi:type="xsd:double"&gt;-39.723866&lt;/D&gt;&lt;D xsi:type="xsd:double"&gt;-25.562733&lt;/D&gt;&lt;D xsi:type="xsd:double"&gt;-12.984532&lt;/D&gt;&lt;D xsi:type="xsd:double"&gt;-0.48960447&lt;/D&gt;&lt;D xsi:type="xsd:double"&gt;-20.808434&lt;/D&gt;&lt;D xsi:type="xsd:double"&gt;-8.781362&lt;/D&gt;&lt;D xsi:type="xsd:double"&gt;-18.219555&lt;/D&gt;&lt;D xsi:type="xsd:double"&gt;7.208526&lt;/D&gt;&lt;D xsi:type="xsd:double"&gt;13.4150505&lt;/D&gt;&lt;D xsi:type="xsd:double"&gt;-4.3853226&lt;/D&gt;&lt;D xsi:type="xsd:double"&gt;-19.00273&lt;/D&gt;&lt;D xsi:type="xsd:double"&gt;-12.616253&lt;/D&gt;&lt;D xsi:type="xsd:double"&gt;-3.4045994&lt;/D&gt;&lt;D xsi:type="xsd:double"&gt;-0.020462275&lt;/D&gt;&lt;D xsi:type="xsd:double"&gt;-10.865021&lt;/D&gt;&lt;D xsi:type="xsd:double"&gt;-14.858556&lt;/D&gt;&lt;D xsi:type="xsd:double"&gt;8.779359&lt;/D&gt;&lt;D xsi:type="xsd:double"&gt;3.6396742&lt;/D&gt;&lt;D xsi:type="xsd:double"&gt;29.093134&lt;/D&gt;&lt;D xsi:type="xsd:double"&gt;21.682013&lt;/D&gt;&lt;D xsi:type="xsd:double"&gt;9.612346&lt;/D&gt;&lt;D xsi:type="xsd:double"&gt;11.78087&lt;/D&gt;&lt;D xsi:type="xsd:double"&gt;20.142937&lt;/D&gt;&lt;D xsi:type="xsd:double"&gt;33.098484&lt;/D&gt;&lt;D xsi:type="xsd:double"&gt;42.30342&lt;/D&gt;&lt;D xsi:type="xsd:double"&gt;25.513245&lt;/D&gt;&lt;D xsi:type="xsd:double"&gt;16.874563&lt;/D&gt;&lt;D xsi:type="xsd:double"&gt;5.6776524&lt;/D&gt;&lt;D xsi:type="xsd:double"&gt;-15.308374&lt;/D&gt;&lt;D xsi:type="xsd:double"&gt;-26.138628&lt;/D&gt;&lt;D xsi:type="xsd:double"&gt;-32.757248&lt;/D&gt;&lt;D xsi:type="xsd:double"&gt;-52.171642&lt;/D&gt;&lt;D xsi:type="xsd:double"&gt;-45.936234&lt;/D&gt;&lt;D xsi:type="xsd:double"&gt;-40.89536&lt;/D&gt;&lt;D xsi:type="xsd:double"&gt;-32.61744&lt;/D&gt;&lt;D xsi:type="xsd:double"&gt;-38.716297&lt;/D&gt;&lt;D xsi:type="xsd:double"&gt;-37.554585&lt;/D&gt;&lt;D xsi:type="xsd:double"&gt;-35.206665&lt;/D&gt;&lt;D xsi:type="xsd:double"&gt;-40.677834&lt;/D&gt;&lt;D xsi:type="xsd:double"&gt;-36.52295&lt;/D&gt;&lt;D xsi:type="xsd:double"&gt;-37.253063&lt;/D&gt;&lt;D xsi:type="xsd:double"&gt;-17.825455&lt;/D&gt;&lt;D xsi:type="xsd:double"&gt;-7.562244&lt;/D&gt;&lt;D xsi:type="xsd:double"&gt;18.344807&lt;/D&gt;&lt;D xsi:type="xsd:double"&gt;16.031897&lt;/D&gt;&lt;D xsi:type="xsd:double"&gt;9.901726&lt;/D&gt;&lt;D xsi:type="xsd:double"&gt;9.854937&lt;/D&gt;&lt;D xsi:type="xsd:double"&gt;11.875307&lt;/D&gt;&lt;D xsi:type="xsd:double"&gt;10.068523&lt;/D&gt;&lt;D xsi:type="xsd:double"&gt;0.5801797&lt;/D&gt;&lt;D xsi:type="xsd:double"&gt;-22.257948&lt;/D&gt;&lt;D xsi:type="xsd:double"&gt;-13.314163&lt;/D&gt;&lt;D xsi:type="xsd:double"&gt;8.845949&lt;/D&gt;&lt;D xsi:type="xsd:double"&gt;2.1521688&lt;/D&gt;&lt;D xsi:type="xsd:double"&gt;-6.5581083&lt;/D&gt;&lt;D xsi:type="xsd:double"&gt;-13.001352&lt;/D&gt;&lt;D xsi:type="xsd:double"&gt;-22.461302&lt;/D&gt;&lt;D xsi:type="xsd:double"&gt;-19.479048&lt;/D&gt;&lt;D xsi:type="xsd:double"&gt;-14.541281&lt;/D&gt;&lt;D xsi:type="xsd:double"&gt;-6.086832&lt;/D&gt;&lt;D xsi:type="xsd:double"&gt;-2.8162062&lt;/D&gt;&lt;D xsi:type="xsd:double"&gt;8.879828&lt;/D&gt;&lt;D xsi:type="xsd:double"&gt;27.477478&lt;/D&gt;&lt;D xsi:type="xsd:double"&gt;12.682688&lt;/D&gt;&lt;D xsi:type="xsd:double"&gt;12.326109&lt;/D&gt;&lt;D xsi:type="xsd:double"&gt;-2.6584387&lt;/D&gt;&lt;D xsi:type="xsd:double"&gt;-7.0242524&lt;/D&gt;&lt;D xsi:type="xsd:double"&gt;16.543472&lt;/D&gt;&lt;D xsi:type="xsd:double"&gt;15.285468&lt;/D&gt;&lt;D xsi:type="xsd:double"&gt;6.0151935&lt;/D&gt;&lt;D xsi:type="xsd:double"&gt;-12.226688&lt;/D&gt;&lt;D xsi:type="xsd:double"&gt;-12.726325&lt;/D&gt;&lt;D xsi:type="xsd:double"&gt;-26.564486&lt;/D&gt;&lt;D xsi:type="xsd:double"&gt;-30.399597&lt;/D&gt;&lt;D xsi:type="xsd:double"&gt;-9.517879&lt;/D&gt;&lt;D xsi:type="xsd:double"&gt;5.566585&lt;/D&gt;&lt;D xsi:type="xsd:double"&gt;-10.015547&lt;/D&gt;&lt;D xsi:type="xsd:double"&gt;-9.467209&lt;/D&gt;&lt;D xsi:type="xsd:double"&gt;-9.305924&lt;/D&gt;&lt;D xsi:type="xsd:double"&gt;-0.11062026&lt;/D&gt;&lt;D xsi:type="xsd:double"&gt;12.149882&lt;/D&gt;&lt;D xsi:type="xsd:double"&gt;36.6578&lt;/D&gt;&lt;D xsi:type="xsd:double"&gt;75.308586&lt;/D&gt;&lt;D xsi:type="xsd:double"&gt;82.372536&lt;/D&gt;&lt;D xsi:type="xsd:double"&gt;87.633804&lt;/D&gt;&lt;D xsi:type="xsd:double"&gt;82.937706&lt;/D&gt;&lt;D xsi:type="xsd:double"&gt;75.72253&lt;/D&gt;&lt;D xsi:type="xsd:double"&gt;46.899532&lt;/D&gt;&lt;D xsi:type="xsd:double"&gt;47.026134&lt;/D&gt;&lt;D xsi:type="xsd:double"&gt;53.37112&lt;/D&gt;&lt;D xsi:type="xsd:double"&gt;73.22805&lt;/D&gt;&lt;D xsi:type="xsd:double"&gt;62.975143&lt;/D&gt;&lt;D xsi:type="xsd:double"&gt;67.24985&lt;/D&gt;&lt;D xsi:type="xsd:double"&gt;34.69752&lt;/D&gt;&lt;D xsi:type="xsd:double"&gt;13.768482&lt;/D&gt;&lt;D xsi:type="xsd:double"&gt;-5.703008&lt;/D&gt;&lt;D xsi:type="xsd:double"&gt;-3.1763077&lt;/D&gt;&lt;D xsi:type="xsd:double"&gt;17.139471&lt;/D&gt;&lt;D xsi:type="xsd:double"&gt;12.21553&lt;/D&gt;&lt;D xsi:type="xsd:double"&gt;19.526875&lt;/D&gt;&lt;D xsi:type="xsd:double"&gt;55.717243&lt;/D&gt;&lt;/FQL&gt;&lt;FQL&gt;&lt;Q&gt;KSA^FG_TOTAL_RETURNC(-10AY,0,AM)&lt;/Q&gt;&lt;R&gt;121&lt;/R&gt;&lt;C&gt;1&lt;/C&gt;&lt;D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xsi:type="xsd:double"&gt;3.2163262&lt;/D&gt;&lt;D xsi:type="xsd:double"&gt;-2.1616817&lt;/D&gt;&lt;D xsi:type="xsd:double"&gt;-3.2093227&lt;/D&gt;&lt;D xsi:type="xsd:double"&gt;-17.078192&lt;/D&gt;&lt;D xsi:type="xsd:double"&gt;4.816878&lt;/D&gt;&lt;D xsi:type="xsd:double"&gt;6.5784097&lt;/D&gt;&lt;D xsi:type="xsd:double"&gt;2.332294&lt;/D&gt;&lt;D xsi:type="xsd:double"&gt;1.1938334&lt;/D&gt;&lt;D xsi:type="xsd:double"&gt;2.1947384&lt;/D&gt;&lt;D xsi:type="xsd:double"&gt;-1.4590263&lt;/D&gt;&lt;D xsi:type="xsd:double"&gt;-5.3543987&lt;/D&gt;&lt;D xsi:type="xsd:double"&gt;-2.253908&lt;/D&gt;&lt;D xsi:type="xsd:double"&gt;-1.4588237&lt;/D&gt;&lt;D xsi:type="xsd:double"&gt;15.87392&lt;/D&gt;&lt;D xsi:type="xsd:double"&gt;4.3257117&lt;/D&gt;&lt;D xsi:type="xsd:double"&gt;-0.9928107&lt;/D&gt;&lt;D xsi:type="xsd:double"&gt;0.84148645&lt;/D&gt;&lt;D xsi:type="xsd:double"&gt;-2.4790108&lt;/D&gt;&lt;D xsi:type="xsd:double"&gt;1.4760137&lt;/D&gt;&lt;D xsi:type="xsd:double"&gt;0.72727203&lt;/D&gt;&lt;D xsi:type="xsd:double"&gt;11.210691&lt;/D&gt;&lt;D xsi:type="xsd:double"&gt;-4.8032103&lt;/D&gt;&lt;D xsi:type="xsd:double"&gt;-0.0459373&lt;/D&gt;&lt;D xsi:type="xsd:double"&gt;0.7659912&lt;/D&gt;&lt;D xsi:type="xsd:double"&gt;-5.4731965&lt;/D&gt;&lt;D xsi:type="xsd:double"&gt;0.36187172&lt;/D&gt;&lt;D xsi:type="xsd:double"&gt;4.152572&lt;/D&gt;&lt;D xsi:type="xsd:double"&gt;6.2140346&lt;/D&gt;&lt;D xsi:type="xsd:double"&gt;0.31603575&lt;/D&gt;&lt;D xsi:type="xsd:double"&gt;4.8298597&lt;/D&gt;&lt;D xsi:type="xsd:double"&gt;8.830714&lt;/D&gt;&lt;D xsi:type="xsd:double"&gt;-2.5657535&lt;/D&gt;&lt;D xsi:type="xsd:double"&gt;2.7886987&lt;/D&gt;&lt;D xsi:type="xsd:double"&gt;0.9049773&lt;/D&gt;&lt;D xsi:type="xsd:double"&gt;-4.7085166&lt;/D&gt;&lt;D xsi:type="xsd:double"&gt;-2.4873912&lt;/D&gt;&lt;D xsi:type="xsd:double"&gt;-3.2402635&lt;/D&gt;&lt;D xsi:type="xsd:double"&gt;0&lt;/D&gt;&lt;D xsi:type="xsd:double"&gt;1.2284398&lt;/D&gt;&lt;D xsi:type="xsd:double"&gt;13.290858&lt;/D&gt;&lt;D xsi:type="xsd:double"&gt;1.0406852&lt;/D&gt;&lt;D xsi:type="xsd:double"&gt;1.3732791&lt;/D&gt;&lt;D xsi:type="xsd:double"&gt;8.220446&lt;/D&gt;&lt;D xsi:type="xsd:double"&gt;-9.331441&lt;/D&gt;&lt;D xsi:type="xsd:double"&gt;5.034232&lt;/D&gt;&lt;D xsi:type="xsd:double"&gt;-0.45208335&lt;/D&gt;&lt;D xsi:type="xsd:double"&gt;-5.358762&lt;/D&gt;&lt;D xsi:type="xsd:double"&gt;-3.4868836&lt;/D&gt;&lt;D xsi:type="xsd:double"&gt;-2.2207499&lt;/D&gt;&lt;D xsi:type="xsd:double"&gt;3.2203436&lt;/D&gt;&lt;D xsi:type="xsd:double"&gt;4.149711&lt;/D&gt;&lt;D xsi:type="xsd:double"&gt;-2.6492178&lt;/D&gt;&lt;D xsi:type="xsd:double"&gt;-4.9180326&lt;/D&gt;&lt;D xsi:type="xsd:double"&gt;-28.31034&lt;/D&gt;&lt;D xsi:type="xsd:double"&gt;16.305912&lt;/D&gt;&lt;D xsi:type="xsd:double"&gt;7.1133137&lt;/D&gt;&lt;D xsi:type="xsd:double"&gt;3.4193873&lt;/D&gt;&lt;D xsi:type="xsd:double"&gt;2.0121455&lt;/D&gt;&lt;D xsi:type="xsd:double"&gt;6.9594264&lt;/D&gt;&lt;D xsi:type="xsd:double"&gt;1.496172&lt;/D&gt;&lt;D xsi:type="xsd:double"&gt;5.0737023&lt;/D&gt;&lt;D xsi:type="xsd:double"&gt;0.19575357&lt;/D&gt;&lt;D xsi:type="xsd:double"&gt;2.4282932&lt;/D&gt;&lt;D xsi:type="xsd:double"&gt;1.1798382&lt;/D&gt;&lt;D xsi:type="xsd:double"&gt;3.8449407&lt;/D&gt;&lt;D xsi:type="xsd:double"&gt;2.6707172&lt;/D&gt;&lt;D xsi:type="xsd:double"&gt;9.340822&lt;/D&gt;&lt;D xsi:type="xsd:double"&gt;1.5679836&lt;/D&gt;&lt;D xsi:type="xsd:double"&gt;5.2417517&lt;/D&gt;&lt;D xsi:type="xsd:double"&gt;-1.3785958&lt;/D&gt;&lt;D xsi:type="xsd:double"&gt;4.7890186&lt;/D&gt;&lt;D xsi:type="xsd:double"&gt;1.9268751&lt;/D&gt;&lt;D xsi:type="xsd:double"&gt;6.4953923&lt;/D&gt;&lt;D xsi:type="xsd:double"&gt;-5.4164705&lt;/D&gt;&lt;D xsi:type="xsd:double"&gt;-0.44679046&lt;/D&gt;&lt;D xsi:type="xsd:double"&gt;8.757091&lt;/D&gt;&lt;D xsi:type="xsd:double"&gt;2.461946&lt;/D&gt;&lt;D xsi:type="xsd:double"&gt;3.713417&lt;/D&gt;&lt;D xsi:type="xsd:double"&gt;4.149115&lt;/D&gt;&lt;D xsi:type="xsd:double"&gt;-10.596567&lt;/D&gt;&lt;D xsi:type="xsd:double"&gt;-7.647729&lt;/D&gt;&lt;D xsi:type="xsd:double"&gt;5.8475256&lt;/D&gt;&lt;D xsi:type="xsd:double"&gt;4.9883485&lt;/D&gt;&lt;D xsi:type="xsd:double"&gt;-9.746891&lt;/D&gt;&lt;D xsi:type="xsd:double"&gt;9.102082&lt;/D&gt;&lt;D xsi:type="xsd:double"&gt;-9.650505&lt;/D&gt;&lt;D xsi:type="xsd:double"&gt;-7.124293&lt;/D&gt;&lt;D xsi:type="xsd:double"&gt;6.110811&lt;/D&gt;&lt;D xsi:type="xsd:double"&gt;-6.424361&lt;/D&gt;&lt;D xsi:type="xsd:double"&gt;3.4737468&lt;/D&gt;&lt;D xsi:type="xsd:double"&gt;6.6613674&lt;/D&gt;&lt;D xsi:type="xsd:double"&gt;1.3382912&lt;/D&gt;&lt;D xsi:type="xsd:double"&gt;0.8409858&lt;/D&gt;&lt;D xsi:type="xsd:double"&gt;3.4110427&lt;/D&gt;&lt;D xsi:type="xsd:double"&gt;-3.9392471&lt;/D&gt;&lt;D xsi:type="xsd:double"&gt;-4.125488&lt;/D&gt;&lt;D xsi:type="xsd:double"&gt;-6.312805&lt;/D&gt;&lt;D xsi:type="xsd:double"&gt;8.855891&lt;/D&gt;&lt;D xsi:type="xsd:double"&gt;5.3467274&lt;/D&gt;&lt;D xsi:t</t>
        </r>
      </text>
    </comment>
    <comment ref="A19" authorId="0" shapeId="0" xr:uid="{5B7A3D07-3356-4F18-A7B2-38F16DD0E7EC}">
      <text>
        <r>
          <rPr>
            <b/>
            <sz val="9"/>
            <color indexed="81"/>
            <rFont val="Tahoma"/>
            <charset val="1"/>
          </rPr>
          <t>ype="xsd:double"&gt;4.3013334&lt;/D&gt;&lt;D xsi:type="xsd:double"&gt;4.426849&lt;/D&gt;&lt;D xsi:type="xsd:double"&gt;0.11155605&lt;/D&gt;&lt;D xsi:type="xsd:double"&gt;-3.4098506&lt;/D&gt;&lt;D xsi:type="xsd:double"&gt;-4.8454046&lt;/D&gt;&lt;/FQL&gt;&lt;FQL&gt;&lt;Q&gt;EPOL^FMA_PE(NTMA,-10AY,0,AM,"PORTAGG","MEANR")&lt;/Q&gt;&lt;R&gt;121&lt;/R&gt;&lt;C&gt;1&lt;/C&gt;&lt;D xsi:type="xsd:double"&gt;13.7271994587284&lt;/D&gt;&lt;D xsi:type="xsd:double"&gt;13.7760260919751&lt;/D&gt;&lt;D xsi:type="xsd:double"&gt;13.2282435902094&lt;/D&gt;&lt;D xsi:type="xsd:double"&gt;13.4209078529239&lt;/D&gt;&lt;D xsi:type="xsd:double"&gt;13.5340876386908&lt;/D&gt;&lt;D xsi:type="xsd:double"&gt;13.4684490913007&lt;/D&gt;&lt;D xsi:type="xsd:double"&gt;13.3902777396654&lt;/D&gt;&lt;D xsi:type="xsd:double"&gt;13.4037107650889&lt;/D&gt;&lt;D xsi:type="xsd:double"&gt;13.3455050153728&lt;/D&gt;&lt;D xsi:type="xsd:double"&gt;13.4694706095058&lt;/D&gt;&lt;D xsi:type="xsd:double"&gt;13.7949218765388&lt;/D&gt;&lt;D xsi:type="xsd:double"&gt;14.9281224240045&lt;/D&gt;&lt;D xsi:type="xsd:double"&gt;14.5484891136179&lt;/D&gt;&lt;D xsi:type="xsd:double"&gt;13.4718417904622&lt;/D&gt;&lt;D xsi:type="xsd:double"&gt;12.7558485560644&lt;/D&gt;&lt;D xsi:type="xsd:double"&gt;12.5704297932142&lt;/D&gt;&lt;D xsi:type="xsd:double"&gt;11.9652023851083&lt;/D&gt;&lt;D xsi:type="xsd:double"&gt;12.3719220679081&lt;/D&gt;&lt;D xsi:type="xsd:double"&gt;11.7788618886853&lt;/D&gt;&lt;D xsi:type="xsd:double"&gt;12.2168954322443&lt;/D&gt;&lt;D xsi:type="xsd:double"&gt;11.7979157352269&lt;/D&gt;&lt;D xsi:type="xsd:double"&gt;13.064053452535&lt;/D&gt;&lt;D xsi:type="xsd:double"&gt;13.4118397163618&lt;/D&gt;&lt;D xsi:type="xsd:double"&gt;12.9997646161721&lt;/D&gt;&lt;D xsi:type="xsd:double"&gt;11.9173079649437&lt;/D&gt;&lt;D xsi:type="xsd:double"&gt;12.1625898958905&lt;/D&gt;&lt;D xsi:type="xsd:double"&gt;11.7752089635277&lt;/D&gt;&lt;D xsi:type="xsd:double"&gt;12.0633567407323&lt;/D&gt;&lt;D xsi:type="xsd:double"&gt;11.7204105746714&lt;/D&gt;&lt;D xsi:type="xsd:double"&gt;11.7160881666533&lt;/D&gt;&lt;D xsi:type="xsd:double"&gt;11.6211247425245&lt;/D&gt;&lt;D xsi:type="xsd:double"&gt;11.8410751376548&lt;/D&gt;&lt;D xsi:type="xsd:double"&gt;11.7720058699538&lt;/D&gt;&lt;D xsi:type="xsd:double"&gt;12.992710362741&lt;/D&gt;&lt;D xsi:type="xsd:double"&gt;12.3672745820421&lt;/D&gt;&lt;D xsi:type="xsd:double"&gt;12.4072424302482&lt;/D&gt;&lt;D xsi:type="xsd:double"&gt;12.3246361484088&lt;/D&gt;&lt;D xsi:type="xsd:double"&gt;12.423282369796&lt;/D&gt;&lt;D xsi:type="xsd:double"&gt;12.6473516539517&lt;/D&gt;&lt;D xsi:type="xsd:double"&gt;12.6038689456352&lt;/D&gt;&lt;D xsi:type="xsd:double"&gt;12.4500163672442&lt;/D&gt;&lt;D xsi:type="xsd:double"&gt;12.0949675683321&lt;/D&gt;&lt;D xsi:type="xsd:double"&gt;11.9801771089855&lt;/D&gt;&lt;D xsi:type="xsd:double"&gt;11.8244064648194&lt;/D&gt;&lt;D xsi:type="xsd:double"&gt;12.9025191556626&lt;/D&gt;&lt;D xsi:type="xsd:double"&gt;11.6202219653415&lt;/D&gt;&lt;D xsi:type="xsd:double"&gt;10.9465158018338&lt;/D&gt;&lt;D xsi:type="xsd:double"&gt;11.3939425482012&lt;/D&gt;&lt;D xsi:type="xsd:double"&gt;10.8781989210344&lt;/D&gt;&lt;D xsi:type="xsd:double"&gt;10.4973612267688&lt;/D&gt;&lt;D xsi:type="xsd:double"&gt;10.6050444748311&lt;/D&gt;&lt;D xsi:type="xsd:double"&gt;11.1930791657196&lt;/D&gt;&lt;D xsi:type="xsd:double"&gt;10.6924652102402&lt;/D&gt;&lt;D xsi:type="xsd:double"&gt;10.1772093248879&lt;/D&gt;&lt;D xsi:type="xsd:double"&gt;10.4971940081691&lt;/D&gt;&lt;D xsi:type="xsd:double"&gt;10.532137002441&lt;/D&gt;&lt;D xsi:type="xsd:double"&gt;10.9679108269492&lt;/D&gt;&lt;D xsi:type="xsd:double"&gt;10.7829493425065&lt;/D&gt;&lt;D xsi:type="xsd:double"&gt;11.1319217807753&lt;/D&gt;&lt;D xsi:type="xsd:double"&gt;11.3066739186412&lt;/D&gt;&lt;D xsi:type="xsd:double"&gt;10.1622328121738&lt;/D&gt;&lt;D xsi:type="xsd:double"&gt;10.6717295863819&lt;/D&gt;&lt;D xsi:type="xsd:double"&gt;10.7557656028123&lt;/D&gt;&lt;D xsi:type="xsd:double"&gt;9.74288028923953&lt;/D&gt;&lt;D xsi:type="xsd:double"&gt;9.71303076896243&lt;/D&gt;&lt;D xsi:type="xsd:double"&gt;10.0975311363147&lt;/D&gt;&lt;D xsi:type="xsd:double"&gt;10.1161266856206&lt;/D&gt;&lt;D xsi:type="xsd:double"&gt;10.1798589492042&lt;/D&gt;&lt;D xsi:type="xsd:double"&gt;10.3551506085625&lt;/D&gt;&lt;D xsi:type="xsd:double"&gt;10.5992072886222&lt;/D&gt;&lt;D xsi:type="xsd:double"&gt;7.78935092868438&lt;/D&gt;&lt;D xsi:type="xsd:double"&gt;11.0493585616824&lt;/D&gt;&lt;D xsi:type="xsd:double"&gt;11.948184380322&lt;/D&gt;&lt;D xsi:type="xsd:double"&gt;13.0899509660388&lt;/D&gt;&lt;D xsi:type="xsd:double"&gt;12.5639720690158&lt;/D&gt;&lt;D xsi:type="xsd:double"&gt;12.5184843061378&lt;/D&gt;&lt;D xsi:type="xsd:double"&gt;11.1905591741999&lt;/D&gt;&lt;D xsi:type="xsd:double"&gt;11.3236241562252&lt;/D&gt;&lt;D xsi:type="xsd:double"&gt;13.5343678348149&lt;/D&gt;&lt;D xsi:type="xsd:double"&gt;13.4690614291414&lt;/D&gt;&lt;D xsi:type="xsd:double"&gt;11.1285637807234&lt;/D&gt;&lt;D xsi:type="xsd:double"&gt;10.8615451875947&lt;/D&gt;&lt;D xsi:type="xsd:double"&gt;12.0825848355124&lt;/D&gt;&lt;D xsi:type="xsd:double"&gt;11.8529633123435&lt;/D&gt;&lt;D xsi:type="xsd:double"&gt;12.8549431502259&lt;/D&gt;&lt;D xsi:type="xsd:double"&gt;12.5453959249348&lt;/D&gt;&lt;D xsi:type="xsd:double"&gt;11.8870711363407&lt;/D&gt;&lt;D xsi:type="xsd:double"&gt;11.8274201057001&lt;/D&gt;&lt;D xsi:type="xsd:double"&gt;11.480594896371&lt;/D&gt;&lt;D xsi:type="xsd:double"&gt;11.9897321250688&lt;/D&gt;&lt;D xsi:type="xsd:double"&gt;11.2467776195826&lt;/D&gt;&lt;D xsi:type="xsd:double"&gt;10.2315774232564&lt;/D&gt;&lt;D xsi:type="xsd:double"&gt;10.4666857540124&lt;/D&gt;&lt;D xsi:type="xsd:double"&gt;9.36202778684109&lt;/D&gt;&lt;D xsi:type="xsd:double"&gt;9.35315476337756&lt;/D&gt;&lt;D xsi:type="xsd:double"&gt;8.08907689579685&lt;/D&gt;&lt;D xsi:type="xsd:double"&gt;6.98452817050243&lt;/D&gt;&lt;D xsi:type="xsd:double"&gt;6.44937849798035&lt;/D&gt;&lt;D xsi:type="xsd:double"&gt;6.08183607306055&lt;/D&gt;&lt;D xsi:type="xsd:double"&gt;6.21709200128435&lt;/D&gt;&lt;D xsi:type="xsd:double"&gt;5.7038240202848&lt;/D&gt;&lt;D xsi:type="xsd:double"&gt;6.40680456934377&lt;/D&gt;&lt;D xsi:type="xsd:double"&gt;7.20769913742058&lt;/D&gt;&lt;D xsi:type="xsd:double"&gt;7.57644063424221&lt;/D&gt;&lt;D xsi:type="xsd:double"&gt;8.03602955963365&lt;/D&gt;&lt;D xsi:type="xsd:double"&gt;7.5828497773997&lt;/D&gt;&lt;D xsi:type="xsd:double"&gt;6.96060805141522&lt;/D&gt;&lt;D xsi:type="xsd:double"&gt;7.11356378324218&lt;/D&gt;&lt;D xsi:type="xsd:double"&gt;7.49563269642623&lt;/D&gt;&lt;D xsi:type="xsd:double"&gt;7.9819617421187&lt;/D&gt;&lt;D xsi:type="xsd:double"&gt;8.10881920701761&lt;/D&gt;&lt;D xsi:type="xsd:double"&gt;8.18121729756842&lt;/D&gt;&lt;D xsi:type="xsd:double"&gt;7.93854479364337&lt;/D&gt;&lt;D xsi:type="xsd:double"&gt;8.08174030252016&lt;/D&gt;&lt;D xsi:type="xsd:double"&gt;8.37965015289193&lt;/D&gt;&lt;D xsi:type="xsd:double"&gt;8.54013164803889&lt;/D&gt;&lt;D xsi:type="xsd:double"&gt;8.03628553546756&lt;/D&gt;&lt;D xsi:type="xsd:double"&gt;9.36958233681759&lt;/D&gt;&lt;D xsi:type="xsd:double"&gt;9.0106207148334&lt;/D&gt;&lt;D xsi:type="xsd:double"&gt;8.70667552343435&lt;/D&gt;&lt;D xsi:type="xsd:double"&gt;9.02244933190269&lt;/D&gt;&lt;/FQL&gt;&lt;FQL&gt;&lt;Q&gt;EWT^FMA_PE(LTMA,-10AY,0,AM,"PORTAGG","MEANR")&lt;/Q&gt;&lt;R&gt;121&lt;/R&gt;&lt;C&gt;1&lt;/C&gt;&lt;D xsi:type="xsd:double"&gt;15.4831946216895&lt;/D&gt;&lt;D xsi:type="xsd:double"&gt;15.5154312667875&lt;/D&gt;&lt;D xsi:type="xsd:double"&gt;15.4210414611449&lt;/D&gt;&lt;D xsi:type="xsd:double"&gt;15.0720053471658&lt;/D&gt;&lt;D xsi:type="xsd:double"&gt;14.5140371601276&lt;/D&gt;&lt;D xsi:type="xsd:double"&gt;14.0101312153147&lt;/D&gt;&lt;D xsi:type="xsd:double"&gt;14.1668618977127&lt;/D&gt;&lt;D xsi:type="xsd:double"&gt;13.7364282622537&lt;/D&gt;&lt;D xsi:type="xsd:double"&gt;14.3477376240964&lt;/D&gt;&lt;D xsi:type="xsd:double"&gt;14.2616757586226&lt;/D&gt;&lt;D xsi:type="xsd:double"&gt;14.2744152743963&lt;/D&gt;&lt;D xsi:type="xsd:double"&gt;14.1777395528359&lt;/D&gt;&lt;D xsi:type="xsd:double"&gt;14.0359483158711&lt;/D&gt;&lt;D xsi:type="xsd:double"&gt;13.8723766080807&lt;/D&gt;&lt;D xsi:type="xsd:double"&gt;13.308121357504&lt;/D&gt;&lt;D xsi:type="xsd:double"&gt;12.436872560709&lt;/D&gt;&lt;D xsi:type="xsd:double"&gt;12.5522800021965&lt;/D&gt;&lt;D xsi:type="xsd:double"&gt;12.9153211847901&lt;/D&gt;&lt;D xsi:type="xsd:double"&gt;12.7727440630102&lt;/D&gt;&lt;D xsi:type="xsd:double"&gt;12.3275727572545&lt;/D&gt;&lt;D xsi:type="xsd:double"&gt;11.1494634602091&lt;/D&gt;&lt;D xsi:type="xsd:double"&gt;12.2561638151475&lt;/D&gt;&lt;D xsi:type="xsd:double"&gt;12.5260907245217&lt;/D&gt;&lt;D xsi:type="xsd:double"&gt;12.5050586573936&lt;/D&gt;&lt;D xsi:type="xsd:double"&gt;12.6084968806189&lt;/D&gt;&lt;D xsi:type="xsd:double"&gt;13.0106327412252&lt;/D&gt;&lt;D xsi:type="xsd:double"&gt;13.4027647271045&lt;/D&gt;&lt;D xsi:type="xsd:double"&gt;13.760986077729&lt;/D&gt;&lt;D xsi:type="xsd:double"&gt;14.2484691345022&lt;/D&gt;&lt;D xsi:type="xsd:double"&gt;14.3921839777148&lt;/D&gt;&lt;D xsi:type="xsd:double"&gt;14.1689488703138&lt;/D&gt;&lt;D xsi:type="xsd:double"&gt;14.0122999812048&lt;/D&gt;&lt;D xsi:type="xsd:double"&gt;14.3154070548951&lt;/D&gt;&lt;D xsi:type="xsd:double"&gt;14.6007168105909&lt;/D&gt;&lt;D xsi:type="xsd:double"&gt;14.493261163445&lt;/D&gt;&lt;D xsi:type="xsd:double"&gt;14.3100153495857&lt;/D&gt;&lt;D xsi:type="xsd:double"&gt;14.3447338307693&lt;/D&gt;&lt;D xsi:type="xsd:double"&gt;14.5646374145423&lt;/D&gt;&lt;D xsi:type="xsd:double"&gt;14.6927009172445&lt;/D&gt;&lt;D xsi:type="xsd:double"&gt;14.7520616837802&lt;/D&gt;&lt;D xsi:type="xsd:double"&gt;14.441939621727&lt;/D&gt;&lt;D xsi:type="xsd:double"&gt;14.7123583077454&lt;/D&gt;&lt;D xsi:type="xsd:double"&gt;14.9820737686409&lt;/D&gt;&lt;D xsi:type="xsd:double"&gt;14.5524528586223&lt;/D&gt;&lt;D xsi:type="xsd:double"&gt;15.2098082102502&lt;/D&gt;&lt;D xsi:type="xsd:double"&gt;14.4189207105054&lt;/D&gt;&lt;D xsi:type="xsd:double"&gt;14.4186706680699&lt;/D&gt;&lt;D xsi:type="xsd:double"&gt;14.280077601327&lt;/D&gt;&lt;D xsi:type="xsd:double"&gt;14.2868147466602&lt;/D&gt;&lt;D xsi:type="xsd:double"&gt;14.2074708387246&lt;/D&gt;&lt;D xsi:type="xsd:double"&gt;14.2143426767589&lt;/D&gt;&lt;D xsi:type="xsd:double"&gt;14.0819715297905&lt;/D&gt;&lt;D xsi:type="xsd:double"&gt;13.856543853483&lt;/D&gt;&lt;D xsi:type="xsd:double"&gt;12.6332192943357&lt;/D&gt;&lt;D xsi:type="xsd:double"&gt;12.3724545659049&lt;/D&gt;&lt;D xsi:type="xsd:double"&gt;12.460176391003&lt;/D&gt;&lt;D xsi:type="xsd:double"&gt;12.986114084661&lt;/D&gt;&lt;D xsi:type="xsd:double"&gt;13.9474019733847&lt;/D&gt;&lt;D xsi:type="xsd:double"&gt;14.2526307895211&lt;/D&gt;&lt;D xsi:type="xsd:double"&gt;14.5358661597837&lt;/D&gt;&lt;D xsi:type="xsd:double"&gt;14.2833219074731&lt;/D&gt;&lt;D xsi:type="xsd:double"&gt;14.8146769071722&lt;/D&gt;&lt;D xsi:type="xsd:double"&gt;15.1934768240343&lt;/D&gt;&lt;D xsi:type="xsd:double"&gt;14.9641112023149&lt;/D&gt;&lt;D xsi:type="xsd:double"&gt;15.602581465959&lt;/D&gt;&lt;D xsi:type="xsd:double"&gt;16.1187637366304&lt;/D&gt;&lt;D xsi:type="xsd:double"&gt;16.7017494727898&lt;/D&gt;&lt;D xsi:type="xsd:double"&gt;17.4638958580598&lt;/D&gt;&lt;D xsi:type="xsd:double"&gt;17.6417782795292&lt;/D&gt;&lt;D xsi:type="xsd:double"&gt;17.0059881996233&lt;/D&gt;&lt;D xsi:type="xsd:double"&gt;15.698634965018&lt;/D&gt;&lt;D xsi:type="xsd:double"&gt;16.1775307340792&lt;/D&gt;&lt;D xsi:type="xsd:double"&gt;16.465620121477&lt;/D&gt;&lt;D xsi:type="xsd:double"&gt;17.1490465042204&lt;/D&gt;&lt;D xsi:type="xsd:double"&gt;17.7993933212778&lt;/D&gt;&lt;D xsi:type="xsd:double"&gt;17.4325159235006&lt;/D&gt;&lt;D xsi:type="xsd:double"&gt;17.0141232172538&lt;/D&gt;&lt;D xsi:type="xsd:double"&gt;17.1603785837046&lt;/D&gt;&lt;D xsi:type="xsd:double"&gt;17.5006773034802&lt;/D&gt;&lt;D xsi:type="xsd:double"&gt;17.7591963182127&lt;/D&gt;&lt;D xsi:type="xsd:double"&gt;19.4868745393474&lt;/D&gt;&lt;D xsi:type="xsd:double"&gt;19.3067151377727&lt;/D&gt;&lt;D xsi:type="xsd:double"&gt;18.365970325228&lt;/D&gt;&lt;D xsi:type="xsd:double"&gt;18.0439080223651&lt;/D&gt;&lt;D xsi:type="xsd:double"&gt;16.86285768136&lt;/D&gt;&lt;D xsi:type="xsd:double"&gt;16.5971809292489&lt;/D&gt;&lt;D xsi:type="xsd:double"&gt;16.0254880406747&lt;/D&gt;&lt;D xsi:type="xsd:double"&gt;14.8167654528713&lt;/D&gt;&lt;D xsi:type="xsd:double"&gt;14.4233529997454&lt;/D&gt;&lt;D xsi:type="xsd:double"&gt;13.6183995139319&lt;/D&gt;&lt;D xsi:type="xsd:double"&gt;13.4158672862743&lt;/D&gt;&lt;D xsi:type="xsd:double"&gt;12.9671855610047&lt;/D&gt;&lt;D xsi:type="xsd:double"&gt;12.6804122343644&lt;/D&gt;&lt;D xsi:type="xsd:double"&gt;12.7106610036554&lt;/D&gt;&lt;D xsi:type="xsd:double"&gt;12.3569132057472&lt;/D&gt;&lt;D xsi:type="xsd:double"&gt;12.1313586632954&lt;/D&gt;&lt;D xsi:type="xsd:double"&gt;11.9090442347091&lt;/D&gt;&lt;D xsi:type="xsd:double"&gt;11.5254632386273&lt;/D&gt;&lt;D xsi:type="xsd:double"&gt;11.165253687654&lt;/D&gt;&lt;D xsi:type="xsd:double"&gt;11.2309458932785&lt;/D&gt;&lt;D xsi:type="xsd:double"&gt;10.6545894914484&lt;/D&gt;&lt;D xsi:type="xsd:double"&gt;9.84920912232626&lt;/D&gt;&lt;D xsi:type="xsd:double"&gt;10.9834429086257&lt;/D&gt;&lt;D xsi:type="xsd:double"&gt;10.8049689047315&lt;/D&gt;&lt;D xsi:type="xsd:double"&gt;11.5955349375563&lt;/D&gt;&lt;D xsi:type="xsd:double"&gt;12.4530779965089&lt;/D&gt;&lt;D xsi:type="xsd:double"&gt;12.8254316063933&lt;/D&gt;&lt;D xsi:type="xsd:double"&gt;13.1277995449462&lt;/D&gt;&lt;D xsi:type="xsd:double"&gt;14.0303941310716&lt;/D&gt;&lt;D xsi:type="xsd:double"&gt;14.9436664553427&lt;/D&gt;&lt;D xsi:type="xsd:double"&gt;15.7095400331861&lt;/D&gt;&lt;D xsi:type="xsd:double"&gt;15.9774942525369&lt;/D&gt;&lt;D xsi:type="xsd:double"&gt;16.1860385256328&lt;/D&gt;&lt;D xsi:type="xsd:double"&gt;16.3192845970888&lt;/D&gt;&lt;D xsi:type="xsd:double"&gt;17.4098728497858&lt;/D&gt;&lt;D xsi:type="xsd:double"&gt;18.4944354048933&lt;/D&gt;&lt;D xsi:type="xsd:double"&gt;19.017554461345&lt;/D&gt;&lt;D xsi:type="xsd:double"&gt;19.7663982347943&lt;/D&gt;&lt;D xsi:type="xsd:double"&gt;19.8827983659551&lt;/D&gt;&lt;D xsi:type="xsd:double"&gt;19.4307053770505&lt;/D&gt;&lt;D xsi:type="xsd:double"&gt;19.7761037170767&lt;/D&gt;&lt;/FQL&gt;&lt;FQL&gt;&lt;Q&gt;W-FDS^FG_PRICE(0)/MAX(FG_PRICE(0,-1AY))&lt;/Q&gt;&lt;R&gt;1&lt;/R&gt;&lt;C&gt;1&lt;/C&gt;&lt;D xsi:type="xsd:double"&gt;0.918119039789543&lt;/D&gt;&lt;/FQL&gt;&lt;FQL&gt;&lt;Q&gt;COPP-FDS^FG_PRICE_MAVG(0,,,,30)&lt;/Q&gt;&lt;R&gt;1&lt;/R&gt;&lt;C&gt;1&lt;/C&gt;&lt;D xsi:type="xsd:double"&gt;4.6452665&lt;/D&gt;&lt;/FQL&gt;&lt;FQL&gt;&lt;Q&gt;CAGDPY@MX^EE_ACTUAL_ANNUAL(MED,+1)&lt;/Q&gt;&lt;R&gt;1&lt;/R&gt;&lt;C&gt;1&lt;/C&gt;&lt;D xsi:type="xsd:double"&gt;-0.7&lt;/D&gt;&lt;/FQL&gt;&lt;FQL&gt;&lt;Q&gt;USDSAR^FG_PRICE_CHANGE(0,-1AY)&lt;/Q&gt;&lt;R&gt;1&lt;/R&gt;&lt;C&gt;1&lt;/C&gt;&lt;D xsi:type="xsd:double"&gt;0.014662743&lt;/D&gt;&lt;/FQL&gt;&lt;FQL&gt;&lt;Q&gt;USDEUR^FG_PRICE_CHANGE(0,-1AY)&lt;/Q&gt;&lt;R&gt;1&lt;/R&gt;&lt;C&gt;1&lt;/C&gt;&lt;D xsi:type="xsd:double"&gt;-0.44335127&lt;/D&gt;&lt;/FQL&gt;&lt;FQL&gt;&lt;Q&gt;USDPLN^FG_PRICE_CHANGE(0,-1AM)&lt;/Q&gt;&lt;R&gt;1&lt;/R&gt;&lt;C&gt;1&lt;/C&gt;&lt;D xsi:type="xsd:double"&gt;-2.333486&lt;/D&gt;&lt;/FQL&gt;&lt;FQL&gt;&lt;Q&gt;USDCLP^STD(FG_PRICE_CHANGE(0,-3AY,M))&lt;/Q&gt;&lt;R&gt;1&lt;/R&gt;&lt;C&gt;1&lt;/C&gt;&lt;D xsi:type="xsd:double"&gt;4.3981640909495&lt;/D&gt;&lt;/FQL&gt;&lt;FQL&gt;&lt;Q&gt;CNYA^FG_TOTAL_RETURNC(-10AY,0,AM)&lt;/Q&gt;&lt;R&gt;121&lt;/R&gt;&lt;C&gt;1&lt;/C&gt;&lt;D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xsi:type="xsd:double"&gt;4.191625&lt;/D&gt;&lt;D xsi:type="xsd:double"&gt;2.9885054&lt;/D&gt;&lt;D xsi:type="xsd:double"&gt;-2.5297582&lt;/D&gt;&lt;D xsi:type="xsd:double"&gt;0.4198432&lt;/D&gt;&lt;D xsi:type="xsd:double"&gt;0.7601738&lt;/D&gt;&lt;D xsi:type="xsd:double"&gt;-4.0984035&lt;/D&gt;&lt;D xsi:type="xsd:double"&gt;2.1522522&lt;/D&gt;&lt;D xsi:type="xsd:double"&gt;3.9797187&lt;/D&gt;&lt;D xsi:type="xsd:double"&gt;-0.26266575&lt;/D&gt;&lt;D xsi:type="xsd:double"&gt;0.3009796&lt;/D&gt;&lt;D xsi:type="xsd:double"&gt;-2.2880733&lt;/D&gt;&lt;D xsi:type="xsd:double"&gt;6.4662695&lt;/D&gt;&lt;D xsi:type="xsd:double"&gt;5.1303387&lt;/D&gt;&lt;D xsi:type="xsd:double"&gt;2.303958&lt;/D&gt;&lt;D xsi:type="xsd:double"&gt;3.3764243&lt;/D&gt;&lt;D xsi:type="xsd:double"&gt;1.2406826&lt;/D&gt;&lt;D xsi:type="xsd:double"&gt;6.0791254&lt;/D&gt;&lt;D xsi:type="xsd:double"&gt;-2.8743207&lt;/D&gt;&lt;D xsi:type="xsd:double"&gt;10.336161&lt;/D&gt;&lt;D xsi:type="xsd:double"&gt;-5.6378126&lt;/D&gt;&lt;D xsi:type="xsd:double"&gt;-5.2057924&lt;/D&gt;&lt;D xsi:type="xsd:double"&gt;-1.6387224&lt;/D&gt;&lt;D xsi:type="xsd:double"&gt;1.618123&lt;/D&gt;&lt;D xsi:type="xsd:double"&gt;-7.312292&lt;/D&gt;&lt;D xsi:type="xsd:double"&gt;-6.105554&lt;/D&gt;&lt;D xsi:type="xsd:double"&gt;-6.7413626&lt;/D&gt;&lt;D xsi:type="xsd:double"&gt;4.313183&lt;/D&gt;&lt;D xsi:type="xsd:double"&gt;-7.2881756&lt;/D&gt;&lt;D xsi:type="xsd:double"&gt;-1.6333997&lt;/D&gt;&lt;D xsi:type="xsd:double"&gt;-3.663689&lt;/D&gt;&lt;D xsi:type="xsd:double"&gt;7.23325&lt;/D&gt;&lt;D xsi:type="xsd:double"&gt;12.339544&lt;/D&gt;&lt;D xsi:type="xsd:double"&gt;6.4603806&lt;/D&gt;&lt;D xsi:type="xsd:double"&gt;5.755353&lt;/D&gt;&lt;D xsi:type="xsd:double"&gt;-12.817156&lt;/D&gt;&lt;D xsi:type="xsd:double"&gt;6.795764&lt;/D&gt;&lt;D xsi:type="xsd:double"&gt;-0.105929375&lt;/D&gt;&lt;D xsi:type="xsd:double"&gt;-3.7115633&lt;/D&gt;&lt;D xsi:type="xsd:double"&gt;3.7077785&lt;/D&gt;&lt;D xsi:type="xsd:double"&gt;1.0973454&lt;/D&gt;&lt;D xsi:type="xsd:double"&gt;-0.7703066&lt;/D&gt;&lt;D xsi:type="xsd:double"&gt;4.1041374&lt;/D&gt;&lt;D xsi:type="xsd:double"&gt;3.247869&lt;/D&gt;&lt;D xsi:type="xsd:double"&gt;2.450335&lt;/D&gt;&lt;D xsi:type="xsd:double"&gt;-14.603752&lt;/D&gt;&lt;D xsi:type="xsd:double"&gt;8.73679&lt;/D&gt;&lt;D xsi:type="xsd:double"&gt;-0.34806728&lt;/D&gt;&lt;D xsi:type="xsd:double"&gt;10.090709&lt;/D&gt;&lt;D xsi:type="xsd:double"&gt;15.234876&lt;/D&gt;&lt;D xsi:type="xsd:double"&gt;2.301228&lt;/D&gt;&lt;D xsi:type="xsd:double"&gt;-1.7008662&lt;/D&gt;&lt;D xsi:type="xsd:double"&gt;4.916239&lt;/D&gt;&lt;D xsi:type="xsd:double"&gt;5.706811&lt;/D&gt;&lt;D xsi:type="xsd:double"&gt;2.2272468&lt;/D&gt;&lt;D xsi:type="xsd:double"&gt;11.290336&lt;/D&gt;&lt;D xsi:type="xsd:double"&gt;0.9661794&lt;/D&gt;&lt;D xsi:type="xsd:double"&gt;-11.700744&lt;/D&gt;&lt;D xsi:type="xsd:double"&gt;4.95075&lt;/D&gt;&lt;D xsi:type="xsd:double"&gt;0.49283504&lt;/D&gt;&lt;D xsi:type="xsd:double"&gt;1.1928678&lt;/D&gt;&lt;D xsi:type="xsd:double"&gt;0.8553028&lt;/D&gt;&lt;D xsi:type="xsd:double"&gt;-3.6213636&lt;/D&gt;&lt;D xsi:type="xsd:double"&gt;0.737226&lt;/D&gt;&lt;D xsi:type="xsd:double"&gt;2.9272795&lt;/D&gt;&lt;D xsi:type="xsd:double"&gt;0.1376152&lt;/D&gt;&lt;D xsi:type="xsd:double"&gt;0.8748412&lt;/D&gt;&lt;D xsi:type="xsd:double"&gt;-4.3767157&lt;/D&gt;&lt;D xsi:type="xsd:double"&gt;-2.7318478&lt;/D&gt;&lt;D xsi:type="xsd:double"&gt;-7.6619864&lt;/D&gt;&lt;D xsi:type="xsd:double"&gt;-9.578443&lt;/D&gt;&lt;D xsi:type="xsd:double"&gt;1.0917664&lt;/D&gt;&lt;D xsi:type="xsd:double"&gt;7.439673&lt;/D&gt;&lt;D xsi:type="xsd:double"&gt;-3.130108&lt;/D&gt;&lt;D xsi:type="xsd:double"&gt;-1.1801124&lt;/D&gt;&lt;D xsi:type="xsd:double"&gt;-11.998856&lt;/D&gt;&lt;D xsi:type="xsd:double"&gt;-2.487886&lt;/D&gt;&lt;D xsi:type="xsd:double"&gt;1.358521&lt;/D&gt;&lt;D xsi:type="xsd:double"&gt;1.7693877&lt;/D&gt;&lt;D xsi:type="xsd:double"&gt;14.610076&lt;/D&gt;&lt;D xsi:type="xsd:double"&gt;-5.0244036&lt;/D&gt;&lt;D xsi:type="xsd:double"&gt;-1.118511&lt;/D&gt;&lt;D xsi:type="xsd:double"&gt;-1.5591502&lt;/D&gt;&lt;D xsi:type="xsd:double"&gt;-5.217391&lt;/D&gt;&lt;D xsi:type="xsd:double"&gt;-4.5209227&lt;/D&gt;&lt;D xsi:type="xsd:double"&gt;1.0034323&lt;/D&gt;&lt;D xsi:type="xsd:double"&gt;-4.3640494&lt;/D&gt;&lt;D xsi:type="xsd:double"&gt;1.0501981&lt;/D&gt;&lt;D xsi:type="xsd:double"&gt;-7.327813&lt;/D&gt;&lt;D xsi:type="xsd:double"&gt;4.5428634&lt;/D&gt;&lt;D xsi:type="xsd:double"&gt;-4.544836&lt;/D&gt;&lt;D xsi:type="xsd:double"&gt;-4.206353&lt;/D&gt;&lt;D xsi:type="xsd:double"&gt;7.207954&lt;/D&gt;&lt;D xsi:type="xsd:double"&gt;0.96600056&lt;/D&gt;&lt;D xsi:type="xsd:double"&gt;-1.0524273&lt;/D&gt;&lt;D xsi:type="xsd:double"&gt;3.0748367&lt;/D&gt;&lt;/FQL&gt;&lt;FQL&gt;&lt;Q&gt;EPHE^FMA_DIV_YLD(NTMA,-10AY,0,AM,"PORTAGG","MEANR")&lt;/Q&gt;&lt;R&gt;121&lt;/R&gt;&lt;C&gt;1&lt;/C&gt;&lt;D xsi:type="xsd:double"&gt;2.06979861084709&lt;/D&gt;&lt;D xsi:type="xsd:double"&gt;2.19331924996962&lt;/D&gt;&lt;D xsi:type="xsd:double"&gt;2.08138536770673&lt;/D&gt;&lt;D xsi:type="xsd:double"&gt;2.01400093553868&lt;/D&gt;&lt;D xsi:type="xsd:double"&gt;1.9498014947433&lt;/D&gt;&lt;D xsi:type="xsd:double"&gt;2.25023814723828&lt;/D&gt;&lt;D xsi:type="xsd:double"&gt;2.15995383112892&lt;/D&gt;&lt;D xsi:type="xsd:double"&gt;2.16746367267627&lt;/D&gt;&lt;D xsi:type="xsd:double"&gt;2.08416763815939&lt;/D&gt;&lt;D xsi:type="xsd:double"&gt;1.9609962038076&lt;/D&gt;&lt;D xsi:type="xsd:double"&gt;1.9047330369616&lt;/D&gt;&lt;D xsi:type="xsd:double"&gt;1.90753409165909&lt;/D&gt;&lt;D xsi:type="xsd:double"&gt;1.93393327375071&lt;/D&gt;&lt;D xsi:type="xsd:double"&gt;1.98356864989245&lt;/D&gt;&lt;D xsi:type="xsd:double"&gt;1.8805857236612&lt;/D&gt;&lt;D xsi:type="xsd:double"&gt;1.98722080630165&lt;/D&gt;&lt;D xsi:type="xsd:double"&gt;2.08948851410061&lt;/D&gt;&lt;D xsi:type="xsd:double"&gt;1.94649699346555&lt;/D&gt;&lt;D xsi:type="xsd:double"&gt;2.01282567637556&lt;/D&gt;&lt;D xsi:type="xsd:double"&gt;1.94738054480702&lt;/D&gt;&lt;D xsi:type="xsd:double"&gt;2.20088355024227&lt;/D&gt;&lt;D xsi:type="xsd:double"&gt;1.97785112770451&lt;/D&gt;&lt;D xsi:type="xsd:double"&gt;1.77608745778911&lt;/D&gt;&lt;D xsi:type="xsd:double"&gt;1.80827216840497&lt;/D&gt;&lt;D xsi:type="xsd:double"&gt;1.77371863900456&lt;/D&gt;&lt;D xsi:type="xsd:double"&gt;1.66365365012386&lt;/D&gt;&lt;D xsi:type="xsd:double"&gt;1.63409746364323&lt;/D&gt;&lt;D xsi:type="xsd:double"&gt;1.60366004250161&lt;/D&gt;&lt;D xsi:type="xsd:double"&gt;1.64005338598793&lt;/D&gt;&lt;D xsi:type="xsd:double"&gt;1.63127188243355&lt;/D&gt;&lt;D xsi:type="xsd:double"&gt;1.79271170506198&lt;/D&gt;&lt;D xsi:type="xsd:double"&gt;1.83606771549626&lt;/D&gt;&lt;D xsi:type="xsd:double"&gt;1.61487551716572&lt;/D&gt;&lt;D xsi:type="xsd:double"&gt;1.62066859300784&lt;/D&gt;&lt;D xsi:type="xsd:double"&gt;1.65085707430915&lt;/D&gt;&lt;D xsi:type="xsd:double"&gt;1.5966767247734&lt;/D&gt;&lt;D xsi:type="xsd:double"&gt;1.59871926658694&lt;/D&gt;&lt;D xsi:type="xsd:double"&gt;1.57148729532523&lt;/D&gt;&lt;D xsi:type="xsd:double"&gt;1.57255336234642&lt;/D&gt;&lt;D xsi:type="xsd:double"&gt;1.55739735257237&lt;/D&gt;&lt;D xsi:type="xsd:double"&gt;1.49476738708939&lt;/D&gt;&lt;D xsi:type="xsd:double"&gt;1.45108963824605&lt;/D&gt;&lt;D xsi:type="xsd:double"&gt;1.52567476342641&lt;/D&gt;&lt;D xsi:type="xsd:double"&gt;1.55479494171982&lt;/D&gt;&lt;D xsi:type="xsd:double"&gt;1.49382473266027&lt;/D&gt;&lt;D xsi:type="xsd:double"&gt;1.56999752168493&lt;/D&gt;&lt;D xsi:type="xsd:double"&gt;1.66241734549603&lt;/D&gt;&lt;D xsi:type="xsd:double"&gt;1.74303902942542&lt;/D&gt;&lt;D xsi:type="xsd:double"&gt;1.77997567676371&lt;/D&gt;&lt;D xsi:type="xsd:double"&gt;1.88647677602247&lt;/D&gt;&lt;D xsi:type="xsd:double"&gt;1.80176269199361&lt;/D&gt;&lt;D xsi:type="xsd:double"&gt;1.72320853289142&lt;/D&gt;&lt;D xsi:type="xsd:double"&gt;1.81367439695864&lt;/D&gt;&lt;D xsi:type="xsd:double"&gt;1.88389719702099&lt;/D&gt;&lt;D xsi:type="xsd:double"&gt;1.83998086914745&lt;/D&gt;&lt;D xsi:type="xsd:double"&gt;1.77977679441336&lt;/D&gt;&lt;D xsi:type="xsd:double"&gt;1.6727442898408&lt;/D&gt;&lt;D xsi:type="xsd:double"&gt;1.68648215485592&lt;/D&gt;&lt;D xsi:type="xsd:double"&gt;1.70487969480006&lt;/D&gt;&lt;D xsi:type="xsd:double"&gt;1.73413458551024&lt;/D&gt;&lt;D xsi:type="xsd:double"&gt;1.7773414534359&lt;/D&gt;&lt;D xsi:type="xsd:double"&gt;1.74867107074535&lt;/D&gt;&lt;D xsi:type="xsd:double"&gt;1.69312732054902&lt;/D&gt;&lt;D xsi:type="xsd:double"&gt;1.82116265064016&lt;/D&gt;&lt;D xsi:type="xsd:double"&gt;1.85712046209496&lt;/D&gt;&lt;D xsi:type="xsd:double"&gt;1.84891336228106&lt;/D&gt;&lt;D xsi:type="xsd:double"&gt;1.87667686193404&lt;/D&gt;&lt;D xsi:type="xsd:double"&gt;1.83120336582577&lt;/D&gt;&lt;D xsi:type="xsd:double"&gt;1.86491065165856&lt;/D&gt;&lt;D xsi:type="xsd:double"&gt;1.92573461151625&lt;/D&gt;&lt;D xsi:type="xsd:double"&gt;3.01646289910243&lt;/D&gt;&lt;D xsi:type="xsd:double"&gt;2.50722585552791&lt;/D&gt;&lt;D xsi:type="xsd:double"&gt;2.43221058115135&lt;/D&gt;&lt;D xsi:type="xsd:double"&gt;2.08130792252638&lt;/D&gt;&lt;D xsi:type="xsd:double"&gt;2.13519441568629&lt;/D&gt;&lt;D xsi:type="xsd:double"&gt;2.07984093653597&lt;/D&gt;&lt;D xsi:type="xsd:double"&gt;2.08820457389356&lt;/D&gt;&lt;D xsi:type="xsd:double"&gt;1.79510349799578&lt;/D&gt;&lt;D xsi:type="xsd:double"&gt;1.60752799523895&lt;/D&gt;&lt;D xsi:type="xsd:double"&gt;1.69419350691049&lt;/D&gt;&lt;D xsi:type="xsd:double"&gt;1.72028035957182&lt;/D&gt;&lt;D xsi:type="xsd:double"&gt;1.80930464457372&lt;/D&gt;&lt;D xsi:type="xsd:double"&gt;1.88068307743294&lt;/D&gt;&lt;D xsi:type="xsd:double"&gt;1.96291130217325&lt;/D&gt;&lt;D xsi:type="xsd:double"&gt;2.15433151374472&lt;/D&gt;&lt;D xsi:type="xsd:double"&gt;1.91602018309895&lt;/D&gt;&lt;D xsi:type="xsd:double"&gt;2.0378602203987&lt;/D&gt;&lt;D xsi:type="xsd:double"&gt;2.05433295624772&lt;/D&gt;&lt;D xsi:type="xsd:double"&gt;1.86569797641425&lt;/D&gt;&lt;D xsi:type="xsd:double"&gt;1.79034031219624&lt;/D&gt;&lt;D xsi:type="xsd:double"&gt;1.73013551026679&lt;/D&gt;&lt;D xsi:type="xsd:double"&gt;1.76712847167013&lt;/D&gt;&lt;D xsi:type="xsd:double"&gt;1.78941371430469&lt;/D&gt;&lt;D xsi:type="xsd:double"&gt;1.82183722488027&lt;/D&gt;&lt;D xsi:type="xsd:double"&gt;1.97169682208282&lt;/D&gt;&lt;D xsi:type="xsd:double"&gt;2.06394268630793&lt;/D&gt;&lt;D xsi:type="xsd:double"&gt;2.41817032412967&lt;/D&gt;&lt;D xsi:type="xsd:double"&gt;2.44071765556271&lt;/D&gt;&lt;D xsi:type="xsd:double"&gt;2.4553806999175&lt;/D&gt;&lt;D xsi:type="xsd:double"&gt;2.32709971709699&lt;/D&gt;&lt;D xsi:type="xsd:double"&gt;2.532631944956&lt;/D&gt;&lt;D xsi:type="xsd:double"&gt;2.66776847475069&lt;/D&gt;&lt;D xsi:type="xsd:double"&gt;2.45687251041435&lt;/D&gt;&lt;D xsi:type="xsd:double"&gt;2.37531697406478&lt;/D&gt;&lt;D xsi:type="xsd:double"&gt;2.23410599573001&lt;/D&gt;&lt;D xsi:type="xsd:double"&gt;2.41272988613056&lt;/D&gt;&lt;D xsi:type="xsd:double"&gt;2.70329256337796&lt;/D&gt;&lt;D xsi:type="xsd:double"&gt;2.7677935214282&lt;/D&gt;&lt;D xsi:type="xsd:double"&gt;2.85328560790176&lt;/D&gt;&lt;D xsi:type="xsd:double"&gt;2.98086573899311&lt;/D&gt;&lt;D xsi:type="xsd:double"&gt;2.91122780736753&lt;/D&gt;&lt;D xsi:type="xsd:double"&gt;3.11237775759041&lt;/D&gt;&lt;D xsi:type="xsd:double"&gt;2.88045767164727&lt;/D&gt;&lt;D xsi:type="xsd:double"&gt;2.96442600899246&lt;/D&gt;&lt;D xsi:type="xsd:double"&gt;3.06409033115524&lt;/D&gt;&lt;D xsi:type="xsd:double"&gt;3.19083083538314&lt;/D&gt;&lt;D xsi:type="xsd:double"&gt;3.09286187697792&lt;/D&gt;&lt;D xsi:type="xsd:double"&gt;2.67738345902915&lt;/D&gt;&lt;D xsi:type="xsd:double"&gt;2.72132238852309&lt;/D&gt;&lt;D xsi:type="xsd:double"&gt;2.93329229672818&lt;/D&gt;&lt;D xsi:type="xsd:double"&gt;3.14392395290996&lt;/D&gt;&lt;/FQL&gt;&lt;FQL&gt;&lt;Q&gt;CAGDPY@VN^EE_ACTUAL_ANNUAL(MED,+1)&lt;/Q&gt;&lt;R&gt;0&lt;/R&gt;&lt;C&gt;0&lt;/C&gt;&lt;/FQL&gt;&lt;FQL&gt;&lt;Q&gt;USDTRY^FG_PRICE_CHANGE(0,-6AM)&lt;/Q&gt;&lt;R&gt;1&lt;/R&gt;&lt;C&gt;1&lt;/C&gt;&lt;D xsi:type="xsd:double"&gt;11.748636&lt;/D&gt;&lt;/FQL&gt;&lt;FQL&gt;&lt;Q&gt;USDKRW^FG_PRICE_CHANGE(0,-6AM)&lt;/Q&gt;&lt;R&gt;1&lt;/R&gt;&lt;C&gt;1&lt;/C&gt;&lt;D xsi:type="xsd:double"&gt;5.0136805&lt;/D&gt;&lt;/FQL&gt;&lt;FQL&gt;&lt;Q&gt;USDMYR^STD(FG_PRICE_CHANGE(0,-1AY,AM))&lt;/Q&gt;&lt;R&gt;1&lt;/R&gt;&lt;C&gt;1&lt;/C&gt;&lt;D xsi:type="xsd:double"&gt;1.90213346366366&lt;/D&gt;&lt;/FQL&gt;&lt;FQL&gt;&lt;Q&gt;FC0000TH^FMA_EPS(NTMA,-20AY,0,CY,,"PORTAGG","MEANR")&lt;/Q&gt;&lt;R&gt;20&lt;/R&gt;&lt;C&gt;1&lt;/C&gt;&lt;D xsi:type="xsd:double"&gt;31.2696221195453&lt;/D&gt;&lt;D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xsi:type="xsd:double"&gt;48.1240323726985&lt;/D&gt;&lt;D xsi:type="xsd:double"&gt;34.7106307301713&lt;/D&gt;&lt;D xsi:type="xsd:double"&gt;40.2723415007705&lt;/D&gt;&lt;D xsi:type="xsd:double"&gt;42.4815782329109&lt;/D&gt;&lt;D xsi:type="xsd:double"&gt;40.1816074670961&lt;/D&gt;&lt;/FQL&gt;&lt;FQL&gt;&lt;Q&gt;SET-BKK^P_PRICE_RETURNS_PR('52W',2,-10AY,0,AM)&lt;/Q&gt;&lt;R&gt;121&lt;/R&gt;&lt;C&gt;1&lt;/C&gt;&lt;D xsi:type="xsd:double"&gt;-13.102656&lt;/D&gt;&lt;D xsi:type="xsd:double"&gt;4.8696876&lt;/D&gt;&lt;D xsi:type="xsd:double"&gt;1.8667698&lt;/D&gt;&lt;D xsi:type="xsd:double"&gt;15.176678&lt;/D&gt;&lt;D xsi:type="xsd:double"&gt;10.680866&lt;/D&gt;&lt;D xsi:type="xsd:double"&gt;5.170989&lt;/D&gt;&lt;D xsi:type="xsd:double"&gt;14.779115&lt;/D&gt;&lt;D xsi:type="xsd:double"&gt;15.460658&lt;/D&gt;&lt;D xsi:type="xsd:double"&gt;22.164726&lt;/D&gt;&lt;D xsi:type="xsd:double"&gt;22.211147&lt;/D&gt;&lt;D xsi:type="xsd:double"&gt;11.724365&lt;/D&gt;&lt;D xsi:type="xsd:double"&gt;8.53244&lt;/D&gt;&lt;D xsi:type="xsd:double"&gt;8.443583&lt;/D&gt;&lt;D xsi:type="xsd:double"&gt;2.3510575&lt;/D&gt;&lt;D xsi:type="xsd:double"&gt;-6.28584&lt;/D&gt;&lt;D xsi:type="xsd:double"&gt;-11.976206&lt;/D&gt;&lt;D xsi:type="xsd:double"&gt;-13.518387&lt;/D&gt;&lt;D xsi:type="xsd:double"&gt;-7.606083&lt;/D&gt;&lt;D xsi:type="xsd:double"&gt;-11.713523&lt;/D&gt;&lt;D xsi:type="xsd:double"&gt;-16.763002&lt;/D&gt;&lt;D xsi:type="xsd:double"&gt;-18.733734&lt;/D&gt;&lt;D xsi:type="xsd:double"&gt;-16.820484&lt;/D&gt;&lt;D xsi:type="xsd:double"&gt;-7.095349&lt;/D&gt;&lt;D xsi:type="xsd:double"&gt;-9.097874&lt;/D&gt;&lt;D xsi:type="xsd:double"&gt;-9.329599&lt;/D&gt;&lt;D xsi:type="xsd:double"&gt;-4.4457555&lt;/D&gt;&lt;D xsi:type="xsd:double"&gt;4.2332053&lt;/D&gt;&lt;D xsi:type="xsd:double"&gt;12.774515&lt;/D&gt;&lt;D xsi:type="xsd:double"&gt;8.559668&lt;/D&gt;&lt;D xsi:type="xsd:double"&gt;5.9732914&lt;/D&gt;&lt;D xsi:type="xsd:double"&gt;7.325959&lt;/D&gt;&lt;D xsi:type="xsd:double"&gt;18.47626&lt;/D&gt;&lt;D xsi:type="xsd:double"&gt;23.876404&lt;/D&gt;&lt;D xsi:type="xsd:double"&gt;18.217813&lt;/D&gt;&lt;D xsi:type="xsd:double"&gt;11.086559&lt;/D&gt;&lt;D xsi:type="xsd:double"&gt;10.261953&lt;/D&gt;&lt;D xsi:type="xsd:double"&gt;13.244653&lt;/D&gt;&lt;D xsi:type="xsd:double"&gt;10.161507&lt;/D&gt;&lt;D xsi:type="xsd:double"&gt;4.7121882&lt;/D&gt;&lt;D xsi:type="xsd:double"&gt;2.1635532&lt;/D&gt;&lt;D xsi:type="xsd:double"&gt;10.163414&lt;/D&gt;&lt;D xsi:type="xsd:double"&gt;13.388216&lt;/D&gt;&lt;D xsi:type="xsd:double"&gt;14.102221&lt;/D&gt;&lt;D xsi:type="xsd:double"&gt;15.820539&lt;/D&gt;&lt;D xsi:type="xsd:double"&gt;16.6152&lt;/D&gt;&lt;D xsi:type="xsd:double"&gt;15.359985&lt;/D&gt;&lt;D xsi:type="xsd:double"&gt;14.374137&lt;/D&gt;&lt;D xsi:type="xsd:double"&gt;14.020205&lt;/D&gt;&lt;D xsi:type="xsd:double"&gt;12.073326&lt;/D&gt;&lt;D xsi:type="xsd:double"&gt;3.4201741&lt;/D&gt;&lt;D xsi:type="xsd:double"&gt;6.497574&lt;/D&gt;&lt;D xsi:type="xsd:double"&gt;8.35272&lt;/D&gt;&lt;D xsi:type="xsd:double"&gt;5.126047&lt;/D&gt;&lt;D xsi:type="xsd:double"&gt;-2.009946&lt;/D&gt;&lt;D xsi:type="xsd:double"&gt;-4.994792&lt;/D&gt;&lt;D xsi:type="xsd:double"&gt;-8.151263&lt;/D&gt;&lt;D xsi:type="xsd:double"&gt;-11.704463&lt;/D&gt;&lt;D xsi:type="xsd:double"&gt;-7.236266&lt;/D&gt;&lt;D xsi:type="xsd:double"&gt;-8.465708&lt;/D&gt;&lt;D xsi:type="xsd:double"&gt;-6.638026&lt;/D&gt;&lt;D xsi:type="xsd:double"&gt;-8.200842&lt;/D&gt;&lt;D xsi:type="xsd:double"&gt;5.0598383&lt;/D&gt;&lt;D xsi:type="xsd:double"&gt;2.9312253&lt;/D&gt;&lt;D xsi:type="xsd:double"&gt;-3.409195&lt;/D&gt;&lt;D xsi:type="xsd:double"&gt;-7.5923023&lt;/D&gt;&lt;D xsi:type="xsd:double"&gt;-1.633954&lt;/D&gt;&lt;D xsi:type="xsd:double"&gt;-0.41635633&lt;/D&gt;&lt;D xsi:type="xsd:double"&gt;-1.3639808&lt;/D&gt;&lt;D xsi:type="xsd:double"&gt;-2.7006686&lt;/D&gt;&lt;D xsi:type="xsd:double"&gt;-9.241068&lt;/D&gt;&lt;D xsi:type="xsd:double"&gt;-37.7716&lt;/D&gt;&lt;D xsi:type="xsd:double"&gt;-23.860323&lt;/D&gt;&lt;D xsi:type="xsd:double"&gt;-19.849903&lt;/D&gt;&lt;D xsi:type="xsd:double"&gt;-21.006441&lt;/D&gt;&lt;D xsi:type="xsd:double"&gt;-21.173769&lt;/D&gt;&lt;D xsi:type="xsd:double"&gt;-20.691717&lt;/D&gt;&lt;D xsi:type="xsd:double"&gt;-22.10884&lt;/D&gt;&lt;D xsi:type="xsd:double"&gt;-25.612026&lt;/D&gt;&lt;D xsi:type="xsd:double"&gt;-11.09643&lt;/D&gt;&lt;D xsi:type="xsd:double"&gt;-10.012263&lt;/D&gt;&lt;D xsi:type="xsd:double"&gt;-4.871744&lt;/D&gt;&lt;D xsi:type="xsd:double"&gt;0.369215&lt;/D&gt;&lt;D xsi:type="xsd:double"&gt;52.69021&lt;/D&gt;&lt;D xsi:type="xsd:double"&gt;22.086704&lt;/D&gt;&lt;D xsi:type="xsd:double"&gt;17.547644&lt;/D&gt;&lt;D xsi:type="xsd:double"&gt;17.372799&lt;/D&gt;&lt;D xsi:type="xsd:double"&gt;13.639534&lt;/D&gt;&lt;D xsi:type="xsd:double"&gt;21.766996&lt;/D&gt;&lt;D xsi:type="xsd:double"&gt;29.045654&lt;/D&gt;&lt;D xsi:type="xsd:double"&gt;35.096348&lt;/D&gt;&lt;D xsi:type="xsd:double"&gt;15.909969&lt;/D&gt;&lt;D xsi:type="xsd:double"&gt;15.921378&lt;/D&gt;&lt;D xsi:type="xsd:double"&gt;9.198486&lt;/D&gt;&lt;D xsi:type="xsd:double"&gt;13.050688&lt;/D&gt;&lt;D xsi:type="xsd:double"&gt;7.2686553&lt;/D&gt;&lt;D xsi:type="xsd:double"&gt;7.8037977&lt;/D&gt;&lt;D xsi:type="xsd:double"&gt;5.3361177&lt;/D&gt;&lt;D xsi:type="xsd:double"&gt;-2.165091&lt;/D&gt;&lt;D xsi:type="xsd:double"&gt;0.023829937&lt;/D&gt;&lt;D xsi:type="xsd:double"&gt;3.2552242&lt;/D&gt;&lt;D xsi:type="xsd:double"&gt;0.034332275&lt;/D&gt;&lt;D xsi:type="xsd:double"&gt;-3.170222&lt;/D&gt;&lt;D xsi:type="xsd:double"&gt;-1.3374507&lt;/D&gt;&lt;D xsi:type="xsd:double"&gt;-1.4572263&lt;/D&gt;&lt;D xsi:type="xsd:double"&gt;1.8944502&lt;/D&gt;&lt;D xsi:type="xsd:double"&gt;-2.5924742&lt;/D&gt;&lt;D xsi:type="xsd:double"&gt;-5.023986&lt;/D&gt;&lt;D xsi:type="xsd:double"&gt;-7.8193545&lt;/D&gt;&lt;D xsi:type="xsd:double"&gt;-6.1420736&lt;/D&gt;&lt;D xsi:type="xsd:double"&gt;-3.344226&lt;/D&gt;&lt;D xsi:type="xsd:double"&gt;-1.103276&lt;/D&gt;&lt;D xsi:type="xsd:double"&gt;-5.176389&lt;/D&gt;&lt;D xsi:type="xsd:double"&gt;-7.457656&lt;/D&gt;&lt;D xsi:type="xsd:double"&gt;-12.141418&lt;/D&gt;&lt;D xsi:type="xsd:double"&gt;-13.407415&lt;/D&gt;&lt;D xsi:type="xsd:double"&gt;-13.087398&lt;/D&gt;&lt;D xsi:type="xsd:double"&gt;-19.447279&lt;/D&gt;&lt;D xsi:type="xsd:double"&gt;-15.390897&lt;/D&gt;&lt;D xsi:type="xsd:double"&gt;-12.872529&lt;/D&gt;&lt;D xsi:type="xsd:double"&gt;-12.891758&lt;/D&gt;&lt;D xsi:type="xsd:double"&gt;-10.880613&lt;/D&gt;&lt;/FQL&gt;&lt;FQL&gt;&lt;Q&gt;VNM^FG_TOTAL_RETURNC(-10AY,0,AM)&lt;/Q&gt;&lt;R&gt;121&lt;/R&gt;&lt;C&gt;1&lt;/C&gt;&lt;D xsi:type="xsd:double"&gt;0.049829483&lt;/D&gt;&lt;D xsi:type="xsd:double"&gt;1.5438199&lt;/D&gt;&lt;D xsi:type="xsd:double"&gt;7.748902&lt;/D&gt;&lt;D xsi:type="xsd:double"&gt;1.6841173&lt;/D&gt;&lt;D xsi:type="xsd:double"&gt;0&lt;/D&gt;&lt;D xsi:type="xsd:double"&gt;-5.416298&lt;/D&gt;&lt;D xsi:type="xsd:double"&gt;0.094652176&lt;/D&gt;&lt;D xsi:type="xsd:double"&gt;-9.486604&lt;/D&gt;&lt;D xsi:type="xsd:double"&gt;0.107359886&lt;/D&gt;&lt;D xsi:type="xsd:double"&gt;4.825735&lt;/D&gt;&lt;D xsi:type="xsd:double"&gt;-9.923267&lt;/D&gt;&lt;D xsi:type="xsd:double"&gt;3.6342978&lt;/D&gt;&lt;D xsi:type="xsd:double"&gt;-2.684933&lt;/D&gt;&lt;D xsi:type="xsd:double"&gt;3.0968428&lt;/D&gt;&lt;D xsi:type="xsd:double"&gt;2.6761293&lt;/D&gt;&lt;D xsi:type="xsd:double"&gt;-17.021269&lt;/D&gt;&lt;D xsi:type="xsd:double"&gt;0.70512295&lt;/D&gt;&lt;D xsi:type="xsd:double"&gt;10.948443&lt;/D&gt;&lt;D xsi:type="xsd:double"&gt;-6.024104&lt;/D&gt;&lt;D xsi:type="xsd:double"&gt;-9.590954&lt;/D&gt;&lt;D xsi:type="xsd:double"&gt;-9.07703&lt;/D&gt;&lt;D xsi:type="xsd:double"&gt;9.868932&lt;/D&gt;&lt;D xsi:type="xsd:double"&gt;-2.0350873&lt;/D&gt;&lt;D xsi:type="xsd:double"&gt;2.9369593&lt;/D&gt;&lt;D xsi:type="xsd:double"&gt;-0.06958842&lt;/D&gt;&lt;D xsi:type="xsd:double"&gt;3.621173&lt;/D&gt;&lt;D xsi:type="xsd:double"&gt;0.13440847&lt;/D&gt;&lt;D xsi:type="xsd:double"&gt;2.41611&lt;/D&gt;&lt;D xsi:type="xsd:double"&gt;-2.555704&lt;/D&gt;&lt;D xsi:type="xsd:double"&gt;-0.80699325&lt;/D&gt;&lt;D xsi:type="xsd:double"&gt;-6.779659&lt;/D&gt;&lt;D xsi:type="xsd:double"&gt;-4.9141407&lt;/D&gt;&lt;D xsi:type="xsd:double"&gt;5.799377&lt;/D&gt;&lt;D xsi:type="xsd:double"&gt;1.9999981&lt;/D&gt;&lt;D xsi:type="xsd:double"&gt;1.1619449&lt;/D&gt;&lt;D xsi:type="xsd:double"&gt;-0.71787834&lt;/D&gt;&lt;D xsi:type="xsd:double"&gt;1.4461279&lt;/D&gt;&lt;D xsi:type="xsd:double"&gt;5.4169655&lt;/D&gt;&lt;D xsi:type="xsd:double"&gt;-1.284647&lt;/D&gt;&lt;D xsi:type="xsd:double"&gt;-3.0137002&lt;/D&gt;&lt;D xsi:type="xsd:double"&gt;5.225992&lt;/D&gt;&lt;D xsi:type="xsd:double"&gt;3.288591&lt;/D&gt;&lt;D xsi:type="xsd:double"&gt;9.551657&lt;/D&gt;&lt;D xsi:type="xsd:double"&gt;1.8569231&lt;/D&gt;&lt;D xsi:type="xsd:double"&gt;15.384281&lt;/D&gt;&lt;D xsi:type="xsd:double"&gt;-2.498722&lt;/D&gt;&lt;D xsi:type="xsd:double"&gt;-2.6673675&lt;/D&gt;&lt;D xsi:type="xsd:double"&gt;-2.1493912&lt;/D&gt;&lt;D xsi:type="xsd:double"&gt;-8.182317&lt;/D&gt;&lt;D xsi:type="xsd:double"&gt;-2.3923397&lt;/D&gt;&lt;D xsi:type="xsd:double"&gt;-3.0637264&lt;/D&gt;&lt;D xsi:type="xsd:double"&gt;4.0455103&lt;/D&gt;&lt;D xsi:type="xsd:double"&gt;0.72904825&lt;/D&gt;&lt;D xsi:type="xsd:double"&gt;-6.9963813&lt;/D&gt;&lt;D xsi:type="xsd:double"&gt;-1.297015&lt;/D&gt;&lt;D xsi:type="xsd:double"&gt;-3.0920625&lt;/D&gt;&lt;D xsi:type="xsd:double"&gt;6.151736&lt;/D&gt;&lt;D xsi:type="xsd:double"&gt;9.465551&lt;/D&gt;&lt;D xsi:type="xsd:double"&gt;-3.1764746&lt;/D&gt;&lt;D xsi:type="xsd:double"&gt;2.430141&lt;/D&gt;&lt;D xsi:type="xsd:double"&gt;-2.6097298&lt;/D&gt;&lt;D xsi:type="xsd:double"&gt;-0.30450225&lt;/D&gt;&lt;D xsi:type="xsd:double"&gt;0.48869848&lt;/D&gt;&lt;D xsi:type="xsd:double"&gt;-5.2279654&lt;/D&gt;&lt;D xsi:type="xsd:double"&gt;2.629888&lt;/D&gt;&lt;D xsi:type="xsd:double"&gt;1.3124943&lt;/D&gt;&lt;D xsi:type="xsd:double"&gt;-1.1104167&lt;/D&gt;&lt;D xsi:type="xsd:double"&gt;-0.841552&lt;/D&gt;&lt;D xsi:type="xsd:double"&gt;1.9060493&lt;/D&gt;&lt;D xsi:type="xsd:double"&gt;-6.93624&lt;/D&gt;&lt;D xsi:type="xsd:double"&gt;-35.160427&lt;/D&gt;&lt;D xsi:type="xsd:double"&gt;23.81444&lt;/D&gt;&lt;D xsi:type="xsd:double"&gt;12.572861&lt;/D&gt;&lt;D xsi:type="xsd:double"&gt;2.7366877&lt;/D&gt;&lt;D xsi:type="xsd:double"&gt;2.5197983&lt;/D&gt;&lt;D xsi:type="xsd:double"&gt;-0.77247024&lt;/D&gt;&lt;D xsi:type="xsd:double"&gt;2.6185393&lt;/D&gt;&lt;D xsi:type="xsd:double"&gt;6.482756&lt;/D&gt;&lt;D xsi:type="xsd:double"&gt;4.2746186&lt;/D&gt;&lt;D xsi:type="xsd:double"&gt;4.532361&lt;/D&gt;&lt;D xsi:type="xsd:double"&gt;9.486877&lt;/D&gt;&lt;D xsi:type="xsd:double"&gt;-1.5803874&lt;/D&gt;&lt;D xsi:type="xsd:double"&gt;-2.7685523&lt;/D&gt;&lt;D xsi:type="xsd:double"&gt;10.706162&lt;/D&gt;&lt;D xsi:type="xsd:double"&gt;-1.7489731&lt;/D&gt;&lt;D xsi:type="xsd:double"&gt;5.0785303&lt;/D&gt;&lt;D xsi:type="xsd:double"&gt;-4.982561&lt;/D&gt;&lt;D xsi:type="xsd:double"&gt;1.5731573&lt;/D&gt;&lt;D xsi:type="xsd:double"&gt;1.8585324&lt;/D&gt;&lt;D xsi:type="xsd:double"&gt;-0.4561603&lt;/D&gt;&lt;D xsi:type="xsd:double"&gt;4.684317&lt;/D&gt;&lt;D xsi:type="xsd:double"&gt;0.9893179&lt;/D&gt;&lt;D xsi:type="xsd:double"&gt;-3.9690197&lt;/D&gt;&lt;D xsi:type="xsd:double"&gt;-0.80645084&lt;/D&gt;&lt;D xsi:type="xsd:double"&gt;-2.337402&lt;/D&gt;&lt;D xsi:type="xsd:double"&gt;-10.197705&lt;/D&gt;&lt;D xsi:type="xsd:double"&gt;-11.297798&lt;/D&gt;&lt;D xsi:type="xsd:double"&gt;-4.310912&lt;/D&gt;&lt;D xsi:type="xsd:double"&gt;-1.0238886&lt;/D&gt;&lt;D xsi:type="xsd:double"&gt;6.689656&lt;/D&gt;&lt;D xsi:type="xsd:double"&gt;-9.179056&lt;/D&gt;&lt;D xsi:type="xsd:double"&gt;-15.516019&lt;/D&gt;&lt;D xsi:type="xsd:double"&gt;-6.31845&lt;/D&gt;&lt;D xsi:type="xsd:double"&gt;10.166454&lt;/D&gt;&lt;D xsi:type="xsd:double"&gt;8.185887&lt;/D&gt;&lt;D xsi:type="xsd:double"&gt;-10.891092&lt;/D&gt;&lt;D xsi:type="xsd:double"&gt;0.7692337&lt;/D&gt;&lt;D xsi:type="xsd:double"&gt;0.9329915&lt;/D&gt;&lt;D xsi:type="xsd:double"&gt;3.6974788&lt;/D&gt;&lt;D xsi:type="xsd:double"&gt;9.724474&lt;/D&gt;&lt;D xsi:type="xsd:double"&gt;5.8345675&lt;/D&gt;&lt;D xsi:type="xsd:double"&gt;-0.06978512&lt;/D&gt;&lt;D xsi:type="xsd:double"&gt;-0.9776473&lt;/D&gt;&lt;D xsi:type="xsd:double"&gt;-10.648805&lt;/D&gt;&lt;D xsi:type="xsd:double"&gt;6.9455385&lt;/D&gt;&lt;D xsi:type="xsd:double"&gt;-1.9382894&lt;/D&gt;&lt;D xsi:type="xsd:double"&gt;1.6916871&lt;/D&gt;&lt;D xsi:type="xsd:double"&gt;1.9118309&lt;/D&gt;&lt;D xsi:type="xsd:double"&gt;5.13016&lt;/D&gt;&lt;D xsi:type="xsd:double"&gt;-12.527311&lt;/D&gt;&lt;D xsi:type="xsd:double"&gt;6.910908&lt;/D&gt;&lt;/FQL&gt;</t>
        </r>
      </text>
    </comment>
    <comment ref="A20" authorId="0" shapeId="0" xr:uid="{3468AB29-144A-4818-900D-209FE096B55B}">
      <text>
        <r>
          <rPr>
            <b/>
            <sz val="9"/>
            <color indexed="81"/>
            <rFont val="Tahoma"/>
            <charset val="1"/>
          </rPr>
          <t>&lt;FQL&gt;&lt;Q&gt;EPHE^FMA_PE(NTMA,-10AY,0,AM,"PORTAGG","MEANR")&lt;/Q&gt;&lt;R&gt;121&lt;/R&gt;&lt;C&gt;1&lt;/C&gt;&lt;D xsi:type="xsd:double"&gt;17.8091323245952&lt;/D&gt;&lt;D xsi:type="xsd:double"&gt;17.3689964802637&lt;/D&gt;&lt;D xsi:type="xsd:double"&gt;17.3930512541502&lt;/D&gt;&lt;D xsi:type="xsd:double"&gt;17.6910700491985&lt;/D&gt;&lt;D xsi:type="xsd:double"&gt;17.7647332299594&lt;/D&gt;&lt;D xsi:type="xsd:double"&gt;17.1799696932196&lt;/D&gt;&lt;D xsi:type="xsd:double"&gt;17.6577553785436&lt;/D&gt;&lt;D xsi:type="xsd:double"&gt;17.1417318835462&lt;/D&gt;&lt;D xsi:type="xsd:double"&gt;17.8495184185138&lt;/D&gt;&lt;D xsi:type="xsd:double"&gt;18.2663867802651&lt;/D&gt;&lt;D xsi:type="xsd:double"&gt;18.2809478797286&lt;/D&gt;&lt;D xsi:type="xsd:double"&gt;18.0715379316565&lt;/D&gt;&lt;D xsi:type="xsd:double"&gt;18.2071423959257&lt;/D&gt;&lt;D xsi:type="xsd:double"&gt;17.3924477943841&lt;/D&gt;&lt;D xsi:type="xsd:double"&gt;17.8305345053112&lt;/D&gt;&lt;D xsi:type="xsd:double"&gt;16.9991944636952&lt;/D&gt;&lt;D xsi:type="xsd:double"&gt;16.2498417815657&lt;/D&gt;&lt;D xsi:type="xsd:double"&gt;17.0430494115513&lt;/D&gt;&lt;D xsi:type="xsd:double"&gt;16.1106715867901&lt;/D&gt;&lt;D xsi:type="xsd:double"&gt;16.2215781963278&lt;/D&gt;&lt;D xsi:type="xsd:double"&gt;14.3798828850367&lt;/D&gt;&lt;D xsi:type="xsd:double"&gt;15.3194546620185&lt;/D&gt;&lt;D xsi:type="xsd:double"&gt;17.0585097036394&lt;/D&gt;&lt;D xsi:type="xsd:double"&gt;16.3289357152773&lt;/D&gt;&lt;D xsi:type="xsd:double"&gt;16.1777156967277&lt;/D&gt;&lt;D xsi:type="xsd:double"&gt;17.3914393651269&lt;/D&gt;&lt;D xsi:type="xsd:double"&gt;17.9522267291823&lt;/D&gt;&lt;D xsi:type="xsd:double"&gt;18.3305037917199&lt;/D&gt;&lt;D xsi:type="xsd:double"&gt;17.2715733345679&lt;/D&gt;&lt;D xsi:type="xsd:double"&gt;16.9850126692726&lt;/D&gt;&lt;D xsi:type="xsd:double"&gt;15.2240737136589&lt;/D&gt;&lt;D xsi:type="xsd:double"&gt;14.8999693688025&lt;/D&gt;&lt;D xsi:type="xsd:double"&gt;16.9459997887146&lt;/D&gt;&lt;D xsi:type="xsd:double"&gt;16.5070535748297&lt;/D&gt;&lt;D xsi:type="xsd:double"&gt;16.8085680863277&lt;/D&gt;&lt;D xsi:type="xsd:double"&gt;17.3087497363395&lt;/D&gt;&lt;D xsi:type="xsd:double"&gt;17.2743192704859&lt;/D&gt;&lt;D xsi:type="xsd:double"&gt;17.1334712270618&lt;/D&gt;&lt;D xsi:type="xsd:double"&gt;16.8420741693651&lt;/D&gt;&lt;D xsi:type="xsd:double"&gt;16.7711158628491&lt;/D&gt;&lt;D xsi:type="xsd:double"&gt;17.2405423398355&lt;/D&gt;&lt;D xsi:type="xsd:double"&gt;17.7705423308508&lt;/D&gt;&lt;D xsi:type="xsd:double"&gt;17.201437978786&lt;/D&gt;&lt;D xsi:type="xsd:double"&gt;17.3910650060143&lt;/D&gt;&lt;D xsi:type="xsd:double"&gt;18.2398605384679&lt;/D&gt;&lt;D xsi:type="xsd:double"&gt;17.1382605212851&lt;/D&gt;&lt;D xsi:type="xsd:double"&gt;16.1293855133695&lt;/D&gt;&lt;D xsi:type="xsd:double"&gt;15.5565873760622&lt;/D&gt;&lt;D xsi:type="xsd:double"&gt;15.7587991962807&lt;/D&gt;&lt;D xsi:type="xsd:double"&gt;14.7193804729653&lt;/D&gt;&lt;D xsi:type="xsd:double"&gt;15.010118604568&lt;/D&gt;&lt;D xsi:type="xsd:double"&gt;15.7423117521181&lt;/D&gt;&lt;D xsi:type="xsd:double"&gt;14.2413598131309&lt;/D&gt;&lt;D xsi:type="xsd:double"&gt;13.9429682884993&lt;/D&gt;&lt;D xsi:type="xsd:double"&gt;14.1142639167563&lt;/D&gt;&lt;D xsi:type="xsd:double"&gt;14.906149850723&lt;/D&gt;&lt;D xsi:type="xsd:double"&gt;15.6731254953092&lt;/D&gt;&lt;D xsi:type="xsd:double"&gt;15.4259942176227&lt;/D&gt;&lt;D xsi:type="xsd:double"&gt;15.4745445783692&lt;/D&gt;&lt;D xsi:type="xsd:double"&gt;15.2855795624263&lt;/D&gt;&lt;D xsi:type="xsd:double"&gt;15.2345042595471&lt;/D&gt;&lt;D xsi:type="xsd:double"&gt;15.5688609971535&lt;/D&gt;&lt;D xsi:type="xsd:double"&gt;15.7409814998528&lt;/D&gt;&lt;D xsi:type="xsd:double"&gt;14.7304771106015&lt;/D&gt;&lt;D xsi:type="xsd:double"&gt;13.9027861309999&lt;/D&gt;&lt;D xsi:type="xsd:double"&gt;13.9969049999486&lt;/D&gt;&lt;D xsi:type="xsd:double"&gt;13.7502545150976&lt;/D&gt;&lt;D xsi:type="xsd:double"&gt;14.2116254066445&lt;/D&gt;&lt;D xsi:type="xsd:double"&gt;13.6380923190062&lt;/D&gt;&lt;D xsi:type="xsd:double"&gt;13.1405573735678&lt;/D&gt;&lt;D xsi:type="xsd:double"&gt;8.66336595142784&lt;/D&gt;&lt;D xsi:type="xsd:double"&gt;11.3503192523669&lt;/D&gt;&lt;D xsi:type="xsd:double"&gt;13.0712789056667&lt;/D&gt;&lt;D xsi:type="xsd:double"&gt;15.7261435226596&lt;/D&gt;&lt;D xsi:type="xsd:double"&gt;15.1631893767273&lt;/D&gt;&lt;D xsi:type="xsd:double"&gt;16.0740398771962&lt;/D&gt;&lt;D xsi:type="xsd:double"&gt;15.6873872877877&lt;/D&gt;&lt;D xsi:type="xsd:double"&gt;16.9984768908694&lt;/D&gt;&lt;D xsi:type="xsd:double"&gt;17.9087056936707&lt;/D&gt;&lt;D xsi:type="xsd:double"&gt;16.6061707090937&lt;/D&gt;&lt;D xsi:type="xsd:double"&gt;16.4735059000033&lt;/D&gt;&lt;D xsi:type="xsd:double"&gt;15.5265011142114&lt;/D&gt;&lt;D xsi:type="xsd:double"&gt;14.866392117219&lt;/D&gt;&lt;D xsi:type="xsd:double"&gt;14.6188803589932&lt;/D&gt;&lt;D xsi:type="xsd:double"&gt;14.6113582931472&lt;/D&gt;&lt;D xsi:type="xsd:double"&gt;16.4625185652199&lt;/D&gt;&lt;D xsi:type="xsd:double"&gt;15.0851613697466&lt;/D&gt;&lt;D xsi:type="xsd:double"&gt;15.0512112027516&lt;/D&gt;&lt;D xsi:type="xsd:double"&gt;15.7182434421921&lt;/D&gt;&lt;D xsi:type="xsd:double"&gt;16.7652475571189&lt;/D&gt;&lt;D xsi:type="xsd:double"&gt;16.3096500746036&lt;/D&gt;&lt;D xsi:type="xsd:double"&gt;15.4444760689679&lt;/D&gt;&lt;D xsi:type="xsd:double"&gt;15.205829800579&lt;/D&gt;&lt;D xsi:type="xsd:double"&gt;15.2624531816771&lt;/D&gt;&lt;D xsi:type="xsd:double"&gt;14.4590986145282&lt;/D&gt;&lt;D xsi:type="xsd:double"&gt;14.2673453735199&lt;/D&gt;&lt;D xsi:type="xsd:double"&gt;13.0489901683579&lt;/D&gt;&lt;D xsi:type="xsd:double"&gt;12.2312706584293&lt;/D&gt;&lt;D xsi:type="xsd:double"&gt;12.6296442093996&lt;/D&gt;&lt;D xsi:type="xsd:double"&gt;12.8163966356287&lt;/D&gt;&lt;D xsi:type="xsd:double"&gt;12.0306773054252&lt;/D&gt;&lt;D xsi:type="xsd:double"&gt;11.5140487000123&lt;/D&gt;&lt;D xsi:type="xsd:double"&gt;12.1177660067231&lt;/D&gt;&lt;D xsi:type="xsd:double"&gt;12.400337467362&lt;/D&gt;&lt;D xsi:type="xsd:double"&gt;13.3955773792664&lt;/D&gt;&lt;D xsi:type="xsd:double"&gt;12.359333613971&lt;/D&gt;&lt;D xsi:type="xsd:double"&gt;11.6540535519931&lt;/D&gt;&lt;D xsi:type="xsd:double"&gt;11.469028095166&lt;/D&gt;&lt;D xsi:type="xsd:double"&gt;11.0113419995261&lt;/D&gt;&lt;D xsi:type="xsd:double"&gt;10.023959958511&lt;/D&gt;&lt;D xsi:type="xsd:double"&gt;10.356975928356&lt;/D&gt;&lt;D xsi:type="xsd:double"&gt;9.34461513931624&lt;/D&gt;&lt;D xsi:type="xsd:double"&gt;9.69241845320896&lt;/D&gt;&lt;D xsi:type="xsd:double"&gt;9.56558669293152&lt;/D&gt;&lt;D xsi:type="xsd:double"&gt;9.53842425734278&lt;/D&gt;&lt;D xsi:type="xsd:double"&gt;9.40413157660597&lt;/D&gt;&lt;D xsi:type="xsd:double"&gt;9.56000467568889&lt;/D&gt;&lt;D xsi:type="xsd:double"&gt;10.0632758918828&lt;/D&gt;&lt;D xsi:type="xsd:double"&gt;9.45046865729781&lt;/D&gt;&lt;D xsi:type="xsd:double"&gt;8.90898982945953&lt;/D&gt;&lt;D xsi:type="xsd:double"&gt;8.95011612954701&lt;/D&gt;&lt;/FQL&gt;&lt;FQL&gt;&lt;Q&gt;EWM^FMA_PE(LTMA,-10AY,0,AM,"PORTAGG","MEANR")&lt;/Q&gt;&lt;R&gt;121&lt;/R&gt;&lt;C&gt;1&lt;/C&gt;&lt;D xsi:type="xsd:double"&gt;16.7008305445704&lt;/D&gt;&lt;D xsi:type="xsd:double"&gt;16.7583268048493&lt;/D&gt;&lt;D xsi:type="xsd:double"&gt;16.6667752339822&lt;/D&gt;&lt;D xsi:type="xsd:double"&gt;16.8283562957302&lt;/D&gt;&lt;D xsi:type="xsd:double"&gt;16.7207529059877&lt;/D&gt;&lt;D xsi:type="xsd:double"&gt;16.5172486279666&lt;/D&gt;&lt;D xsi:type="xsd:double"&gt;16.5163080322119&lt;/D&gt;&lt;D xsi:type="xsd:double"&gt;16.2475925985985&lt;/D&gt;&lt;D xsi:type="xsd:double"&gt;16.6139224295511&lt;/D&gt;&lt;D xsi:type="xsd:double"&gt;16.5872187876617&lt;/D&gt;&lt;D xsi:type="xsd:double"&gt;16.9910540716677&lt;/D&gt;&lt;D xsi:type="xsd:double"&gt;17.0274471457764&lt;/D&gt;&lt;D xsi:type="xsd:double"&gt;16.8646072773774&lt;/D&gt;&lt;D xsi:type="xsd:double"&gt;16.6181136258085&lt;/D&gt;&lt;D xsi:type="xsd:double"&gt;16.6314576270566&lt;/D&gt;&lt;D xsi:type="xsd:double"&gt;15.6738478367219&lt;/D&gt;&lt;D xsi:type="xsd:double"&gt;16.0862646566369&lt;/D&gt;&lt;D xsi:type="xsd:double"&gt;16.8395365215049&lt;/D&gt;&lt;D xsi:type="xsd:double"&gt;16.5486437236965&lt;/D&gt;&lt;D xsi:type="xsd:double"&gt;16.6001865603714&lt;/D&gt;&lt;D xsi:type="xsd:double"&gt;16.1083184296426&lt;/D&gt;&lt;D xsi:type="xsd:double"&gt;16.6711938218841&lt;/D&gt;&lt;D xsi:type="xsd:double"&gt;16.6853593309741&lt;/D&gt;&lt;D xsi:type="xsd:double"&gt;16.6822526801075&lt;/D&gt;&lt;D xsi:type="xsd:double"&gt;16.4043366623212&lt;/D&gt;&lt;D xsi:type="xsd:double"&gt;16.6431419613803&lt;/D&gt;&lt;D xsi:type="xsd:double"&gt;16.7810270485675&lt;/D&gt;&lt;D xsi:type="xsd:double"&gt;16.938769820785&lt;/D&gt;&lt;D xsi:type="xsd:double"&gt;17.2384216656094&lt;/D&gt;&lt;D xsi:type="xsd:double"&gt;17.3356311468811&lt;/D&gt;&lt;D xsi:type="xsd:double"&gt;17.1008517523239&lt;/D&gt;&lt;D xsi:type="xsd:double"&gt;16.7682376954192&lt;/D&gt;&lt;D xsi:type="xsd:double"&gt;17.2229642309066&lt;/D&gt;&lt;D xsi:type="xsd:double"&gt;17.0799570917107&lt;/D&gt;&lt;D xsi:type="xsd:double"&gt;17.1338415333358&lt;/D&gt;&lt;D xsi:type="xsd:double"&gt;17.1871377610397&lt;/D&gt;&lt;D xsi:type="xsd:double"&gt;17.2717679442048&lt;/D&gt;&lt;D xsi:type="xsd:double"&gt;17.2425100242741&lt;/D&gt;&lt;D xsi:type="xsd:double"&gt;17.1800098663264&lt;/D&gt;&lt;D xsi:type="xsd:double"&gt;17.3451530906898&lt;/D&gt;&lt;D xsi:type="xsd:double"&gt;17.4925286054143&lt;/D&gt;&lt;D xsi:type="xsd:double"&gt;17.3456870953872&lt;/D&gt;&lt;D xsi:type="xsd:double"&gt;17.1937653054876&lt;/D&gt;&lt;D xsi:type="xsd:double"&gt;17.9723407584955&lt;/D&gt;&lt;D xsi:type="xsd:double"&gt;18.7462988759463&lt;/D&gt;&lt;D xsi:type="xsd:double"&gt;18.6661799211521&lt;/D&gt;&lt;D xsi:type="xsd:double"&gt;18.4590836893561&lt;/D&gt;&lt;D xsi:type="xsd:double"&gt;18.3145372413857&lt;/D&gt;&lt;D xsi:type="xsd:double"&gt;17.9844653090264&lt;/D&gt;&lt;D xsi:type="xsd:double"&gt;17.5780210452598&lt;/D&gt;&lt;D xsi:type="xsd:double"&gt;17.7306308333789&lt;/D&gt;&lt;D xsi:type="xsd:double"&gt;17.9555086411877&lt;/D&gt;&lt;D xsi:type="xsd:double"&gt;17.7978139961353&lt;/D&gt;&lt;D xsi:type="xsd:double"&gt;16.6874290200005&lt;/D&gt;&lt;D xsi:type="xsd:double"&gt;16.6800761293137&lt;/D&gt;&lt;D xsi:type="xsd:double"&gt;16.7264276810419&lt;/D&gt;&lt;D xsi:type="xsd:double"&gt;16.8648738352677&lt;/D&gt;&lt;D xsi:type="xsd:double"&gt;17.314002232134&lt;/D&gt;&lt;D xsi:type="xsd:double"&gt;17.0206349661919&lt;/D&gt;&lt;D xsi:type="xsd:double"&gt;16.8879548061931&lt;/D&gt;&lt;D xsi:type="xsd:double"&gt;16.7269513439175&lt;/D&gt;&lt;D xsi:type="xsd:double"&gt;17.2690487351921&lt;/D&gt;&lt;D xsi:type="xsd:double"&gt;17.1602198897679&lt;/D&gt;&lt;D xsi:type="xsd:double"&gt;16.9276300646964&lt;/D&gt;&lt;D xsi:type="xsd:double"&gt;16.8391216226526&lt;/D&gt;&lt;D xsi:type="xsd:double"&gt;16.6008397446361&lt;/D&gt;&lt;D xsi:type="xsd:double"&gt;16.8419269753663&lt;/D&gt;&lt;D xsi:type="xsd:double"&gt;17.2890530498992&lt;/D&gt;&lt;D xsi:type="xsd:double"&gt;16.8042729590786&lt;/D&gt;&lt;D xsi:type="xsd:double"&gt;16.3450877165416&lt;/D&gt;&lt;D xsi:type="xsd:double"&gt;15.910364432761&lt;/D&gt;&lt;D xsi:type="xsd:double"&gt;16.4688780806126&lt;/D&gt;&lt;D xsi:type="xsd:double"&gt;17.5219627090869&lt;/D&gt;&lt;D xsi:type="xsd:double"&gt;18.6191751968222&lt;/D&gt;&lt;D xsi:type="xsd:double"&gt;19.7176803428566&lt;/D&gt;&lt;D xsi:type="xsd:double"&gt;19.7631259638191&lt;/D&gt;&lt;D xsi:type="xsd:double"&gt;19.8466939207502&lt;/D&gt;&lt;D xsi:type="xsd:double"&gt;20.3835617461295&lt;/D&gt;&lt;D xsi:type="xsd:double"&gt;21.0083847514173&lt;/D&gt;&lt;D xsi:type="xsd:double"&gt;21.364298245041&lt;/D&gt;&lt;D xsi:type="xsd:double"&gt;20.4168015604667&lt;/D&gt;&lt;D xsi:type="xsd:double"&gt;18.9991971957688&lt;/D&gt;&lt;D xsi:type="xsd:double"&gt;19.3831232070239&lt;/D&gt;&lt;D xsi:type="xsd:double"&gt;18.7892332895978&lt;/D&gt;&lt;D xsi:type="xsd:double"&gt;18.0918228265524&lt;/D&gt;&lt;D xsi:type="xsd:double"&gt;17.489025486485&lt;/D&gt;&lt;D xsi:type="xsd:double"&gt;16.7760515234372&lt;/D&gt;&lt;D xsi:type="xsd:double"&gt;16.0487860404735&lt;/D&gt;&lt;D xsi:type="xsd:double"&gt;15.6887236349148&lt;/D&gt;&lt;D xsi:type="xsd:double"&gt;15.5925142161326&lt;/D&gt;&lt;D xsi:type="xsd:double"&gt;14.2911045093577&lt;/D&gt;&lt;D xsi:type="xsd:double"&gt;15.1279987415865&lt;/D&gt;&lt;D xsi:type="xsd:double"&gt;15.1353917383149&lt;/D&gt;&lt;D xsi:type="xsd:double"&gt;15.5856619745777&lt;/D&gt;&lt;D xsi:type="xsd:double"&gt;15.9256946578065&lt;/D&gt;&lt;D xsi:type="xsd:double"&gt;15.8679054128664&lt;/D&gt;&lt;D xsi:type="xsd:double"&gt;15.5800283274423&lt;/D&gt;&lt;D xsi:type="xsd:double"&gt;15.0571640909308&lt;/D&gt;&lt;D xsi:type="xsd:double"&gt;15.1571454334335&lt;/D&gt;&lt;D xsi:type="xsd:double"&gt;15.1657818109491&lt;/D&gt;&lt;D xsi:type="xsd:double"&gt;14.6735236159084&lt;/D&gt;&lt;D xsi:type="xsd:double"&gt;14.7578659974233&lt;/D&gt;&lt;D xsi:type="xsd:double"&gt;14.6373670912416&lt;/D&gt;&lt;D xsi:type="xsd:double"&gt;14.8268576417979&lt;/D&gt;&lt;D xsi:type="xsd:double"&gt;15.0098815107106&lt;/D&gt;&lt;D xsi:type="xsd:double"&gt;14.8708834732297&lt;/D&gt;&lt;D xsi:type="xsd:double"&gt;14.7070752017945&lt;/D&gt;&lt;D xsi:type="xsd:double"&gt;14.6112743191983&lt;/D&gt;&lt;D xsi:type="xsd:double"&gt;14.4699383911359&lt;/D&gt;&lt;D xsi:type="xsd:double"&gt;14.5323455785867&lt;/D&gt;&lt;D xsi:type="xsd:double"&gt;14.6187994870827&lt;/D&gt;&lt;D xsi:type="xsd:double"&gt;14.8033936501947&lt;/D&gt;&lt;D xsi:type="xsd:double"&gt;14.938632414208&lt;/D&gt;&lt;D xsi:type="xsd:double"&gt;14.8282829343474&lt;/D&gt;&lt;D xsi:type="xsd:double"&gt;15.0023990368631&lt;/D&gt;&lt;D xsi:type="xsd:double"&gt;15.1306951108889&lt;/D&gt;&lt;D xsi:type="xsd:double"&gt;15.2772909547238&lt;/D&gt;&lt;D xsi:type="xsd:double"&gt;15.616319528567&lt;/D&gt;&lt;D xsi:type="xsd:double"&gt;15.7286719216449&lt;/D&gt;&lt;D xsi:type="xsd:double"&gt;15.6239348923329&lt;/D&gt;&lt;D xsi:type="xsd:double"&gt;15.6944971582858&lt;/D&gt;&lt;/FQL&gt;&lt;FQL&gt;&lt;Q&gt;W-FDS^FG_PRICE_CHANGE(0,-3AM)&lt;/Q&gt;&lt;R&gt;1&lt;/R&gt;&lt;C&gt;1&lt;/C&gt;&lt;D xsi:type="xsd:double"&gt;21.7088055797733&lt;/D&gt;&lt;/FQL&gt;&lt;FQL&gt;&lt;Q&gt;COPP-FDS^FG_PRICE(0)&lt;/Q&gt;&lt;R&gt;1&lt;/R&gt;&lt;C&gt;1&lt;/C&gt;&lt;D xsi:type="xsd:double"&gt;4.8165&lt;/D&gt;&lt;/FQL&gt;&lt;FQL&gt;&lt;Q&gt;QAT^FG_PRICE_MAVG(0,,,,60)&lt;/Q&gt;&lt;R&gt;1&lt;/R&gt;&lt;C&gt;1&lt;/C&gt;&lt;D xsi:type="xsd:double"&gt;17.539284&lt;/D&gt;&lt;/FQL&gt;&lt;FQL&gt;&lt;Q&gt;EPU^FG_TOTAL_RETURNC(0,-6AM)&lt;/Q&gt;&lt;R&gt;1&lt;/R&gt;&lt;C&gt;1&lt;/C&gt;&lt;D xsi:type="xsd:double"&gt;41.42865&lt;/D&gt;&lt;/FQL&gt;&lt;FQL&gt;&lt;Q&gt;EPHE^FG_TOTAL_RETURNC(0,-6AM)&lt;/Q&gt;&lt;R&gt;1&lt;/R&gt;&lt;C&gt;1&lt;/C&gt;&lt;D xsi:type="xsd:double"&gt;2.472663&lt;/D&gt;&lt;/FQL&gt;&lt;FQL&gt;&lt;Q&gt;SPY^FG_TOTAL_RETURNC(0,-6AM)&lt;/Q&gt;&lt;R&gt;1&lt;/R&gt;&lt;C&gt;1&lt;/C&gt;&lt;D xsi:type="xsd:double"&gt;16.423046&lt;/D&gt;&lt;/FQL&gt;&lt;FQL&gt;&lt;Q&gt;SPY^FMA_COS_UP("EPS","1M",+1,NOW,,,"PORTAGG","MEANR")&lt;/Q&gt;&lt;R&gt;1&lt;/R&gt;&lt;C&gt;1&lt;/C&gt;&lt;D xsi:type="xsd:double"&gt;271&lt;/D&gt;&lt;/FQL&gt;&lt;FQL&gt;&lt;Q&gt;INDA^FMA_COS_DOWN("EPS","1M",+1,NOW,,,"PORTAGG","MEANR")&lt;/Q&gt;&lt;R&gt;1&lt;/R&gt;&lt;C&gt;1&lt;/C&gt;&lt;D xsi:type="xsd:double"&gt;59&lt;/D&gt;&lt;/FQL&gt;&lt;FQL&gt;&lt;Q&gt;ECH^SIZE(FG_CONSTITUENTS)&lt;/Q&gt;&lt;R&gt;1&lt;/R&gt;&lt;C&gt;1&lt;/C&gt;&lt;D xsi:type="xsd:long"&gt;29&lt;/D&gt;&lt;/FQL&gt;&lt;FQL&gt;&lt;Q&gt;EWT^FMA_RBICS_REV_CURRENT(30, LOC, "PORTAGG")&lt;/Q&gt;&lt;R&gt;1&lt;/R&gt;&lt;C&gt;1&lt;/C&gt;&lt;D xsi:type="xsd:double"&gt;18.3096455592651&lt;/D&gt;&lt;/FQL&gt;&lt;FQL&gt;&lt;Q&gt;TRYCA10Y-FDS^FG_YIELD(-10AY,0,Y,,"YTM")&lt;/Q&gt;&lt;R&gt;10&lt;/R&gt;&lt;C&gt;1&lt;/C&gt;&lt;D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xsi:type="xsd:double"&gt;3.0987&lt;/D&gt;&lt;/FQL&gt;&lt;FQL&gt;&lt;Q&gt;CAGDPY@MX^EE_ACTUAL_ANNUAL(MED,0)&lt;/Q&gt;&lt;R&gt;1&lt;/R&gt;&lt;C&gt;1&lt;/C&gt;&lt;D xsi:type="xsd:double"&gt;-0.475&lt;/D&gt;&lt;/FQL&gt;&lt;FQL&gt;&lt;Q&gt;CC_IN^FG_COMPANY_NAME&lt;/Q&gt;&lt;R&gt;1&lt;/R&gt;&lt;C&gt;1&lt;/C&gt;&lt;D xsi:type="xsd:string"&gt;India&lt;/D&gt;&lt;/FQL&gt;&lt;FQL&gt;&lt;Q&gt;USDPLN^FG_PRICE_CHANGE(0,-1AY)&lt;/Q&gt;&lt;R&gt;1&lt;/R&gt;&lt;C&gt;1&lt;/C&gt;&lt;D xsi:type="xsd:double"&gt;-5.49314&lt;/D&gt;&lt;/FQL&gt;&lt;FQL&gt;&lt;Q&gt;USDCLP^STD(FG_PRICE_CHANGE(0,-1AY,AM))&lt;/Q&gt;&lt;R&gt;1&lt;/R&gt;&lt;C&gt;1&lt;/C&gt;&lt;D xsi:type="xsd:double"&gt;3.92612298825322&lt;/D&gt;&lt;/FQL&gt;&lt;FQL&gt;&lt;Q&gt;ECH^JULIAN(FG_TOTAL_RETURNC(-10AY,0,AM).DATES)&lt;/Q&gt;&lt;R&gt;121&lt;/R&gt;&lt;C&gt;1&lt;/C&gt;&lt;D xsi:type="xsd:long"&gt;41782&lt;/D&gt;&lt;D xsi:type="xsd:long"&gt;41813&lt;/D&gt;&lt;D xsi:type="xsd:long"&gt;41843&lt;/D&gt;&lt;D xsi:type="xsd:long"&gt;41873&lt;/D&gt;&lt;D xsi:type="xsd:long"&gt;41905&lt;/D&gt;&lt;D xsi:type="xsd:long"&gt;41935&lt;/D&gt;&lt;D xsi:type="xsd:long"&gt;41964&lt;/D&gt;&lt;D xsi:type="xsd:long"&gt;41996&lt;/D&gt;&lt;D xsi:type="xsd:long"&gt;42027&lt;/D&gt;&lt;D xsi:type="xsd:long"&gt;42058&lt;/D&gt;&lt;D xsi:type="xsd:long"&gt;42086&lt;/D&gt;&lt;D xsi:type="xsd:long"&gt;42117&lt;/D&gt;&lt;D xsi:type="xsd:long"&gt;42146&lt;/D&gt;&lt;D xsi:type="xsd:long"&gt;42178&lt;/D&gt;&lt;D xsi:type="xsd:long"&gt;42208&lt;/D&gt;&lt;D xsi:type="xsd:long"&gt;42237&lt;/D&gt;&lt;D xsi:type="xsd:long"&gt;42270&lt;/D&gt;&lt;D xsi:type="xsd:long"&gt;42300&lt;/D&gt;&lt;D xsi:type="xsd:long"&gt;42331&lt;/D&gt;&lt;D xsi:type="xsd:long"&gt;42361&lt;/D&gt;&lt;D xsi:type="xsd:long"&gt;42391&lt;/D&gt;&lt;D xsi:type="xsd:long"&gt;42423&lt;/D&gt;&lt;D xsi:type="xsd:long"&gt;42452&lt;/D&gt;&lt;D xsi:type="xsd:long"&gt;42482&lt;/D&gt;&lt;D xsi:type="xsd:long"&gt;42513&lt;/D&gt;&lt;D xsi:type="xsd:long"&gt;42544&lt;/D&gt;&lt;D xsi:type="xsd:long"&gt;42573&lt;/D&gt;&lt;D xsi:type="xsd:long"&gt;42605&lt;/D&gt;&lt;D xsi:type="xsd:long"&gt;42636&lt;/D&gt;&lt;D xsi:type="xsd:long"&gt;42664&lt;/D&gt;&lt;D xsi:type="xsd:long"&gt;42697&lt;/D&gt;&lt;D xsi:type="xsd:long"&gt;42727&lt;/D&gt;&lt;D xsi:type="xsd:long"&gt;42758&lt;/D&gt;&lt;D xsi:type="xsd:long"&gt;42789&lt;/D&gt;&lt;D xsi:type="xsd:long"&gt;42817&lt;/D&gt;&lt;D xsi:type="xsd:long"&gt;42846&lt;/D&gt;&lt;D xsi:type="xsd:long"&gt;42878&lt;/D&gt;&lt;D xsi:type="xsd:long"&gt;42909&lt;/D&gt;&lt;D xsi:type="xsd:long"&gt;42937&lt;/D&gt;&lt;D xsi:type="xsd:long"&gt;42970&lt;/D&gt;&lt;D xsi:type="xsd:long"&gt;43000&lt;/D&gt;&lt;D xsi:type="xsd:long"&gt;43031&lt;/D&gt;&lt;D xsi:type="xsd:long"&gt;43061&lt;/D&gt;&lt;D xsi:type="xsd:long"&gt;43091&lt;/D&gt;&lt;D xsi:type="xsd:long"&gt;43123&lt;/D&gt;&lt;D xsi:type="xsd:long"&gt;43154&lt;/D&gt;&lt;D xsi:type="xsd:long"&gt;43182&lt;/D&gt;&lt;D xsi:type="xsd:long"&gt;43213&lt;/D&gt;&lt;D xsi:type="xsd:long"&gt;43243&lt;/D&gt;&lt;D xsi:type="xsd:long"&gt;43273&lt;/D&gt;&lt;D xsi:type="xsd:long"&gt;43304&lt;/D&gt;&lt;D xsi:type="xsd:long"&gt;43335&lt;/D&gt;&lt;D xsi:type="xsd:long"&gt;43364&lt;/D&gt;&lt;D xsi:type="xsd:long"&gt;43396&lt;/D&gt;&lt;D xsi:type="xsd:long"&gt;43427&lt;/D&gt;&lt;D xsi:type="xsd:long"&gt;43455&lt;/D&gt;&lt;D xsi:type="xsd:long"&gt;43488&lt;/D&gt;&lt;D xsi:type="xsd:long"&gt;43518&lt;/D&gt;&lt;D xsi:type="xsd:long"&gt;43546&lt;/D&gt;&lt;D xsi:type="xsd:long"&gt;43578&lt;/D&gt;&lt;D xsi:type="xsd:long"&gt;43608&lt;/D&gt;&lt;D xsi:type="xsd:long"&gt;43637&lt;/D&gt;&lt;D xsi:type="xsd:long"&gt;43669&lt;/D&gt;&lt;D xsi:type="xsd:long"&gt;43700&lt;/D&gt;&lt;D xsi:type="xsd:long"&gt;43731&lt;/D&gt;&lt;D xsi:type="xsd:long"&gt;43761&lt;/D&gt;&lt;D xsi:type="xsd:long"&gt;43791&lt;/D&gt;&lt;D xsi:type="xsd:long"&gt;43822&lt;/D&gt;&lt;D xsi:type="xsd:long"&gt;43853&lt;/D&gt;&lt;D xsi:type="xsd:long"&gt;43882&lt;/D&gt;&lt;D xsi:type="xsd:long"&gt;43913&lt;/D&gt;&lt;D xsi:type="xsd:long"&gt;43944&lt;/D&gt;&lt;D xsi:type="xsd:long"&gt;43973&lt;/D&gt;&lt;D xsi:type="xsd:long"&gt;44005&lt;/D&gt;&lt;D xsi:type="xsd:long"&gt;44035&lt;/D&gt;&lt;D xsi:type="xsd:long"&gt;44064&lt;/D&gt;&lt;D xsi:type="xsd:long"&gt;44097&lt;/D&gt;&lt;D xsi:type="xsd:long"&gt;44127&lt;/D&gt;&lt;D xsi:type="xsd:long"&gt;44158&lt;/D&gt;&lt;D xsi:type="xsd:long"&gt;44188&lt;/D&gt;&lt;D xsi:type="xsd:long"&gt;44218&lt;/D&gt;&lt;D xsi:type="xsd:long"&gt;44250&lt;/D&gt;&lt;D xsi:type="xsd:long"&gt;44278&lt;/D&gt;&lt;D xsi:type="xsd:long"&gt;44309&lt;/D&gt;&lt;D xsi:type="xsd:long"&gt;44337&lt;/D&gt;&lt;D xsi:type="xsd:long"&gt;44370&lt;/D&gt;&lt;D xsi:type="xsd:long"&gt;44400&lt;/D&gt;&lt;D xsi:type="xsd:long"&gt;44431&lt;/D&gt;&lt;D xsi:type="xsd:long"&gt;44462&lt;/D&gt;&lt;D xsi:type="xsd:long"&gt;44491&lt;/D&gt;&lt;D xsi:type="xsd:long"&gt;44523&lt;/D&gt;&lt;D xsi:type="xsd:long"&gt;44553&lt;/D&gt;&lt;D xsi:type="xsd:long"&gt;44582&lt;/D&gt;&lt;D xsi:type="xsd:long"&gt;44615&lt;/D&gt;&lt;D xsi:type="xsd:long"&gt;44643&lt;/D&gt;&lt;D xsi:type="xsd:long"&gt;44673&lt;/D&gt;&lt;D xsi:type="xsd:long"&gt;44704&lt;/D&gt;&lt;D xsi:type="xsd:long"&gt;44735&lt;/D&gt;&lt;D xsi:type="xsd:long"&gt;44764&lt;/D&gt;&lt;D xsi:type="xsd:long"&gt;44796&lt;/D&gt;&lt;D xsi:type="xsd:long"&gt;44827&lt;/D&gt;&lt;D xsi:type="xsd:long"&gt;44855&lt;/D&gt;&lt;D xsi:type="xsd:long"&gt;44888&lt;/D&gt;&lt;D xsi:type="xsd:long"&gt;44918&lt;/D&gt;&lt;D xsi:type="xsd:long"&gt;44949&lt;/D&gt;&lt;D xsi:type="xsd:long"&gt;44980&lt;/D&gt;&lt;D xsi:type="xsd:long"&gt;45008&lt;/D&gt;&lt;D xsi:type="xsd:long"&gt;45037&lt;/D&gt;&lt;D xsi:type="xsd:long"&gt;45069&lt;/D&gt;&lt;D xsi:type="xsd:long"&gt;45100&lt;/D&gt;&lt;D xsi:type="xsd:long"&gt;45128&lt;/D&gt;&lt;D xsi:type="xsd:long"&gt;45161&lt;/D&gt;&lt;D xsi:type="xsd:long"&gt;45191&lt;/D&gt;&lt;D xsi:type="xsd:long"&gt;45222&lt;/D&gt;&lt;D xsi:type="xsd:long"&gt;45252&lt;/D&gt;&lt;D xsi:type="xsd:long"&gt;45282&lt;/D&gt;&lt;D xsi:type="xsd:long"&gt;45314&lt;/D&gt;&lt;D xsi:type="xsd:long"&gt;45345&lt;/D&gt;&lt;D xsi:type="xsd:long"&gt;45373&lt;/D&gt;&lt;D xsi:type="xsd:long"&gt;45405&lt;/D&gt;&lt;D xsi:type="xsd:long"&gt;45435&lt;/D&gt;&lt;/FQL&gt;&lt;FQL&gt;&lt;Q&gt;EIDO^FMA_DIV_YLD(NTMA,-10AY,0,AM,"PORTAGG","MEANR")&lt;/Q&gt;&lt;R&gt;121&lt;/R&gt;&lt;C&gt;1&lt;/C&gt;&lt;D xsi:type="xsd:double"&gt;2.49089196183001&lt;/D&gt;&lt;D xsi:type="xsd:double"&gt;2.64898896418006&lt;/D&gt;&lt;D xsi:type="xsd:double"&gt;2.53048698524232&lt;/D&gt;&lt;D xsi:type="xsd:double"&gt;2.48416599784425&lt;/D&gt;&lt;D xsi:type="xsd:double"&gt;2.50827574760459&lt;/D&gt;&lt;D xsi:type="xsd:double"&gt;2.5752567652162&lt;/D&gt;&lt;D xsi:type="xsd:double"&gt;2.51319597553382&lt;/D&gt;&lt;D xsi:type="xsd:double"&gt;2.49739256137849&lt;/D&gt;&lt;D xsi:type="xsd:double"&gt;2.42558912014584&lt;/D&gt;&lt;D xsi:type="xsd:double"&gt;2.32636565181992&lt;/D&gt;&lt;D xsi:type="xsd:double"&gt;2.31211967064168&lt;/D&gt;&lt;D xsi:type="xsd:double"&gt;2.30201151023454&lt;/D&gt;&lt;D xsi:type="xsd:double"&gt;2.31456457096343&lt;/D&gt;&lt;D xsi:type="xsd:double"&gt;2.46929259922848&lt;/D&gt;&lt;D xsi:type="xsd:double"&gt;2.45491991847726&lt;/D&gt;&lt;D xsi:type="xsd:double"&gt;2.82722945997679&lt;/D&gt;&lt;D xsi:type="xsd:double"&gt;2.86924251926407&lt;/D&gt;&lt;D xsi:type="xsd:double"&gt;2.50064177496325&lt;/D&gt;&lt;D xsi:type="xsd:double"&gt;2.54285667650336&lt;/D&gt;&lt;D xsi:type="xsd:double"&gt;2.53953042198559&lt;/D&gt;&lt;D xsi:type="xsd:double"&gt;2.56109581042426&lt;/D&gt;&lt;D xsi:type="xsd:double"&gt;2.49283727527599&lt;/D&gt;&lt;D xsi:type="xsd:double"&gt;2.34564254994315&lt;/D&gt;&lt;D xsi:type="xsd:double"&gt;2.35539256367778&lt;/D&gt;&lt;D xsi:type="xsd:double"&gt;2.45368217767454&lt;/D&gt;&lt;D xsi:type="xsd:double"&gt;2.34604004985711&lt;/D&gt;&lt;D xsi:type="xsd:double"&gt;2.18463522329089&lt;/D&gt;&lt;D xsi:type="xsd:double"&gt;2.16152010323729&lt;/D&gt;&lt;D xsi:type="xsd:double"&gt;2.18371594015348&lt;/D&gt;&lt;D xsi:type="xsd:double"&gt;2.24305454844053&lt;/D&gt;&lt;D xsi:type="xsd:double"&gt;2.4490042809159&lt;/D&gt;&lt;D xsi:type="xsd:double"&gt;2.60841281829583&lt;/D&gt;&lt;D xsi:type="xsd:double"&gt;2.46599414380962&lt;/D&gt;&lt;D xsi:type="xsd:double"&gt;2.42483759176809&lt;/D&gt;&lt;D xsi:type="xsd:double"&gt;2.40428898442114&lt;/D&gt;&lt;D xsi:type="xsd:double"&gt;2.43644241554368&lt;/D&gt;&lt;D xsi:type="xsd:double"&gt;2.47010104440328&lt;/D&gt;&lt;D xsi:type="xsd:double"&gt;2.52935949697819&lt;/D&gt;&lt;D xsi:type="xsd:double"&gt;2.58996154263038&lt;/D&gt;&lt;D xsi:type="xsd:double"&gt;2.53865730852968&lt;/D&gt;&lt;D xsi:type="xsd:double"&gt;2.57148311653512&lt;/D&gt;&lt;D xsi:type="xsd:double"&gt;2.55309625316149&lt;/D&gt;&lt;D xsi:type="xsd:double"&gt;2.586212843575&lt;/D&gt;&lt;D xsi:type="xsd:double"&gt;2.57528731149565&lt;/D&gt;&lt;D xsi:type="xsd:double"&gt;2.41496702782509&lt;/D&gt;&lt;D xsi:type="xsd:double"&gt;2.46821320173266&lt;/D&gt;&lt;D xsi:type="xsd:double"&gt;2.68292493076068&lt;/D&gt;&lt;D xsi:type="xsd:double"&gt;2.70111401118971&lt;/D&gt;&lt;D xsi:type="xsd:double"&gt;3.13152719865671&lt;/D&gt;&lt;D xsi:type="xsd:double"&gt;3.1263814251748&lt;/D&gt;&lt;D xsi:type="xsd:double"&gt;3.08380029242996&lt;/D&gt;&lt;D xsi:type="xsd:double"&gt;2.97756914421516&lt;/D&gt;&lt;D xsi:type="xsd:double"&gt;2.99593090569953&lt;/D&gt;&lt;D xsi:type="xsd:double"&gt;3.11536432599901&lt;/D&gt;&lt;D xsi:type="xsd:double"&gt;2.91964300341739&lt;/D&gt;&lt;D xsi:type="xsd:double"&gt;2.86521617075009&lt;/D&gt;&lt;D xsi:type="xsd:double"&gt;2.76315385591396&lt;/D&gt;&lt;D xsi:type="xsd:double"&gt;2.83874931212129&lt;/D&gt;&lt;D xsi:type="xsd:double"&gt;2.77671418691897&lt;/D&gt;&lt;D xsi:type="xsd:double"&gt;2.79915322216758&lt;/D&gt;&lt;D xsi:type="xsd:double"&gt;3.08828112296553&lt;/D&gt;&lt;D xsi:type="xsd:double"&gt;2.78961376731472&lt;/D&gt;&lt;D xsi:type="xsd:double"&gt;2.69957558688571&lt;/D&gt;&lt;D xsi:type="xsd:double"&gt;2.8172706883347&lt;/D&gt;&lt;D xsi:type="xsd:double"&gt;2.82992482676189&lt;/D&gt;&lt;D xsi:type="xsd:double"&gt;2.74333705643228&lt;/D&gt;&lt;D xsi:type="xsd:double"&gt;2.82928424601664&lt;/D&gt;&lt;D xsi:type="xsd:double"&gt;2.7761267013459&lt;/D&gt;&lt;D xsi:type="xsd:double"&gt;2.70579460514699&lt;/D&gt;&lt;D xsi:type="xsd:double"&gt;2.89838821017184&lt;/D&gt;&lt;D xsi:type="xsd:double"&gt;4.80335435386855&lt;/D&gt;&lt;D xsi:type="xsd:double"&gt;4.00769412479365&lt;/D&gt;&lt;D xsi:type="xsd:double"&gt;3.80059401157163&lt;/D&gt;&lt;D xsi:type="xsd:double"&gt;3.0387020699335&lt;/D&gt;&lt;D xsi:type="xsd:double"&gt;2.86744354940497&lt;/D&gt;&lt;D xsi:type="xsd:double"&gt;2.7606848007639&lt;/D&gt;&lt;D xsi:type="xsd:double"&gt;3.02129336662301&lt;/D&gt;&lt;D xsi:type="xsd:double"&gt;2.83299145955432&lt;/D&gt;&lt;D xsi:type="xsd:double"&gt;2.43551371316292&lt;/D&gt;&lt;D xsi:type="xsd:double"&gt;2.27302798653875&lt;/D&gt;&lt;D xsi:type="xsd:double"&gt;2.2438836810954&lt;/D&gt;&lt;D xsi:type="xsd:double"&gt;2.45561270787535&lt;/D&gt;&lt;D xsi:type="xsd:double"&gt;2.5862294115301&lt;/D&gt;&lt;D xsi:type="xsd:double"&gt;2.73335926665859&lt;/D&gt;&lt;D xsi:type="xsd:double"&gt;2.87758302649645&lt;/D&gt;&lt;D xsi:type="xsd:double"&gt;2.9468486036473&lt;/D&gt;&lt;D xsi:type="xsd:double"&gt;3.08296137029778&lt;/D&gt;&lt;D xsi:type="xsd:double"&gt;3.02613340252672&lt;/D&gt;&lt;D xsi:type="xsd:double"&gt;3.15433136144497&lt;/D&gt;&lt;D xsi:type="xsd:double"&gt;2.87537196830397&lt;/D&gt;&lt;D xsi:type="xsd:double"&gt;3.02116415309166&lt;/D&gt;&lt;D xsi:type="xsd:double"&gt;3.18162835163116&lt;/D&gt;&lt;D xsi:type="xsd:double"&gt;3.09220989794927&lt;/D&gt;&lt;D xsi:type="xsd:double"&gt;3.08026814409012&lt;/D&gt;&lt;D xsi:type="xsd:double"&gt;3.24676748907855&lt;/D&gt;&lt;D xsi:type="xsd:double"&gt;3.2804311581343&lt;/D&gt;&lt;D xsi:type="xsd:double"&gt;3.57625463337308&lt;/D&gt;&lt;D xsi:type="xsd:double"&gt;3.54202578567704&lt;/D&gt;&lt;D xsi:type="xsd:double"&gt;3.65943321743087&lt;/D&gt;&lt;D xsi:type="xsd:double"&gt;3.64346561923799&lt;/D&gt;&lt;D xsi:type="xsd:double"&gt;3.65370583794221&lt;/D&gt;&lt;D xsi:type="xsd:double"&gt;3.88050894937006&lt;/D&gt;&lt;D xsi:type="xsd:double"&gt;3.9102408011054&lt;/D&gt;&lt;D xsi:type="xsd:double"&gt;4.07319181972616&lt;/D&gt;&lt;D xsi:type="xsd:double"&gt;4.19707830283428&lt;/D&gt;&lt;D xsi:type="xsd:double"&gt;4.17954507370976&lt;/D&gt;&lt;D xsi:type="xsd:double"&gt;4.39523142857615&lt;/D&gt;&lt;D xsi:type="xsd:double"&gt;4.32373088413813&lt;/D&gt;&lt;D xsi:type="xsd:double"&gt;4.60723621692661&lt;/D&gt;&lt;D xsi:type="xsd:double"&gt;4.35889581857951&lt;/D&gt;&lt;D xsi:type="xsd:double"&gt;4.15319319514302&lt;/D&gt;&lt;D xsi:type="xsd:double"&gt;4.11653392795459&lt;/D&gt;&lt;D xsi:type="xsd:double"&gt;4.12475832238164&lt;/D&gt;&lt;D xsi:type="xsd:double"&gt;4.37022101098756&lt;/D&gt;&lt;D xsi:type="xsd:double"&gt;4.21521226555684&lt;/D&gt;&lt;D xsi:type="xsd:double"&gt;4.14284880686274&lt;/D&gt;&lt;D xsi:type="xsd:double"&gt;4.09386576831895&lt;/D&gt;&lt;D xsi:type="xsd:double"&gt;4.10456946686566&lt;/D&gt;&lt;D xsi:type="xsd:double"&gt;4.04223896658302&lt;/D&gt;&lt;D xsi:type="xsd:double"&gt;4.38394861420334&lt;/D&gt;&lt;D xsi:type="xsd:double"&gt;4.47681347669924&lt;/D&gt;&lt;/FQL&gt;&lt;FQL&gt;&lt;Q&gt;WL-FDS^FG_PRICE_CHANGE(0,-3AM)&lt;/Q&gt;&lt;R&gt;1&lt;/R&gt;&lt;C&gt;1&lt;/C&gt;&lt;D xsi:type="xsd:double"&gt;-11.8281326580624&lt;/D&gt;&lt;/FQL&gt;&lt;FQL&gt;&lt;Q&gt;NI-FDS^FG_PRICE(0)&lt;/Q&gt;&lt;R&gt;1&lt;/R&gt;&lt;C&gt;1&lt;/C&gt;&lt;D xsi:type="xsd:double"&gt;19800&lt;/D&gt;&lt;/FQL&gt;&lt;FQL&gt;&lt;Q&gt;KSA^FG_PRICE(0)&lt;/Q&gt;&lt;R&gt;1&lt;/R&gt;&lt;C&gt;1&lt;/C&gt;&lt;D xsi:type="xsd:double"&gt;41.24&lt;/D&gt;&lt;/FQL&gt;&lt;FQL&gt;&lt;Q&gt;EWZ^FG_PRICE_MAVG(0,,,,200)&lt;/Q&gt;&lt;R&gt;1&lt;/R&gt;&lt;C&gt;1&lt;/C&gt;&lt;D xsi:type="xsd:double"&gt;32.21795&lt;/D&gt;&lt;/FQL&gt;&lt;FQL&gt;&lt;Q&gt;EWM^FG_PRICE_MAVG(0,,,,30)&lt;/Q&gt;&lt;R&gt;1&lt;/R&gt;&lt;C&gt;1&lt;/C&gt;&lt;D xsi:type="xsd:double"&gt;22.482334&lt;/D&gt;&lt;/FQL&gt;&lt;FQL&gt;&lt;Q&gt;ECH^FG_PRICE_MAVG(0,,,,200)&lt;/Q&gt;&lt;R&gt;1&lt;/R&gt;&lt;C&gt;1&lt;/C&gt;&lt;D xsi:type="xsd:double"&gt;26.54822&lt;/D&gt;&lt;/FQL&gt;&lt;FQL&gt;&lt;Q&gt;VNM^FG_TOTAL_RETURNC(0,-6AM)&lt;/Q&gt;&lt;R&gt;1&lt;/R&gt;&lt;C&gt;1&lt;/C&gt;&lt;D xsi:type="xsd:double"&gt;-0.08482933&lt;/D&gt;&lt;/FQL&gt;&lt;FQL&gt;&lt;Q&gt;TUR^FG_TOTAL_RETURNC(0,-6AM)&lt;/Q&gt;&lt;R&gt;1&lt;/R&gt;&lt;C&gt;1&lt;/C&gt;&lt;D xsi:type="xsd:double"&gt;23.824823&lt;/D&gt;&lt;/FQL&gt;&lt;FQL&gt;&lt;Q&gt;QAT^FG_TOTAL_RETURNC(0,-6AM)&lt;/Q&gt;&lt;R&gt;1&lt;/R&gt;&lt;C&gt;1&lt;/C&gt;&lt;D xsi:type="xsd:double"&gt;-3.2534242&lt;/D&gt;&lt;/FQL&gt;&lt;FQL&gt;&lt;Q&gt;INDA^FG_TOTAL_RETURNC(0,-6AM)&lt;/Q&gt;&lt;R&gt;1&lt;/R&gt;&lt;C&gt;1&lt;/C&gt;&lt;D xsi:type="xsd:double"&gt;19.022346&lt;/D&gt;&lt;/FQL&gt;&lt;FQL&gt;&lt;Q&gt;EZA^FG_TOTAL_RETURNC(0,-6AM)&lt;/Q&gt;&lt;R&gt;1&lt;/R&gt;&lt;C&gt;1&lt;/C&gt;&lt;D xsi:type="xsd:double"&gt;8.855164&lt;/D&gt;&lt;/FQL&gt;&lt;FQL&gt;&lt;Q&gt;EWY^FG_TOTAL_RETURNC(0,-6AM)&lt;/Q&gt;&lt;R&gt;1&lt;/R&gt;&lt;C&gt;1&lt;/C&gt;&lt;D xsi:type="xsd:double"&gt;4.1979074&lt;/D&gt;&lt;/FQL&gt;&lt;FQL&gt;&lt;Q&gt;EWT^FG_TOTAL_RETURNC(0,-6AM)&lt;/Q&gt;&lt;R&gt;1&lt;/R&gt;&lt;C&gt;1&lt;/C&gt;&lt;D xsi:type="xsd:double"&gt;19.318604&lt;/D&gt;&lt;/FQL&gt;&lt;FQL&gt;&lt;Q&gt;EPU^FG_TOTAL_RETURNC(0,-3AM)&lt;/Q&gt;&lt;R&gt;1&lt;/R&gt;&lt;C&gt;1&lt;/C&gt;&lt;D xsi:type="xsd:double"&gt;21.655441&lt;/D&gt;&lt;/FQL&gt;&lt;FQL&gt;&lt;Q&gt;ECH^FG_TOTAL_RETURNC(0,-6AM)&lt;/Q&gt;&lt;R&gt;1&lt;/R&gt;&lt;C&gt;1&lt;/C&gt;&lt;D xsi:type="xsd:double"&gt;9.717119&lt;/D&gt;&lt;/FQL&gt;&lt;FQL&gt;&lt;Q&gt;SPY^PERCENT_CHANGE(FMA_EPS(+1,0,,,,"PORTAGG","MEAN"),FMA_EPS(+1,-3AM,,,,"PORTAGG","MEAN"))&lt;/Q&gt;&lt;R&gt;1&lt;/R&gt;&lt;C&gt;1&lt;/C&gt;&lt;D xsi:type="xsd:double"&gt;0.212224867745736&lt;/D&gt;&lt;/FQL&gt;&lt;FQL&gt;&lt;Q&gt;VNM^FMA_COS_UP("EPS","1M",+1,NOW,,,"PORTAGG","MEANR")&lt;/Q&gt;&lt;R&gt;1&lt;/R&gt;&lt;C&gt;1&lt;/C&gt;&lt;D xsi:type="xsd:double"&gt;5&lt;/D&gt;&lt;/FQL&gt;&lt;FQL&gt;&lt;Q&gt;EWT^FMA_COS_DOWN("EPS","1M",+1,NOW,,,"PORTAGG","MEANR")&lt;/Q&gt;&lt;R&gt;1&lt;/R&gt;&lt;C&gt;1&lt;/C&gt;&lt;D xsi:type="xsd:double"&gt;35&lt;/D&gt;&lt;/FQL&gt;&lt;FQL&gt;&lt;Q&gt;ECH^FMA_COS_DOWN("EPS","1M",+1,NOW,,,"PORTAGG","MEANR")&lt;/Q&gt;&lt;R&gt;1&lt;/R&gt;&lt;C&gt;1&lt;/C&gt;&lt;D xsi:type="xsd:double"&gt;10&lt;/D&gt;&lt;/FQL&gt;&lt;FQL&gt;&lt;Q&gt;EWZ^FG_ROE(0)&lt;/Q&gt;&lt;R&gt;1&lt;/R&gt;&lt;C&gt;1&lt;/C&gt;&lt;D xsi:type="xsd:double"&gt;19.0079707985248&lt;/D&gt;&lt;/FQL&gt;&lt;FQL&gt;&lt;Q&gt;REFVNDISC-FDS^(SUBARRAY(NOT_NA(NO_REPEAT_F(FG_YIELD(NOW,-10AY,D))),0,1)-SUBARRAY(NOT_NA(NO_REPEAT_F(FG_YIELD(NOW,-10AY,D))),1,1))*100&lt;/Q&gt;&lt;R&gt;1&lt;/R&gt;&lt;C&gt;1&lt;/C&gt;&lt;D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xsi:type="xsd:double"&gt;-50&lt;/D&gt;&lt;/FQL&gt;&lt;FQL&gt;&lt;Q&gt;USDEUR^FG_COMPANY_NAME&lt;/Q&gt;&lt;R&gt;1&lt;/R&gt;&lt;C&gt;1&lt;/C&gt;&lt;D xsi:type="xsd:string"&gt;Euro per U.S. Dollar&lt;/D&gt;&lt;/FQL&gt;&lt;FQL&gt;&lt;Q&gt;USDKRW^FG_PRICE_CHANGE(0,-3AM)&lt;/Q&gt;&lt;R&gt;1&lt;/R&gt;&lt;C&gt;1&lt;/C&gt;&lt;D xsi:type="xsd:double"&gt;2.3627877&lt;/D&gt;&lt;/FQL&gt;&lt;FQL&gt;&lt;Q&gt;USDMYR^FG_PRICE_CHANGE(0,-6AM)&lt;/Q&gt;&lt;R&gt;1&lt;/R&gt;&lt;C&gt;1&lt;/C&gt;&lt;D xsi:type="xsd:double"&gt;0.5449891&lt;/D&gt;&lt;/FQL&gt;&lt;FQL&gt;&lt;Q&gt;FC0000GR^FMA_EPS(NTMA,-20AY,0,CY,,"PORTAGG","MEANR")&lt;/Q&gt;&lt;R&gt;20&lt;/R&gt;&lt;C&gt;1&lt;/C&gt;&lt;D xsi:type="xsd:double"&gt;10.0263829592273&lt;/D&gt;&lt;D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xsi:type="xsd:double"&gt;0.580096132576718&lt;/D&gt;&lt;D xsi:type="xsd:double"&gt;0.557417673683109&lt;/D&gt;&lt;D xsi:type="xsd:double"&gt;0.621885469021717&lt;/D&gt;&lt;D xsi:type="xsd:double"&gt;0.869531876625146&lt;/D&gt;&lt;D xsi:type="xsd:double"&gt;1.21959709581891&lt;/D&gt;&lt;/FQL&gt;&lt;FQL&gt;&lt;Q&gt;USDSAR^FG_COMPANY_NAME&lt;/Q&gt;&lt;R&gt;1&lt;/R&gt;&lt;C&gt;1&lt;/C&gt;&lt;D xsi:type="xsd:string"&gt;Saudi Arabian Riyal per U.S. Dollar&lt;/D&gt;&lt;/FQL&gt;&lt;FQL&gt;&lt;Q&gt;USDTRY^FG_PRICE_CHANGE(0,-3AM)&lt;/Q&gt;&lt;R&gt;1&lt;/R&gt;&lt;C&gt;1&lt;/C&gt;&lt;D xsi:type="xsd:double"&gt;3.6534429&lt;/D&gt;&lt;/FQL&gt;&lt;FQL&gt;&lt;Q&gt;USDAED^FG_COMPANY_NAME&lt;/Q&gt;&lt;R&gt;1&lt;/R&gt;&lt;C&gt;1&lt;/C&gt;&lt;D xsi:type="xsd:string"&gt;UAE Dirham per U.S. Dollar&lt;/D&gt;&lt;/FQL&gt;&lt;FQL&gt;&lt;Q&gt;EZA^FG_PRICE_MAVG(0,,,,200)&lt;/Q&gt;&lt;R&gt;1&lt;/R&gt;&lt;C&gt;1&lt;/C&gt;&lt;D xsi:type="xsd:double"&gt;39.35845&lt;/D&gt;&lt;/FQL&gt;&lt;FQL&gt;&lt;Q&gt;GREK^P_PRICE(0)/P_PRICE_HIGH_PR(0,,,,,,"PRICE","INTRA","52W")&lt;/Q&gt;&lt;R&gt;1&lt;/R&gt;&lt;C&gt;1&lt;/C&gt;&lt;D xsi:type="xsd:double"&gt;0.96265745&lt;/D&gt;&lt;/FQL&gt;&lt;FQL&gt;&lt;Q&gt;EWT^FG_TOTAL_RETURNC(0,-3AM)&lt;/Q&gt;&lt;R&gt;1&lt;/R&gt;&lt;C&gt;1&lt;/C&gt;&lt;D xsi:type="xsd:double"&gt;9.976303&lt;/D&gt;&lt;/FQL&gt;&lt;FQL&gt;&lt;Q&gt;EIDO^FG_TOTAL_RETURNC(0,-1AM)&lt;/Q&gt;&lt;R&gt;1&lt;/R&gt;&lt;C&gt;1&lt;/C&gt;&lt;D xsi:type="xsd:double"&gt;-3.363341&lt;/D&gt;&lt;/FQL&gt;&lt;FQL&gt;&lt;Q&gt;VGK^FG_TOTAL_RETURNC(0,-6AM)&lt;/Q&gt;&lt;R&gt;1&lt;/R&gt;&lt;C&gt;1&lt;/C&gt;&lt;D xsi:type="xsd:double"&gt;14.826751&lt;/D&gt;&lt;/FQL&gt;&lt;FQL&gt;&lt;Q&gt;TUR^FMA_COS_DOWN("EPS","1M",+1,NOW,,,"PORTAGG","MEANR")&lt;/Q&gt;&lt;R&gt;1&lt;/R&gt;&lt;C&gt;1&lt;/C&gt;&lt;D xsi:type="xsd:double"&gt;18&lt;/D&gt;&lt;/FQL&gt;&lt;FQL&gt;&lt;Q&gt;TUR^FG_ROE(0)&lt;/Q&gt;&lt;R&gt;1&lt;/R&gt;&lt;C&gt;1&lt;/C&gt;&lt;D xsi:type="xsd:double"&gt;21.4608202758989&lt;/D&gt;&lt;/FQL&gt;&lt;FQL&gt;&lt;Q&gt;TRYVN10Y-FDS^PCTCHG(FG_YIELD(0,,,,"YTM"),FG_YIELD(-3AM,,,,"YTM"))&lt;/Q&gt;&lt;R&gt;1&lt;/R&gt;&lt;C&gt;1&lt;/C&gt;&lt;D xsi:type="xsd:double"&gt;28.866322&lt;/D&gt;&lt;/FQL&gt;&lt;FQL&gt;&lt;Q&gt;TRYPL10Y-FDS^PCTCHG(FG_YIELD(0,,,,"YTM"),FG_YIELD(-3AM,,,,"YTM"))&lt;/Q&gt;&lt;R&gt;1&lt;/R&gt;&lt;C&gt;1&lt;/C&gt;&lt;D xsi:type="xsd:double"&gt;7.629108&lt;/D&gt;&lt;/FQL&gt;&lt;FQL&gt;&lt;Q&gt;TRYIN10Y-FDS^FG_YIELD(0,,,,"YTM")&lt;/Q&gt;&lt;R&gt;1&lt;/R&gt;&lt;C&gt;1&lt;/C&gt;&lt;D xsi:type="xsd:double"&gt;7.0375&lt;/D&gt;&lt;/FQL&gt;&lt;FQL&gt;&lt;Q&gt;CC_VN^IMF_IFS_RCPI_Q(0)&lt;/Q&gt;&lt;R&gt;1&lt;/R&gt;&lt;C&gt;1&lt;/C&gt;&lt;D xsi:type="xsd:double"&gt;3.77269&lt;/D&gt;&lt;/FQL&gt;&lt;FQL&gt;&lt;Q&gt;VWO^FMA_DIV_YLD(NTMA,NOW,NOW,M,"PORTAGG","MEANR")&lt;/Q&gt;&lt;R&gt;1&lt;/R&gt;&lt;C&gt;1&lt;/C&gt;&lt;D xsi:type="xsd:double"&gt;3.0624402074539&lt;/D&gt;&lt;/FQL&gt;&lt;FQL&gt;&lt;Q&gt;UAE^FG_FCF_YIELD_NTM(0)&lt;/Q&gt;&lt;R&gt;1&lt;/R&gt;&lt;C&gt;1&lt;/C&gt;&lt;D xsi:type="xsd:double"&gt;9.8289019932803&lt;/D&gt;&lt;/FQL&gt;&lt;FQL&gt;&lt;Q&gt;QAT^FMA_PE(NTMA,0,,,"PORTAGG","MEANR")&lt;/Q&gt;&lt;R&gt;1&lt;/R&gt;&lt;C&gt;1&lt;/C&gt;&lt;D xsi:type="xsd:double"&gt;9.88963796776014&lt;/D&gt;&lt;/FQL&gt;&lt;FQL&gt;&lt;Q&gt;EZA^FMA_DIV_YLD(NTMA,NOW,NOW,M,"PORTAGG","MEANR")&lt;/Q&gt;&lt;R&gt;1&lt;/R&gt;&lt;C&gt;1&lt;/C&gt;&lt;D xsi:type="xsd:double"&gt;4.1548951107817&lt;/D&gt;&lt;/FQL&gt;&lt;FQL&gt;&lt;Q&gt;EWW^FMA_PE(LTM,0,,,"PORTAGG","MEANR")&lt;/Q&gt;&lt;R&gt;1&lt;/R&gt;&lt;C&gt;1&lt;/C&gt;&lt;D xsi:type="xsd:double"&gt;15.4761616049024&lt;/D&gt;&lt;/FQL&gt;&lt;FQL&gt;&lt;Q&gt;EPOL^FMA_DIV_YLD(NTMA,NOW,NOW,M,"PORTAGG","MEANR")&lt;/Q&gt;&lt;R&gt;1&lt;/R&gt;&lt;C&gt;1&lt;/C&gt;&lt;D xsi:type="xsd:double"&gt;5.1150677484436&lt;/D&gt;&lt;/FQL&gt;&lt;FQL&gt;&lt;Q&gt;EWY^FG_COMPANY_NAME&lt;/Q&gt;&lt;R&gt;1&lt;/R&gt;&lt;C&gt;1&lt;/C&gt;&lt;D xsi:type="xsd:string"&gt;iShares MSCI South Korea ETF&lt;/D&gt;&lt;/FQL&gt;&lt;FQL&gt;&lt;Q&gt;UAE^FMA_DIV_YLD(NTMA,NOW,NOW,M,"PORTAGG","MEANR")&lt;/Q&gt;&lt;R&gt;1&lt;/R&gt;&lt;C&gt;1&lt;/C&gt;&lt;D xsi:type="xsd:double"&gt;5.6413885639115&lt;/D&gt;&lt;/FQL&gt;&lt;FQL&gt;&lt;Q&gt;EWW^JULIAN(FMA_DIV_YLD(NTMA,NOW,NOW,M,"PORTAGG","MEANR").DATES)&lt;/Q&gt;&lt;R&gt;1&lt;/R&gt;&lt;C&gt;1&lt;/C&gt;&lt;D xsi:type="xsd:long"&gt;45412&lt;/D&gt;&lt;/FQL&gt;&lt;FQL&gt;&lt;Q&gt;EPOL^JULIAN(FMA_DIV_YLD(NTMA,NOW,NOW,M,"PORTAGG","MEANR").DATES)&lt;/Q&gt;&lt;R&gt;1&lt;/R&gt;&lt;C&gt;1&lt;/C&gt;&lt;D xsi:type="xsd:long"&gt;45412&lt;/D&gt;&lt;/FQL&gt;&lt;FQL&gt;&lt;Q&gt;EPOL^FG_COMPANY_NAME&lt;/Q&gt;&lt;R&gt;1&lt;/R&gt;&lt;C&gt;1&lt;/C&gt;&lt;D xsi:type="xsd:string"&gt;iShares MSCI Poland ETF&lt;/D&gt;&lt;/FQL&gt;&lt;FQL&gt;&lt;Q&gt;EWT^FMA_EVAL_EBIT(LTMA,NOW,NOW,M,"PORTAGG","MEANR")&lt;/Q&gt;&lt;R&gt;1&lt;/R&gt;&lt;C&gt;1&lt;/C&gt;&lt;D xsi:type="xsd:double"&gt;19.9636831788479&lt;/D&gt;&lt;/FQL&gt;&lt;FQL&gt;&lt;Q&gt;USDQAR^FG_PRICE_CHANGE(0,-3AM)&lt;/Q&gt;&lt;R&gt;1&lt;/R&gt;&lt;C&gt;1&lt;/C&gt;&lt;D xsi:type="xsd:double"&gt;0&lt;/D&gt;&lt;/FQL&gt;&lt;FQL&gt;&lt;Q&gt;NI-FDS^FG_PRICE_MAVG(0,,,,30)&lt;/Q&gt;&lt;R&gt;1&lt;/R&gt;&lt;C&gt;1&lt;/C&gt;&lt;D xsi:type="xsd:double"&gt;19003.334&lt;/D&gt;&lt;/FQL&gt;&lt;FQL&gt;&lt;Q&gt;VNM^FMA_PCT_ABOVE_MAVG(200,0,,,,"PORTAGG")&lt;/Q&gt;&lt;R&gt;1&lt;/R&gt;&lt;C&gt;1&lt;/C&gt;&lt;D xsi:type="xsd:double"&gt;65.2173913043478&lt;/D&gt;&lt;/FQL&gt;&lt;FQL&gt;&lt;Q&gt;GREK^PERCENT_CHANGE(FMA_EPS(+1,0,,,,"PORTAGG","MEAN"),FMA_EPS(+1,-3AM,,,,"PORTAGG","MEAN"))&lt;/Q&gt;&lt;R&gt;1&lt;/R&gt;&lt;C&gt;1&lt;/C&gt;&lt;D xsi:type="xsd:double"&gt;4.53959901332999&lt;/D&gt;&lt;/FQL&gt;&lt;FQL&gt;&lt;Q&gt;EWM^FG_TOTAL_RETURNC(0,-12AM)&lt;/Q&gt;&lt;R&gt;1&lt;/R&gt;&lt;C&gt;1&lt;/C&gt;&lt;D xsi:type="xsd:double"&gt;13.929987&lt;/D&gt;&lt;/FQL&gt;&lt;FQL&gt;&lt;Q&gt;TUR^FMA_COS_UP("EPS","1M",+1,NOW,,,"PORTAGG","MEANR")&lt;/Q&gt;&lt;R&gt;1&lt;/R&gt;&lt;C&gt;1&lt;/C&gt;&lt;D xsi:type="xsd:double"&gt;14&lt;/D&gt;&lt;/FQL&gt;&lt;FQL&gt;&lt;Q&gt;REFKRBASE-FDS^FG_YIELD(NOW,,,0)&lt;/Q&gt;&lt;R&gt;1&lt;/R&gt;&lt;C&gt;1&lt;/C&gt;&lt;D xsi:type="xsd:double"&gt;3.5&lt;/D&gt;&lt;/FQL&gt;&lt;FQL&gt;&lt;Q&gt;ECH^JULIAN(FMA_DIV_YLD(NTMA,NOW,NOW,M,"PORTAGG","MEANR").DATES)&lt;/Q&gt;&lt;R&gt;1&lt;/R&gt;&lt;C&gt;1&lt;/C&gt;&lt;D xsi:type="xsd:long"&gt;45412&lt;/D&gt;&lt;/FQL&gt;&lt;FQL&gt;&lt;Q&gt;EWW^FG_COMPANY_NAME&lt;/Q&gt;&lt;R&gt;1&lt;/R&gt;&lt;C&gt;1&lt;/C&gt;&lt;D xsi:type="xsd:string"&gt;iShares MSCI Mexico ETF&lt;/D&gt;&lt;/FQL&gt;&lt;FQL&gt;&lt;Q&gt;CC_AE^IMF_IFS_RCPI_Q(0)&lt;/Q&gt;&lt;R&gt;0&lt;/R&gt;&lt;C&gt;0&lt;/C&gt;&lt;/FQL&gt;&lt;FQL&gt;&lt;Q&gt;VWO^FG_PE_NTM(0,,,90,0)&lt;/Q&gt;&lt;R&gt;1&lt;/R&gt;&lt;C&gt;1&lt;/C&gt;&lt;D xsi:type="xsd:double"&gt;12.748010304047&lt;/D&gt;&lt;/FQL&gt;&lt;FQL&gt;&lt;Q&gt;QAT^FMA_PE(LTM,0,,,"PORTAGG","MEANR")&lt;/Q&gt;&lt;R&gt;1&lt;/R&gt;&lt;C&gt;1&lt;/C&gt;&lt;D xsi:type="xsd:double"&gt;10.9181419341227&lt;/D&gt;&lt;/FQL&gt;&lt;FQL&gt;&lt;Q&gt;TRYID10Y-FDS^PCTCHG(FG_YIELD(0,,,,"YTM"),FG_YIELD(-3AM,,,,"YTM"))&lt;/Q&gt;&lt;R&gt;1&lt;/R&gt;&lt;C&gt;1&lt;/C&gt;&lt;D xsi:type="xsd:double"&gt;4.3050876&lt;/D&gt;&lt;/FQL&gt;&lt;FQL&gt;&lt;Q&gt;EZA^P_PRICE(0)/P_PRICE_HIGH_PR(0,,,,,,"PRICE","INTRA","52W")&lt;/Q&gt;&lt;R&gt;1&lt;/R&gt;&lt;C&gt;1&lt;/C&gt;&lt;D xsi:type="xsd:double"&gt;0.94392&lt;/D&gt;&lt;/FQL&gt;&lt;FQL&gt;&lt;Q&gt;EZA^FG_ROE(0)&lt;/Q&gt;&lt;R&gt;1&lt;/R&gt;&lt;C&gt;1&lt;/C&gt;&lt;D xsi:type="xsd:double"&gt;14.8887831867191&lt;/D&gt;&lt;/FQL&gt;&lt;FQL&gt;&lt;Q&gt;VGK^FG_PE(0)&lt;/Q&gt;&lt;R&gt;1&lt;/R&gt;&lt;C&gt;1&lt;/C&gt;&lt;D xsi:type="xsd:double"&gt;13.143664905942&lt;/D&gt;&lt;/FQL&gt;&lt;FQL&gt;&lt;Q&gt;CNYA^FMA_DIV_YLD(NTMA,NOW,NOW,M,"PORTAGG","MEANR")&lt;/Q&gt;&lt;R&gt;1&lt;/R&gt;&lt;C&gt;1&lt;/C&gt;&lt;D xsi:type="xsd:double"&gt;2.81685641348317&lt;/D&gt;&lt;/FQL&gt;&lt;FQL&gt;&lt;Q&gt;EPHE^FMA_PE(LTM,0,,,"PORTAGG","MEANR")&lt;/Q&gt;&lt;R&gt;1&lt;/R&gt;&lt;C&gt;1&lt;/C&gt;&lt;D xsi:type="xsd:double"&gt;9.8056239674993&lt;/D&gt;&lt;/FQL&gt;&lt;FQL&gt;&lt;Q&gt;EPOL^FG_TOTAL_RETURNC(0,-3AM)&lt;/Q&gt;&lt;R&gt;1&lt;/R&gt;&lt;C&gt;1&lt;/C&gt;&lt;D xsi:type="xsd:double"&gt;5.7298183&lt;/D&gt;&lt;/FQL&gt;&lt;FQL&gt;&lt;Q&gt;TRYAE10Y-FDS^FG_YIELD(0,,,,"YTM")&lt;/Q&gt;&lt;R&gt;1&lt;/R&gt;&lt;C&gt;1&lt;/C&gt;&lt;D xsi:type="xsd:double"&gt;4.928123&lt;/D&gt;&lt;/FQL&gt;&lt;FQL&gt;&lt;Q&gt;EWZ^JULIAN(FMA_DIV_YLD(NTMA,NOW,NOW,M,"PORTAGG","MEANR").DATES)&lt;/Q&gt;&lt;R&gt;1&lt;/R&gt;&lt;C&gt;1&lt;/C&gt;&lt;D xsi:type="xsd:long"&gt;45412&lt;/D&gt;&lt;/FQL&gt;&lt;FQL&gt;&lt;Q&gt;EWW^FMA_EVAL_EBIT(LTMA,NOW,NOW,M,"PORTAGG","MEANR")&lt;/Q&gt;&lt;R&gt;1&lt;/R&gt;&lt;C&gt;1&lt;/C&gt;&lt;D xsi:type="xsd:double"&gt;10.4011907861917&lt;/D&gt;&lt;/FQL&gt;&lt;FQL&gt;&lt;Q&gt;EZA^FG_PRICE_MAVG(0,,,,30)&lt;/Q&gt;&lt;R&gt;1&lt;/R&gt;&lt;C&gt;1&lt;/C&gt;&lt;D xsi:type="xsd:double"&gt;41.078&lt;/D&gt;&lt;/FQL&gt;&lt;FQL&gt;&lt;Q&gt;UAE^FG_TOTAL_RETURNC(0,-3AM)&lt;/Q&gt;&lt;R&gt;1&lt;/R&gt;&lt;C&gt;1&lt;/C&gt;&lt;D xsi:type="xsd:double"&gt;-3.6476254&lt;/D&gt;&lt;/FQL&gt;&lt;FQL&gt;&lt;Q&gt;EIDO^PERCENT_CHANGE(FMA_EPS(+1,0,,,,"PORTAGG","MEAN"),FMA_EPS(+1,-1AM,,,,"PORTAGG","MEAN"))&lt;/Q&gt;&lt;R&gt;1&lt;/R&gt;&lt;C&gt;1&lt;/C&gt;&lt;D xsi:type="xsd:double"&gt;-0.649018071533948&lt;/D&gt;&lt;/FQL&gt;&lt;FQL&gt;&lt;Q&gt;VGK^FG_TOTAL_RETURNC(0,-3AM)&lt;/Q&gt;&lt;R&gt;1&lt;/R&gt;&lt;C&gt;1&lt;/C&gt;&lt;D xsi:type="xsd:double"&gt;6.237364&lt;/D&gt;&lt;/FQL&gt;&lt;FQL&gt;&lt;Q&gt;EPHE^FMA_COS_DOWN("EPS","1M",+1,NOW,,,"PORTAGG","MEANR")&lt;/Q&gt;&lt;R&gt;1&lt;/R&gt;&lt;C&gt;1&lt;/C&gt;&lt;D xsi:type="xsd:double"&gt;10&lt;/D&gt;&lt;/FQL&gt;&lt;FQL&gt;&lt;Q&gt;REFSAREPO-FDS^(SUBARRAY(NOT_NA(NO_REPEAT_F(FG_YIELD(NOW,-10AY,D))),0,1)-SUBARRAY(NOT_NA(NO_REPEAT_F(FG_YIELD(NOW,-10AY,D))),1,1))*100&lt;/Q&gt;&lt;R&gt;1&lt;/R&gt;&lt;C&gt;1&lt;/C&gt;&lt;D xsi:type="xsd:double"&gt;25&lt;/D&gt;&lt;/FQL&gt;&lt;FQL&gt;&lt;Q&gt;TRYVN10Y-FDS^PCTCHG(FG_YIELD(0,,,,"YTM"),FG_YIELD(-1AM,,,,"YTM"))&lt;/Q&gt;&lt;R&gt;1&lt;/R&gt;&lt;C&gt;1&lt;/C&gt;&lt;D xsi:type="xsd:double"&gt;3.5585148&lt;/D&gt;&lt;/FQL&gt;&lt;FQL&gt;&lt;Q&gt;TRYPH10Y-FDS^PCTCHG(FG_YIELD(0,,,,"YTM"),FG_YIELD(-3AM,,,,"YTM"))&lt;/Q&gt;&lt;R&gt;1&lt;/R&gt;&lt;C&gt;1&lt;/C&gt;&lt;D xsi:type="xsd:double"&gt;6.7441196&lt;/D&gt;&lt;/FQL&gt;&lt;FQL&gt;&lt;Q&gt;TRYIN10Y-FDS^FG_YIELD_NAME&lt;/Q&gt;&lt;R&gt;1&lt;/R&gt;&lt;C&gt;1&lt;/C&gt;&lt;D xsi:type="xsd:string"&gt;India Benchmark Bond - 10 Year&lt;/D&gt;&lt;/FQL&gt;&lt;FQL&gt;&lt;Q&gt;EZA^FMA_PE(NTMA,0,,,"PORTAGG","MEANR")&lt;/Q&gt;&lt;R&gt;1&lt;/R&gt;&lt;C&gt;1&lt;/C&gt;&lt;D xsi:type="xsd:double"&gt;9.9683201117465&lt;/D&gt;&lt;/FQL&gt;&lt;FQL&gt;&lt;Q&gt;EPHE^FG_COMPANY_NAME&lt;/Q&gt;&lt;R&gt;1&lt;/R&gt;&lt;C&gt;1&lt;/C&gt;</t>
        </r>
      </text>
    </comment>
    <comment ref="A21" authorId="0" shapeId="0" xr:uid="{58E23B69-7A8C-4D8C-92D3-F4B91D196468}">
      <text>
        <r>
          <rPr>
            <b/>
            <sz val="9"/>
            <color indexed="81"/>
            <rFont val="Tahoma"/>
            <charset val="1"/>
          </rPr>
          <t>&lt;D xsi:type="xsd:string"&gt;iShares MSCI Philippines ETF&lt;/D&gt;&lt;/FQL&gt;&lt;FQL&gt;&lt;Q&gt;EPHE^FMA_EVAL_EBITDA(NTMA,0,,,"PORTAGG","MEANR")&lt;/Q&gt;&lt;R&gt;1&lt;/R&gt;&lt;C&gt;1&lt;/C&gt;&lt;D xsi:type="xsd:double"&gt;8.22557638637926&lt;/D&gt;&lt;/FQL&gt;&lt;FQL&gt;&lt;Q&gt;REFMXTON-FDS^PROPER_NAME(0,,,"SECURITY","NAME")&lt;/Q&gt;&lt;R&gt;1&lt;/R&gt;&lt;C&gt;1&lt;/C&gt;&lt;D xsi:type="xsd:string"&gt;Mexico Target Rate - Overnight&lt;/D&gt;&lt;/FQL&gt;&lt;FQL&gt;&lt;Q&gt;TRYID10Y-FDS^PCTCHG(FG_YIELD(0,,,,"YTM"),FG_YIELD(-1AM,,,,"YTM"))&lt;/Q&gt;&lt;R&gt;1&lt;/R&gt;&lt;C&gt;1&lt;/C&gt;&lt;D xsi:type="xsd:double"&gt;-3.179296&lt;/D&gt;&lt;/FQL&gt;&lt;FQL&gt;&lt;Q&gt;EWT^FG_FCF_YIELD_NTM(0)&lt;/Q&gt;&lt;R&gt;1&lt;/R&gt;&lt;C&gt;1&lt;/C&gt;&lt;D xsi:type="xsd:double"&gt;3.91887714973089&lt;/D&gt;&lt;/FQL&gt;&lt;FQL&gt;&lt;Q&gt;REFAEREPO-FDS^PROPER_NAME(0,,,"SECURITY","NAME")&lt;/Q&gt;&lt;R&gt;1&lt;/R&gt;&lt;C&gt;1&lt;/C&gt;&lt;D xsi:type="xsd:string"&gt;United Arab Emirates Repo Rate&lt;/D&gt;&lt;/FQL&gt;&lt;FQL&gt;&lt;Q&gt;TRYTH10Y-FDS^PCTCHG(FG_YIELD(0,,,,"YTM"),FG_YIELD(-3AM,,,,"YTM"))&lt;/Q&gt;&lt;R&gt;1&lt;/R&gt;&lt;C&gt;1&lt;/C&gt;&lt;D xsi:type="xsd:double"&gt;10.091693&lt;/D&gt;&lt;/FQL&gt;&lt;FQL&gt;&lt;Q&gt;USDBRL^FG_COMPANY_NAME&lt;/Q&gt;&lt;R&gt;1&lt;/R&gt;&lt;C&gt;1&lt;/C&gt;&lt;D xsi:type="xsd:string"&gt;Brazilian Real per U.S. Dollar&lt;/D&gt;&lt;/FQL&gt;&lt;FQL&gt;&lt;Q&gt;GREK^FMA_PCT_ABOVE_MAVG(200,0,,,,"PORTAGG")&lt;/Q&gt;&lt;R&gt;1&lt;/R&gt;&lt;C&gt;1&lt;/C&gt;&lt;D xsi:type="xsd:double"&gt;89.2857142857143&lt;/D&gt;&lt;/FQL&gt;&lt;FQL&gt;&lt;Q&gt;EIDO^FMA_PCT_ABOVE_MAVG(200,0,,,,"PORTAGG")&lt;/Q&gt;&lt;R&gt;1&lt;/R&gt;&lt;C&gt;1&lt;/C&gt;&lt;D xsi:type="xsd:double"&gt;28.9473684210526&lt;/D&gt;&lt;/FQL&gt;&lt;FQL&gt;&lt;Q&gt;QAT^FG_ROE(0)&lt;/Q&gt;&lt;R&gt;1&lt;/R&gt;&lt;C&gt;1&lt;/C&gt;&lt;D xsi:type="xsd:double"&gt;11.0234017305319&lt;/D&gt;&lt;/FQL&gt;&lt;FQL&gt;&lt;Q&gt;REFSAREPO-FDS^FG_YIELD(NOW,,,0)&lt;/Q&gt;&lt;R&gt;1&lt;/R&gt;&lt;C&gt;1&lt;/C&gt;&lt;D xsi:type="xsd:double"&gt;6&lt;/D&gt;&lt;/FQL&gt;&lt;FQL&gt;&lt;Q&gt;TRYGR10Y-FDS^FG_YIELD(0,,,,"YTM")&lt;/Q&gt;&lt;R&gt;1&lt;/R&gt;&lt;C&gt;1&lt;/C&gt;&lt;D xsi:type="xsd:double"&gt;3.592&lt;/D&gt;&lt;/FQL&gt;&lt;FQL&gt;&lt;Q&gt;VWO^FG_PE(0)&lt;/Q&gt;&lt;R&gt;1&lt;/R&gt;&lt;C&gt;1&lt;/C&gt;&lt;D xsi:type="xsd:double"&gt;14.3929854998588&lt;/D&gt;&lt;/FQL&gt;&lt;FQL&gt;&lt;Q&gt;EZA^FMA_PE(LTM,0,,,"PORTAGG","MEANR")&lt;/Q&gt;&lt;R&gt;1&lt;/R&gt;&lt;C&gt;1&lt;/C&gt;&lt;D xsi:type="xsd:double"&gt;11.975407278788&lt;/D&gt;&lt;/FQL&gt;&lt;FQL&gt;&lt;Q&gt;CNYA^FMA_EVAL_EBIT(LTMA,NOW,NOW,M,"PORTAGG","MEANR")&lt;/Q&gt;&lt;R&gt;1&lt;/R&gt;&lt;C&gt;1&lt;/C&gt;&lt;D xsi:type="xsd:double"&gt;16.5627791840439&lt;/D&gt;&lt;/FQL&gt;&lt;FQL&gt;&lt;Q&gt;EPHE^FMA_EVAL_EBIT(LTMA,NOW,NOW,M,"PORTAGG","MEANR")&lt;/Q&gt;&lt;R&gt;1&lt;/R&gt;&lt;C&gt;1&lt;/C&gt;&lt;D xsi:type="xsd:double"&gt;13.2318958847095&lt;/D&gt;&lt;/FQL&gt;&lt;FQL&gt;&lt;Q&gt;REFSAREPO-FDS^PROPER_NAME(0,,,"SECURITY","NAME")&lt;/Q&gt;&lt;R&gt;1&lt;/R&gt;&lt;C&gt;1&lt;/C&gt;&lt;D xsi:type="xsd:string"&gt;Saudi Arabia Repo Rate&lt;/D&gt;&lt;/FQL&gt;&lt;FQL&gt;&lt;Q&gt;CNYA^FG_FCF_YIELD_NTM(0)&lt;/Q&gt;&lt;R&gt;1&lt;/R&gt;&lt;C&gt;1&lt;/C&gt;&lt;D xsi:type="xsd:double"&gt;5.2463269326819&lt;/D&gt;&lt;/FQL&gt;&lt;FQL&gt;&lt;Q&gt;USDTWD^FG_PRICE_CHANGE(0,-3AM)&lt;/Q&gt;&lt;R&gt;1&lt;/R&gt;&lt;C&gt;1&lt;/C&gt;&lt;D xsi:type="xsd:double"&gt;2.0938277&lt;/D&gt;&lt;/FQL&gt;&lt;FQL&gt;&lt;Q&gt;EZA^FG_PRICE(0)&lt;/Q&gt;&lt;R&gt;1&lt;/R&gt;&lt;C&gt;1&lt;/C&gt;&lt;D xsi:type="xsd:double"&gt;42.5&lt;/D&gt;&lt;/FQL&gt;&lt;FQL&gt;&lt;Q&gt;UAE^PERCENT_CHANGE(FMA_EPS(+1,0,,,,"PORTAGG","MEAN"),FMA_EPS(+1,-3AM,,,,"PORTAGG","MEAN"))&lt;/Q&gt;&lt;R&gt;1&lt;/R&gt;&lt;C&gt;1&lt;/C&gt;&lt;D xsi:type="xsd:double"&gt;13.6838031144201&lt;/D&gt;&lt;/FQL&gt;&lt;FQL&gt;&lt;Q&gt;ECH^P_PRICE(0)/P_PRICE_LOW_PR(0,,,,,,"PRICE","INTRA","52W")-1&lt;/Q&gt;&lt;R&gt;1&lt;/R&gt;&lt;C&gt;1&lt;/C&gt;&lt;D xsi:type="xsd:double"&gt;0.22602451&lt;/D&gt;&lt;/FQL&gt;&lt;FQL&gt;&lt;Q&gt;MCHI^FG_ROE(0)&lt;/Q&gt;&lt;R&gt;1&lt;/R&gt;&lt;C&gt;1&lt;/C&gt;&lt;D xsi:type="xsd:double"&gt;10.6428124514744&lt;/D&gt;&lt;/FQL&gt;&lt;FQL&gt;&lt;Q&gt;REFMXTON-FDS^(SUBARRAY(NOT_NA(NO_REPEAT_F(FG_YIELD(NOW,-10AY,D))),0,1)-SUBARRAY(NOT_NA(NO_REPEAT_F(FG_YIELD(NOW,-10AY,D))),1,1))*100&lt;/Q&gt;&lt;R&gt;1&lt;/R&gt;&lt;C&gt;1&lt;/C&gt;&lt;D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xsi:type="xsd:double"&gt;-25&lt;/D&gt;&lt;/FQL&gt;&lt;FQL&gt;&lt;Q&gt;CC_TR^IMF_IFS_RCPI_Q(0)&lt;/Q&gt;&lt;R&gt;0&lt;/R&gt;&lt;C&gt;0&lt;/C&gt;&lt;/FQL&gt;&lt;FQL&gt;&lt;Q&gt;VGK^FG_FCF_YIELD_NTM(0)&lt;/Q&gt;&lt;R&gt;1&lt;/R&gt;&lt;C&gt;1&lt;/C&gt;&lt;D xsi:type="xsd:double"&gt;5.19946370736339&lt;/D&gt;&lt;/FQL&gt;&lt;FQL&gt;&lt;Q&gt;UAE^FMA_PE(NTMA,0,,,"PORTAGG","MEANR")&lt;/Q&gt;&lt;R&gt;1&lt;/R&gt;&lt;C&gt;1&lt;/C&gt;&lt;D xsi:type="xsd:double"&gt;8.6563238486538&lt;/D&gt;&lt;/FQL&gt;&lt;FQL&gt;&lt;Q&gt;QAT^JULIAN(FMA_DIV_YLD(NTMA,NOW,NOW,M,"PORTAGG","MEANR").DATES)&lt;/Q&gt;&lt;R&gt;1&lt;/R&gt;&lt;C&gt;1&lt;/C&gt;&lt;D xsi:type="xsd:long"&gt;45412&lt;/D&gt;&lt;/FQL&gt;&lt;FQL&gt;&lt;Q&gt;EZA^JULIAN(FMA_DIV_YLD(NTMA,NOW,NOW,M,"PORTAGG","MEANR").DATES)&lt;/Q&gt;&lt;R&gt;1&lt;/R&gt;&lt;C&gt;1&lt;/C&gt;&lt;D xsi:type="xsd:long"&gt;45412&lt;/D&gt;&lt;/FQL&gt;&lt;FQL&gt;&lt;Q&gt;MCHI^FMA_EVAL_EBIT(LTMA,NOW,NOW,M,"PORTAGG","MEANR")&lt;/Q&gt;&lt;R&gt;1&lt;/R&gt;&lt;C&gt;1&lt;/C&gt;&lt;D xsi:type="xsd:double"&gt;13.8415156993668&lt;/D&gt;&lt;/FQL&gt;&lt;FQL&gt;&lt;Q&gt;CNYA^FMA_EVAL_EBITDA(NTMA,0,,,"PORTAGG","MEANR")&lt;/Q&gt;&lt;R&gt;1&lt;/R&gt;&lt;C&gt;1&lt;/C&gt;&lt;D xsi:type="xsd:double"&gt;10.4420260948372&lt;/D&gt;&lt;/FQL&gt;&lt;FQL&gt;&lt;Q&gt;EIDO^FG_COMPANY_NAME&lt;/Q&gt;&lt;R&gt;1&lt;/R&gt;&lt;C&gt;1&lt;/C&gt;&lt;D xsi:type="xsd:string"&gt;iShares MSCI Indonesia ETF&lt;/D&gt;&lt;/FQL&gt;&lt;FQL&gt;&lt;Q&gt;UAE^JULIAN(FMA_DIV_YLD(NTMA,NOW,NOW,M,"PORTAGG","MEANR").DATES)&lt;/Q&gt;&lt;R&gt;1&lt;/R&gt;&lt;C&gt;1&lt;/C&gt;&lt;D xsi:type="xsd:long"&gt;45412&lt;/D&gt;&lt;/FQL&gt;&lt;FQL&gt;&lt;Q&gt;EWZ^FMA_PE(NTMA,0,,,"PORTAGG","MEANR")&lt;/Q&gt;&lt;R&gt;1&lt;/R&gt;&lt;C&gt;1&lt;/C&gt;&lt;D xsi:type="xsd:double"&gt;7.50922605091298&lt;/D&gt;&lt;/FQL&gt;&lt;FQL&gt;&lt;Q&gt;INDA^FMA_PE(NTMA,0,,,"PORTAGG","MEANR")&lt;/Q&gt;&lt;R&gt;1&lt;/R&gt;&lt;C&gt;1&lt;/C&gt;&lt;D xsi:type="xsd:double"&gt;22.6354821810386&lt;/D&gt;&lt;/FQL&gt;&lt;FQL&gt;&lt;Q&gt;ECH^FMA_EVAL_EBITDA(NTMA,0,,,"PORTAGG","MEANR")&lt;/Q&gt;&lt;R&gt;1&lt;/R&gt;&lt;C&gt;1&lt;/C&gt;&lt;D xsi:type="xsd:double"&gt;6.17008378323053&lt;/D&gt;&lt;/FQL&gt;&lt;FQL&gt;&lt;Q&gt;CPALM-FDS^FG_PRICE_MAVG(0,,,,30)&lt;/Q&gt;&lt;R&gt;1&lt;/R&gt;&lt;C&gt;1&lt;/C&gt;&lt;D xsi:type="xsd:double"&gt;3975.1333&lt;/D&gt;&lt;/FQL&gt;&lt;FQL&gt;&lt;Q&gt;UAE^PERCENT_CHANGE(FMA_EPS(+1,0,,,,"PORTAGG","MEAN"),FMA_EPS(+1,-1AM,,,,"PORTAGG","MEAN"))&lt;/Q&gt;&lt;R&gt;1&lt;/R&gt;&lt;C&gt;1&lt;/C&gt;&lt;D xsi:type="xsd:double"&gt;5.67299720852419&lt;/D&gt;&lt;/FQL&gt;&lt;FQL&gt;&lt;Q&gt;EZA^P_PRICE(0)/P_PRICE_LOW_PR(0,,,,,,"PRICE","INTRA","52W")-1&lt;/Q&gt;&lt;R&gt;1&lt;/R&gt;&lt;C&gt;1&lt;/C&gt;&lt;D xsi:type="xsd:double"&gt;0.18847883&lt;/D&gt;&lt;/FQL&gt;&lt;FQL&gt;&lt;Q&gt;EWJ^FMA_PCT_ABOVE_MAVG(200,0,,,,"PORTAGG")&lt;/Q&gt;&lt;R&gt;1&lt;/R&gt;&lt;C&gt;1&lt;/C&gt;&lt;D xsi:type="xsd:double"&gt;71.1009174311927&lt;/D&gt;&lt;/FQL&gt;&lt;FQL&gt;&lt;Q&gt;QAT^FMA_COS_UP("EPS","1M",+1,NOW,,,"PORTAGG","MEANR")&lt;/Q&gt;&lt;R&gt;1&lt;/R&gt;&lt;C&gt;1&lt;/C&gt;&lt;D xsi:type="xsd:double"&gt;7&lt;/D&gt;&lt;/FQL&gt;&lt;FQL&gt;&lt;Q&gt;EIDO^SIZE(FG_CONSTITUENTS)&lt;/Q&gt;&lt;R&gt;1&lt;/R&gt;&lt;C&gt;1&lt;/C&gt;&lt;D xsi:type="xsd:long"&gt;77&lt;/D&gt;&lt;/FQL&gt;&lt;FQL&gt;&lt;Q&gt;GREK^FG_ROE(0)&lt;/Q&gt;&lt;R&gt;1&lt;/R&gt;&lt;C&gt;1&lt;/C&gt;&lt;D xsi:type="xsd:double"&gt;14.5558814909961&lt;/D&gt;&lt;/FQL&gt;&lt;FQL&gt;&lt;Q&gt;TRYAE10Y-FDS^PCTCHG(FG_YIELD(0,,,,"YTM"),FG_YIELD(-1AM,,,,"YTM"))&lt;/Q&gt;&lt;R&gt;0&lt;/R&gt;&lt;C&gt;0&lt;/C&gt;&lt;/FQL&gt;&lt;FQL&gt;&lt;Q&gt;ECH^FG_COMPANY_NAME&lt;/Q&gt;&lt;R&gt;1&lt;/R&gt;&lt;C&gt;1&lt;/C&gt;&lt;D xsi:type="xsd:string"&gt;iShares MSCI Chile ETF&lt;/D&gt;&lt;/FQL&gt;&lt;FQL&gt;&lt;Q&gt;EPHE^FG_FCF_YIELD_NTM(0)&lt;/Q&gt;&lt;R&gt;1&lt;/R&gt;&lt;C&gt;1&lt;/C&gt;&lt;D xsi:type="xsd:double"&gt;5.62404108920862&lt;/D&gt;&lt;/FQL&gt;&lt;FQL&gt;&lt;Q&gt;REFTR1WREPO-FDS^FG_YIELD(NOW,,,0)&lt;/Q&gt;&lt;R&gt;1&lt;/R&gt;&lt;C&gt;1&lt;/C&gt;&lt;D xsi:type="xsd:double"&gt;50&lt;/D&gt;&lt;/FQL&gt;&lt;FQL&gt;&lt;Q&gt;VGK^JULIAN(FMA_DIV_YLD(NTMA,NOW,NOW,M,"PORTAGG","MEANR").DATES)&lt;/Q&gt;&lt;R&gt;1&lt;/R&gt;&lt;C&gt;1&lt;/C&gt;&lt;D xsi:type="xsd:long"&gt;45379&lt;/D&gt;&lt;/FQL&gt;&lt;FQL&gt;&lt;Q&gt;EWM^FMA_EVAL_EBIT(LTMA,NOW,NOW,M,"PORTAGG","MEANR")&lt;/Q&gt;&lt;R&gt;1&lt;/R&gt;&lt;C&gt;1&lt;/C&gt;&lt;D xsi:type="xsd:double"&gt;17.8255050066074&lt;/D&gt;&lt;/FQL&gt;&lt;FQL&gt;&lt;Q&gt;KSA^FG_COMPANY_NAME&lt;/Q&gt;&lt;R&gt;1&lt;/R&gt;&lt;C&gt;1&lt;/C&gt;&lt;D xsi:type="xsd:string"&gt;iShares MSCI Saudi Arabia ETF&lt;/D&gt;&lt;/FQL&gt;&lt;FQL&gt;&lt;Q&gt;ECH^FG_ROE(0)&lt;/Q&gt;&lt;R&gt;1&lt;/R&gt;&lt;C&gt;1&lt;/C&gt;&lt;D xsi:type="xsd:double"&gt;10.1643372097379&lt;/D&gt;&lt;/FQL&gt;&lt;FQL&gt;&lt;Q&gt;EPHE^JULIAN(FMA_DIV_YLD(NTMA,NOW,NOW,M,"PORTAGG","MEANR").DATES)&lt;/Q&gt;&lt;R&gt;1&lt;/R&gt;&lt;C&gt;1&lt;/C&gt;&lt;D xsi:type="xsd:long"&gt;45412&lt;/D&gt;&lt;/FQL&gt;&lt;FQL&gt;&lt;Q&gt;INDA^JULIAN(FMA_DIV_YLD(NTMA,NOW,NOW,M,"PORTAGG","MEANR").DATES)&lt;/Q&gt;&lt;R&gt;1&lt;/R&gt;&lt;C&gt;1&lt;/C&gt;&lt;D xsi:type="xsd:long"&gt;45412&lt;/D&gt;&lt;/FQL&gt;&lt;FQL&gt;&lt;Q&gt;REFPHRREPO-FDS^PROPER_NAME(0,,,"SECURITY","NAME")&lt;/Q&gt;&lt;R&gt;1&lt;/R&gt;&lt;C&gt;1&lt;/C&gt;&lt;D xsi:type="xsd:string"&gt;Philippines Reverse Repo Rate - Overnight&lt;/D&gt;&lt;/FQL&gt;&lt;FQL&gt;&lt;Q&gt;USDIDR^FG_PRICE_CHANGE(0,-1AY)&lt;/Q&gt;&lt;R&gt;1&lt;/R&gt;&lt;C&gt;1&lt;/C&gt;&lt;D xsi:type="xsd:double"&gt;7.476473&lt;/D&gt;&lt;/FQL&gt;&lt;FQL&gt;&lt;Q&gt;EWY^FG_PRICE_MAVG(0,,,,30)&lt;/Q&gt;&lt;R&gt;1&lt;/R&gt;&lt;C&gt;1&lt;/C&gt;&lt;D xsi:type="xsd:double"&gt;64.00467&lt;/D&gt;&lt;/FQL&gt;&lt;FQL&gt;&lt;Q&gt;TUR^P_PRICE(0)/P_PRICE_LOW_PR(0,,,,,,"PRICE","INTRA","52W")-1&lt;/Q&gt;&lt;R&gt;1&lt;/R&gt;&lt;C&gt;1&lt;/C&gt;&lt;D xsi:type="xsd:double"&gt;0.57406735&lt;/D&gt;&lt;/FQL&gt;&lt;FQL&gt;&lt;Q&gt;EWM^PERCENT_CHANGE(FMA_EPS(+1,0,,,,"PORTAGG","MEAN"),FMA_EPS(+1,-3AM,,,,"PORTAGG","MEAN"))&lt;/Q&gt;&lt;R&gt;1&lt;/R&gt;&lt;C&gt;1&lt;/C&gt;&lt;D xsi:type="xsd:double"&gt;3.20736291635681&lt;/D&gt;&lt;/FQL&gt;&lt;FQL&gt;&lt;Q&gt;ECH^P_PRICE(0)/P_PRICE_HIGH_PR(0,,,,,,"PRICE","INTRA","52W")&lt;/Q&gt;&lt;R&gt;1&lt;/R&gt;&lt;C&gt;1&lt;/C&gt;&lt;D xsi:type="xsd:double"&gt;0.9051778&lt;/D&gt;&lt;/FQL&gt;&lt;FQL&gt;&lt;Q&gt;URTH^PERCENT_CHANGE(FMA_EPS(+1,0,,,,"PORTAGG","MEAN"),FMA_EPS(+1,-1AM,,,,"PORTAGG","MEAN"))&lt;/Q&gt;&lt;R&gt;1&lt;/R&gt;&lt;C&gt;1&lt;/C&gt;&lt;D xsi:type="xsd:double"&gt;0.932423519921241&lt;/D&gt;&lt;/FQL&gt;&lt;FQL&gt;&lt;Q&gt;REFMXTON-FDS^FG_YIELD(NOW,,,0)&lt;/Q&gt;&lt;R&gt;1&lt;/R&gt;&lt;C&gt;1&lt;/C&gt;&lt;D xsi:type="xsd:double"&gt;11&lt;/D&gt;&lt;/FQL&gt;&lt;FQL&gt;&lt;Q&gt;TRYKR10Y-FDS^FG_YIELD(0,,,,"YTM")&lt;/Q&gt;&lt;R&gt;1&lt;/R&gt;&lt;C&gt;1&lt;/C&gt;&lt;D xsi:type="xsd:double"&gt;3.4672&lt;/D&gt;&lt;/FQL&gt;&lt;FQL&gt;&lt;Q&gt;CC_TH^IMF_IFS_RCPI_Q(0)&lt;/Q&gt;&lt;R&gt;1&lt;/R&gt;&lt;C&gt;1&lt;/C&gt;&lt;D xsi:type="xsd:double"&gt;-0.78397644&lt;/D&gt;&lt;/FQL&gt;&lt;FQL&gt;&lt;Q&gt;VGK^FMA_DIV_YLD(NTMA,NOW,NOW,M,"PORTAGG","MEANR")&lt;/Q&gt;&lt;R&gt;1&lt;/R&gt;&lt;C&gt;1&lt;/C&gt;&lt;D xsi:type="xsd:double"&gt;3.45020953118843&lt;/D&gt;&lt;/FQL&gt;&lt;FQL&gt;&lt;Q&gt;UAE^FMA_PE(LTM,0,,,"PORTAGG","MEANR")&lt;/Q&gt;&lt;R&gt;1&lt;/R&gt;&lt;C&gt;1&lt;/C&gt;&lt;D xsi:type="xsd:double"&gt;10.2087041546154&lt;/D&gt;&lt;/FQL&gt;&lt;FQL&gt;&lt;Q&gt;MCHI^FMA_PE(NTMA,0,,,"PORTAGG","MEANR")&lt;/Q&gt;&lt;R&gt;1&lt;/R&gt;&lt;C&gt;1&lt;/C&gt;&lt;D xsi:type="xsd:double"&gt;10.692598022338&lt;/D&gt;&lt;/FQL&gt;&lt;FQL&gt;&lt;Q&gt;EWZ^FMA_EVAL_EBIT(LTMA,NOW,NOW,M,"PORTAGG","MEANR")&lt;/Q&gt;&lt;R&gt;1&lt;/R&gt;&lt;C&gt;1&lt;/C&gt;&lt;D xsi:type="xsd:double"&gt;6.73854193892368&lt;/D&gt;&lt;/FQL&gt;&lt;FQL&gt;&lt;Q&gt;EWT^FMA_EVAL_EBITDA(NTMA,0,,,"PORTAGG","MEANR")&lt;/Q&gt;&lt;R&gt;1&lt;/R&gt;&lt;C&gt;1&lt;/C&gt;&lt;D xsi:type="xsd:double"&gt;10.0748161952135&lt;/D&gt;&lt;/FQL&gt;&lt;FQL&gt;&lt;Q&gt;EWT^FG_PRICE_MAVG(0,,,,200)&lt;/Q&gt;&lt;R&gt;1&lt;/R&gt;&lt;C&gt;1&lt;/C&gt;&lt;D xsi:type="xsd:double"&gt;46.5824&lt;/D&gt;&lt;/FQL&gt;&lt;FQL&gt;&lt;Q&gt;EWZ^FMA_EVAL_EBITDA(NTMA,0,,,"PORTAGG","MEANR")&lt;/Q&gt;&lt;R&gt;1&lt;/R&gt;&lt;C&gt;1&lt;/C&gt;&lt;D xsi:type="xsd:double"&gt;4.66087595001658&lt;/D&gt;&lt;/FQL&gt;&lt;FQL&gt;&lt;Q&gt;CNYA^FG_COMPANY_NAME&lt;/Q&gt;&lt;R&gt;1&lt;/R&gt;&lt;C&gt;1&lt;/C&gt;&lt;D xsi:type="xsd:string"&gt;iShares MSCI China A ETF&lt;/D&gt;&lt;/FQL&gt;&lt;FQL&gt;&lt;Q&gt;TUR^FMA_EVAL_EBITDA(NTMA,0,,,"PORTAGG","MEANR")&lt;/Q&gt;&lt;R&gt;1&lt;/R&gt;&lt;C&gt;1&lt;/C&gt;&lt;D xsi:type="xsd:double"&gt;4.82167080627848&lt;/D&gt;&lt;/FQL&gt;&lt;FQL&gt;&lt;Q&gt;INDA^FG_FCF_YIELD_NTM(0)&lt;/Q&gt;&lt;R&gt;1&lt;/R&gt;&lt;C&gt;1&lt;/C&gt;&lt;D xsi:type="xsd:double"&gt;2.9420447613215&lt;/D&gt;&lt;/FQL&gt;&lt;FQL&gt;&lt;Q&gt;SET-BKK^FMA_EVAL_EBITDA(NTMA,0,,,"PORTAGG","MEANR")&lt;/Q&gt;&lt;R&gt;1&lt;/R&gt;&lt;C&gt;1&lt;/C&gt;&lt;D xsi:type="xsd:double"&gt;9.44328624813325&lt;/D&gt;&lt;/FQL&gt;&lt;FQL&gt;&lt;Q&gt;EWM^FMA_PE(LTM,0,,,"PORTAGG","MEANR")&lt;/Q&gt;&lt;R&gt;1&lt;/R&gt;&lt;C&gt;1&lt;/C&gt;&lt;D xsi:type="xsd:double"&gt;18.6205577160583&lt;/D&gt;&lt;/FQL&gt;&lt;FQL&gt;&lt;Q&gt;EWJ^SIZE(FG_CONSTITUENTS)&lt;/Q&gt;&lt;R&gt;1&lt;/R&gt;&lt;C&gt;1&lt;/C&gt;&lt;D xsi:type="xsd:long"&gt;218&lt;/D&gt;&lt;/FQL&gt;&lt;FQL&gt;&lt;Q&gt;TRYAE10Y-FDS^FG_YIELD_NAME&lt;/Q&gt;&lt;R&gt;1&lt;/R&gt;&lt;C&gt;1&lt;/C&gt;&lt;D xsi:type="xsd:string"&gt;Treasury - United Arab Emirates USD Benchmark Bond 10Y&lt;/D&gt;&lt;/FQL&gt;&lt;FQL&gt;&lt;Q&gt;VNM^FMA_EPS(NTMA,-20AY,0,CY,,"PORTAGG","MEANR")&lt;/Q&gt;&lt;R&gt;20&lt;/R&gt;&lt;C&gt;1&lt;/C&gt;&lt;D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xsi:type="xsd:double"&gt;1.11601822649293&lt;/D&gt;&lt;D xsi:type="xsd:double"&gt;1.03737377793235&lt;/D&gt;&lt;D xsi:type="xsd:double"&gt;1.28884335629541&lt;/D&gt;&lt;D xsi:type="xsd:double"&gt;1.11127492950619&lt;/D&gt;&lt;D xsi:type="xsd:double"&gt;0.886057282514537&lt;/D&gt;&lt;/FQL&gt;&lt;FQL&gt;&lt;Q&gt;TUR^FMA_EVAL_EBIT(LTMA,NOW,NOW,M,"PORTAGG","MEANR")&lt;/Q&gt;&lt;R&gt;1&lt;/R&gt;&lt;C&gt;1&lt;/C&gt;&lt;D xsi:type="xsd:double"&gt;7.41240018104184&lt;/D&gt;&lt;/FQL&gt;&lt;FQL&gt;&lt;Q&gt;MCHI^FMA_PE(LTM,0,,,"PORTAGG","MEANR")&lt;/Q&gt;&lt;R&gt;1&lt;/R&gt;&lt;C&gt;1&lt;/C&gt;&lt;D xsi:type="xsd:double"&gt;13.6243110624861&lt;/D&gt;&lt;/FQL&gt;&lt;FQL&gt;&lt;Q&gt;EWT^JULIAN(FMA_DIV_YLD(NTMA,NOW,NOW,M,"PORTAGG","MEANR").DATES)&lt;/Q&gt;&lt;R&gt;1&lt;/R&gt;&lt;C&gt;1&lt;/C&gt;&lt;D xsi:type="xsd:long"&gt;45412&lt;/D&gt;&lt;/FQL&gt;&lt;FQL&gt;&lt;Q&gt;VGK^PERCENT_CHANGE(FMA_EPS(+1,0,,,,"PORTAGG","MEAN"),FMA_EPS(+1,-3AM,,,,"PORTAGG","MEAN"))&lt;/Q&gt;&lt;R&gt;1&lt;/R&gt;&lt;C&gt;1&lt;/C&gt;&lt;D xsi:type="xsd:double"&gt;-1.55746566433551&lt;/D&gt;&lt;/FQL&gt;&lt;FQL&gt;&lt;Q&gt;REFPEMPR-FDS^FG_YIELD(NOW,,,0)&lt;/Q&gt;&lt;R&gt;1&lt;/R&gt;&lt;C&gt;1&lt;/C&gt;&lt;D xsi:type="xsd:double"&gt;5.75&lt;/D&gt;&lt;/FQL&gt;&lt;FQL&gt;&lt;Q&gt;TRYTW10Y-FDS^FG_YIELD(0,,,,"YTM")&lt;/Q&gt;&lt;R&gt;1&lt;/R&gt;&lt;C&gt;1&lt;/C&gt;&lt;D xsi:type="xsd:double"&gt;1.6&lt;/D&gt;&lt;/FQL&gt;&lt;FQL&gt;&lt;Q&gt;CC_IN^IMF_IFS_RCPI_Q(0)&lt;/Q&gt;&lt;R&gt;1&lt;/R&gt;&lt;C&gt;1&lt;/C&gt;&lt;D xsi:type="xsd:double"&gt;5.014141&lt;/D&gt;&lt;/FQL&gt;&lt;FQL&gt;&lt;Q&gt;EWZ^FMA_PE(LTM,0,,,"PORTAGG","MEANR")&lt;/Q&gt;&lt;R&gt;1&lt;/R&gt;&lt;C&gt;1&lt;/C&gt;&lt;D xsi:type="xsd:double"&gt;7.63643830482781&lt;/D&gt;&lt;/FQL&gt;&lt;FQL&gt;&lt;Q&gt;FC0000CL^JULIAN(FMA_EPS(NTMA,-20AY,0,CY,,"PORTAGG","MEANR").DATES)&lt;/Q&gt;&lt;R&gt;20&lt;/R&gt;&lt;C&gt;1&lt;/C&gt;&lt;D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xsi:type="xsd:long"&gt;45289&lt;/D&gt;&lt;/FQL&gt;&lt;FQL&gt;&lt;Q&gt;W-FDS^FG_PRICE_CHANGE(0,-1AM)&lt;/Q&gt;&lt;R&gt;1&lt;/R&gt;&lt;C&gt;1&lt;/C&gt;&lt;D xsi:type="xsd:double"&gt;19.3162393162393&lt;/D&gt;&lt;/FQL&gt;&lt;FQL&gt;&lt;Q&gt;TUR^P_PRICE(0)/P_PRICE_HIGH_PR(0,,,,,,"PRICE","INTRA","52W")&lt;/Q&gt;&lt;R&gt;1&lt;/R&gt;&lt;C&gt;1&lt;/C&gt;&lt;D xsi:type="xsd:double"&gt;0.9786084&lt;/D&gt;&lt;/FQL&gt;&lt;FQL&gt;&lt;Q&gt;MCHI^FMA_COS_DOWN("EPS","1M",+1,NOW,,,"PORTAGG","MEANR")&lt;/Q&gt;&lt;R&gt;1&lt;/R&gt;&lt;C&gt;1&lt;/C&gt;&lt;D xsi:type="xsd:double"&gt;350&lt;/D&gt;&lt;/FQL&gt;&lt;FQL&gt;&lt;Q&gt;EIDO^FMA_COS_UP("EPS","1M",+1,NOW,,,"PORTAGG","MEANR")&lt;/Q&gt;&lt;R&gt;1&lt;/R&gt;&lt;C&gt;1&lt;/C&gt;&lt;D xsi:type="xsd:double"&gt;15&lt;/D&gt;&lt;/FQL&gt;&lt;FQL&gt;&lt;Q&gt;REFMYON-FDS^(SUBARRAY(NOT_NA(NO_REPEAT_F(FG_YIELD(NOW,-10AY,D))),0,1)-SUBARRAY(NOT_NA(NO_REPEAT_F(FG_YIELD(NOW,-10AY,D))),1,1))*100&lt;/Q&gt;&lt;R&gt;1&lt;/R&gt;&lt;C&gt;1&lt;/C&gt;&lt;D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xsi:type="xsd:double"&gt;25&lt;/D&gt;&lt;/FQL&gt;&lt;FQL&gt;&lt;Q&gt;TRYTR7Y-FDS^PCTCHG(FG_YIELD(0,,,,"YTM"),FG_YIELD(-1AM,,,,"YTM"))&lt;/Q&gt;&lt;R&gt;1&lt;/R&gt;&lt;C&gt;1&lt;/C&gt;&lt;D xsi:type="xsd:double"&gt;1.4186118&lt;/D&gt;&lt;/FQL&gt;&lt;FQL&gt;&lt;Q&gt;TRYMX10Y-FDS^FG_YIELD(0,,,,"YTM")&lt;/Q&gt;&lt;R&gt;1&lt;/R&gt;&lt;C&gt;1&lt;/C&gt;&lt;D xsi:type="xsd:double"&gt;9.7367&lt;/D&gt;&lt;/FQL&gt;&lt;FQL&gt;&lt;Q&gt;CC_QA^IMF_IFS_RCPI_Q(0)&lt;/Q&gt;&lt;R&gt;0&lt;/R&gt;&lt;C&gt;0&lt;/C&gt;&lt;/FQL&gt;&lt;FQL&gt;&lt;Q&gt;QAT^P_PRICE_RETURNS_PR('52W',2,-10AY,0,AM)&lt;/Q&gt;&lt;R&gt;121&lt;/R&gt;&lt;C&gt;1&lt;/C&gt;&lt;D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xsi:type="xsd:double"&gt;-3.215444&lt;/D&gt;&lt;D xsi:type="xsd:double"&gt;-0.6642401&lt;/D&gt;&lt;D xsi:type="xsd:double"&gt;-9.9018755&lt;/D&gt;&lt;D xsi:type="xsd:double"&gt;-19.620216&lt;/D&gt;&lt;D xsi:type="xsd:double"&gt;-16.402458&lt;/D&gt;&lt;D xsi:type="xsd:double"&gt;-10.859388&lt;/D&gt;&lt;D xsi:type="xsd:double"&gt;-22.877472&lt;/D&gt;&lt;D xsi:type="xsd:double"&gt;-16.745228&lt;/D&gt;&lt;D xsi:type="xsd:double"&gt;-26.365059&lt;/D&gt;&lt;D xsi:type="xsd:double"&gt;-19.753271&lt;/D&gt;&lt;D xsi:type="xsd:double"&gt;-10.124624&lt;/D&gt;&lt;D xsi:type="xsd:double"&gt;-14.025086&lt;/D&gt;&lt;D xsi:type="xsd:double"&gt;-21.55562&lt;/D&gt;&lt;D xsi:type="xsd:double"&gt;-16.600204&lt;/D&gt;&lt;D xsi:type="xsd:double"&gt;-9.72178&lt;/D&gt;&lt;D xsi:type="xsd:double"&gt;4.1232586&lt;/D&gt;&lt;D xsi:type="xsd:double"&gt;-5.5651784&lt;/D&gt;&lt;D xsi:type="xsd:double"&gt;-8.148336&lt;/D&gt;&lt;D xsi:type="xsd:double"&gt;-5.7322025&lt;/D&gt;&lt;D xsi:type="xsd:double"&gt;5.203593&lt;/D&gt;&lt;D xsi:type="xsd:double"&gt;27.926863&lt;/D&gt;&lt;D xsi:type="xsd:double"&gt;12.293172&lt;/D&gt;&lt;D xsi:type="xsd:double"&gt;2.5475621&lt;/D&gt;&lt;D xsi:type="xsd:double"&gt;2.4422765&lt;/D&gt;&lt;D xsi:type="xsd:double"&gt;6.413305&lt;/D&gt;&lt;D xsi:type="xsd:double"&gt;-7.4080825&lt;/D&gt;&lt;D xsi:type="xsd:double"&gt;-4.7131357&lt;/D&gt;&lt;D xsi:type="xsd:double"&gt;-15.73599&lt;/D&gt;&lt;D xsi:type="xsd:double"&gt;-15.614069&lt;/D&gt;&lt;D xsi:type="xsd:double"&gt;-18.908257&lt;/D&gt;&lt;D xsi:type="xsd:double"&gt;-21.607859&lt;/D&gt;&lt;D xsi:type="xsd:double"&gt;-11.412412&lt;/D&gt;&lt;D xsi:type="xsd:double"&gt;-10.638684&lt;/D&gt;&lt;D xsi:type="xsd:double"&gt;-14.392871&lt;/D&gt;&lt;D xsi:type="xsd:double"&gt;-11.026007&lt;/D&gt;&lt;D xsi:type="xsd:double"&gt;-7.766491&lt;/D&gt;&lt;D xsi:type="xsd:double"&gt;-6.891799&lt;/D&gt;&lt;D xsi:type="xsd:double"&gt;2.6999712&lt;/D&gt;&lt;D xsi:type="xsd:double"&gt;-0.23701191&lt;/D&gt;&lt;D xsi:type="xsd:double"&gt;8.998847&lt;/D&gt;&lt;D xsi:type="xsd:double"&gt;17.550337&lt;/D&gt;&lt;D xsi:type="xsd:double"&gt;26.247179&lt;/D&gt;&lt;D xsi:type="xsd:double"&gt;45.88021&lt;/D&gt;&lt;D xsi:type="xsd:double"&gt;21.925522&lt;/D&gt;&lt;D xsi:type="xsd:double"&gt;18.704296&lt;/D&gt;&lt;D xsi:type="xsd:double"&gt;17.125166&lt;/D&gt;&lt;D xsi:type="xsd:double"&gt;14.176643&lt;/D&gt;&lt;D xsi:type="xsd:double"&gt;16.019356&lt;/D&gt;&lt;D xsi:type="xsd:double"&gt;6.8803787&lt;/D&gt;&lt;D xsi:type="xsd:double"&gt;14.480448&lt;/D&gt;&lt;D xsi:type="xsd:double"&gt;10.470271&lt;/D&gt;&lt;D xsi:type="xsd:double"&gt;1.8480539&lt;/D&gt;&lt;D xsi:type="xsd:double"&gt;3.9027572&lt;/D&gt;&lt;D xsi:type="xsd:double"&gt;2.9037952&lt;/D&gt;&lt;D xsi:type="xsd:double"&gt;-0.3550589&lt;/D&gt;&lt;D xsi:type="xsd:double"&gt;-0.8876085&lt;/D&gt;&lt;D xsi:type="xsd:double"&gt;-3.0481696&lt;/D&gt;&lt;D xsi:type="xsd:double"&gt;-2.8999686&lt;/D&gt;&lt;D xsi:type="xsd:double"&gt;-15.715254&lt;/D&gt;&lt;D xsi:type="xsd:double"&gt;-16.27913&lt;/D&gt;&lt;D xsi:type="xsd:double"&gt;-5.6818485&lt;/D&gt;&lt;D xsi:type="xsd:double"&gt;-5.4766536&lt;/D&gt;&lt;D xsi:type="xsd:double"&gt;-3.4821033&lt;/D&gt;&lt;D xsi:type="xsd:double"&gt;6.738138&lt;/D&gt;&lt;D xsi:type="xsd:double"&gt;0.5043268&lt;/D&gt;&lt;D xsi:type="xsd:double"&gt;1.622355&lt;/D&gt;&lt;D xsi:type="xsd:double"&gt;4.291272&lt;/D&gt;&lt;D xsi:type="xsd:double"&gt;6.7096114&lt;/D&gt;&lt;D xsi:type="xsd:double"&gt;6.2337875&lt;/D&gt;&lt;D xsi:type="xsd:double"&gt;9.80028&lt;/D&gt;&lt;D xsi:type="xsd:double"&gt;28.027475&lt;/D&gt;&lt;D xsi:type="xsd:double"&gt;31.229042&lt;/D&gt;&lt;D xsi:type="xsd:double"&gt;27.155136&lt;/D&gt;&lt;D xsi:type="xsd:double"&gt;19.318317&lt;/D&gt;&lt;D xsi:type="xsd:double"&gt;14.660192&lt;/D&gt;&lt;D xsi:type="xsd:double"&gt;16.102993&lt;/D&gt;&lt;D xsi:type="xsd:double"&gt;17.537224&lt;/D&gt;&lt;D xsi:type="xsd:double"&gt;20.496738&lt;/D&gt;&lt;D xsi:type="xsd:double"&gt;17.838478&lt;/D&gt;&lt;D xsi:type="xsd:double"&gt;13.601744&lt;/D&gt;&lt;D xsi:type="xsd:double"&gt;17.589462&lt;/D&gt;&lt;D xsi:type="xsd:double"&gt;26.786507&lt;/D&gt;&lt;D xsi:type="xsd:double"&gt;33.53759&lt;/D&gt;&lt;D xsi:type="xsd:double"&gt;28.364908&lt;/D&gt;&lt;D xsi:type="xsd:double"&gt;19.874048&lt;/D&gt;&lt;D xsi:type="xsd:double"&gt;9.79836&lt;/D&gt;&lt;D xsi:type="xsd:double"&gt;18.55452&lt;/D&gt;&lt;D xsi:type="xsd:double"&gt;20.847584&lt;/D&gt;&lt;D xsi:type="xsd:double"&gt;9.730291&lt;/D&gt;&lt;D xsi:type="xsd:double"&gt;7.573855&lt;/D&gt;&lt;D xsi:type="xsd:double"&gt;1.1756539&lt;/D&gt;&lt;D xsi:type="xsd:double"&gt;-4.668456&lt;/D&gt;&lt;D xsi:type="xsd:double"&gt;-7.7905893&lt;/D&gt;&lt;D xsi:type="xsd:double"&gt;-15.762419&lt;/D&gt;&lt;D xsi:type="xsd:double"&gt;-23.326874&lt;/D&gt;&lt;D xsi:type="xsd:double"&gt;-22.977812&lt;/D&gt;&lt;D xsi:type="xsd:double"&gt;-11.593217&lt;/D&gt;&lt;D xsi:type="xsd:double"&gt;-8.322996&lt;/D&gt;&lt;D xsi:type="xsd:double"&gt;-11.659879&lt;/D&gt;&lt;D xsi:type="xsd:double"&gt;-18.371033&lt;/D&gt;&lt;D xsi:type="xsd:double"&gt;-13.515223&lt;/D&gt;&lt;D xsi:type="xsd:double"&gt;-20.026218&lt;/D&gt;&lt;D xsi:type="xsd:double"&gt;-9.6992855&lt;/D&gt;&lt;D xsi:type="xsd:double"&gt;-2.1411717&lt;/D&gt;&lt;D xsi:type="xsd:double"&gt;-4.9581885&lt;/D&gt;&lt;D xsi:type="xsd:double"&gt;2.2689342&lt;/D&gt;&lt;D xsi:type="xsd:double"&gt;6.9433928&lt;/D&gt;&lt;D xsi:type="xsd:double"&gt;0.67721605&lt;/D&gt;&lt;D xsi:type="xsd:double"&gt;-9.010422&lt;/D&gt;&lt;/FQL&gt;&lt;FQL&gt;&lt;Q&gt;EWT^FG_PRICE_MAVG(0,,,,30)&lt;/Q&gt;&lt;R&gt;1&lt;/R&gt;&lt;C&gt;1&lt;/C&gt;&lt;D xsi:type="xsd:double"&gt;48.467&lt;/D&gt;&lt;/FQL&gt;&lt;FQL&gt;&lt;Q&gt;EZA^FMA_PCT_ABOVE_MAVG(200,0,,,,"PORTAGG")&lt;/Q&gt;&lt;R&gt;1&lt;/R&gt;&lt;C&gt;1&lt;/C&gt;&lt;D xsi:type="xsd:double"&gt;69.6969696969697&lt;/D&gt;&lt;/FQL&gt;&lt;FQL&gt;&lt;Q&gt;EWM^FMA_PCT_ABOVE_MAVG(200,0,,,,"PORTAGG")&lt;/Q&gt;&lt;R&gt;1&lt;/R&gt;&lt;C&gt;1&lt;/C&gt;&lt;D xsi:type="xsd:double"&gt;72.7272727272727&lt;/D&gt;&lt;/FQL&gt;&lt;FQL&gt;&lt;Q&gt;ECH^FMA_PCT_ABOVE_MAVG(200,0,,,,"PORTAGG")&lt;/Q&gt;&lt;R&gt;1&lt;/R&gt;&lt;C&gt;1&lt;/C&gt;&lt;D xsi:type="xsd:double"&gt;75.8620689655172&lt;/D&gt;&lt;/FQL&gt;&lt;FQL&gt;&lt;Q&gt;EWZ^FG_FCF_YIELD_NTM(0)&lt;/Q&gt;&lt;R&gt;1&lt;/R&gt;&lt;C&gt;1&lt;/C&gt;&lt;D xsi:type="xsd:double"&gt;9.82116214660909&lt;/D&gt;&lt;/FQL&gt;&lt;FQL&gt;&lt;Q&gt;CNYA^FMA_PE(NTMA,0,,,"PORTAGG","MEANR")&lt;/Q&gt;&lt;R&gt;1&lt;/R&gt;&lt;C&gt;1&lt;/C&gt;&lt;D xsi:type="xsd:double"&gt;13.0415360098746&lt;/D&gt;&lt;/FQL&gt;&lt;FQL&gt;&lt;Q&gt;TRYTH10Y-FDS^PCTCHG(FG_YIELD(0,,,,"YTM"),FG_YIELD(-1AM,,,,"YTM"))&lt;/Q&gt;&lt;R&gt;1&lt;/R&gt;&lt;C&gt;1&lt;/C&gt;&lt;D xsi:type="xsd:double"&gt;4.461892&lt;/D&gt;&lt;/FQL&gt;&lt;FQL&gt;&lt;Q&gt;CC_TW^IMF_IFS_RCPI_Q(0)&lt;/Q&gt;&lt;R&gt;0&lt;/R&gt;&lt;C&gt;0&lt;/C&gt;&lt;/FQL&gt;&lt;FQL&gt;&lt;Q&gt;EWY^SIZE(FG_CONSTITUENTS)&lt;/Q&gt;&lt;R&gt;1&lt;/R&gt;&lt;C&gt;1&lt;/C&gt;&lt;D xsi:type="xsd:long"&gt;101&lt;/D&gt;&lt;/FQL&gt;&lt;FQL&gt;&lt;Q&gt;EWJ^FG_TOTAL_RETURNC(0,-3AM)&lt;/Q&gt;&lt;R&gt;1&lt;/R&gt;&lt;C&gt;1&lt;/C&gt;&lt;D xsi:type="xsd:double"&gt;-1.869297&lt;/D&gt;&lt;/FQL&gt;&lt;FQL&gt;&lt;Q&gt;EWY^JULIAN(FMA_DIV_YLD(NTMA,NOW,NOW,M,"PORTAGG","MEANR").DATES)&lt;/Q&gt;&lt;R&gt;1&lt;/R&gt;&lt;C&gt;1&lt;/C&gt;&lt;D xsi:type="xsd:long"&gt;45412&lt;/D&gt;&lt;/FQL&gt;&lt;FQL&gt;&lt;Q&gt;CNYA^P_PRICE_RETURNS_PR('52W',2,-10AY,0,AM)&lt;/Q&gt;&lt;R&gt;121&lt;/R&gt;&lt;C&gt;1&lt;/C&gt;&lt;D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xsi:type="xsd:double"&gt;12.188125&lt;/D&gt;&lt;D xsi:type="xsd:double"&gt;13.198889&lt;/D&gt;&lt;D xsi:type="xsd:double"&gt;12.446463&lt;/D&gt;&lt;D xsi:type="xsd:double"&gt;18.1329&lt;/D&gt;&lt;D xsi:type="xsd:double"&gt;20.234966&lt;/D&gt;&lt;D xsi:type="xsd:double"&gt;26.581966&lt;/D&gt;&lt;D xsi:type="xsd:double"&gt;28.197647&lt;/D&gt;&lt;D xsi:type="xsd:double"&gt;38.46818&lt;/D&gt;&lt;D xsi:type="xsd:double"&gt;25.66067&lt;/D&gt;&lt;D xsi:type="xsd:double"&gt;19.432735&lt;/D&gt;&lt;D xsi:type="xsd:double"&gt;17.123055&lt;/D&gt;&lt;D xsi:type="xsd:double"&gt;21.80525&lt;/D&gt;&lt;D xsi:type="xsd:double"&gt;6.6206098&lt;/D&gt;&lt;D xsi:type="xsd:double"&gt;-5.2917185&lt;/D&gt;&lt;D xsi:type="xsd:double"&gt;-13.665449&lt;/D&gt;&lt;D xsi:type="xsd:double"&gt;-13.393581&lt;/D&gt;&lt;D xsi:type="xsd:double"&gt;-20.22214&lt;/D&gt;&lt;D xsi:type="xsd:double"&gt;-26.022417&lt;/D&gt;&lt;D xsi:type="xsd:double"&gt;-26.85346&lt;/D&gt;&lt;D xsi:type="xsd:double"&gt;-28.687168&lt;/D&gt;&lt;D xsi:type="xsd:double"&gt;-14.562225&lt;/D&gt;&lt;D xsi:type="xsd:double"&gt;-6.6527367&lt;/D&gt;&lt;D xsi:type="xsd:double"&gt;2.5148392&lt;/D&gt;&lt;D xsi:type="xsd:double"&gt;-12.047833&lt;/D&gt;&lt;D xsi:type="xsd:double"&gt;1.849556&lt;/D&gt;&lt;D xsi:type="xsd:double"&gt;7.814777&lt;/D&gt;&lt;D xsi:type="xsd:double"&gt;11.31748&lt;/D&gt;&lt;D xsi:type="xsd:double"&gt;10.671436&lt;/D&gt;&lt;D xsi:type="xsd:double"&gt;20.681345&lt;/D&gt;&lt;D xsi:type="xsd:double"&gt;18.25844&lt;/D&gt;&lt;D xsi:type="xsd:double"&gt;31.556438&lt;/D&gt;&lt;D xsi:type="xsd:double"&gt;26.667059&lt;/D&gt;&lt;D xsi:type="xsd:double"&gt;18.620945&lt;/D&gt;&lt;D xsi:type="xsd:double"&gt;-7.3393764&lt;/D&gt;&lt;D xsi:type="xsd:double"&gt;-4.7271013&lt;/D&gt;&lt;D xsi:type="xsd:double"&gt;7.926357&lt;/D&gt;&lt;D xsi:type="xsd:double"&gt;12.258875&lt;/D&gt;&lt;D xsi:type="xsd:double"&gt;29.498566&lt;/D&gt;&lt;D xsi:type="xsd:double"&gt;33.85073&lt;/D&gt;&lt;D xsi:type="xsd:double"&gt;30.409718&lt;/D&gt;&lt;D xsi:type="xsd:double"&gt;35.335876&lt;/D&gt;&lt;D xsi:type="xsd:double"&gt;44.169796&lt;/D&gt;&lt;D xsi:type="xsd:double"&gt;41.570568&lt;/D&gt;&lt;D xsi:type="xsd:double"&gt;49.189533&lt;/D&gt;&lt;D xsi:type="xsd:double"&gt;50.38754&lt;/D&gt;&lt;D xsi:type="xsd:double"&gt;55.499912&lt;/D&gt;&lt;D xsi:type="xsd:double"&gt;50.08565&lt;/D&gt;&lt;D xsi:type="xsd:double"&gt;49.524223&lt;/D&gt;&lt;D xsi:type="xsd:double"&gt;39.119434&lt;/D&gt;&lt;D xsi:type="xsd:double"&gt;21.759438&lt;/D&gt;&lt;D xsi:type="xsd:double"&gt;14.7103195&lt;/D&gt;&lt;D xsi:type="xsd:double"&gt;17.55545&lt;/D&gt;&lt;D xsi:type="xsd:double"&gt;14.358461&lt;/D&gt;&lt;D xsi:type="xsd:double"&gt;9.250879&lt;/D&gt;&lt;D xsi:type="xsd:double"&gt;7.805538&lt;/D&gt;&lt;D xsi:type="xsd:double"&gt;-7.806194&lt;/D&gt;&lt;D xsi:type="xsd:double"&gt;-10.763603&lt;/D&gt;&lt;D xsi:type="xsd:double"&gt;-6.681985&lt;/D&gt;&lt;D xsi:type="xsd:double"&gt;-18.160254&lt;/D&gt;&lt;D xsi:type="xsd:double"&gt;-19.121593&lt;/D&gt;&lt;D xsi:type="xsd:double"&gt;-14.128834&lt;/D&gt;&lt;D xsi:type="xsd:double"&gt;-18.475086&lt;/D&gt;&lt;D xsi:type="xsd:double"&gt;-15.432983&lt;/D&gt;&lt;D xsi:type="xsd:double"&gt;-26.124674&lt;/D&gt;&lt;D xsi:type="xsd:double"&gt;-29.64021&lt;/D&gt;&lt;D xsi:type="xsd:double"&gt;-29.158056&lt;/D&gt;&lt;D xsi:type="xsd:double"&gt;-28.52984&lt;/D&gt;&lt;D xsi:type="xsd:double"&gt;-14.338845&lt;/D&gt;&lt;D xsi:type="xsd:double"&gt;-16.357826&lt;/D&gt;&lt;D xsi:type="xsd:double"&gt;-10.43058&lt;/D&gt;&lt;D xsi:type="xsd:double"&gt;-2.7165115&lt;/D&gt;&lt;D xsi:type="xsd:double"&gt;-8.5726795&lt;/D&gt;&lt;D xsi:type="xsd:double"&gt;-18.750715&lt;/D&gt;&lt;D xsi:type="xsd:double"&gt;-15.757132&lt;/D&gt;&lt;D xsi:type="xsd:double"&gt;-18.013239&lt;/D&gt;&lt;D xsi:type="xsd:double"&gt;-7.470435&lt;/D&gt;&lt;D xsi:type="xsd:double"&gt;-10.528773&lt;/D&gt;&lt;D xsi:type="xsd:double"&gt;-7.71789&lt;/D&gt;&lt;D xsi:type="xsd:double"&gt;-13.243646&lt;/D&gt;&lt;D xsi:type="xsd:double"&gt;-27.654135&lt;/D&gt;&lt;D xsi:type="xsd:double"&gt;-18.336374&lt;/D&gt;&lt;D xsi:type="xsd:double"&gt;-15.4254675&lt;/D&gt;&lt;D xsi:type="xsd:double"&gt;-16.185612&lt;/D&gt;&lt;D xsi:type="xsd:double"&gt;-8.852953&lt;/D&gt;&lt;/FQL&gt;&lt;FQL&gt;&lt;Q&gt;TUR^FMA_PCT_ABOVE_MAVG(200,0,,,,"PORTAGG")&lt;/Q&gt;&lt;R&gt;1&lt;/R&gt;&lt;C&gt;1&lt;/C&gt;&lt;D xsi:type="xsd:double"&gt;72.0430107526882&lt;/D&gt;&lt;/FQL&gt;&lt;FQL&gt;&lt;Q&gt;EWZ^FG_TOTAL_RETURNC(0,-12AM)&lt;/Q&gt;&lt;R&gt;1&lt;/R&gt;&lt;C&gt;1&lt;/C&gt;&lt;D xsi:type="xsd:double"&gt;9.113407&lt;/D&gt;&lt;/FQL&gt;&lt;FQL&gt;&lt;Q&gt;CNYA^P_PRICE(0)/P_PRICE_LOW_PR(0,,,,,,"PRICE","INTRA","52W")-1&lt;/Q&gt;&lt;R&gt;1&lt;/R&gt;&lt;C&gt;1&lt;/C&gt;&lt;D xsi:type="xsd:double"&gt;0.15718627&lt;/D&gt;&lt;/FQL&gt;&lt;FQL&gt;&lt;Q&gt;ECH^FMA_COS_UP("EPS","1M",+1,NOW,,,"PORTAGG","MEANR")&lt;/Q&gt;&lt;R&gt;1&lt;/R&gt;&lt;C&gt;1&lt;/C&gt;&lt;D xsi:type="xsd:double"&gt;10&lt;/D&gt;&lt;/FQL&gt;&lt;FQL&gt;&lt;Q&gt;EPU^FG_ROE(0)&lt;/Q&gt;&lt;R&gt;1&lt;/R&gt;&lt;C&gt;1&lt;/C&gt;&lt;D xsi:type="xsd:double"&gt;9.3213374578468&lt;/D&gt;&lt;/FQL&gt;&lt;FQL&gt;&lt;Q&gt;TIPSCL10Y-FDS^PCTCHG(FG_YIELD(0,,,,"YTM"),FG_YIELD(-1AM,,,,"YTM"))&lt;/Q&gt;&lt;R&gt;1&lt;/R&gt;&lt;C&gt;1&lt;/C&gt;&lt;D xsi:type="xsd:double"&gt;-4.504717&lt;/D&gt;&lt;/FQL&gt;&lt;FQL&gt;&lt;Q&gt;CC_CN^IMF_IFS_RCPI_Q(0)&lt;/Q&gt;&lt;R&gt;1&lt;/R&gt;&lt;C&gt;1&lt;/C&gt;&lt;D xsi:type="xsd:double"&gt;-0.032185&lt;/D&gt;&lt;/FQL&gt;&lt;FQL&gt;&lt;Q&gt;INDA^FMA_EVAL_EBIT(LTMA,NOW,NOW,M,"PORTAGG","MEANR")&lt;/Q&gt;&lt;R&gt;1&lt;/R&gt;&lt;C&gt;1&lt;/C&gt;&lt;D xsi:type="xsd:double"&gt;22.7719956234222&lt;/D&gt;&lt;/FQL&gt;&lt;FQL&gt;&lt;Q&gt;EPHE^FMA_DIV_YLD(NTMA,NOW,NOW,M,"PORTAGG","MEANR")&lt;/Q&gt;&lt;R&gt;1&lt;/R&gt;&lt;C&gt;1&lt;/C&gt;&lt;D xsi:type="xsd:double"&gt;2.86912122220609&lt;/D&gt;&lt;/FQL&gt;&lt;FQL&gt;&lt;Q&gt;EWM^FG_FCF_YIELD_NTM(0)&lt;/Q&gt;&lt;R&gt;1&lt;/R&gt;&lt;C&gt;1&lt;/C&gt;&lt;D xsi:type="xsd:double"&gt;5.69002269535044&lt;/D&gt;&lt;/FQL&gt;&lt;FQL&gt;&lt;Q&gt;EWM^FMA_PE(NTMA,0,,,"PORTAGG","MEANR")&lt;/Q&gt;&lt;R&gt;1&lt;/R&gt;&lt;C&gt;1&lt;/C&gt;&lt;D xsi:type="xsd:double"&gt;14.5061298747999&lt;/D&gt;&lt;/FQL&gt;&lt;FQL&gt;&lt;Q&gt;UAE^FG_COMPANY_NAME&lt;/Q&gt;&lt;R&gt;1&lt;/R&gt;&lt;C&gt;1&lt;/C&gt;&lt;D xsi:type="xsd:string"&gt;iShares MSCI UAE ETF&lt;/D&gt;&lt;/FQL&gt;&lt;FQL&gt;&lt;Q&gt;EWY^FMA_PE(NTMA,0,,,"PORTAGG","MEANR")&lt;/Q&gt;&lt;R&gt;1&lt;/R&gt;&lt;C&gt;1&lt;/C&gt;&lt;D xsi:type="xsd:double"&gt;9.92871771336959&lt;/D&gt;&lt;/FQL&gt;&lt;FQL&gt;&lt;Q&gt;EIDO^FMA_PE(LTM,0,,,"PORTAGG","MEANR")&lt;/Q&gt;&lt;R&gt;1&lt;/R&gt;&lt;C&gt;1&lt;/C&gt;&lt;D xsi:type="xsd:double"&gt;14.8942946891&lt;/D&gt;&lt;/FQL&gt;&lt;FQL&gt;&lt;Q&gt;SET-BKK^FMA_PE(LTM,0,,,"PORTAGG","MEANR")&lt;/Q&gt;&lt;R&gt;1&lt;/R&gt;&lt;C&gt;1&lt;/C&gt;&lt;D xsi:type="xsd:double"&gt;17.1426570123996&lt;/D&gt;&lt;/FQL&gt;&lt;FQL&gt;&lt;Q&gt;EPU^FG_FCF_YIELD_NTM(0)&lt;/Q&gt;&lt;R&gt;1&lt;/R&gt;&lt;C&gt;1&lt;/C&gt;&lt;D xsi:type="xsd:double"&gt;7.42060701851368&lt;/D&gt;&lt;/FQL&gt;&lt;FQL&gt;&lt;Q&gt;INDA^FG_COMPANY_NAME&lt;/Q&gt;&lt;R&gt;1&lt;/R&gt;&lt;C&gt;1&lt;/C&gt;&lt;D xsi:type="xsd:string"&gt;iShares MSCI India ETF&lt;/D&gt;&lt;/FQL&gt;&lt;FQL&gt;&lt;Q&gt;EPU^FMA_PE(NTMA,0,,,"PORTAGG","MEANR")&lt;/Q&gt;&lt;R&gt;1&lt;/R&gt;&lt;C&gt;1&lt;/C&gt;&lt;D xsi:type="xsd:double"&gt;14.2227670864903&lt;/D&gt;&lt;/FQL&gt;&lt;FQL&gt;&lt;Q&gt;EWM^FG_PRICE_MAVG(0,,,,200)&lt;/Q&gt;&lt;R&gt;1&lt;/R&gt;&lt;C&gt;1&lt;/C&gt;&lt;D xsi:type="xsd:double"&gt;21.42205&lt;/D&gt;&lt;/FQL&gt;&lt;FQL&gt;&lt;Q&gt;SET-BKK^P_PRICE(0)/P_PRICE_LOW_PR(0,,,,,,"PRICE","INTRA","52W")-1&lt;/Q&gt;&lt;R&gt;1&lt;/R&gt;&lt;C&gt;1&lt;/C&gt;&lt;D xsi:type="xsd:double"&gt;0.028265595&lt;/D&gt;&lt;/FQL&gt;&lt;FQL&gt;&lt;Q&gt;EWZ^FG_TOTAL_RETURNC(0,-6AM)&lt;/Q&gt;&lt;R&gt;1&lt;/R&gt;&lt;C&gt;1&lt;/C&gt;&lt;D xsi:type="xsd:double"&gt;-5.961263&lt;/D&gt;&lt;/FQL&gt;&lt;FQL&gt;&lt;Q&gt;EPU^P_PRICE(0)/P_PRICE_LOW_PR(0,,,,,,"PRICE","INTRA","52W")-1&lt;/Q&gt;&lt;R&gt;1&lt;/R&gt;&lt;C&gt;1&lt;/C&gt;&lt;D xsi:type="xsd:double"&gt;0.49684775&lt;/D&gt;&lt;/FQL&gt;&lt;FQL&gt;&lt;Q&gt;CNYA^FG_TOTAL_RETURNC(0,-6AM)&lt;/Q&gt;&lt;R&gt;1&lt;/R&gt;&lt;C&gt;1&lt;/C&gt;&lt;D xsi:type="xsd:double"&gt;0.9476185&lt;/D&gt;&lt;/FQL&gt;&lt;FQL&gt;&lt;Q&gt;INDA^SIZE(FG_CONSTITUENTS)&lt;/Q&gt;&lt;R&gt;1&lt;/R&gt;&lt;C&gt;1&lt;/C&gt;&lt;D xsi:type="xsd:long"&gt;137&lt;/D&gt;&lt;/FQL&gt;&lt;FQL&gt;&lt;Q&gt;EPHE^FG_ROE(0)&lt;/Q&gt;&lt;R&gt;1&lt;/R&gt;&lt;C&gt;1&lt;/C&gt;&lt;D xsi:type="xsd:double"&gt;12.5243875935&lt;/D&gt;&lt;/FQL&gt;&lt;FQL&gt;&lt;Q&gt;REFTR1WREPO-FDS^PROPER_NAME(0,,,"SECURITY","NAME")&lt;/Q&gt;&lt;R&gt;1&lt;/R&gt;&lt;C&gt;1&lt;/C&gt;&lt;D xsi:type="xsd:string"&gt;Turkey Repo Rate - 1 Week&lt;/D&gt;&lt;/FQL&gt;&lt;FQL&gt;&lt;Q&gt;EPHE^FG_TOTAL_RETURNC(-10AY,0,AM)&lt;/Q&gt;&lt;R&gt;121&lt;/R&gt;&lt;C&gt;1&lt;/C&gt;&lt;D xsi:type="xsd:double"&gt;4.8020244&lt;/D&gt;&lt;D xsi:type="xsd:double"&gt;-2.2508025&lt;/D&gt;&lt;D xsi:type="xsd:double"&gt;4.5039296&lt;/D&gt;&lt;D xsi:type="xsd:double"&gt;1.294589&lt;/D&gt;&lt;D xsi:type="xsd:double"&gt;-0.5477309&lt;/D&gt;&lt;D xsi:type="xsd:double"&gt;-0.8654654&lt;/D&gt;&lt;D xsi:type="xsd:double"&gt;3.4920573&lt;/D&gt;&lt;D xsi:type="xsd:double"&gt;-2.0344138&lt;/D&gt;&lt;D xsi:type="xsd:double"&gt;5.5729866&lt;/D&gt;&lt;D xsi:type="xsd:double"&gt;3.4448624&lt;/D&gt;&lt;D xsi:type="xsd:double"&gt;-1.0062337&lt;/D&gt;&lt;D xsi:type="xsd:double"&gt;1.427877&lt;/D&gt;&lt;D xsi:type="xsd:double"&gt;-2.0281494&lt;/D&gt;&lt;D xsi:type="xsd:double"&gt;-4.1402817&lt;/D&gt;&lt;D xsi:type="xsd:double"&gt;-0.95821023&lt;/D&gt;&lt;D xsi:type="xsd:double"&gt;-10.629511&lt;/D&gt;&lt;D xsi:type="xsd:double"&gt;-1.2124658&lt;/D&gt;&lt;D xsi:type="xsd:double"&gt;8.240795&lt;/D&gt;&lt;D xsi:type="xsd:double"&gt;-6.857455&lt;/D&gt;&lt;D xsi:type="xsd:double"&gt;0.3622532&lt;/D&gt;&lt;D xsi:type="xsd:double"&gt;-13.449276&lt;/D&gt;&lt;D xsi:type="xsd:double"&gt;9.91292&lt;/D&gt;&lt;D xsi:type="xsd:double"&gt;10.298597&lt;/D&gt;&lt;D xsi:type="xsd:double"&gt;-1.6022146&lt;/D&gt;&lt;D xsi:type="xsd:double"&gt;2.1897912&lt;/D&gt;&lt;D xsi:type="xsd:double"&gt;9.953583&lt;/D&gt;&lt;D xsi:type="xsd:double"&gt;1.1785269&lt;/D&gt;&lt;D xsi:type="xsd:double"&gt;-1.610899&lt;/D&gt;&lt;D xsi:type="xsd:double"&gt;-6.3728037&lt;/D&gt;&lt;D xsi:type="xsd:double"&gt;-0.53806305&lt;/D&gt;&lt;D xsi:type="xsd:double"&gt;-13.443333&lt;/D&gt;&lt;D xsi:type="xsd:double"&gt;-3.7102818&lt;/D&gt;&lt;D xsi:type="xsd:double"&gt;13.62083&lt;/D&gt;&lt;D xsi:type="xsd:double"&gt;-2.177024&lt;/D&gt;&lt;D xsi:type="xsd:double"&gt;0.11712313&lt;/D&gt;&lt;D xsi:type="xsd:double"&gt;4.7382355&lt;/D&gt;&lt;D xsi:type="xsd:double"&gt;2.094388&lt;/D&gt;&lt;D xsi:type="xsd:double"&gt;-0.53154826&lt;/D&gt;&lt;D xsi:type="xsd:double"&gt;-0.27585626&lt;/D&gt;&lt;D xsi:type="xsd:double"&gt;-0.47026873&lt;/D&gt;&lt;D xsi:type="xsd:double"&gt;4.280162&lt;/D&gt;&lt;D xsi:type="xsd:double"&gt;-1.6791046&lt;/D&gt;&lt;D xsi:type="xsd:double"&gt;0.84034204&lt;/D&gt;&lt;D xsi:type="xsd:double"&gt;2.8105736&lt;/D&gt;&lt;D xsi:type="xsd:double"&gt;3.0088902&lt;/D&gt;&lt;D xsi:type="xsd:double"&gt;-6.553209&lt;/D&gt;&lt;D xsi:type="xsd:double"&gt;-8.670843&lt;/D&gt;&lt;D xsi:type="xsd:double"&gt;-2.321422&lt;/D&gt;&lt;D xsi:type="xsd:double"&gt;-0.5179703&lt;/D&gt;&lt;D xsi:type="xsd:double"&gt;-9.319824&lt;/D&gt;&lt;D xsi:type="xsd:double"&gt;5.0186515&lt;/D&gt;&lt;D xsi:type="xsd:double"&gt;5.586052&lt;/D&gt;&lt;D xsi:type="xsd:double"&gt;-6.4526024&lt;/D&gt;&lt;D xsi:type="xsd:double"&gt;-1.9614279&lt;/D&gt;&lt;D xsi:type="xsd:double"&gt;3.9013028&lt;/D&gt;&lt;D xsi:type="xsd:double"&gt;1.5428185&lt;/D&gt;&lt;D xsi:type="xsd:double"&gt;8.254266&lt;/D&gt;&lt;D xsi:type="xsd:double"&gt;0.5842805&lt;/D&gt;&lt;D xsi:type="xsd:double"&gt;-0.2904415&lt;/D&gt;&lt;D xsi:type="xsd:double"&gt;0.23303032&lt;/D&gt;&lt;D xsi:type="xsd:double"&gt;-2.44115&lt;/D&gt;&lt;D xsi:type="xsd:double"&gt;7.051015&lt;/D&gt;&lt;D xsi:type="xsd:double"&gt;1.8212438&lt;/D&gt;&lt;D xsi:type="xsd:double"&gt;-9.383601&lt;/D&gt;&lt;D xsi:type="xsd:double"&gt;2.641964&lt;/D&gt;&lt;D xsi:type="xsd:double"&gt;3.7278175&lt;/D&gt;&lt;D xsi:type="xsd:double"&gt;-1.8254519&lt;/D&gt;&lt;D xsi:type="xsd:double"&gt;-0.46152472&lt;/D&gt;&lt;D xsi:type="xsd:double"&gt;-3.4180462&lt;/D&gt;&lt;D xsi:type="xsd:double"&gt;-3.2062947999999998&lt;/D&gt;&lt;D xsi:type="xsd:double"&gt;-37.875004&lt;/D&gt;&lt;D xsi:type="xsd:double"&gt;21.12677&lt;/D&gt;&lt;D xsi:type="xsd:double"&gt;-0.5398631&lt;/D&gt;&lt;D xsi:type="xsd:double"&gt;15.593565&lt;/D&gt;&lt;D xsi:type="xsd:double"&gt;-3.5973847&lt;/D&gt;&lt;D xsi:type="xsd:double"&gt;2.8269887&lt;/D&gt;&lt;D xsi:type="xsd:double"&gt;-3.7390053&lt;/D&gt;&lt;D xsi:type="xsd:double"&gt;11.6907835&lt;/D&gt;&lt;D xsi:type="xsd:double"&gt;11.012626&lt;/D&gt;&lt;D xsi:type="xsd:double"&gt;0.49550533&lt;/D&gt;&lt;D xsi:type="xsd:double"&gt;-2.1439552&lt;/D&gt;&lt;D xsi:type="xsd:double"&gt;-5.133027&lt;/D&gt;&lt;D xsi:type="xsd:double"&gt;-5.3777575&lt;/D&gt;&lt;D xsi:type="xsd:double"&gt;1.255238&lt;/D&gt;&lt;D xsi:type="xsd:double"&gt;-2.0661175&lt;/D&gt;&lt;D xsi:type="xsd:double"&gt;10.733843&lt;/D&gt;&lt;D xsi:type="xsd:double"&gt;-9.814585&lt;/D&gt;&lt;D xsi:type="xsd:double"&gt;4.0056705&lt;/D&gt;&lt;D xsi:type="xsd:double"&gt;4.1240573&lt;/D&gt;&lt;D xsi:type="xsd:double"&gt;6.4111233&lt;/D&gt;&lt;D xsi:type="xsd:double"&gt;0.2503991&lt;/D&gt;&lt;D xsi:type="xsd:double"&gt;-0.7101536&lt;/D&gt;&lt;D xsi:type="xsd:double"&gt;-2.698511&lt;/D&gt;&lt;D xsi:type="xsd:double"&gt;4.0803313&lt;/D&gt;&lt;D xsi:type="xsd:double"&gt;-8.790201&lt;/D&gt;&lt;D xsi:type="xsd:double"&gt;0.10073185&lt;/D&gt;&lt;D xsi:type="xsd:double"&gt;-2.8513908&lt;/D&gt;&lt;D xsi:type="xsd:double"&gt;-12.272989&lt;/D&gt;&lt;D xsi:type="xsd:double"&gt;-0.11947751&lt;/D&gt;&lt;D xsi:type="xsd:double"&gt;7.177031&lt;/D&gt;&lt;D xsi:type="xsd:double"&gt;-11.476934&lt;/D&gt;&lt;D xsi:type="xsd:double"&gt;-1.9541919&lt;/D&gt;&lt;D xsi:type="xsd:double"&gt;11.401629&lt;/D&gt;&lt;D xsi:type="xsd:double"&gt;1.6246676&lt;/D&gt;&lt;D xsi:type="xsd:double"&gt;10.650433&lt;/D&gt;&lt;D xsi:type="xsd:double"&gt;-7.047093&lt;/D&gt;&lt;D xsi:type="xsd:double"&gt;-1.7011881&lt;/D&gt;&lt;D xsi:type="xsd:double"&gt;-2.4454474&lt;/D&gt;&lt;D xsi:type="xsd:double"&gt;1.4269114&lt;/D&gt;&lt;D xsi:type="xsd:double"&gt;-2.3313642&lt;/D&gt;&lt;D xsi:type="xsd:double"&gt;6.8951964&lt;/D&gt;&lt;D xsi:type="xsd:double"&gt;-9.583479&lt;/D&gt;&lt;D xsi:type="xsd:double"&gt;-1.8344939&lt;/D&gt;&lt;D xsi:type="xsd:double"&gt;-0.91362&lt;/D&gt;&lt;D xsi:type="xsd:double"&gt;4.9036026&lt;/D&gt;&lt;D xsi:type="xsd:double"&gt;4.8089147&lt;/D&gt;&lt;D xsi:type="xsd:double"&gt;1.2298226&lt;/D&gt;&lt;D xsi:type="xsd:double"&gt;5.694759&lt;/D&gt;&lt;D xsi:type="xsd:double"&gt;-2.1551728&lt;/D&gt;&lt;D xsi:type="xsd:double"&gt;-7.342142&lt;/D&gt;&lt;D xsi:type="xsd:double"&gt;0.79239607&lt;/D&gt;&lt;/FQL&gt;&lt;FQL&gt;&lt;Q&gt;COPP-FDS^FG_PRICE_CHANGE(0,-3AM)&lt;/Q&gt;&lt;R&gt;1&lt;/R&gt;&lt;C&gt;1&lt;/C&gt;&lt;D xsi:type="xsd:double"&gt;24.0726429675425&lt;/D&gt;&lt;/FQL&gt;&lt;FQL&gt;&lt;Q&gt;SET-BKK^FG_TOTAL_RETURNC(0,-3AM)&lt;/Q&gt;&lt;R&gt;1&lt;/R&gt;&lt;C&gt;1&lt;/C&gt;&lt;D xsi:type="xsd:double"&gt;-2.1671712&lt;/D&gt;&lt;/FQL&gt;&lt;FQL&gt;&lt;Q&gt;EWZ^PERCENT_CHANGE(FMA_EPS(+1,0,,,,"PORTAGG","MEAN"),FMA_EPS(+1,-3AM,,,,"PORTAGG","MEAN"))&lt;/Q&gt;&lt;R&gt;1&lt;/R&gt;&lt;C&gt;1&lt;/C&gt;&lt;D xsi:type="xsd:double"&gt;0.195160619792762&lt;/D&gt;&lt;/FQL&gt;&lt;FQL&gt;&lt;Q&gt;EPU^P_PRICE(0)/P_PRICE_HIGH_PR(0,,,,,,"PRICE","INTRA","52W")&lt;/Q&gt;&lt;R&gt;1&lt;/R&gt;&lt;C&gt;1&lt;/C&gt;&lt;D xsi:type="xsd:double"&gt;0.9503002&lt;/D&gt;&lt;/FQL&gt;&lt;FQL&gt;&lt;Q&gt;CNYA^FG_TOTAL_RETURNC(0,-3AM)&lt;/Q&gt;&lt;R&gt;1&lt;/R&gt;&lt;C&gt;1&lt;/C&gt;&lt;D xsi:type="xsd:double"&gt;2.9752731&lt;/D&gt;&lt;/FQL&gt;&lt;FQL&gt;&lt;Q&gt;VGK^FMA_PCT_ABOVE_MAVG(200,0,,,,"PORTAGG")&lt;/Q&gt;&lt;R&gt;1&lt;/R&gt;&lt;C&gt;1&lt;/C&gt;&lt;D xsi:type="xsd:double"&gt;69.2368839427663&lt;/D&gt;&lt;/FQL&gt;&lt;FQL&gt;&lt;Q&gt;VNM^FMA_RBICS_REV_CURRENT(30, LOC, "PORTAGG")&lt;/Q&gt;&lt;R&gt;1&lt;/R&gt;&lt;C&gt;1&lt;/C&gt;&lt;D xsi:type="xsd:double"&gt;56.0450460074213&lt;/D&gt;&lt;/FQL&gt;&lt;FQL&gt;&lt;Q&gt;EIDO^FG_ROE(0)&lt;/Q&gt;&lt;R&gt;1&lt;/R&gt;&lt;C&gt;1&lt;/C&gt;&lt;D xsi:type="xsd:double"&gt;12.095707622876&lt;/D&gt;&lt;/FQL&gt;&lt;FQL&gt;&lt;Q&gt;REFTHREPO-FDS^FG_YIELD(NOW,,,0)&lt;/Q&gt;&lt;R&gt;1&lt;/R&gt;&lt;C&gt;1&lt;/C&gt;&lt;D xsi:type="xsd:double"&gt;2.5&lt;/D&gt;&lt;/FQL&gt;&lt;FQL&gt;&lt;Q&gt;TRYIN10Y-FDS^PCTCHG(FG_YIELD(0,,,,"YTM"),FG_YIELD(-3AM,,,,"YTM"))&lt;/Q&gt;&lt;R&gt;1&lt;/R&gt;&lt;C&gt;1&lt;/C&gt;&lt;D xsi:type="xsd:double"&gt;-0.6002828&lt;/D&gt;&lt;/FQL&gt;&lt;FQL&gt;&lt;Q&gt;CC_GR^IMF_IFS_RCPI_Q(0)&lt;/Q&gt;&lt;R&gt;1&lt;/R&gt;&lt;C&gt;1&lt;/C&gt;&lt;D xsi:type="xsd:double"&gt;3.091925&lt;/D&gt;&lt;/FQL&gt;&lt;FQL&gt;&lt;Q&gt;KSA^FMA_EVAL_EBIT(LTMA,NOW,NOW,M,"PORTAGG","MEANR")&lt;/Q&gt;&lt;R&gt;1&lt;/R&gt;&lt;C&gt;1&lt;/C&gt;&lt;D xsi:type="xsd:double"&gt;22.3242337305304&lt;/D&gt;&lt;/FQL&gt;&lt;FQL&gt;&lt;Q&gt;TUR^FG_FCF_YIELD_NTM(0)&lt;/Q&gt;&lt;R&gt;1&lt;/R&gt;&lt;C&gt;1&lt;/C&gt;&lt;D xsi:type="xsd:double"&gt;7.68180761332497&lt;/D&gt;&lt;/FQL&gt;&lt;FQL&gt;&lt;Q&gt;INDA^FMA_EVAL_EBITDA(NTMA,0,,,"PORTAGG","MEANR")&lt;/Q&gt;&lt;R&gt;1&lt;/R&gt;&lt;C&gt;1&lt;/C&gt;&lt;D xsi:type="xsd:double"&gt;15.0344452466523&lt;/D&gt;&lt;/FQL&gt;&lt;FQL&gt;&lt;Q&gt;EWZ^FMA_DIV_YLD(NTMA,NOW,NOW,M,"PORTAGG","MEANR")&lt;/Q&gt;&lt;R&gt;1&lt;/R&gt;&lt;C&gt;1&lt;/C&gt;&lt;D xsi:type="xsd:double"&gt;6.6966925994556&lt;/D&gt;&lt;/FQL&gt;&lt;FQL&gt;&lt;Q&gt;EWM^FMA_DIV_YLD(NTMA,NOW,NOW,M,"PORTAGG","MEANR")&lt;/Q&gt;&lt;R&gt;1&lt;/R&gt;&lt;C&gt;1&lt;/C&gt;&lt;D xsi:type="xsd:double"&gt;4.10235444811837&lt;/D&gt;&lt;/FQL&gt;&lt;FQL&gt;&lt;Q&gt;EPHE^FMA_PE(NTMA,0,,,"PORTAGG","MEANR")&lt;/Q&gt;&lt;R&gt;1&lt;/R&gt;&lt;C&gt;1&lt;/C&gt;&lt;D xsi:type="xsd:double"&gt;8.9501161295470</t>
        </r>
      </text>
    </comment>
    <comment ref="A22" authorId="0" shapeId="0" xr:uid="{33EFCD28-89C6-4B6D-9D18-722494C016D9}">
      <text>
        <r>
          <rPr>
            <b/>
            <sz val="9"/>
            <color indexed="81"/>
            <rFont val="Tahoma"/>
            <charset val="1"/>
          </rPr>
          <t>1&lt;/D&gt;&lt;/FQL&gt;&lt;FQL&gt;&lt;Q&gt;CNYA^FG_TOTAL_RETURNC(0,-1AM)&lt;/Q&gt;&lt;R&gt;1&lt;/R&gt;&lt;C&gt;1&lt;/C&gt;&lt;D xsi:type="xsd:double"&gt;3.0748367&lt;/D&gt;&lt;/FQL&gt;&lt;FQL&gt;&lt;Q&gt;INDA^FMA_COS_UP("EPS","1M",+1,NOW,,,"PORTAGG","MEANR")&lt;/Q&gt;&lt;R&gt;1&lt;/R&gt;&lt;C&gt;1&lt;/C&gt;&lt;D xsi:type="xsd:double"&gt;59&lt;/D&gt;&lt;/FQL&gt;&lt;FQL&gt;&lt;Q&gt;TUR^FMA_RBICS_REV_CURRENT(30, LOC, "PORTAGG")&lt;/Q&gt;&lt;R&gt;1&lt;/R&gt;&lt;C&gt;1&lt;/C&gt;&lt;D xsi:type="xsd:double"&gt;22.3640930641429&lt;/D&gt;&lt;/FQL&gt;&lt;FQL&gt;&lt;Q&gt;CC_ZA^IMF_IFS_RCPI_Q(0)&lt;/Q&gt;&lt;R&gt;0&lt;/R&gt;&lt;C&gt;0&lt;/C&gt;&lt;/FQL&gt;&lt;FQL&gt;&lt;Q&gt;VNM^FG_COMPANY_NAME&lt;/Q&gt;&lt;R&gt;1&lt;/R&gt;&lt;C&gt;1&lt;/C&gt;&lt;D xsi:type="xsd:string"&gt;VanEck Vietnam ETF&lt;/D&gt;&lt;/FQL&gt;&lt;FQL&gt;&lt;Q&gt;KSA^FMA_EVAL_EBITDA(NTMA,0,,,"PORTAGG","MEANR")&lt;/Q&gt;&lt;R&gt;1&lt;/R&gt;&lt;C&gt;1&lt;/C&gt;&lt;D xsi:type="xsd:double"&gt;11.2128148309167&lt;/D&gt;&lt;/FQL&gt;&lt;FQL&gt;&lt;Q&gt;REFQALEND-FDS^PROPER_NAME(0,,,"SECURITY","NAME")&lt;/Q&gt;&lt;R&gt;1&lt;/R&gt;&lt;C&gt;1&lt;/C&gt;&lt;D xsi:type="xsd:string"&gt;Qatar Lending Rate - Overnight&lt;/D&gt;&lt;/FQL&gt;&lt;FQL&gt;&lt;Q&gt;QAT^FG_FCF_YIELD_NTM(0)&lt;/Q&gt;&lt;R&gt;0&lt;/R&gt;&lt;C&gt;0&lt;/C&gt;&lt;/FQL&gt;&lt;FQL&gt;&lt;Q&gt;EWM^FG_PRICE_MAVG(0,,,,60)&lt;/Q&gt;&lt;R&gt;1&lt;/R&gt;&lt;C&gt;1&lt;/C&gt;&lt;D xsi:type="xsd:double"&gt;22.1825&lt;/D&gt;&lt;/FQL&gt;&lt;FQL&gt;&lt;Q&gt;SET-BKK^FG_TOTAL_RETURNC(0,-1AM)&lt;/Q&gt;&lt;R&gt;1&lt;/R&gt;&lt;C&gt;1&lt;/C&gt;&lt;D xsi:type="xsd:double"&gt;0.764668&lt;/D&gt;&lt;/FQL&gt;&lt;FQL&gt;&lt;Q&gt;EWM^FMA_DIV_YLD(NTMA,-10AY,0,AM,"PORTAGG","MEANR")&lt;/Q&gt;&lt;R&gt;121&lt;/R&gt;&lt;C&gt;1&lt;/C&gt;&lt;D xsi:type="xsd:double"&gt;3.11036193450778&lt;/D&gt;&lt;D xsi:type="xsd:double"&gt;3.11100236611664&lt;/D&gt;&lt;D xsi:type="xsd:double"&gt;3.16704356261869&lt;/D&gt;&lt;D xsi:type="xsd:double"&gt;3.14579890214853&lt;/D&gt;&lt;D xsi:type="xsd:double"&gt;3.21566700340637&lt;/D&gt;&lt;D xsi:type="xsd:double"&gt;3.27132898953601&lt;/D&gt;&lt;D xsi:type="xsd:double"&gt;3.25151653821395&lt;/D&gt;&lt;D xsi:type="xsd:double"&gt;3.3175527382915&lt;/D&gt;&lt;D xsi:type="xsd:double"&gt;3.23339951243344&lt;/D&gt;&lt;D xsi:type="xsd:double"&gt;3.20518730027393&lt;/D&gt;&lt;D xsi:type="xsd:double"&gt;3.22873819282953&lt;/D&gt;&lt;D xsi:type="xsd:double"&gt;3.10719315166625&lt;/D&gt;&lt;D xsi:type="xsd:double"&gt;3.19098531017884&lt;/D&gt;&lt;D xsi:type="xsd:double"&gt;3.26378188815558&lt;/D&gt;&lt;D xsi:type="xsd:double"&gt;3.27287031860283&lt;/D&gt;&lt;D xsi:type="xsd:double"&gt;3.5945213761021&lt;/D&gt;&lt;D xsi:type="xsd:double"&gt;3.43329424044374&lt;/D&gt;&lt;D xsi:type="xsd:double"&gt;3.22811900328149&lt;/D&gt;&lt;D xsi:type="xsd:double"&gt;3.30486227150463&lt;/D&gt;&lt;D xsi:type="xsd:double"&gt;3.29359433418521&lt;/D&gt;&lt;D xsi:type="xsd:double"&gt;3.37814553137011&lt;/D&gt;&lt;D xsi:type="xsd:double"&gt;3.18924152790307&lt;/D&gt;&lt;D xsi:type="xsd:double"&gt;3.0433375293353&lt;/D&gt;&lt;D xsi:type="xsd:double"&gt;3.06078594043904&lt;/D&gt;&lt;D xsi:type="xsd:double"&gt;3.20124215322853&lt;/D&gt;&lt;D xsi:type="xsd:double"&gt;3.06944002186838&lt;/D&gt;&lt;D xsi:type="xsd:double"&gt;3.02519384234186&lt;/D&gt;&lt;D xsi:type="xsd:double"&gt;2.96738628806274&lt;/D&gt;&lt;D xsi:type="xsd:double"&gt;2.94656929548524&lt;/D&gt;&lt;D xsi:type="xsd:double"&gt;2.94470172936371&lt;/D&gt;&lt;D xsi:type="xsd:double"&gt;3.02892440260353&lt;/D&gt;&lt;D xsi:type="xsd:double"&gt;3.06322368099762&lt;/D&gt;&lt;D xsi:type="xsd:double"&gt;3.00819628600177&lt;/D&gt;&lt;D xsi:type="xsd:double"&gt;2.99403367489855&lt;/D&gt;&lt;D xsi:type="xsd:double"&gt;2.95792991019242&lt;/D&gt;&lt;D xsi:type="xsd:double"&gt;2.97002939331048&lt;/D&gt;&lt;D xsi:type="xsd:double"&gt;2.97027075987483&lt;/D&gt;&lt;D xsi:type="xsd:double"&gt;3.01176285128783&lt;/D&gt;&lt;D xsi:type="xsd:double"&gt;3.05036372062862&lt;/D&gt;&lt;D xsi:type="xsd:double"&gt;3.0366105719064&lt;/D&gt;&lt;D xsi:type="xsd:double"&gt;3.03507559376028&lt;/D&gt;&lt;D xsi:type="xsd:double"&gt;3.11742482810836&lt;/D&gt;&lt;D xsi:type="xsd:double"&gt;3.27162544640054&lt;/D&gt;&lt;D xsi:type="xsd:double"&gt;3.21322639201983&lt;/D&gt;&lt;D xsi:type="xsd:double"&gt;3.10008645342277&lt;/D&gt;&lt;D xsi:type="xsd:double"&gt;3.09826647068213&lt;/D&gt;&lt;D xsi:type="xsd:double"&gt;3.17735026779259&lt;/D&gt;&lt;D xsi:type="xsd:double"&gt;3.16965032159182&lt;/D&gt;&lt;D xsi:type="xsd:double"&gt;3.27997626511897&lt;/D&gt;&lt;D xsi:type="xsd:double"&gt;3.3622404148288&lt;/D&gt;&lt;D xsi:type="xsd:double"&gt;3.23693785358631&lt;/D&gt;&lt;D xsi:type="xsd:double"&gt;3.15287569560841&lt;/D&gt;&lt;D xsi:type="xsd:double"&gt;3.18818907942238&lt;/D&gt;&lt;D xsi:type="xsd:double"&gt;3.41989669456775&lt;/D&gt;&lt;D xsi:type="xsd:double"&gt;3.38527734375287&lt;/D&gt;&lt;D xsi:type="xsd:double"&gt;3.33354590760951&lt;/D&gt;&lt;D xsi:type="xsd:double"&gt;3.26807938216341&lt;/D&gt;&lt;D xsi:type="xsd:double"&gt;3.22249017172509&lt;/D&gt;&lt;D xsi:type="xsd:double"&gt;3.34003798459373&lt;/D&gt;&lt;D xsi:type="xsd:double"&gt;3.40074856348838&lt;/D&gt;&lt;D xsi:type="xsd:double"&gt;3.49854606669316&lt;/D&gt;&lt;D xsi:type="xsd:double"&gt;3.41339658923527&lt;/D&gt;&lt;D xsi:type="xsd:double"&gt;3.43223157741703&lt;/D&gt;&lt;D xsi:type="xsd:double"&gt;3.48474882487253&lt;/D&gt;&lt;D xsi:type="xsd:double"&gt;3.52778015510307&lt;/D&gt;&lt;D xsi:type="xsd:double"&gt;3.56811201737745&lt;/D&gt;&lt;D xsi:type="xsd:double"&gt;3.48164180992327&lt;/D&gt;&lt;D xsi:type="xsd:double"&gt;3.42341114757411&lt;/D&gt;&lt;D xsi:type="xsd:double"&gt;3.5202146013713&lt;/D&gt;&lt;D xsi:type="xsd:double"&gt;3.63734172738738&lt;/D&gt;&lt;D xsi:type="xsd:double"&gt;4.36543669607149&lt;/D&gt;&lt;D xsi:type="xsd:double"&gt;3.81300843617681&lt;/D&gt;&lt;D xsi:type="xsd:double"&gt;3.38216101336154&lt;/D&gt;&lt;D xsi:type="xsd:double"&gt;3.13633715193825&lt;/D&gt;&lt;D xsi:type="xsd:double"&gt;3.01013656953535&lt;/D&gt;&lt;D xsi:type="xsd:double"&gt;3.14665546771323&lt;/D&gt;&lt;D xsi:type="xsd:double"&gt;3.33520346859129&lt;/D&gt;&lt;D xsi:type="xsd:double"&gt;3.38597872314744&lt;/D&gt;&lt;D xsi:type="xsd:double"&gt;3.41226139368818&lt;/D&gt;&lt;D xsi:type="xsd:double"&gt;3.54312078033604&lt;/D&gt;&lt;D xsi:type="xsd:double"&gt;3.72316558367332&lt;/D&gt;&lt;D xsi:type="xsd:double"&gt;3.92909284942727&lt;/D&gt;&lt;D xsi:type="xsd:double"&gt;4.04003553202043&lt;/D&gt;&lt;D xsi:type="xsd:double"&gt;3.96936897934545&lt;/D&gt;&lt;D xsi:type="xsd:double"&gt;4.1001203659978&lt;/D&gt;&lt;D xsi:type="xsd:double"&gt;4.14819590018715&lt;/D&gt;&lt;D xsi:type="xsd:double"&gt;4.22513519403368&lt;/D&gt;&lt;D xsi:type="xsd:double"&gt;4.1867150209558&lt;/D&gt;&lt;D xsi:type="xsd:double"&gt;4.07317587544215&lt;/D&gt;&lt;D xsi:type="xsd:double"&gt;3.86626866468065&lt;/D&gt;&lt;D xsi:type="xsd:double"&gt;4.02625672376261&lt;/D&gt;&lt;D xsi:type="xsd:double"&gt;3.83828567723471&lt;/D&gt;&lt;D xsi:type="xsd:double"&gt;3.84657389898138&lt;/D&gt;&lt;D xsi:type="xsd:double"&gt;3.80480309756521&lt;/D&gt;&lt;D xsi:type="xsd:double"&gt;3.78629072861803&lt;/D&gt;&lt;D xsi:type="xsd:double"&gt;3.82328072314054&lt;/D&gt;&lt;D xsi:type="xsd:double"&gt;4.03077455596889&lt;/D&gt;&lt;D xsi:type="xsd:double"&gt;4.25764760215845&lt;/D&gt;&lt;D xsi:type="xsd:double"&gt;4.1235942940513&lt;/D&gt;&lt;D xsi:type="xsd:double"&gt;4.10792316823506&lt;/D&gt;&lt;D xsi:type="xsd:double"&gt;4.31964377856125&lt;/D&gt;&lt;D xsi:type="xsd:double"&gt;4.28856444070521&lt;/D&gt;&lt;D xsi:type="xsd:double"&gt;4.28061683817116&lt;/D&gt;&lt;D xsi:type="xsd:double"&gt;4.22198913521144&lt;/D&gt;&lt;D xsi:type="xsd:double"&gt;4.16703257983659&lt;/D&gt;&lt;D xsi:type="xsd:double"&gt;4.29720590697006&lt;/D&gt;&lt;D xsi:type="xsd:double"&gt;4.49211611915916&lt;/D&gt;&lt;D xsi:type="xsd:double"&gt;4.41872310200048&lt;/D&gt;&lt;D xsi:type="xsd:double"&gt;4.44203579104962&lt;/D&gt;&lt;D xsi:type="xsd:double"&gt;4.43411218766258&lt;/D&gt;&lt;D xsi:type="xsd:double"&gt;4.36201695593963&lt;/D&gt;&lt;D xsi:type="xsd:double"&gt;4.26311947681313&lt;/D&gt;&lt;D xsi:type="xsd:double"&gt;4.28647297116786&lt;/D&gt;&lt;D xsi:type="xsd:double"&gt;4.32525319689449&lt;/D&gt;&lt;D xsi:type="xsd:double"&gt;4.26805673009458&lt;/D&gt;&lt;D xsi:type="xsd:double"&gt;4.30400380192572&lt;/D&gt;&lt;D xsi:type="xsd:double"&gt;4.26754381026211&lt;/D&gt;&lt;D xsi:type="xsd:double"&gt;4.11448999746596&lt;/D&gt;&lt;D xsi:type="xsd:double"&gt;4.15921546033425&lt;/D&gt;&lt;D xsi:type="xsd:double"&gt;4.12836396896511&lt;/D&gt;&lt;D xsi:type="xsd:double"&gt;4.01386713505894&lt;/D&gt;&lt;/FQL&gt;&lt;FQL&gt;&lt;Q&gt;SET-BKK^FMA_PCT_ABOVE_MAVG(200,0,,,,"PORTAGG")&lt;/Q&gt;&lt;R&gt;1&lt;/R&gt;&lt;C&gt;1&lt;/C&gt;&lt;D xsi:type="xsd:double"&gt;32.2822822822823&lt;/D&gt;&lt;/FQL&gt;&lt;FQL&gt;&lt;Q&gt;EWZ^FMA_PCT_ABOVE_MAVG(200,0,,,,"PORTAGG")&lt;/Q&gt;&lt;R&gt;1&lt;/R&gt;&lt;C&gt;1&lt;/C&gt;&lt;D xsi:type="xsd:double"&gt;44&lt;/D&gt;&lt;/FQL&gt;&lt;FQL&gt;&lt;Q&gt;CNYA^PERCENT_CHANGE(FMA_EPS(+1,0,,,,"PORTAGG","MEAN"),FMA_EPS(+1,-3AM,,,,"PORTAGG","MEAN"))&lt;/Q&gt;&lt;R&gt;1&lt;/R&gt;&lt;C&gt;1&lt;/C&gt;&lt;D xsi:type="xsd:double"&gt;-10.1380557773464&lt;/D&gt;&lt;/FQL&gt;&lt;FQL&gt;&lt;Q&gt;SET-BKK^FMA_RBICS_REV_CURRENT(30, LOC, "PORTAGG")&lt;/Q&gt;&lt;R&gt;1&lt;/R&gt;&lt;C&gt;1&lt;/C&gt;&lt;D xsi:type="xsd:double"&gt;23.9085220140597&lt;/D&gt;&lt;/FQL&gt;&lt;FQL&gt;&lt;Q&gt;CNYA^FG_ROE(0)&lt;/Q&gt;&lt;R&gt;1&lt;/R&gt;&lt;C&gt;1&lt;/C&gt;&lt;D xsi:type="xsd:double"&gt;9.79709973660075&lt;/D&gt;&lt;/FQL&gt;&lt;FQL&gt;&lt;Q&gt;REFQALEND-FDS^(SUBARRAY(NOT_NA(NO_REPEAT_F(FG_YIELD(NOW,-10AY,D))),0,1)-SUBARRAY(NOT_NA(NO_REPEAT_F(FG_YIELD(NOW,-10AY,D))),1,1))*100&lt;/Q&gt;&lt;R&gt;1&lt;/R&gt;&lt;C&gt;1&lt;/C&gt;&lt;D xsi:type="xsd:double"&gt;25&lt;/D&gt;&lt;/FQL&gt;&lt;FQL&gt;&lt;Q&gt;REFPL7D-FDS^(SUBARRAY(NOT_NA(NO_REPEAT_F(FG_YIELD(NOW,-10AY,D))),0,1)-SUBARRAY(NOT_NA(NO_REPEAT_F(FG_YIELD(NOW,-10AY,D))),1,1))*100&lt;/Q&gt;&lt;R&gt;1&lt;/R&gt;&lt;C&gt;1&lt;/C&gt;&lt;D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xsi:type="xsd:double"&gt;-25&lt;/D&gt;&lt;/FQL&gt;&lt;FQL&gt;&lt;Q&gt;TUR^FMA_DIV_YLD(NTMA,NOW,NOW,M,"PORTAGG","MEANR")&lt;/Q&gt;&lt;R&gt;1&lt;/R&gt;&lt;C&gt;1&lt;/C&gt;&lt;D xsi:type="xsd:double"&gt;4.15922734408353&lt;/D&gt;&lt;/FQL&gt;&lt;FQL&gt;&lt;Q&gt;QAT^FG_COMPANY_NAME&lt;/Q&gt;&lt;R&gt;1&lt;/R&gt;&lt;C&gt;1&lt;/C&gt;&lt;D xsi:type="xsd:string"&gt;iShares MSCI Qatar ETF&lt;/D&gt;&lt;/FQL&gt;&lt;FQL&gt;&lt;Q&gt;ECH^FMA_EVAL_EBIT(LTMA,NOW,NOW,M,"PORTAGG","MEANR")&lt;/Q&gt;&lt;R&gt;1&lt;/R&gt;&lt;C&gt;1&lt;/C&gt;&lt;D xsi:type="xsd:double"&gt;9.55820092892855&lt;/D&gt;&lt;/FQL&gt;&lt;FQL&gt;&lt;Q&gt;GREK^FG_COMPANY_NAME&lt;/Q&gt;&lt;R&gt;1&lt;/R&gt;&lt;C&gt;1&lt;/C&gt;&lt;D xsi:type="xsd:string"&gt;Global X MSCI Greece ETF&lt;/D&gt;&lt;/FQL&gt;&lt;FQL&gt;&lt;Q&gt;TIOS-FDS^MAX(FG_PRICE(0,-5AY))&lt;/Q&gt;&lt;R&gt;1&lt;/R&gt;&lt;C&gt;1&lt;/C&gt;&lt;D xsi:type="xsd:double"&gt;219.77&lt;/D&gt;&lt;/FQL&gt;&lt;FQL&gt;&lt;Q&gt;EPOL^FG_PRICE_MAVG(0,,,,60)&lt;/Q&gt;&lt;R&gt;1&lt;/R&gt;&lt;C&gt;1&lt;/C&gt;&lt;D xsi:type="xsd:double"&gt;23.927&lt;/D&gt;&lt;/FQL&gt;&lt;FQL&gt;&lt;Q&gt;EPOL^FG_TOTAL_RETURNC(0,-12AM)&lt;/Q&gt;&lt;R&gt;1&lt;/R&gt;&lt;C&gt;1&lt;/C&gt;&lt;D xsi:type="xsd:double"&gt;43.4343&lt;/D&gt;&lt;/FQL&gt;&lt;FQL&gt;&lt;Q&gt;SPY^FMA_COS_DOWN("EPS","1M",+1,NOW,,,"PORTAGG","MEANR")&lt;/Q&gt;&lt;R&gt;1&lt;/R&gt;&lt;C&gt;1&lt;/C&gt;&lt;D xsi:type="xsd:double"&gt;175&lt;/D&gt;&lt;/FQL&gt;&lt;FQL&gt;&lt;Q&gt;EZA^FMA_COS_UP("EPS","1M",+1,NOW,,,"PORTAGG","MEANR")&lt;/Q&gt;&lt;R&gt;1&lt;/R&gt;&lt;C&gt;1&lt;/C&gt;&lt;D xsi:type="xsd:double"&gt;9&lt;/D&gt;&lt;/FQL&gt;&lt;FQL&gt;&lt;Q&gt;QAT^FMA_RBICS_REV_CURRENT(30, LOC, "PORTAGG")&lt;/Q&gt;&lt;R&gt;1&lt;/R&gt;&lt;C&gt;1&lt;/C&gt;&lt;D xsi:type="xsd:double"&gt;59.8743264359565&lt;/D&gt;&lt;/FQL&gt;&lt;FQL&gt;&lt;Q&gt;TRYGR10Y-FDS^PCTCHG(FG_YIELD(0,,,,"YTM"),FG_YIELD(-1AM,,,,"YTM"))&lt;/Q&gt;&lt;R&gt;1&lt;/R&gt;&lt;C&gt;1&lt;/C&gt;&lt;D xsi:type="xsd:double"&gt;0.47552335&lt;/D&gt;&lt;/FQL&gt;&lt;FQL&gt;&lt;Q&gt;TRYUS10Y-FDS^FG_YIELD(0,,,,"YTM")&lt;/Q&gt;&lt;R&gt;1&lt;/R&gt;&lt;C&gt;1&lt;/C&gt;&lt;D xsi:type="xsd:double"&gt;4.4767&lt;/D&gt;&lt;/FQL&gt;&lt;FQL&gt;&lt;Q&gt;TRYMY10Y-FDS^FG_YIELD(0,,,,"YTM")&lt;/Q&gt;&lt;R&gt;1&lt;/R&gt;&lt;C&gt;1&lt;/C&gt;&lt;D xsi:type="xsd:double"&gt;3.88557&lt;/D&gt;&lt;/FQL&gt;&lt;FQL&gt;&lt;Q&gt;TUR^FMA_PE(NTMA,0,,,"PORTAGG","MEANR")&lt;/Q&gt;&lt;R&gt;1&lt;/R&gt;&lt;C&gt;1&lt;/C&gt;&lt;D xsi:type="xsd:double"&gt;5.96023561181993&lt;/D&gt;&lt;/FQL&gt;&lt;FQL&gt;&lt;Q&gt;INDA^FMA_DIV_YLD(NTMA,NOW,NOW,M,"PORTAGG","MEANR")&lt;/Q&gt;&lt;R&gt;1&lt;/R&gt;&lt;C&gt;1&lt;/C&gt;&lt;D xsi:type="xsd:double"&gt;1.334679812118&lt;/D&gt;&lt;/FQL&gt;&lt;FQL&gt;&lt;Q&gt;ECH^FMA_DIV_YLD(NTMA,-10AY,0,AM,"PORTAGG","MEANR")&lt;/Q&gt;&lt;R&gt;121&lt;/R&gt;&lt;C&gt;1&lt;/C&gt;&lt;D xsi:type="xsd:double"&gt;3.00871021993531&lt;/D&gt;&lt;D xsi:type="xsd:double"&gt;3.05281312666123&lt;/D&gt;&lt;D xsi:type="xsd:double"&gt;3.1114572027147&lt;/D&gt;&lt;D xsi:type="xsd:double"&gt;3.09490434248691&lt;/D&gt;&lt;D xsi:type="xsd:double"&gt;3.08343729860961&lt;/D&gt;&lt;D xsi:type="xsd:double"&gt;3.178955027559&lt;/D&gt;&lt;D xsi:type="xsd:double"&gt;2.94187086133431&lt;/D&gt;&lt;D xsi:type="xsd:double"&gt;3.1949447708938&lt;/D&gt;&lt;D xsi:type="xsd:double"&gt;3.17254544351247&lt;/D&gt;&lt;D xsi:type="xsd:double"&gt;3.13459816456347&lt;/D&gt;&lt;D xsi:type="xsd:double"&gt;3.31340807178562&lt;/D&gt;&lt;D xsi:type="xsd:double"&gt;3.13246713418221&lt;/D&gt;&lt;D xsi:type="xsd:double"&gt;3.2107231900312&lt;/D&gt;&lt;D xsi:type="xsd:double"&gt;3.41122857418397&lt;/D&gt;&lt;D xsi:type="xsd:double"&gt;3.56754871512703&lt;/D&gt;&lt;D xsi:type="xsd:double"&gt;3.67679831215648&lt;/D&gt;&lt;D xsi:type="xsd:double"&gt;3.72609821089355&lt;/D&gt;&lt;D xsi:type="xsd:double"&gt;3.45296424592897&lt;/D&gt;&lt;D xsi:type="xsd:double"&gt;3.5821349687764&lt;/D&gt;&lt;D xsi:type="xsd:double"&gt;3.7810660714424&lt;/D&gt;&lt;D xsi:type="xsd:double"&gt;3.95331665448444&lt;/D&gt;&lt;D xsi:type="xsd:double"&gt;3.68909823722521&lt;/D&gt;&lt;D xsi:type="xsd:double"&gt;3.40572968809047&lt;/D&gt;&lt;D xsi:type="xsd:double"&gt;3.30856041949975&lt;/D&gt;&lt;D xsi:type="xsd:double"&gt;3.36994057891794&lt;/D&gt;&lt;D xsi:type="xsd:double"&gt;3.18262543746201&lt;/D&gt;&lt;D xsi:type="xsd:double"&gt;2.87298789506969&lt;/D&gt;&lt;D xsi:type="xsd:double"&gt;2.86194580143746&lt;/D&gt;&lt;D xsi:type="xsd:double"&gt;3.02081594879786&lt;/D&gt;&lt;D xsi:type="xsd:double"&gt;2.67038793246674&lt;/D&gt;&lt;D xsi:type="xsd:double"&gt;2.87254692501222&lt;/D&gt;&lt;D xsi:type="xsd:double"&gt;2.96908560184691&lt;/D&gt;&lt;D xsi:type="xsd:double"&gt;2.93717285828698&lt;/D&gt;&lt;D xsi:type="xsd:double"&gt;2.75529762075259&lt;/D&gt;&lt;D xsi:type="xsd:double"&gt;2.60625708790639&lt;/D&gt;&lt;D xsi:type="xsd:double"&gt;2.48937724600747&lt;/D&gt;&lt;D xsi:type="xsd:double"&gt;2.4174229681824&lt;/D&gt;&lt;D xsi:type="xsd:double"&gt;2.69328690063042&lt;/D&gt;&lt;D xsi:type="xsd:double"&gt;2.57451863504325&lt;/D&gt;&lt;D xsi:type="xsd:double"&gt;2.52313351834022&lt;/D&gt;&lt;D xsi:type="xsd:double"&gt;2.43717317509802&lt;/D&gt;&lt;D xsi:type="xsd:double"&gt;2.79885968677891&lt;/D&gt;&lt;D xsi:type="xsd:double"&gt;3.1377088665499&lt;/D&gt;&lt;D xsi:type="xsd:double"&gt;2.98499441394536&lt;/D&gt;&lt;D xsi:type="xsd:double"&gt;2.78940300215111&lt;/D&gt;&lt;D xsi:type="xsd:double"&gt;2.95956075108303&lt;/D&gt;&lt;D xsi:type="xsd:double"&gt;3.14293745295916&lt;/D&gt;&lt;D xsi:type="xsd:double"&gt;3.07032284749256&lt;/D&gt;&lt;D xsi:type="xsd:double"&gt;3.19419525218566&lt;/D&gt;&lt;D xsi:type="xsd:double"&gt;3.36932473817134&lt;/D&gt;&lt;D xsi:type="xsd:double"&gt;3.29461465231878&lt;/D&gt;&lt;D xsi:type="xsd:double"&gt;3.48098974989663&lt;/D&gt;&lt;D xsi:type="xsd:double"&gt;3.24168074001587&lt;/D&gt;&lt;D xsi:type="xsd:double"&gt;3.03924446141716&lt;/D&gt;&lt;D xsi:type="xsd:double"&gt;3.06825718648458&lt;/D&gt;&lt;D xsi:type="xsd:double"&gt;3.20261360131589&lt;/D&gt;&lt;D xsi:type="xsd:double"&gt;2.97197300085448&lt;/D&gt;&lt;D xsi:type="xsd:double"&gt;2.91124161413342&lt;/D&gt;&lt;D xsi:type="xsd:double"&gt;3.09761387965373&lt;/D&gt;&lt;D xsi:type="xsd:double"&gt;2.97606775431409&lt;/D&gt;&lt;D xsi:type="xsd:double"&gt;3.31343736384239&lt;/D&gt;&lt;D xsi:type="xsd:double"&gt;3.28660955189824&lt;/D&gt;&lt;D xsi:type="xsd:double"&gt;3.21158344023411&lt;/D&gt;&lt;D xsi:type="xsd:double"&gt;3.72025862756694&lt;/D&gt;&lt;D xsi:type="xsd:double"&gt;3.29464027999044&lt;/D&gt;&lt;D xsi:type="xsd:double"&gt;3.3357797447861&lt;/D&gt;&lt;D xsi:type="xsd:double"&gt;3.52494388530026&lt;/D&gt;&lt;D xsi:type="xsd:double"&gt;3.68385706401804&lt;/D&gt;&lt;D xsi:type="xsd:double"&gt;3.78320545740925&lt;/D&gt;&lt;D xsi:type="xsd:double"&gt;3.85088635641273&lt;/D&gt;&lt;D xsi:type="xsd:double"&gt;5.75264920216845&lt;/D&gt;&lt;D xsi:type="xsd:double"&gt;4.27731664952102&lt;/D&gt;&lt;D xsi:type="xsd:double"&gt;3.69684347742361&lt;/D&gt;&lt;D xsi:type="xsd:double"&gt;3.33391252765755&lt;/D&gt;&lt;D xsi:type="xsd:double"&gt;3.28858770348688&lt;/D&gt;&lt;D xsi:type="xsd:double"&gt;3.32403534659058&lt;/D&gt;&lt;D xsi:type="xsd:double"&gt;3.96318168090583&lt;/D&gt;&lt;D xsi:type="xsd:double"&gt;3.6636350126233&lt;/D&gt;&lt;D xsi:type="xsd:double"&gt;3.31853062842323&lt;/D&gt;&lt;D xsi:type="xsd:double"&gt;3.16853340370515&lt;/D&gt;&lt;D xsi:type="xsd:double"&gt;3.13830194015725&lt;/D&gt;&lt;D xsi:type="xsd:double"&gt;3.0850982229135&lt;/D&gt;&lt;D xsi:type="xsd:double"&gt;2.93508507703825&lt;/D&gt;&lt;D xsi:type="xsd:double"&gt;3.1625897780314&lt;/D&gt;&lt;D xsi:type="xsd:double"&gt;4.02622578519991&lt;/D&gt;&lt;D xsi:type="xsd:double"&gt;3.90174009829915&lt;/D&gt;&lt;D xsi:type="xsd:double"&gt;4.73836180476734&lt;/D&gt;&lt;D xsi:type="xsd:double"&gt;4.74739492665763&lt;/D&gt;&lt;D xsi:type="xsd:double"&gt;4.66854572302742&lt;/D&gt;&lt;D xsi:type="xsd:double"&gt;5.03887468973015&lt;/D&gt;&lt;D xsi:type="xsd:double"&gt;4.75308770851104&lt;/D&gt;&lt;D xsi:type="xsd:double"&gt;5.57328494897243&lt;/D&gt;&lt;D xsi:type="xsd:double"&gt;4.79709076749464&lt;/D&gt;&lt;D xsi:type="xsd:double"&gt;4.89654274128786&lt;/D&gt;&lt;D xsi:type="xsd:double"&gt;4.72699109598831&lt;/D&gt;&lt;D xsi:type="xsd:double"&gt;4.92751071505271&lt;/D&gt;&lt;D xsi:type="xsd:double"&gt;5.47510738838748&lt;/D&gt;&lt;D xsi:type="xsd:double"&gt;7.14558986381694&lt;/D&gt;&lt;D xsi:type="xsd:double"&gt;7.35966574668796&lt;/D&gt;&lt;D xsi:type="xsd:double"&gt;7.39787482132737&lt;/D&gt;&lt;D xsi:type="xsd:double"&gt;7.07618609421975&lt;/D&gt;&lt;D xsi:type="xsd:double"&gt;7.10944148246586&lt;/D&gt;&lt;D xsi:type="xsd:double"&gt;8.90844970460112&lt;/D&gt;&lt;D xsi:type="xsd:double"&gt;8.48541099755881&lt;/D&gt;&lt;D xsi:type="xsd:double"&gt;7.81866209068282&lt;/D&gt;&lt;D xsi:type="xsd:double"&gt;8.04921724299962&lt;/D&gt;&lt;D xsi:type="xsd:double"&gt;8.90707224687667&lt;/D&gt;&lt;D xsi:type="xsd:double"&gt;8.48861606791016&lt;/D&gt;&lt;D xsi:type="xsd:double"&gt;7.11468288992851&lt;/D&gt;&lt;D xsi:type="xsd:double"&gt;7.0147064287159&lt;/D&gt;&lt;D xsi:type="xsd:double"&gt;6.45454937508032&lt;/D&gt;&lt;D xsi:type="xsd:double"&gt;6.21090910336742&lt;/D&gt;&lt;D xsi:type="xsd:double"&gt;6.84977835755612&lt;/D&gt;&lt;D xsi:type="xsd:double"&gt;7.0026245145164&lt;/D&gt;&lt;D xsi:type="xsd:double"&gt;6.67300880095722&lt;/D&gt;&lt;D xsi:type="xsd:double"&gt;6.45004607956943&lt;/D&gt;&lt;D xsi:type="xsd:double"&gt;6.54658204739907&lt;/D&gt;&lt;D xsi:type="xsd:double"&gt;7.40802235421361&lt;/D&gt;&lt;D xsi:type="xsd:double"&gt;6.79525559968683&lt;/D&gt;&lt;D xsi:type="xsd:double"&gt;6.61786221918764&lt;/D&gt;&lt;D xsi:type="xsd:double"&gt;5.06399258378461&lt;/D&gt;&lt;/FQL&gt;&lt;FQL&gt;&lt;Q&gt;TIOS-FDS^FG_PRICE_CHANGE(0,-1AM)&lt;/Q&gt;&lt;R&gt;1&lt;/R&gt;&lt;C&gt;1&lt;/C&gt;&lt;D xsi:type="xsd:double"&gt;8.06362633321074&lt;/D&gt;&lt;/FQL&gt;&lt;FQL&gt;&lt;Q&gt;EPHE^FG_PRICE_MAVG(0,,,,30)&lt;/Q&gt;&lt;R&gt;1&lt;/R&gt;&lt;C&gt;1&lt;/C&gt;&lt;D xsi:type="xsd:double"&gt;25.572666&lt;/D&gt;&lt;/FQL&gt;&lt;FQL&gt;&lt;Q&gt;QAT^P_PRICE(0)/P_PRICE_LOW_PR(0,,,,,,"PRICE","INTRA","52W")-1&lt;/Q&gt;&lt;R&gt;1&lt;/R&gt;&lt;C&gt;1&lt;/C&gt;&lt;D xsi:type="xsd:double"&gt;0.08237553&lt;/D&gt;&lt;/FQL&gt;&lt;FQL&gt;&lt;Q&gt;CNYA^FMA_PCT_ABOVE_MAVG(200,0,,,,"PORTAGG")&lt;/Q&gt;&lt;R&gt;1&lt;/R&gt;&lt;C&gt;1&lt;/C&gt;&lt;D xsi:type="xsd:double"&gt;55.4913294797688&lt;/D&gt;&lt;/FQL&gt;&lt;FQL&gt;&lt;Q&gt;EWZ^FMA_COS_DOWN("EPS","1M",+1,NOW,,,"PORTAGG","MEANR")&lt;/Q&gt;&lt;R&gt;1&lt;/R&gt;&lt;C&gt;1&lt;/C&gt;&lt;D xsi:type="xsd:double"&gt;25&lt;/D&gt;&lt;/FQL&gt;&lt;FQL&gt;&lt;Q&gt;MCHI^FMA_RBICS_REV_CURRENT(30, LOC, "PORTAGG")&lt;/Q&gt;&lt;R&gt;1&lt;/R&gt;&lt;C&gt;1&lt;/C&gt;&lt;D xsi:type="xsd:double"&gt;24.0189202058004&lt;/D&gt;&lt;/FQL&gt;&lt;FQL&gt;&lt;Q&gt;REFPL7D-FDS^FG_YIELD(NOW,,,0)&lt;/Q&gt;&lt;R&gt;1&lt;/R&gt;&lt;C&gt;1&lt;/C&gt;&lt;D xsi:type="xsd:double"&gt;5.75&lt;/D&gt;&lt;/FQL&gt;&lt;FQL&gt;&lt;Q&gt;TRYUS10Y-FDS^FG_YIELD_NAME&lt;/Q&gt;&lt;R&gt;1&lt;/R&gt;&lt;C&gt;1&lt;/C&gt;&lt;D xsi:type="xsd:string"&gt;US Benchmark Bond - 10 Year&lt;/D&gt;&lt;/FQL&gt;&lt;FQL&gt;&lt;Q&gt;CC_MY^IMF_IFS_RCPI_Q(0)&lt;/Q&gt;&lt;R&gt;1&lt;/R&gt;&lt;C&gt;1&lt;/C&gt;&lt;D xsi:type="xsd:double"&gt;1.6700923&lt;/D&gt;&lt;/FQL&gt;&lt;FQL&gt;&lt;Q&gt;KSA^FG_FCF_YIELD_NTM(0)&lt;/Q&gt;&lt;R&gt;1&lt;/R&gt;&lt;C&gt;1&lt;/C&gt;&lt;D xsi:type="xsd:double"&gt;3.95162226603961&lt;/D&gt;&lt;/FQL&gt;&lt;FQL&gt;&lt;Q&gt;TUR^FG_COMPANY_NAME&lt;/Q&gt;&lt;R&gt;1&lt;/R&gt;&lt;C&gt;1&lt;/C&gt;&lt;D xsi:type="xsd:string"&gt;iShares MSCI Turkey ETF&lt;/D&gt;&lt;/FQL&gt;&lt;FQL&gt;&lt;Q&gt;VGK^FMA_COS_UP("EPS","1M",+1,NOW,,,"PORTAGG","MEANR")&lt;/Q&gt;&lt;R&gt;1&lt;/R&gt;&lt;C&gt;1&lt;/C&gt;&lt;D xsi:type="xsd:double"&gt;428&lt;/D&gt;&lt;/FQL&gt;&lt;FQL&gt;&lt;Q&gt;KSA^JULIAN(FMA_DIV_YLD(NTMA,NOW,NOW,M,"PORTAGG","MEANR").DATES)&lt;/Q&gt;&lt;R&gt;1&lt;/R&gt;&lt;C&gt;1&lt;/C&gt;&lt;D xsi:type="xsd:long"&gt;45412&lt;/D&gt;&lt;/FQL&gt;&lt;FQL&gt;&lt;Q&gt;EWY^P_PRICE(0)/P_PRICE_LOW_PR(0,,,,,,"PRICE","INTRA","52W")-1&lt;/Q&gt;&lt;R&gt;1&lt;/R&gt;&lt;C&gt;1&lt;/C&gt;&lt;D xsi:type="xsd:double"&gt;0.17232513&lt;/D&gt;&lt;/FQL&gt;&lt;FQL&gt;&lt;Q&gt;EPOL^P_PRICE(0)/P_PRICE_HIGH_PR(0,,,,,,"PRICE","INTRA","52W")&lt;/Q&gt;&lt;R&gt;1&lt;/R&gt;&lt;C&gt;1&lt;/C&gt;&lt;D xsi:type="xsd:double"&gt;0.96895367&lt;/D&gt;&lt;/FQL&gt;&lt;FQL&gt;&lt;Q&gt;EWY^FMA_PE(NTMA,-10AY,0,AM,"PORTAGG","MEANR")&lt;/Q&gt;&lt;R&gt;121&lt;/R&gt;&lt;C&gt;1&lt;/C&gt;&lt;D xsi:type="xsd:double"&gt;9.64573992660277&lt;/D&gt;&lt;D xsi:type="xsd:double"&gt;9.48185390270078&lt;/D&gt;&lt;D xsi:type="xsd:double"&gt;9.89530217743956&lt;/D&gt;&lt;D xsi:type="xsd:double"&gt;10.2735922306651&lt;/D&gt;&lt;D xsi:type="xsd:double"&gt;10.1844330367762&lt;/D&gt;&lt;D xsi:type="xsd:double"&gt;9.35829628231544&lt;/D&gt;&lt;D xsi:type="xsd:double"&gt;9.69482197699266&lt;/D&gt;&lt;D xsi:type="xsd:double"&gt;9.65943616407598&lt;/D&gt;&lt;D xsi:type="xsd:double"&gt;9.74159098737116&lt;/D&gt;&lt;D xsi:type="xsd:double"&gt;9.80784906075623&lt;/D&gt;&lt;D xsi:type="xsd:double"&gt;10.0802935954432&lt;/D&gt;&lt;D xsi:type="xsd:double"&gt;10.466592872831&lt;/D&gt;&lt;D xsi:type="xsd:double"&gt;10.0334204323066&lt;/D&gt;&lt;D xsi:type="xsd:double"&gt;9.65820107345064&lt;/D&gt;&lt;D xsi:type="xsd:double"&gt;9.50455038815407&lt;/D&gt;&lt;D xsi:type="xsd:double"&gt;9.09586152711104&lt;/D&gt;&lt;D xsi:type="xsd:double"&gt;9.46395548122464&lt;/D&gt;&lt;D xsi:type="xsd:double"&gt;10.29687988448&lt;/D&gt;&lt;D xsi:type="xsd:double"&gt;10.2066654862903&lt;/D&gt;&lt;D xsi:type="xsd:double"&gt;10.1959084267102&lt;/D&gt;&lt;D xsi:type="xsd:double"&gt;9.80849772800434&lt;/D&gt;&lt;D xsi:type="xsd:double"&gt;10.2964382422732&lt;/D&gt;&lt;D xsi:type="xsd:double"&gt;10.7326332533818&lt;/D&gt;&lt;D xsi:type="xsd:double"&gt;10.5239017886631&lt;/D&gt;&lt;D xsi:type="xsd:double"&gt;9.83605787300693&lt;/D&gt;&lt;D xsi:type="xsd:double"&gt;10.0113725925478&lt;/D&gt;&lt;D xsi:type="xsd:double"&gt;10.0461030027116&lt;/D&gt;&lt;D xsi:type="xsd:double"&gt;10.1751531304363&lt;/D&gt;&lt;D xsi:type="xsd:double"&gt;10.1238426262687&lt;/D&gt;&lt;D xsi:type="xsd:double"&gt;10.0038205793395&lt;/D&gt;&lt;D xsi:type="xsd:double"&gt;9.72960643915009&lt;/D&gt;&lt;D xsi:type="xsd:double"&gt;9.77729613087838&lt;/D&gt;&lt;D xsi:type="xsd:double"&gt;9.75585663542046&lt;/D&gt;&lt;D xsi:type="xsd:double"&gt;9.53873346273208&lt;/D&gt;&lt;D xsi:type="xsd:double"&gt;9.6637735061245&lt;/D&gt;&lt;D xsi:type="xsd:double"&gt;9.17153565775338&lt;/D&gt;&lt;D xsi:type="xsd:double"&gt;9.48879751064839&lt;/D&gt;&lt;D xsi:type="xsd:double"&gt;9.5503397911673&lt;/D&gt;&lt;D xsi:type="xsd:double"&gt;9.63275536671953&lt;/D&gt;&lt;D xsi:type="xsd:double"&gt;9.14694371097478&lt;/D&gt;&lt;D xsi:type="xsd:double"&gt;9.22483032488304&lt;/D&gt;&lt;D xsi:type="xsd:double"&gt;9.44314284871144&lt;/D&gt;&lt;D xsi:type="xsd:double"&gt;9.40554700798439&lt;/D&gt;&lt;D xsi:type="xsd:double"&gt;8.98906709451017&lt;/D&gt;&lt;D xsi:type="xsd:double"&gt;9.33575011914151&lt;/D&gt;&lt;D xsi:type="xsd:double"&gt;9.0658699329994&lt;/D&gt;&lt;D xsi:type="xsd:double"&gt;8.88772784902589&lt;/D&gt;&lt;D xsi:type="xsd:double"&gt;9.0129831995362&lt;/D&gt;&lt;D xsi:type="xsd:double"&gt;8.84159479604876&lt;/D&gt;&lt;D xsi:type="xsd:double"&gt;8.56173983616349&lt;/D&gt;&lt;D xsi:type="xsd:double"&gt;8.29359593758969&lt;/D&gt;&lt;D xsi:type="xsd:double"&gt;8.22182426728776&lt;/D&gt;&lt;D xsi:type="xsd:double"&gt;8.41507870082954&lt;/D&gt;&lt;D xsi:type="xsd:double"&gt;7.6568815220234&lt;/D&gt;&lt;D xsi:type="xsd:double"&gt;7.78132239085026&lt;/D&gt;&lt;D xsi:type="xsd:double"&gt;8.31731655202974&lt;/D&gt;&lt;D xsi:type="xsd:double"&gt;9.13653577508288&lt;/D&gt;&lt;D xsi:type="xsd:double"&gt;10.4123657102407&lt;/D&gt;&lt;D xsi:type="xsd:double"&gt;10.7474253485809&lt;/D&gt;&lt;D xsi:type="xsd:double"&gt;11.217496509136&lt;/D&gt;&lt;D xsi:type="xsd:double"&gt;10.5895010586906&lt;/D&gt;&lt;D xsi:type="xsd:double"&gt;11.1067615289091&lt;/D&gt;&lt;D xsi:type="xsd:double"&gt;11.3019215425827&lt;/D&gt;&lt;D xsi:type="xsd:double"&gt;10.5623723306441&lt;/D&gt;&lt;D xsi:type="xsd:double"&gt;11.182999573125&lt;/D&gt;&lt;D xsi:type="xsd:double"&gt;11.0731021784941&lt;/D&gt;&lt;D xsi:type="xsd:double"&gt;11.2138060956522&lt;/D&gt;&lt;D xsi:type="xsd:double"&gt;11.4550985690758&lt;/D&gt;&lt;D xsi:type="xsd:double"&gt;11.5119081075652&lt;/D&gt;&lt;D xsi:type="xsd:double"&gt;11.1227209275678&lt;/D&gt;&lt;D xsi:type="xsd:double"&gt;7.77085523088958&lt;/D&gt;&lt;D xsi:type="xsd:double"&gt;10.9458299401047&lt;/D&gt;&lt;D xsi:type="xsd:double"&gt;11.8023068839165&lt;/D&gt;&lt;D xsi:type="xsd:double"&gt;12.6302873129812&lt;/D&gt;&lt;D xsi:type="xsd:double"&gt;12.5275411916347&lt;/D&gt;&lt;D xsi:type="xsd:double"&gt;12.7409048072215&lt;/D&gt;&lt;D xsi:type="xsd:double"&gt;12.4562193872093&lt;/D&gt;&lt;D xsi:type="xsd:double"&gt;12.0541120946283&lt;/D&gt;&lt;D xsi:type="xsd:double"&gt;12.737110358452&lt;/D&gt;&lt;D xsi:type="xsd:double"&gt;13.1088843669584&lt;/D&gt;&lt;D xsi:type="xsd:double"&gt;14.5245398157449&lt;/D&gt;&lt;D xsi:type="xsd:double"&gt;13.6220809347728&lt;/D&gt;&lt;D xsi:type="xsd:double"&gt;12.9707751779111&lt;/D&gt;&lt;D xsi:type="xsd:double"&gt;12.8546640688718&lt;/D&gt;&lt;D xsi:type="xsd:double"&gt;11.0945928471748&lt;/D&gt;&lt;D xsi:type="xsd:double"&gt;11.3014435813349&lt;/D&gt;&lt;D xsi:type="xsd:double"&gt;10.8482100792677&lt;/D&gt;&lt;D xsi:type="xsd:double"&gt;10.0668872403178&lt;/D&gt;&lt;D xsi:type="xsd:double"&gt;10.3004859406043&lt;/D&gt;&lt;D xsi:type="xsd:double"&gt;10.0352124520935&lt;/D&gt;&lt;D xsi:type="xsd:double"&gt;10.2122222191682&lt;/D&gt;&lt;D xsi:type="xsd:double"&gt;10.3032740526114&lt;/D&gt;&lt;D xsi:type="xsd:double"&gt;9.64277001864266&lt;/D&gt;&lt;D xsi:type="xsd:double"&gt;9.50797189460201&lt;/D&gt;&lt;D xsi:type="xsd:double"&gt;9.36262138575381&lt;/D&gt;&lt;D xsi:type="xsd:double"&gt;9.14320342257068&lt;/D&gt;&lt;D xsi:type="xsd:double"&gt;8.9371625635798&lt;/D&gt;&lt;D xsi:type="xsd:double"&gt;7.94339339857114&lt;/D&gt;&lt;D xsi:type="xsd:double"&gt;8.34948470255136&lt;/D&gt;&lt;D xsi:type="xsd:double"&gt;8.56330913236257&lt;/D&gt;&lt;D xsi:type="xsd:double"&gt;8.35394024723455&lt;/D&gt;&lt;D xsi:type="xsd:double"&gt;8.89513020731767&lt;/D&gt;&lt;D xsi:type="xsd:double"&gt;10.5561066175017&lt;/D&gt;&lt;D xsi:type="xsd:double"&gt;10.6706752560083&lt;/D&gt;&lt;D xsi:type="xsd:double"&gt;11.5940223725942&lt;/D&gt;&lt;D xsi:type="xsd:double"&gt;12.8002022481473&lt;/D&gt;&lt;D xsi:type="xsd:double"&gt;13.1428508835772&lt;/D&gt;&lt;D xsi:type="xsd:double"&gt;14.0153281199495&lt;/D&gt;&lt;D xsi:type="xsd:double"&gt;13.1737894426925&lt;/D&gt;&lt;D xsi:type="xsd:double"&gt;12.2788371876906&lt;/D&gt;&lt;D xsi:type="xsd:double"&gt;12.0867857461688&lt;/D&gt;&lt;D xsi:type="xsd:double"&gt;11.012476765117&lt;/D&gt;&lt;D xsi:type="xsd:double"&gt;10.8531016126986&lt;/D&gt;&lt;D xsi:type="xsd:double"&gt;9.89339029240772&lt;/D&gt;&lt;D xsi:type="xsd:double"&gt;10.2695697520647&lt;/D&gt;&lt;D xsi:type="xsd:double"&gt;10.2044133471889&lt;/D&gt;&lt;D xsi:type="xsd:double"&gt;9.58687736067483&lt;/D&gt;&lt;D xsi:type="xsd:double"&gt;10.4758086677995&lt;/D&gt;&lt;D xsi:type="xsd:double"&gt;10.7542669908101&lt;/D&gt;&lt;D xsi:type="xsd:double"&gt;9.98545067197312&lt;/D&gt;&lt;D xsi:type="xsd:double"&gt;9.92871771336959&lt;/D&gt;&lt;/FQL&gt;&lt;FQL&gt;&lt;Q&gt;SET-BKK^JULIAN(FMA_DIV_YLD(NTMA,NOW,NOW,M,"PORTAGG","MEANR").DATES)&lt;/Q&gt;&lt;R&gt;1&lt;/R&gt;&lt;C&gt;1&lt;/C&gt;&lt;D xsi:type="xsd:long"&gt;45412&lt;/D&gt;&lt;/FQL&gt;&lt;FQL&gt;&lt;Q&gt;EZA^FMA_EVAL_EBIT(LTMA,NOW,NOW,M,"PORTAGG","MEANR")&lt;/Q&gt;&lt;R&gt;1&lt;/R&gt;&lt;C&gt;1&lt;/C&gt;&lt;D xsi:type="xsd:double"&gt;12.1586802293763&lt;/D&gt;&lt;/FQL&gt;&lt;FQL&gt;&lt;Q&gt;KSA^FG_PRICE_MAVG(0,,,,60)&lt;/Q&gt;&lt;R&gt;1&lt;/R&gt;&lt;C&gt;1&lt;/C&gt;&lt;D xsi:type="xsd:double"&gt;43.684&lt;/D&gt;&lt;/FQL&gt;&lt;FQL&gt;&lt;Q&gt;EIDO^FG_PRICE_MAVG(0,,,,200)&lt;/Q&gt;&lt;R&gt;1&lt;/R&gt;&lt;C&gt;1&lt;/C&gt;&lt;D xsi:type="xsd:double"&gt;21.9547&lt;/D&gt;&lt;/FQL&gt;&lt;FQL&gt;&lt;Q&gt;QAT^P_PRICE(0)/P_PRICE_HIGH_PR(0,,,,,,"PRICE","INTRA","52W")&lt;/Q&gt;&lt;R&gt;1&lt;/R&gt;&lt;C&gt;1&lt;/C&gt;&lt;D xsi:type="xsd:double"&gt;0.87687534&lt;/D&gt;&lt;/FQL&gt;&lt;FQL&gt;&lt;Q&gt;EWY^P_PRICE(0)/P_PRICE_HIGH_PR(0,,,,,,"PRICE","INTRA","52W")&lt;/Q&gt;&lt;R&gt;1&lt;/R&gt;&lt;C&gt;1&lt;/C&gt;&lt;D xsi:type="xsd:double"&gt;0.93665695&lt;/D&gt;&lt;/FQL&gt;&lt;FQL&gt;&lt;Q&gt;EPOL^FG_TOTAL_RETURNC(0,-1AM)&lt;/Q&gt;&lt;R&gt;1&lt;/R&gt;&lt;C&gt;1&lt;/C&gt;&lt;D xsi:type="xsd:double"&gt;5.1143527&lt;/D&gt;&lt;/FQL&gt;&lt;FQL&gt;&lt;Q&gt;URTH^FMA_COS_DOWN("EPS","1M",+1,NOW,,,"PORTAGG","MEANR")&lt;/Q&gt;&lt;R&gt;1&lt;/R&gt;&lt;C&gt;1&lt;/C&gt;&lt;D xsi:type="xsd:double"&gt;537&lt;/D&gt;&lt;/FQL&gt;&lt;FQL&gt;&lt;Q&gt;EWY^FMA_COS_DOWN("EPS","1M",+1,NOW,,,"PORTAGG","MEANR")&lt;/Q&gt;&lt;R&gt;1&lt;/R&gt;&lt;C&gt;1&lt;/C&gt;&lt;D xsi:type="xsd:double"&gt;39&lt;/D&gt;&lt;/FQL&gt;&lt;FQL&gt;&lt;Q&gt;INDA^FMA_RBICS_REV_CURRENT(30, LOC, "PORTAGG")&lt;/Q&gt;&lt;R&gt;1&lt;/R&gt;&lt;C&gt;1&lt;/C&gt;&lt;D xsi:type="xsd:double"&gt;30.3196101720207&lt;/D&gt;&lt;/FQL&gt;&lt;FQL&gt;&lt;Q&gt;TRYTR7Y-FDS^FG_YIELD_NAME&lt;/Q&gt;&lt;R&gt;1&lt;/R&gt;&lt;C&gt;1&lt;/C&gt;&lt;D xsi:type="xsd:string"&gt;Treasury - Turkey Benchmark Bond 7Y&lt;/D&gt;&lt;/FQL&gt;&lt;FQL&gt;&lt;Q&gt;TRYZA10Y-FDS^PCTCHG(FG_YIELD(0,,,,"YTM"),FG_YIELD(-1AM,,,,"YTM"))&lt;/Q&gt;&lt;R&gt;1&lt;/R&gt;&lt;C&gt;1&lt;/C&gt;&lt;D xsi:type="xsd:double"&gt;-2.7038107&lt;/D&gt;&lt;/FQL&gt;&lt;FQL&gt;&lt;Q&gt;CC_PL^IMF_IFS_RCPI_Q(0)&lt;/Q&gt;&lt;R&gt;1&lt;/R&gt;&lt;C&gt;1&lt;/C&gt;&lt;D xsi:type="xsd:double"&gt;3.0719981&lt;/D&gt;&lt;/FQL&gt;&lt;FQL&gt;&lt;Q&gt;KSA^FMA_DIV_YLD(NTMA,NOW,NOW,M,"PORTAGG","MEANR")&lt;/Q&gt;&lt;R&gt;1&lt;/R&gt;&lt;C&gt;1&lt;/C&gt;&lt;D xsi:type="xsd:double"&gt;3.47336456893002&lt;/D&gt;&lt;/FQL&gt;&lt;FQL&gt;&lt;Q&gt;SET-BKK^FG_FCF_YIELD_NTM(0)&lt;/Q&gt;&lt;R&gt;1&lt;/R&gt;&lt;C&gt;1&lt;/C&gt;&lt;D xsi:type="xsd:double"&gt;4.58237213837505&lt;/D&gt;&lt;/FQL&gt;&lt;FQL&gt;&lt;Q&gt;INDA^FMA_PE(LTM,0,,,"PORTAGG","MEANR")&lt;/Q&gt;&lt;R&gt;1&lt;/R&gt;&lt;C&gt;1&lt;/C&gt;&lt;D xsi:type="xsd:double"&gt;25.9489409510359&lt;/D&gt;&lt;/FQL&gt;&lt;FQL&gt;&lt;Q&gt;EWY^FMA_DIV_YLD(NTMA,NOW,NOW,M,"PORTAGG","MEANR")&lt;/Q&gt;&lt;R&gt;1&lt;/R&gt;&lt;C&gt;1&lt;/C&gt;&lt;D xsi:type="xsd:double"&gt;2.22722392532422&lt;/D&gt;&lt;/FQL&gt;&lt;FQL&gt;&lt;Q&gt;EWM^JULIAN(FMA_DIV_YLD(NTMA,NOW,NOW,M,"PORTAGG","MEANR").DATES)&lt;/Q&gt;&lt;R&gt;1&lt;/R&gt;&lt;C&gt;1&lt;/C&gt;&lt;D xsi:type="xsd:long"&gt;45412&lt;/D&gt;&lt;/FQL&gt;&lt;FQL&gt;&lt;Q&gt;EIDO^FMA_EVAL_EBIT(LTMA,NOW,NOW,M,"PORTAGG","MEANR")&lt;/Q&gt;&lt;R&gt;1&lt;/R&gt;&lt;C&gt;1&lt;/C&gt;&lt;D xsi:type="xsd:double"&gt;9.39402750787132&lt;/D&gt;&lt;/FQL&gt;&lt;FQL&gt;&lt;Q&gt;SET-BKK^FG_COMPANY_NAME&lt;/Q&gt;&lt;R&gt;1&lt;/R&gt;&lt;C&gt;1&lt;/C&gt;&lt;D xsi:type="xsd:string"&gt;Thailand SET&lt;/D&gt;&lt;/FQL&gt;&lt;FQL&gt;&lt;Q&gt;SET-BKK^FMA_PE(NTMA,0,,,"PORTAGG","MEANR")&lt;/Q&gt;&lt;R&gt;1&lt;/R&gt;&lt;C&gt;1&lt;/C&gt;&lt;D xsi:type="xsd:double"&gt;14.1708131639666&lt;/D&gt;&lt;/FQL&gt;&lt;FQL&gt;&lt;Q&gt;MCHI^FG_COMPANY_NAME&lt;/Q&gt;&lt;R&gt;1&lt;/R&gt;&lt;C&gt;1&lt;/C&gt;&lt;D xsi:type="xsd:string"&gt;iShares MSCI China ETF&lt;/D&gt;&lt;/FQL&gt;&lt;FQL&gt;&lt;Q&gt;QAT^FMA_EVAL_EBITDA(NTMA,0,,,"PORTAGG","MEANR")&lt;/Q&gt;&lt;R&gt;1&lt;/R&gt;&lt;C&gt;1&lt;/C&gt;&lt;D xsi:type="xsd:double"&gt;9.66622985838073&lt;/D&gt;&lt;/FQL&gt;&lt;FQL&gt;&lt;Q&gt;EZA^FG_COMPANY_NAME&lt;/Q&gt;&lt;R&gt;1&lt;/R&gt;&lt;C&gt;1&lt;/C&gt;&lt;D xsi:type="xsd:string"&gt;iShares MSCI South Africa ETF&lt;/D&gt;&lt;/FQL&gt;&lt;FQL&gt;&lt;Q&gt;SPY^P_PRICE(0)/P_PRICE_HIGH_PR(0,,,,,,"PRICE","INTRA","52W")&lt;/Q&gt;&lt;R&gt;1&lt;/R&gt;&lt;C&gt;1&lt;/C&gt;&lt;D xsi:type="xsd:double"&gt;0.9866622&lt;/D&gt;&lt;/FQL&gt;&lt;FQL&gt;&lt;Q&gt;GREK^FMA_RBICS_REV_CURRENT(30, LOC, "PORTAGG")&lt;/Q&gt;&lt;R&gt;1&lt;/R&gt;&lt;C&gt;1&lt;/C&gt;&lt;D xsi:type="xsd:double"&gt;43.9900799001437&lt;/D&gt;&lt;/FQL&gt;&lt;FQL&gt;&lt;Q&gt;REFPHRREPO-FDS^(SUBARRAY(NOT_NA(NO_REPEAT_F(FG_YIELD(NOW,-10AY,D))),0,1)-SUBARRAY(NOT_NA(NO_REPEAT_F(FG_YIELD(NOW,-10AY,D))),1,1))*100&lt;/Q&gt;&lt;R&gt;1&lt;/R&gt;&lt;C&gt;1&lt;/C&gt;&lt;D xsi:type="xsd:double"&gt;25&lt;/D&gt;&lt;/FQL&gt;&lt;FQL&gt;&lt;Q&gt;TRYPE10Y-FDS^FG_YIELD(0,,,,"YTM")&lt;/Q&gt;&lt;R&gt;1&lt;/R&gt;&lt;C&gt;1&lt;/C&gt;&lt;D xsi:type="xsd:double"&gt;7.088893&lt;/D&gt;&lt;/FQL&gt;&lt;FQL&gt;&lt;Q&gt;KSA^FMA_PE(NTMA,0,,,"PORTAGG","MEANR")&lt;/Q&gt;&lt;R&gt;1&lt;/R&gt;&lt;C&gt;1&lt;/C&gt;&lt;D xsi:type="xsd:double"&gt;17.0151851720894&lt;/D&gt;&lt;/FQL&gt;&lt;FQL&gt;&lt;Q&gt;EIDO^FMA_EVAL_EBITDA(NTMA,0,,,"PORTAGG","MEANR")&lt;/Q&gt;&lt;R&gt;1&lt;/R&gt;&lt;C&gt;1&lt;/C&gt;&lt;D xsi:type="xsd:double"&gt;5.94804818205362&lt;/D&gt;&lt;/FQL&gt;&lt;FQL&gt;&lt;Q&gt;KSA^FMA_PE(LTM,0,,,"PORTAGG","MEANR")&lt;/Q&gt;&lt;R&gt;1&lt;/R&gt;&lt;C&gt;1&lt;/C&gt;&lt;D xsi:type="xsd:double"&gt;21.3083950662737&lt;/D&gt;&lt;/FQL&gt;&lt;FQL&gt;&lt;Q&gt;EIDO^FMA_PE(NTMA,-10AY,0,AM,"PORTAGG","MEANR")&lt;/Q&gt;&lt;R&gt;121&lt;/R&gt;&lt;C&gt;1&lt;/C&gt;&lt;D xsi:type="xsd:double"&gt;14.6587817905603&lt;/D&gt;&lt;D xsi:type="xsd:double"&gt;13.7777228099255&lt;/D&gt;&lt;D xsi:type="xsd:double"&gt;14.6242530941834&lt;/D&gt;&lt;D xsi:type="xsd:double"&gt;15.0150349891546&lt;/D&gt;&lt;D xsi:type="xsd:double"&gt;14.7498092627032&lt;/D&gt;&lt;D xsi:type="xsd:double"&gt;14.5362827977663&lt;/D&gt;&lt;D xsi:type="xsd:double"&gt;14.8105687859832&lt;/D&gt;&lt;D xsi:type="xsd:double"&gt;14.8263209506736&lt;/D&gt;&lt;D xsi:type="xsd:double"&gt;15.401448246752&lt;/D&gt;&lt;D xsi:type="xsd:double"&gt;15.9383001318367&lt;/D&gt;&lt;D xsi:type="xsd:double"&gt;15.9364147718644&lt;/D&gt;&lt;D xsi:type="xsd:double"&gt;15.8925689926228&lt;/D&gt;&lt;D xsi:type="xsd:double"&gt;15.6220831445496&lt;/D&gt;&lt;D xsi:type="xsd:double"&gt;14.5726347537961&lt;/D&gt;&lt;D xsi:type="xsd:double"&gt;14.4794092345881&lt;/D&gt;&lt;D xsi:type="xsd:double"&gt;12.6012869086806&lt;/D&gt;&lt;D xsi:type="xsd:double"&gt;12.8777827537861&lt;/D&gt;&lt;D xsi:type="xsd:double"&gt;14.7202974858912&lt;/D&gt;&lt;D xsi:type="xsd:double"&gt;14.3074438860116&lt;/D&gt;&lt;D xsi:type="xsd:double"&gt;14.1811708061319&lt;/D&gt;&lt;D xsi:type="xsd:double"&gt;14.0923073791891&lt;/D&gt;&lt;D xsi:type="xsd:double"&gt;14.5422108185639&lt;/D&gt;&lt;D xsi:type="xsd:double"&gt;15.2414248885266&lt;/D&gt;&lt;D xsi:type="xsd:double"&gt;15.2199715807827&lt;/D&gt;&lt;D xsi:type="xsd:double"&gt;14.3439105917086&lt;/D&gt;&lt;D xsi:type="xsd:double"&gt;15.0673742634231&lt;/D&gt;&lt;D xsi:type="xsd:double"&gt;16.2107622587371&lt;/D&gt;&lt;D xsi:type="xsd:double"&gt;16.6922869278196&lt;/D&gt;&lt;D xsi:type="xsd:double"&gt;16.6706002086881&lt;/D&gt;&lt;D xsi:type="xsd:double"&gt;16.4031986066312&lt;/D&gt;&lt;D xsi:type="xsd:double"&gt;15.0775305093517&lt;/D&gt;&lt;D xsi:type="xsd:double"&gt;14.1759027007794&lt;/D&gt;&lt;D xsi:type="xsd:double"&gt;14.9638900673577&lt;/D&gt;&lt;D xsi:type="xsd:double"&gt;15.2662516882573&lt;/D&gt;&lt;D xsi:type="xsd:double"&gt;15.525022886799&lt;/D&gt;&lt;D xsi:type="xsd:double"&gt;15.518425006915&lt;/D&gt;&lt;D xsi:type="xsd:double"&gt;15.6937396766382&lt;/D&gt;&lt;D xsi:type="xsd:double"&gt;15.7603322564507&lt;/D&gt;&lt;D xsi:type="xsd:double"&gt;15.4395008989571&lt;/D&gt;&lt;D xsi:type="xsd:double"&gt;15.7488974027745&lt;/D&gt;&lt;D xsi:type="xsd:double"&gt;15.4819276158016&lt;/D&gt;&lt;D xsi:type="xsd:double"&gt;15.4177008325959&lt;/D&gt;&lt;D xsi:type="xsd:double"&gt;15.4952668174027&lt;/D&gt;&lt;D xsi:type="xsd:double"&gt;15.5498976472511&lt;/D&gt;&lt;D xsi:type="xsd:double"&gt;16.3273332243571&lt;/D&gt;&lt;D xsi:type="xsd:double"&gt;15.5693392110908&lt;/D&gt;&lt;D xsi:type="xsd:double"&gt;14.5067380550781&lt;/D&gt;&lt;D xsi:type="xsd:double"&gt;14.7897816181365&lt;/D&gt;&lt;D xsi:type="xsd:double"&gt;13.1404310956011&lt;/D&gt;&lt;D xsi:type="xsd:double"&gt;12.8450285444042&lt;/D&gt;&lt;D xsi:type="xsd:double"&gt;12.9759807906202&lt;/D&gt;&lt;D xsi:type="xsd:double"&gt;13.7321643783638&lt;/D&gt;&lt;D xsi:type="xsd:double"&gt;13.4511082239284&lt;/D&gt;&lt;D xsi:type="xsd:double"&gt;12.9645680294326&lt;/D&gt;&lt;D xsi:type="xsd:double"&gt;13.7529920432897&lt;/D&gt;&lt;D xsi:type="xsd:double"&gt;14.0311885215851&lt;/D&gt;&lt;D xsi:type="xsd:double"&gt;14.6805079252264&lt;/D&gt;&lt;D xsi:type="xsd:double"&gt;14.4861721470759&lt;/D&gt;&lt;D xsi:type="xsd:double"&gt;14.7673606325339&lt;/D&gt;&lt;D xsi:type="xsd:double"&gt;14.2570524091643&lt;/D&gt;&lt;D xsi:type="xsd:double"&gt;13.0388451817386&lt;/D&gt;&lt;D xsi:type="xsd:double"&gt;14.0493057857616&lt;/D&gt;&lt;D xsi:type="xsd:double"&gt;14.9633590072908&lt;/D&gt;&lt;D xsi:type="xsd:double"&gt;14.5847550549226&lt;/D&gt;&lt;D xsi:type="xsd:double"&gt;14.4573164055617&lt;/D&gt;&lt;D xsi:type="xsd:double"&gt;14.7956659535405&lt;/D&gt;&lt;D xsi:type="xsd:double"&gt;14.7095057593934&lt;/D&gt;&lt;D xsi:type="xsd:double"&gt;15.1293060486022&lt;/D&gt;&lt;D xsi:type="xsd:double"&gt;15.6027915494022&lt;/D&gt;&lt;D xsi:type="xsd:double"&gt;14.4616915331262&lt;/D&gt;&lt;D xsi:type="xsd:double"&gt;8.93638202744062&lt;/D&gt;&lt;D xsi:type="xsd:double"&gt;10.9550754416443&lt;/D&gt;&lt;D xsi:type="xsd:double"&gt;12.4799929929946&lt;/D&gt;&lt;D xsi:type="xsd:double"&gt;15.8189040818526&lt;/D&gt;&lt;D xsi:type="xsd:double"&gt;16.6185576200796&lt;/D&gt;&lt;D xsi:type="xsd:double"&gt;16.9458888666825&lt;/D&gt;&lt;D xsi:type="xsd:double"&gt;15.1047220305437&lt;/D&gt;&lt;D xsi:type="xsd:double"&gt;15.9020617773442&lt;/D&gt;&lt;D xsi:type="xsd:double"&gt;17.6224718776804&lt;/D&gt;&lt;D xsi:type="xsd:double"&gt;18.0284585096202&lt;/D&gt;&lt;D xsi:type="xsd:double"&gt;18.0096114267094&lt;/D&gt;&lt;D xsi:type="xsd:double"&gt;17.4740797781424&lt;/D&gt;&lt;D xsi:type="xsd:double"&gt;16.5752068853271&lt;/D&gt;&lt;D xsi:type="xsd:double"&gt;16.1787894007713&lt;/D&gt;&lt;D xsi:type="xsd:double"&gt;15.1097984665717&lt;/D&gt;&lt;D xsi:type="xsd:double"&gt;15.0991734874866&lt;/D&gt;&lt;D xsi:type="xsd:double"&gt;14.7249865311438&lt;/D&gt;&lt;D xsi:type="xsd:double"&gt;15.0959819118406&lt;/D&gt;&lt;D xsi:type="xsd:double"&gt;14.8307479203939&lt;/D&gt;&lt;D xsi:type="xsd:double"&gt;15.8365998411059&lt;/D&gt;&lt;D xsi:type="xsd:double"&gt;15.2157340061892&lt;/D&gt;&lt;D xsi:type="xsd:double"&gt;14.4999396326669&lt;/D&gt;&lt;D xsi:type="xsd:double"&gt;14.9494892687057&lt;/D&gt;&lt;D xsi:type="xsd:double"&gt;15.3604976164138&lt;/D&gt;&lt;D xsi:type="xsd:double"&gt;14.8779779039232&lt;/D&gt;&lt;D xsi:type="xsd:double"&gt;14.5033659851982&lt;/D&gt;&lt;D xsi:type="xsd:double"&gt;13.1729434220891&lt;/D&gt;&lt;D xsi:type="xsd:double"&gt;12.7544624688546&lt;/D&gt;&lt;D xsi:type="xsd:double"&gt;12.5487222108887&lt;/D&gt;&lt;D xsi:type="xsd:double"&gt;12.9396552785115&lt;/D&gt;&lt;D xsi:type="xsd:double"&gt;13.0428293949601&lt;/D&gt;&lt;D xsi:type="xsd:double"&gt;12.5737530895028&lt;/D&gt;&lt;D xsi:type="xsd:double"&gt;12.6605220643686&lt;/D&gt;&lt;D xsi:type="xsd:double"&gt;12.2152752806565&lt;/D&gt;&lt;D xsi:type="xsd:double"&gt;12.1694821146354&lt;/D&gt;&lt;D xsi:type="xsd:double"&gt;12.2378423419367&lt;/D&gt;&lt;D xsi:type="xsd:double"&gt;11.6498665188684&lt;/D&gt;&lt;D xsi:type="xsd:double"&gt;12.1518242395953&lt;/D&gt;&lt;D xsi:type="xsd:double"&gt;12.0088211752392&lt;/D&gt;&lt;D xsi:type="xsd:double"&gt;13.2751615122856&lt;/D&gt;&lt;D xsi:type="xsd:double"&gt;13.6558353739203&lt;/D&gt;&lt;D xsi:type="xsd:double"&gt;13.6846621131174&lt;/D&gt;&lt;D xsi:type="xsd:double"&gt;13.3804438984761&lt;/D&gt;&lt;D xsi:type="xsd:double"&gt;12.3343161870019&lt;/D&gt;&lt;D xsi:type="xsd:double"&gt;12.3487444133853&lt;/D&gt;&lt;D xsi:type="xsd:double"&gt;12.7301198929261&lt;/D&gt;&lt;D xsi:type="xsd:double"&gt;12.7022610418642&lt;/D&gt;&lt;D xsi:type="xsd:double"&gt;13.0518388286209&lt;/D&gt;&lt;D xsi:type="xsd:double"&gt;13.0223135653922&lt;/D&gt;&lt;D xsi:type="xsd:double"&gt;12.0631370497006&lt;/D&gt;&lt;D xsi:type="xsd:double"&gt;11.9398710714717&lt;/D&gt;&lt;/FQL&gt;&lt;FQL&gt;&lt;Q&gt;KSA^FG_PRICE_MAVG(0,,,,30)&lt;/Q&gt;&lt;R&gt;1&lt;/R&gt;&lt;C&gt;1&lt;/C&gt;&lt;D xsi:type="xsd:double"&gt;42.923&lt;/D&gt;&lt;/FQL&gt;&lt;FQL&gt;&lt;Q&gt;EIDO^FG_PRICE_MAVG(0,,,,30)&lt;/Q&gt;&lt;R&gt;1&lt;/R&gt;&lt;C&gt;1&lt;/C&gt;&lt;D xsi:type="xsd:double"&gt;20.792&lt;/D&gt;&lt;/FQL&gt;&lt;FQL&gt;&lt;Q&gt;QAT^FMA_PCT_ABOVE_MAVG(200,0,,,,"PORTAGG")&lt;/Q&gt;&lt;R&gt;1&lt;/R&gt;&lt;C&gt;1&lt;/C&gt;&lt;D xsi:type="xsd:double"&gt;32.3529411764706&lt;/D&gt;&lt;/FQL&gt;&lt;FQL&gt;&lt;Q&gt;EPOL^PERCENT_CHANGE(FMA_EPS(+1,0,,,,"PORTAGG","MEAN"),FMA_EPS(+1,-3AM,,,,"PORTAGG","MEAN"))&lt;/Q&gt;&lt;R&gt;1&lt;/R&gt;&lt;C&gt;1&lt;/C&gt;&lt;D xsi:type="xsd:double"&gt;8.8731317004998&lt;/D&gt;&lt;/FQL&gt;&lt;FQL&gt;&lt;Q&gt;VWO^FMA_COS_UP("EPS","1M",+1,NOW,,,"PORTAGG","MEANR")&lt;/Q&gt;&lt;R&gt;1&lt;/R&gt;&lt;C&gt;1&lt;/C&gt;&lt;D xsi:type="xsd:double"&gt;857&lt;/D&gt;&lt;/FQL&gt;&lt;FQL&gt;&lt;Q&gt;EWY^FMA_COS_UP("EPS","1M",+1,NOW,,,"PORTAGG","MEANR")&lt;/Q&gt;&lt;R&gt;1&lt;/R&gt;&lt;C&gt;1&lt;/C&gt;&lt;D xsi:type="xsd:double"&gt;52&lt;/D&gt;&lt;/FQL&gt;&lt;FQL&gt;&lt;Q&gt;TRYBR10Y-FDS^PCTCHG(FG_YIELD(0,,,,"YTM"),FG_YIELD(-3AM,,,,"YTM"))&lt;/Q&gt;&lt;R&gt;1&lt;/R&gt;&lt;C&gt;1&lt;/C&gt;&lt;D xsi:type="xsd:double"&gt;7.6993723&lt;/D&gt;&lt;/FQL&gt;&lt;FQL&gt;&lt;Q&gt;CC_PH^IMF_IFS_RCPI_Q(0)&lt;/Q&gt;&lt;R&gt;1&lt;/R&gt;&lt;C&gt;1&lt;/C&gt;&lt;D xsi:type="xsd:double"&gt;3.2976058&lt;/D&gt;&lt;/FQL&gt;&lt;FQL&gt;&lt;Q&gt;EPU^FMA_EVAL_EBIT(LTMA,NOW,NOW,M,"PORTAGG","MEANR")&lt;/Q&gt;&lt;R&gt;1&lt;/R&gt;&lt;C&gt;1&lt;/C&gt;&lt;D xsi:type="xsd:double"&gt;13.1326831434711&lt;/D&gt;&lt;/FQL&gt;&lt;FQL&gt;&lt;Q&gt;EWZ^FMA_RBICS_REV_CURRENT(30, LOC, "PORTAGG")&lt;/Q&gt;&lt;R&gt;1&lt;/R&gt;&lt;C&gt;1&lt;/C&gt;&lt;D xsi:type="xsd:double"&gt;26.4118043486124&lt;/D&gt;&lt;/FQL&gt;&lt;FQL&gt;&lt;Q&gt;CC_ID^IMF_IFS_RCPI_Q(0)&lt;/Q&gt;&lt;R&gt;0&lt;/R&gt;&lt;C&gt;0&lt;/C&gt;&lt;/FQL&gt;&lt;FQL&gt;&lt;Q&gt;GREK^FMA_EVAL_EBITDA(NTMA,0,,,"PORTAGG","MEANR")&lt;/Q&gt;&lt;R&gt;1&lt;/R&gt;&lt;C&gt;1&lt;/C&gt;&lt;D xsi:type="xsd:double"&gt;5.32293529371499&lt;/D&gt;&lt;/FQL&gt;&lt;FQL&gt;&lt;Q&gt;VWO^FMA_EVAL_EBIT(LTM</t>
        </r>
      </text>
    </comment>
    <comment ref="A23" authorId="0" shapeId="0" xr:uid="{60233619-0488-4CC3-B22E-2804C1C42FB0}">
      <text>
        <r>
          <rPr>
            <b/>
            <sz val="9"/>
            <color indexed="81"/>
            <rFont val="Tahoma"/>
            <charset val="1"/>
          </rPr>
          <t>A,NOW,NOW,M,"PORTAGG","MEANR")&lt;/Q&gt;&lt;R&gt;1&lt;/R&gt;&lt;C&gt;1&lt;/C&gt;&lt;D xsi:type="xsd:double"&gt;14.3824455064173&lt;/D&gt;&lt;/FQL&gt;&lt;FQL&gt;&lt;Q&gt;MCHI^P_PRICE(0)/P_PRICE_LOW_PR(0,,,,,,"PRICE","INTRA","52W")-1&lt;/Q&gt;&lt;R&gt;1&lt;/R&gt;&lt;C&gt;1&lt;/C&gt;&lt;D xsi:type="xsd:double"&gt;0.26616073&lt;/D&gt;&lt;/FQL&gt;&lt;FQL&gt;&lt;Q&gt;EWW^P_PRICE(0)/P_PRICE_LOW_PR(0,,,,,,"PRICE","INTRA","52W")-1&lt;/Q&gt;&lt;R&gt;1&lt;/R&gt;&lt;C&gt;1&lt;/C&gt;&lt;D xsi:type="xsd:double"&gt;0.26796913&lt;/D&gt;&lt;/FQL&gt;&lt;FQL&gt;&lt;Q&gt;EPOL^PERCENT_CHANGE(FMA_EPS(+1,0,,,,"PORTAGG","MEAN"),FMA_EPS(+1,-1AM,,,,"PORTAGG","MEAN"))&lt;/Q&gt;&lt;R&gt;1&lt;/R&gt;&lt;C&gt;1&lt;/C&gt;&lt;D xsi:type="xsd:double"&gt;0.827426330773371&lt;/D&gt;&lt;/FQL&gt;&lt;FQL&gt;&lt;Q&gt;SPY^FG_TOTAL_RETURNC(0,-3AM)&lt;/Q&gt;&lt;R&gt;1&lt;/R&gt;&lt;C&gt;1&lt;/C&gt;&lt;D xsi:type="xsd:double"&gt;3.8900018&lt;/D&gt;&lt;/FQL&gt;&lt;FQL&gt;&lt;Q&gt;VGK^FMA_COS_DOWN("EPS","1M",+1,NOW,,,"PORTAGG","MEANR")&lt;/Q&gt;&lt;R&gt;1&lt;/R&gt;&lt;C&gt;1&lt;/C&gt;&lt;D xsi:type="xsd:double"&gt;545&lt;/D&gt;&lt;/FQL&gt;&lt;FQL&gt;&lt;Q&gt;EWW^SIZE(FG_CONSTITUENTS)&lt;/Q&gt;&lt;R&gt;1&lt;/R&gt;&lt;C&gt;1&lt;/C&gt;&lt;D xsi:type="xsd:long"&gt;44&lt;/D&gt;&lt;/FQL&gt;&lt;FQL&gt;&lt;Q&gt;EZA^FMA_RBICS_REV_CURRENT(30, LOC, "PORTAGG")&lt;/Q&gt;&lt;R&gt;1&lt;/R&gt;&lt;C&gt;1&lt;/C&gt;&lt;D xsi:type="xsd:double"&gt;41.0944102967707&lt;/D&gt;&lt;/FQL&gt;&lt;FQL&gt;&lt;Q&gt;EIDO^JULIAN(FMA_DIV_YLD(NTMA,NOW,NOW,M,"PORTAGG","MEANR").DATES)&lt;/Q&gt;&lt;R&gt;1&lt;/R&gt;&lt;C&gt;1&lt;/C&gt;&lt;D xsi:type="xsd:long"&gt;45412&lt;/D&gt;&lt;/FQL&gt;&lt;FQL&gt;&lt;Q&gt;EWW^FG_TOTAL_RETURNC(0,-6AM)&lt;/Q&gt;&lt;R&gt;1&lt;/R&gt;&lt;C&gt;1&lt;/C&gt;&lt;D xsi:type="xsd:double"&gt;8.40857&lt;/D&gt;&lt;/FQL&gt;&lt;FQL&gt;&lt;Q&gt;EWY^FMA_PE(LTMA,-10AY,0,AM,"PORTAGG","MEANR")&lt;/Q&gt;&lt;R&gt;121&lt;/R&gt;&lt;C&gt;1&lt;/C&gt;&lt;D xsi:type="xsd:double"&gt;11.4323244523145&lt;/D&gt;&lt;D xsi:type="xsd:double"&gt;11.2208496475313&lt;/D&gt;&lt;D xsi:type="xsd:double"&gt;11.3289465098191&lt;/D&gt;&lt;D xsi:type="xsd:double"&gt;11.6131845831215&lt;/D&gt;&lt;D xsi:type="xsd:double"&gt;11.5442431627331&lt;/D&gt;&lt;D xsi:type="xsd:double"&gt;11.029526003473&lt;/D&gt;&lt;D xsi:type="xsd:double"&gt;11.5670136171037&lt;/D&gt;&lt;D xsi:type="xsd:double"&gt;11.5645662935575&lt;/D&gt;&lt;D xsi:type="xsd:double"&gt;11.6957367763324&lt;/D&gt;&lt;D xsi:type="xsd:double"&gt;12.2155653486681&lt;/D&gt;&lt;D xsi:type="xsd:double"&gt;12.170880465259&lt;/D&gt;&lt;D xsi:type="xsd:double"&gt;12.0931556098668&lt;/D&gt;&lt;D xsi:type="xsd:double"&gt;11.7708800929884&lt;/D&gt;&lt;D xsi:type="xsd:double"&gt;11.4109424551402&lt;/D&gt;&lt;D xsi:type="xsd:double"&gt;11.0741780612246&lt;/D&gt;&lt;D xsi:type="xsd:double"&gt;10.6742649793647&lt;/D&gt;&lt;D xsi:type="xsd:double"&gt;10.6675686964063&lt;/D&gt;&lt;D xsi:type="xsd:double"&gt;11.3133652304709&lt;/D&gt;&lt;D xsi:type="xsd:double"&gt;11.1922293831438&lt;/D&gt;&lt;D xsi:type="xsd:double"&gt;10.6954536425023&lt;/D&gt;&lt;D xsi:type="xsd:double"&gt;9.66492297566045&lt;/D&gt;&lt;D xsi:type="xsd:double"&gt;10.5771640957881&lt;/D&gt;&lt;D xsi:type="xsd:double"&gt;10.676107113791&lt;/D&gt;&lt;D xsi:type="xsd:double"&gt;10.6617967420646&lt;/D&gt;&lt;D xsi:type="xsd:double"&gt;10.4147041229677&lt;/D&gt;&lt;D xsi:type="xsd:double"&gt;10.4887675547915&lt;/D&gt;&lt;D xsi:type="xsd:double"&gt;10.5403675490393&lt;/D&gt;&lt;D xsi:type="xsd:double"&gt;10.6444282563212&lt;/D&gt;&lt;D xsi:type="xsd:double"&gt;10.7458403117181&lt;/D&gt;&lt;D xsi:type="xsd:double"&gt;10.786902103166&lt;/D&gt;&lt;D xsi:type="xsd:double"&gt;10.7923626499981&lt;/D&gt;&lt;D xsi:type="xsd:double"&gt;11.0863316725424&lt;/D&gt;&lt;D xsi:type="xsd:double"&gt;11.2383686013634&lt;/D&gt;&lt;D xsi:type="xsd:double"&gt;11.8069094670548&lt;/D&gt;&lt;D xsi:type="xsd:double"&gt;11.5599322705425&lt;/D&gt;&lt;D xsi:type="xsd:double"&gt;11.2327380913654&lt;/D&gt;&lt;D xsi:type="xsd:double"&gt;11.1425898324784&lt;/D&gt;&lt;D xsi:type="xsd:double"&gt;11.0097861536506&lt;/D&gt;&lt;D xsi:type="xsd:double"&gt;10.9351462088895&lt;/D&gt;&lt;D xsi:type="xsd:double"&gt;10.4586773438576&lt;/D&gt;&lt;D xsi:type="xsd:double"&gt;10.4392803605581&lt;/D&gt;&lt;D xsi:type="xsd:double"&gt;10.6252609312205&lt;/D&gt;&lt;D xsi:type="xsd:double"&gt;10.4566234359367&lt;/D&gt;&lt;D xsi:type="xsd:double"&gt;10.0124764369867&lt;/D&gt;&lt;D xsi:type="xsd:double"&gt;10.473958208641&lt;/D&gt;&lt;D xsi:type="xsd:double"&gt;10.6701120670116&lt;/D&gt;&lt;D xsi:type="xsd:double"&gt;10.4442730298808&lt;/D&gt;&lt;D xsi:type="xsd:double"&gt;10.3482796714583&lt;/D&gt;&lt;D xsi:type="xsd:double"&gt;10.1674172637808&lt;/D&gt;&lt;D xsi:type="xsd:double"&gt;9.9054376036602&lt;/D&gt;&lt;D xsi:type="xsd:double"&gt;9.60725447804101&lt;/D&gt;&lt;D xsi:type="xsd:double"&gt;9.4202715247125&lt;/D&gt;&lt;D xsi:type="xsd:double"&gt;9.42418020015096&lt;/D&gt;&lt;D xsi:type="xsd:double"&gt;8.61125557888536&lt;/D&gt;&lt;D xsi:type="xsd:double"&gt;8.33605225152751&lt;/D&gt;&lt;D xsi:type="xsd:double"&gt;8.30342091747262&lt;/D&gt;&lt;D xsi:type="xsd:double"&gt;8.78813288970034&lt;/D&gt;&lt;D xsi:type="xsd:double"&gt;10.0523664850752&lt;/D&gt;&lt;D xsi:type="xsd:double"&gt;10.1546876468394&lt;/D&gt;&lt;D xsi:type="xsd:double"&gt;10.4816629731853&lt;/D&gt;&lt;D xsi:type="xsd:double"&gt;10.4525091447728&lt;/D&gt;&lt;D xsi:type="xsd:double"&gt;10.9247223892902&lt;/D&gt;&lt;D xsi:type="xsd:double"&gt;11.3831078865605&lt;/D&gt;&lt;D xsi:type="xsd:double"&gt;11.2358547968836&lt;/D&gt;&lt;D xsi:type="xsd:double"&gt;12.088257489026&lt;/D&gt;&lt;D xsi:type="xsd:double"&gt;12.546422544918&lt;/D&gt;&lt;D xsi:type="xsd:double"&gt;13.4760254693376&lt;/D&gt;&lt;D xsi:type="xsd:double"&gt;14.5462663514545&lt;/D&gt;&lt;D xsi:type="xsd:double"&gt;14.9367682455083&lt;/D&gt;&lt;D xsi:type="xsd:double"&gt;16.3390510696514&lt;/D&gt;&lt;D xsi:type="xsd:double"&gt;14.2703250769624&lt;/D&gt;&lt;D xsi:type="xsd:double"&gt;14.7605282262787&lt;/D&gt;&lt;D xsi:type="xsd:double"&gt;15.0000391224242&lt;/D&gt;&lt;D xsi:type="xsd:double"&gt;15.3831278828921&lt;/D&gt;&lt;D xsi:type="xsd:double"&gt;15.4685884734312&lt;/D&gt;&lt;D xsi:type="xsd:double"&gt;15.9542406733176&lt;/D&gt;&lt;D xsi:type="xsd:double"&gt;16.0282369512633&lt;/D&gt;&lt;D xsi:type="xsd:double"&gt;15.9114803649392&lt;/D&gt;&lt;D xsi:type="xsd:double"&gt;17.3665331589087&lt;/D&gt;&lt;D xsi:type="xsd:double"&gt;18.8307792354149&lt;/D&gt;&lt;D xsi:type="xsd:double"&gt;21.5754640527891&lt;/D&gt;&lt;D xsi:type="xsd:double"&gt;20.9180815150622&lt;/D&gt;&lt;D xsi:type="xsd:double"&gt;19.9065630816584&lt;/D&gt;&lt;D xsi:type="xsd:double"&gt;19.2151481808363&lt;/D&gt;&lt;D xsi:type="xsd:double"&gt;17.7051799911627&lt;/D&gt;&lt;D xsi:type="xsd:double"&gt;16.8476328972201&lt;/D&gt;&lt;D xsi:type="xsd:double"&gt;15.714541073275&lt;/D&gt;&lt;D xsi:type="xsd:double"&gt;14.2654467411038&lt;/D&gt;&lt;D xsi:type="xsd:double"&gt;13.3324822017731&lt;/D&gt;&lt;D xsi:type="xsd:double"&gt;12.0985943617645&lt;/D&gt;&lt;D xsi:type="xsd:double"&gt;10.8788840994857&lt;/D&gt;&lt;D xsi:type="xsd:double"&gt;9.87580798280835&lt;/D&gt;&lt;D xsi:type="xsd:double"&gt;9.23784120854598&lt;/D&gt;&lt;D xsi:type="xsd:double"&gt;9.37017272100465&lt;/D&gt;&lt;D xsi:type="xsd:double"&gt;9.33239120151927&lt;/D&gt;&lt;D xsi:type="xsd:double"&gt;9.32511624975684&lt;/D&gt;&lt;D xsi:type="xsd:double"&gt;9.25637899551944&lt;/D&gt;&lt;D xsi:type="xsd:double"&gt;8.78083557077551&lt;/D&gt;&lt;D xsi:type="xsd:double"&gt;8.89693716810581&lt;/D&gt;&lt;D xsi:type="xsd:double"&gt;8.89800540857884&lt;/D&gt;&lt;D xsi:type="xsd:double"&gt;8.57015677167391&lt;/D&gt;&lt;D xsi:type="xsd:double"&gt;8.67329179782103&lt;/D&gt;&lt;D xsi:type="xsd:double"&gt;9.8129365693294&lt;/D&gt;&lt;D xsi:type="xsd:double"&gt;9.62622990934882&lt;/D&gt;&lt;D xsi:type="xsd:double"&gt;10.3639644688366&lt;/D&gt;&lt;D xsi:type="xsd:double"&gt;11.0269589031394&lt;/D&gt;&lt;D xsi:type="xsd:double"&gt;11.3437555722374&lt;/D&gt;&lt;D xsi:type="xsd:double"&gt;12.1133249153253&lt;/D&gt;&lt;D xsi:type="xsd:double"&gt;12.3837109201273&lt;/D&gt;&lt;D xsi:type="xsd:double"&gt;12.5018724800973&lt;/D&gt;&lt;D xsi:type="xsd:double"&gt;12.9914173919318&lt;/D&gt;&lt;D xsi:type="xsd:double"&gt;12.9163369518216&lt;/D&gt;&lt;D xsi:type="xsd:double"&gt;13.5488915486282&lt;/D&gt;&lt;D xsi:type="xsd:double"&gt;13.2284020919041&lt;/D&gt;&lt;D xsi:type="xsd:double"&gt;14.3375733117503&lt;/D&gt;&lt;D xsi:type="xsd:double"&gt;15.0703945140279&lt;/D&gt;&lt;D xsi:type="xsd:double"&gt;14.5685819814253&lt;/D&gt;&lt;D xsi:type="xsd:double"&gt;16.5581103108833&lt;/D&gt;&lt;D xsi:type="xsd:double"&gt;16.0321831815723&lt;/D&gt;&lt;D xsi:type="xsd:double"&gt;15.3025342931399&lt;/D&gt;&lt;D xsi:type="xsd:double"&gt;14.8113334236493&lt;/D&gt;&lt;/FQL&gt;&lt;FQL&gt;&lt;Q&gt;EIDO^FG_PRICE(0)&lt;/Q&gt;&lt;R&gt;1&lt;/R&gt;&lt;C&gt;1&lt;/C&gt;&lt;D xsi:type="xsd:double"&gt;20.4&lt;/D&gt;&lt;/FQL&gt;&lt;FQL&gt;&lt;Q&gt;MCHI^PERCENT_CHANGE(FMA_EPS(+1,0,,,,"PORTAGG","MEAN"),FMA_EPS(+1,-3AM,,,,"PORTAGG","MEAN"))&lt;/Q&gt;&lt;R&gt;1&lt;/R&gt;&lt;C&gt;1&lt;/C&gt;&lt;D xsi:type="xsd:double"&gt;-1.63165475188492&lt;/D&gt;&lt;/FQL&gt;&lt;FQL&gt;&lt;Q&gt;SET-BKK^FG_PRICE_MAVG(0,,,,200)&lt;/Q&gt;&lt;R&gt;1&lt;/R&gt;&lt;C&gt;1&lt;/C&gt;&lt;D xsi:type="xsd:double"&gt;1423.8057&lt;/D&gt;&lt;/FQL&gt;&lt;FQL&gt;&lt;Q&gt;ECH^FG_PRICE_MAVG(0,,,,60)&lt;/Q&gt;&lt;R&gt;1&lt;/R&gt;&lt;C&gt;1&lt;/C&gt;&lt;D xsi:type="xsd:double"&gt;27.044333&lt;/D&gt;&lt;/FQL&gt;&lt;FQL&gt;&lt;Q&gt;EWW^FG_TOTAL_RETURNC(0,-1AM)&lt;/Q&gt;&lt;R&gt;1&lt;/R&gt;&lt;C&gt;1&lt;/C&gt;&lt;D xsi:type="xsd:double"&gt;-0.015032291&lt;/D&gt;&lt;/FQL&gt;&lt;FQL&gt;&lt;Q&gt;EPHE^P_PRICE(0)/P_PRICE_LOW_PR(0,,,,,,"PRICE","INTRA","52W")-1&lt;/Q&gt;&lt;R&gt;1&lt;/R&gt;&lt;C&gt;1&lt;/C&gt;&lt;D xsi:type="xsd:double"&gt;0.09892011&lt;/D&gt;&lt;/FQL&gt;&lt;FQL&gt;&lt;Q&gt;EWW^FMA_COS_DOWN("EPS","1M",+1,NOW,,,"PORTAGG","MEANR")&lt;/Q&gt;&lt;R&gt;1&lt;/R&gt;&lt;C&gt;1&lt;/C&gt;&lt;D xsi:type="xsd:double"&gt;15&lt;/D&gt;&lt;/FQL&gt;&lt;FQL&gt;&lt;Q&gt;EWY^FMA_RBICS_REV_CURRENT(30, LOC, "PORTAGG")&lt;/Q&gt;&lt;R&gt;1&lt;/R&gt;&lt;C&gt;1&lt;/C&gt;&lt;D xsi:type="xsd:double"&gt;14.7627270982914&lt;/D&gt;&lt;/FQL&gt;&lt;FQL&gt;&lt;Q&gt;REFINREPO-FDS^(SUBARRAY(NOT_NA(NO_REPEAT_F(FG_YIELD(NOW,-10AY,D))),0,1)-SUBARRAY(NOT_NA(NO_REPEAT_F(FG_YIELD(NOW,-10AY,D))),1,1))*100&lt;/Q&gt;&lt;R&gt;1&lt;/R&gt;&lt;C&gt;1&lt;/C&gt;&lt;D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xsi:type="xsd:double"&gt;25&lt;/D&gt;&lt;/FQL&gt;&lt;FQL&gt;&lt;Q&gt;TRYKR10Y-FDS^PCTCHG(FG_YIELD(0,,,,"YTM"),FG_YIELD(-3AM,,,,"YTM"))&lt;/Q&gt;&lt;R&gt;1&lt;/R&gt;&lt;C&gt;1&lt;/C&gt;&lt;D xsi:type="xsd:double"&gt;-0.38212734&lt;/D&gt;&lt;/FQL&gt;&lt;FQL&gt;&lt;Q&gt;TRYPL10Y-FDS^FG_YIELD(0,,,,"YTM")&lt;/Q&gt;&lt;R&gt;1&lt;/R&gt;&lt;C&gt;1&lt;/C&gt;&lt;D xsi:type="xsd:double"&gt;5.7249&lt;/D&gt;&lt;/FQL&gt;&lt;FQL&gt;&lt;Q&gt;EPU^FMA_DIV_YLD(NTMA,NOW,NOW,M,"PORTAGG","MEANR")&lt;/Q&gt;&lt;R&gt;1&lt;/R&gt;&lt;C&gt;1&lt;/C&gt;&lt;D xsi:type="xsd:double"&gt;3.5133608109984&lt;/D&gt;&lt;/FQL&gt;&lt;FQL&gt;&lt;Q&gt;ECH^FMA_DIV_YLD(NTMA,NOW,NOW,M,"PORTAGG","MEANR")&lt;/Q&gt;&lt;R&gt;1&lt;/R&gt;&lt;C&gt;1&lt;/C&gt;&lt;D xsi:type="xsd:double"&gt;6.63016135632987&lt;/D&gt;&lt;/FQL&gt;&lt;FQL&gt;&lt;Q&gt;EPU^FMA_PE(LTMA,-10AY,0,AM,"PORTAGG","MEANR")&lt;/Q&gt;&lt;R&gt;121&lt;/R&gt;&lt;C&gt;1&lt;/C&gt;&lt;D xsi:type="xsd:double"&gt;14.8057561976328&lt;/D&gt;&lt;D xsi:type="xsd:double"&gt;15.3302036311845&lt;/D&gt;&lt;D xsi:type="xsd:double"&gt;15.949222758157&lt;/D&gt;&lt;D xsi:type="xsd:double"&gt;15.7644635524909&lt;/D&gt;&lt;D xsi:type="xsd:double"&gt;15.3467446786466&lt;/D&gt;&lt;D xsi:type="xsd:double"&gt;14.1376128907158&lt;/D&gt;&lt;D xsi:type="xsd:double"&gt;14.3870550020409&lt;/D&gt;&lt;D xsi:type="xsd:double"&gt;14.0432347117328&lt;/D&gt;&lt;D xsi:type="xsd:double"&gt;14.843877357398&lt;/D&gt;&lt;D xsi:type="xsd:double"&gt;16.144254897918&lt;/D&gt;&lt;D xsi:type="xsd:double"&gt;16.0865451427696&lt;/D&gt;&lt;D xsi:type="xsd:double"&gt;15.6261029278753&lt;/D&gt;&lt;D xsi:type="xsd:double"&gt;15.4750499070435&lt;/D&gt;&lt;D xsi:type="xsd:double"&gt;16.291063402959&lt;/D&gt;&lt;D xsi:type="xsd:double"&gt;15.4194758189276&lt;/D&gt;&lt;D xsi:type="xsd:double"&gt;14.6030641518675&lt;/D&gt;&lt;D xsi:type="xsd:double"&gt;14.246819384938&lt;/D&gt;&lt;D xsi:type="xsd:double"&gt;12.1271254433115&lt;/D&gt;&lt;D xsi:type="xsd:double"&gt;11.2377050766872&lt;/D&gt;&lt;D xsi:type="xsd:double"&gt;10.5599248468148&lt;/D&gt;&lt;D xsi:type="xsd:double"&gt;14.2468109395904&lt;/D&gt;&lt;D xsi:type="xsd:double"&gt;18.0656854782946&lt;/D&gt;&lt;D xsi:type="xsd:double"&gt;22.2708057774667&lt;/D&gt;&lt;D xsi:type="xsd:double"&gt;21.6611125578794&lt;/D&gt;&lt;D xsi:type="xsd:double"&gt;20.8986964131559&lt;/D&gt;&lt;D xsi:type="xsd:double"&gt;20.0662481386587&lt;/D&gt;&lt;D xsi:type="xsd:double"&gt;19.8453369556178&lt;/D&gt;&lt;D xsi:type="xsd:double"&gt;18.9324910057719&lt;/D&gt;&lt;D xsi:type="xsd:double"&gt;17.7811039549299&lt;/D&gt;&lt;D xsi:type="xsd:double"&gt;16.5115308077955&lt;/D&gt;&lt;D xsi:type="xsd:double"&gt;15.6914038837297&lt;/D&gt;&lt;D xsi:type="xsd:double"&gt;15.0663083351263&lt;/D&gt;&lt;D xsi:type="xsd:double"&gt;15.8935818454787&lt;/D&gt;&lt;D xsi:type="xsd:double"&gt;16.8290505938694&lt;/D&gt;&lt;D xsi:type="xsd:double"&gt;16.1344941465551&lt;/D&gt;&lt;D xsi:type="xsd:double"&gt;15.4306416231914&lt;/D&gt;&lt;D xsi:type="xsd:double"&gt;15.1635547883237&lt;/D&gt;&lt;D xsi:type="xsd:double"&gt;14.7785311569516&lt;/D&gt;&lt;D xsi:type="xsd:double"&gt;14.927529707179&lt;/D&gt;&lt;D xsi:type="xsd:double"&gt;14.7633482527741&lt;/D&gt;&lt;D xsi:type="xsd:double"&gt;16.3558307758121&lt;/D&gt;&lt;D xsi:type="xsd:double"&gt;16.3828804514348&lt;/D&gt;&lt;D xsi:type="xsd:double"&gt;16.9958529775501&lt;/D&gt;&lt;D xsi:type="xsd:double"&gt;16.9225192862066&lt;/D&gt;&lt;D xsi:type="xsd:double"&gt;17.4876774869071&lt;/D&gt;&lt;D xsi:type="xsd:double"&gt;18.6503510471791&lt;/D&gt;&lt;D xsi:type="xsd:double"&gt;19.3878633267094&lt;/D&gt;&lt;D xsi:type="xsd:double"&gt;18.9969453976601&lt;/D&gt;&lt;D xsi:type="xsd:double"&gt;18.3154951635964&lt;/D&gt;&lt;D xsi:type="xsd:double"&gt;17.9370211979372&lt;/D&gt;&lt;D xsi:type="xsd:double"&gt;17.4696357678502&lt;/D&gt;&lt;D xsi:type="xsd:double"&gt;17.1059171370566&lt;/D&gt;&lt;D xsi:type="xsd:double"&gt;16.5598629025339&lt;/D&gt;&lt;D xsi:type="xsd:double"&gt;15.9691675040197&lt;/D&gt;&lt;D xsi:type="xsd:double"&gt;16.3588326016207&lt;/D&gt;&lt;D xsi:type="xsd:double"&gt;16.91254835492&lt;/D&gt;&lt;D xsi:type="xsd:double"&gt;17.7853091258477&lt;/D&gt;&lt;D xsi:type="xsd:double"&gt;20.8056621889577&lt;/D&gt;&lt;D xsi:type="xsd:double"&gt;19.9778040307452&lt;/D&gt;&lt;D xsi:type="xsd:double"&gt;19.2962438420927&lt;/D&gt;&lt;D xsi:type="xsd:double"&gt;18.1084583770675&lt;/D&gt;&lt;D xsi:type="xsd:double"&gt;17.854597930026&lt;/D&gt;&lt;D xsi:type="xsd:double"&gt;18.3490577596935&lt;/D&gt;&lt;D xsi:type="xsd:double"&gt;17.7209862854316&lt;/D&gt;&lt;D xsi:type="xsd:double"&gt;17.3317230068511&lt;/D&gt;&lt;D xsi:type="xsd:double"&gt;16.9970156829182&lt;/D&gt;&lt;D xsi:type="xsd:double"&gt;16.8590038422443&lt;/D&gt;&lt;D xsi:type="xsd:double"&gt;17.4806807087991&lt;/D&gt;&lt;D xsi:type="xsd:double"&gt;16.8818908872205&lt;/D&gt;&lt;D xsi:type="xsd:double"&gt;18.2381779306905&lt;/D&gt;&lt;D xsi:type="xsd:double"&gt;15.5657211968536&lt;/D&gt;&lt;D xsi:type="xsd:double"&gt;16.0637145829021&lt;/D&gt;&lt;D xsi:type="xsd:double"&gt;17.781623157181&lt;/D&gt;&lt;D xsi:type="xsd:double"&gt;20.9496878602144&lt;/D&gt;&lt;D xsi:type="xsd:double"&gt;23.106567321472&lt;/D&gt;&lt;D xsi:type="xsd:double"&gt;30.6142757578699&lt;/D&gt;&lt;D xsi:type="xsd:double"&gt;35.3010590501348&lt;/D&gt;&lt;D xsi:type="xsd:double"&gt;38.6820081988467&lt;/D&gt;&lt;D xsi:type="xsd:double"&gt;47.7163549558967&lt;/D&gt;&lt;D xsi:type="xsd:double"&gt;53.7111554904867&lt;/D&gt;&lt;D xsi:type="xsd:double"&gt;48.3363154857427&lt;/D&gt;&lt;D xsi:type="xsd:double"&gt;61.0234875356532&lt;/D&gt;&lt;D xsi:type="xsd:double"&gt;63.6129583320463&lt;/D&gt;&lt;D xsi:type="xsd:double"&gt;57.3804564325373&lt;/D&gt;&lt;D xsi:type="xsd:double"&gt;52.3561021516947&lt;/D&gt;&lt;D xsi:type="xsd:double"&gt;45.2223195483107&lt;/D&gt;&lt;D xsi:type="xsd:double"&gt;39.3936906596388&lt;/D&gt;&lt;D xsi:type="xsd:double"&gt;33.902373324773&lt;/D&gt;&lt;D xsi:type="xsd:double"&gt;28.2472624836489&lt;/D&gt;&lt;D xsi:type="xsd:double"&gt;24.0775341076055&lt;/D&gt;&lt;D xsi:type="xsd:double"&gt;17.7194385400469&lt;/D&gt;&lt;D xsi:type="xsd:double"&gt;12.7299138425837&lt;/D&gt;&lt;D xsi:type="xsd:double"&gt;12.6224004632053&lt;/D&gt;&lt;D xsi:type="xsd:double"&gt;12.2362093800878&lt;/D&gt;&lt;D xsi:type="xsd:double"&gt;13.5254906091936&lt;/D&gt;&lt;D xsi:type="xsd:double"&gt;12.6332871235667&lt;/D&gt;&lt;D xsi:type="xsd:double"&gt;11.7980823448377&lt;/D&gt;&lt;D xsi:type="xsd:double"&gt;10.8872121263759&lt;/D&gt;&lt;D xsi:type="xsd:double"&gt;10.1910332979929&lt;/D&gt;&lt;D xsi:type="xsd:double"&gt;9.9091818062261&lt;/D&gt;&lt;D xsi:type="xsd:double"&gt;9.12401986535923&lt;/D&gt;&lt;D xsi:type="xsd:double"&gt;9.32533508841657&lt;/D&gt;&lt;D xsi:type="xsd:double"&gt;10.0341262029141&lt;/D&gt;&lt;D xsi:type="xsd:double"&gt;9.1820314728698&lt;/D&gt;&lt;D xsi:type="xsd:double"&gt;10.466305353856&lt;/D&gt;&lt;D xsi:type="xsd:double"&gt;9.57541022492786&lt;/D&gt;&lt;D xsi:type="xsd:double"&gt;9.40907165199741&lt;/D&gt;&lt;D xsi:type="xsd:double"&gt;9.58438202172198&lt;/D&gt;&lt;D xsi:type="xsd:double"&gt;9.55113560476065&lt;/D&gt;&lt;D xsi:type="xsd:double"&gt;10.0006325131294&lt;/D&gt;&lt;D xsi:type="xsd:double"&gt;10.632727319257&lt;/D&gt;&lt;D xsi:type="xsd:double"&gt;11.0294539751778&lt;/D&gt;&lt;D xsi:type="xsd:double"&gt;10.8704790124252&lt;/D&gt;&lt;D xsi:type="xsd:double"&gt;10.641806815889&lt;/D&gt;&lt;D xsi:type="xsd:double"&gt;11.9531687840703&lt;/D&gt;&lt;D xsi:type="xsd:double"&gt;14.6924677282089&lt;/D&gt;&lt;D xsi:type="xsd:double"&gt;14.6936798253275&lt;/D&gt;&lt;D xsi:type="xsd:double"&gt;15.2835455549455&lt;/D&gt;&lt;D xsi:type="xsd:double"&gt;15.2536043817019&lt;/D&gt;&lt;D xsi:type="xsd:double"&gt;15.0608541026415&lt;/D&gt;&lt;D xsi:type="xsd:double"&gt;15.5722056393121&lt;/D&gt;&lt;/FQL&gt;&lt;FQL&gt;&lt;Q&gt;CNYA^FG_PRICE(0)&lt;/Q&gt;&lt;R&gt;1&lt;/R&gt;&lt;C&gt;1&lt;/C&gt;&lt;D xsi:type="xsd:double"&gt;26.65&lt;/D&gt;&lt;/FQL&gt;&lt;FQL&gt;&lt;Q&gt;MCHI^FMA_PCT_ABOVE_MAVG(200,0,,,,"PORTAGG")&lt;/Q&gt;&lt;R&gt;1&lt;/R&gt;&lt;C&gt;1&lt;/C&gt;&lt;D xsi:type="xsd:double"&gt;59.8784194528875&lt;/D&gt;&lt;/FQL&gt;&lt;FQL&gt;&lt;Q&gt;EWW^PERCENT_CHANGE(FMA_EPS(+1,0,,,,"PORTAGG","MEAN"),FMA_EPS(+1,-3AM,,,,"PORTAGG","MEAN"))&lt;/Q&gt;&lt;R&gt;1&lt;/R&gt;&lt;C&gt;1&lt;/C&gt;&lt;D xsi:type="xsd:double"&gt;1.63834597521325&lt;/D&gt;&lt;/FQL&gt;&lt;FQL&gt;&lt;Q&gt;EPHE^P_PRICE(0)/P_PRICE_HIGH_PR(0,,,,,,"PRICE","INTRA","52W")&lt;/Q&gt;&lt;R&gt;1&lt;/R&gt;&lt;C&gt;1&lt;/C&gt;&lt;D xsi:type="xsd:double"&gt;0.9063057&lt;/D&gt;&lt;/FQL&gt;&lt;FQL&gt;&lt;Q&gt;KSA^SIZE(FG_CONSTITUENTS)&lt;/Q&gt;&lt;R&gt;1&lt;/R&gt;&lt;C&gt;1&lt;/C&gt;&lt;D xsi:type="xsd:long"&gt;122&lt;/D&gt;&lt;/FQL&gt;&lt;FQL&gt;&lt;Q&gt;EWW^FMA_COS_UP("EPS","1M",+1,NOW,,,"PORTAGG","MEANR")&lt;/Q&gt;&lt;R&gt;1&lt;/R&gt;&lt;C&gt;1&lt;/C&gt;&lt;D xsi:type="xsd:double"&gt;21&lt;/D&gt;&lt;/FQL&gt;&lt;FQL&gt;&lt;Q&gt;EWW^FMA_RBICS_REV_CURRENT(30, LOC, "PORTAGG")&lt;/Q&gt;&lt;R&gt;1&lt;/R&gt;&lt;C&gt;1&lt;/C&gt;&lt;D xsi:type="xsd:double"&gt;28.2940362049637&lt;/D&gt;&lt;/FQL&gt;&lt;FQL&gt;&lt;Q&gt;REFEUREFI-FDS^FG_YIELD(NOW,,,0)&lt;/Q&gt;&lt;R&gt;1&lt;/R&gt;&lt;C&gt;1&lt;/C&gt;&lt;D xsi:type="xsd:double"&gt;4.5&lt;/D&gt;&lt;/FQL&gt;&lt;FQL&gt;&lt;Q&gt;REFIDRREPO-FDS^(SUBARRAY(NOT_NA(NO_REPEAT_F(FG_YIELD(NOW,-10AY,D))),0,1)-SUBARRAY(NOT_NA(NO_REPEAT_F(FG_YIELD(NOW,-10AY,D))),1,1))*100&lt;/Q&gt;&lt;R&gt;1&lt;/R&gt;&lt;C&gt;1&lt;/C&gt;&lt;D xsi:type="xsd:double"&gt;25&lt;/D&gt;&lt;/FQL&gt;&lt;FQL&gt;&lt;Q&gt;TRYPH10Y-FDS^FG_YIELD(0,,,,"YTM")&lt;/Q&gt;&lt;R&gt;1&lt;/R&gt;&lt;C&gt;1&lt;/C&gt;&lt;D xsi:type="xsd:double"&gt;6.6642675&lt;/D&gt;&lt;/FQL&gt;&lt;FQL&gt;&lt;Q&gt;CC_CL^IMF_IFS_RCPI_Q(0)&lt;/Q&gt;&lt;R&gt;1&lt;/R&gt;&lt;C&gt;1&lt;/C&gt;&lt;D xsi:type="xsd:double"&gt;4.041295&lt;/D&gt;&lt;/FQL&gt;&lt;FQL&gt;&lt;Q&gt;EWW^FMA_EVAL_EBITDA(NTMA,0,,,"PORTAGG","MEANR")&lt;/Q&gt;&lt;R&gt;1&lt;/R&gt;&lt;C&gt;1&lt;/C&gt;&lt;D xsi:type="xsd:double"&gt;6.23996224922627&lt;/D&gt;&lt;/FQL&gt;&lt;FQL&gt;&lt;Q&gt;EWW^FMA_DIV_YLD(NTMA,NOW,NOW,M,"PORTAGG","MEANR")&lt;/Q&gt;&lt;R&gt;1&lt;/R&gt;&lt;C&gt;1&lt;/C&gt;&lt;D xsi:type="xsd:double"&gt;4.17985143666063&lt;/D&gt;&lt;/FQL&gt;&lt;FQL&gt;&lt;Q&gt;SET-BKK^FG_PRICE_MAVG(0,,,,30)&lt;/Q&gt;&lt;R&gt;1&lt;/R&gt;&lt;C&gt;1&lt;/C&gt;&lt;D xsi:type="xsd:double"&gt;1371.147&lt;/D&gt;&lt;/FQL&gt;&lt;FQL&gt;&lt;Q&gt;KSA^FG_TOTAL_RETURNC(0,-3AM)&lt;/Q&gt;&lt;R&gt;1&lt;/R&gt;&lt;C&gt;1&lt;/C&gt;&lt;D xsi:type="xsd:double"&gt;-7.987499&lt;/D&gt;&lt;/FQL&gt;&lt;FQL&gt;&lt;Q&gt;VWO^P_PRICE(0)/P_PRICE_LOW_PR(0,,,,,,"PRICE","INTRA","52W")-1&lt;/Q&gt;&lt;R&gt;1&lt;/R&gt;&lt;C&gt;1&lt;/C&gt;&lt;D xsi:type="xsd:double"&gt;0.17634487&lt;/D&gt;&lt;/FQL&gt;&lt;FQL&gt;&lt;Q&gt;KSA^FMA_COS_DOWN("EPS","1M",+1,NOW,,,"PORTAGG","MEANR")&lt;/Q&gt;&lt;R&gt;1&lt;/R&gt;&lt;C&gt;1&lt;/C&gt;&lt;D xsi:type="xsd:double"&gt;38&lt;/D&gt;&lt;/FQL&gt;&lt;FQL&gt;&lt;Q&gt;EWM^FMA_RBICS_REV_CURRENT(30, LOC, "PORTAGG")&lt;/Q&gt;&lt;R&gt;1&lt;/R&gt;&lt;C&gt;1&lt;/C&gt;&lt;D xsi:type="xsd:double"&gt;39.8542432570128&lt;/D&gt;&lt;/FQL&gt;&lt;FQL&gt;&lt;Q&gt;REFIDRREPO-FDS^FG_YIELD(NOW,,,0)&lt;/Q&gt;&lt;R&gt;1&lt;/R&gt;&lt;C&gt;1&lt;/C&gt;&lt;D xsi:type="xsd:double"&gt;6.25&lt;/D&gt;&lt;/FQL&gt;&lt;FQL&gt;&lt;Q&gt;TIPSCL10Y-FDS^FG_YIELD(0,,,,"YTM")&lt;/Q&gt;&lt;R&gt;1&lt;/R&gt;&lt;C&gt;1&lt;/C&gt;&lt;D xsi:type="xsd:double"&gt;2.5896885&lt;/D&gt;&lt;/FQL&gt;&lt;FQL&gt;&lt;Q&gt;VNM^FMA_EVAL_EBITDA(NTMA,0,,,"PORTAGG","MEANR")&lt;/Q&gt;&lt;R&gt;1&lt;/R&gt;&lt;C&gt;1&lt;/C&gt;&lt;D xsi:type="xsd:double"&gt;9.89063833156899&lt;/D&gt;&lt;/FQL&gt;&lt;FQL&gt;&lt;Q&gt;ECH^FG_FCF_YIELD_NTM(0)&lt;/Q&gt;&lt;R&gt;1&lt;/R&gt;&lt;C&gt;1&lt;/C&gt;&lt;D xsi:type="xsd:double"&gt;8.96654675043497&lt;/D&gt;&lt;/FQL&gt;&lt;FQL&gt;&lt;Q&gt;EWW^FG_FCF_YIELD_NTM(0)&lt;/Q&gt;&lt;R&gt;1&lt;/R&gt;&lt;C&gt;1&lt;/C&gt;&lt;D xsi:type="xsd:double"&gt;7.94409606222481&lt;/D&gt;&lt;/FQL&gt;&lt;FQL&gt;&lt;Q&gt;WL-FDS^MAX(FG_PRICE(0,-5AY))&lt;/Q&gt;&lt;R&gt;1&lt;/R&gt;&lt;C&gt;1&lt;/C&gt;&lt;D xsi:type="xsd:double"&gt;763.4&lt;/D&gt;&lt;/FQL&gt;&lt;FQL&gt;&lt;Q&gt;INDA^P_PRICE(0)/P_PRICE_LOW_PR(0,,,,,,"PRICE","INTRA","52W")-1&lt;/Q&gt;&lt;R&gt;1&lt;/R&gt;&lt;C&gt;1&lt;/C&gt;&lt;D xsi:type="xsd:double"&gt;0.30749607&lt;/D&gt;&lt;/FQL&gt;&lt;FQL&gt;&lt;Q&gt;EWW^PERCENT_CHANGE(FMA_EPS(+1,0,,,,"PORTAGG","MEAN"),FMA_EPS(+1,-1AM,,,,"PORTAGG","MEAN"))&lt;/Q&gt;&lt;R&gt;1&lt;/R&gt;&lt;C&gt;1&lt;/C&gt;&lt;D xsi:type="xsd:double"&gt;2.33846876972599&lt;/D&gt;&lt;/FQL&gt;&lt;FQL&gt;&lt;Q&gt;EPHE^FG_TOTAL_RETURNC(0,-3AM)&lt;/Q&gt;&lt;R&gt;1&lt;/R&gt;&lt;C&gt;1&lt;/C&gt;&lt;D xsi:type="xsd:double"&gt;-8.620686&lt;/D&gt;&lt;/FQL&gt;&lt;FQL&gt;&lt;Q&gt;VWO^FG_TOTAL_RETURNC(0,-6AM)&lt;/Q&gt;&lt;R&gt;1&lt;/R&gt;&lt;C&gt;1&lt;/C&gt;&lt;D xsi:type="xsd:double"&gt;11.31605&lt;/D&gt;&lt;/FQL&gt;&lt;FQL&gt;&lt;Q&gt;EWT^SIZE(FG_CONSTITUENTS)&lt;/Q&gt;&lt;R&gt;1&lt;/R&gt;&lt;C&gt;1&lt;/C&gt;&lt;D xsi:type="xsd:long"&gt;91&lt;/D&gt;&lt;/FQL&gt;&lt;FQL&gt;&lt;Q&gt;EIDO^FMA_RBICS_REV_CURRENT(30, LOC, "PORTAGG")&lt;/Q&gt;&lt;R&gt;1&lt;/R&gt;&lt;C&gt;1&lt;/C&gt;&lt;D xsi:type="xsd:double"&gt;53.5759954914931&lt;/D&gt;&lt;/FQL&gt;&lt;FQL&gt;&lt;Q&gt;REFZAREPO-FDS^FG_YIELD(NOW,,,0)&lt;/Q&gt;&lt;R&gt;1&lt;/R&gt;&lt;C&gt;1&lt;/C&gt;&lt;D xsi:type="xsd:double"&gt;8.25&lt;/D&gt;&lt;/FQL&gt;&lt;FQL&gt;&lt;Q&gt;REFCLMPR-FDS^PROPER_NAME(0,,,"SECURITY","NAME")&lt;/Q&gt;&lt;R&gt;1&lt;/R&gt;&lt;C&gt;1&lt;/C&gt;&lt;D xsi:type="xsd:string"&gt;Chile Monetary Policy Rate&lt;/D&gt;&lt;/FQL&gt;&lt;FQL&gt;&lt;Q&gt;TRYMX10Y-FDS^PCTCHG(FG_YIELD(0,,,,"YTM"),FG_YIELD(-3AM,,,,"YTM"))&lt;/Q&gt;&lt;R&gt;1&lt;/R&gt;&lt;C&gt;1&lt;/C&gt;&lt;D xsi:type="xsd:double"&gt;5.9973054&lt;/D&gt;&lt;/FQL&gt;&lt;FQL&gt;&lt;Q&gt;TRYQA10Y-FDS^FG_YIELD(0,,,,"YTM")&lt;/Q&gt;&lt;R&gt;0&lt;/R&gt;&lt;C&gt;0&lt;/C&gt;&lt;/FQL&gt;&lt;FQL&gt;&lt;Q&gt;VNM^FMA_PE(LTM,0,,,"PORTAGG","MEANR")&lt;/Q&gt;&lt;R&gt;1&lt;/R&gt;&lt;C&gt;1&lt;/C&gt;&lt;D xsi:type="xsd:double"&gt;17.6387785225212&lt;/D&gt;&lt;/FQL&gt;&lt;FQL&gt;&lt;Q&gt;QAT^FMA_EVAL_EBIT(LTMA,NOW,NOW,M,"PORTAGG","MEANR")&lt;/Q&gt;&lt;R&gt;1&lt;/R&gt;&lt;C&gt;1&lt;/C&gt;&lt;D xsi:type="xsd:double"&gt;15.4986568117973&lt;/D&gt;&lt;/FQL&gt;&lt;FQL&gt;&lt;Q&gt;GREK^FG_FCF_YIELD_NTM(0)&lt;/Q&gt;&lt;R&gt;0&lt;/R&gt;&lt;C&gt;0&lt;/C&gt;&lt;/FQL&gt;&lt;FQL&gt;&lt;Q&gt;WL-FDS^FG_PRICE_CHANGE(0,-6AM)&lt;/Q&gt;&lt;R&gt;1&lt;/R&gt;&lt;C&gt;1&lt;/C&gt;&lt;D xsi:type="xsd:double"&gt;-27.1561614252936&lt;/D&gt;&lt;/FQL&gt;&lt;FQL&gt;&lt;Q&gt;QAT^FG_PRICE_MAVG(0,,,,200)&lt;/Q&gt;&lt;R&gt;1&lt;/R&gt;&lt;C&gt;1&lt;/C&gt;&lt;D xsi:type="xsd:double"&gt;17.505398&lt;/D&gt;&lt;/FQL&gt;&lt;FQL&gt;&lt;Q&gt;KSA^PERCENT_CHANGE(FMA_EPS(+1,0,,,,"PORTAGG","MEAN"),FMA_EPS(+1,-3AM,,,,"PORTAGG","MEAN"))&lt;/Q&gt;&lt;R&gt;1&lt;/R&gt;&lt;C&gt;1&lt;/C&gt;&lt;D xsi:type="xsd:double"&gt;2.46990619269827&lt;/D&gt;&lt;/FQL&gt;&lt;FQL&gt;&lt;Q&gt;EWW^FMA_PCT_ABOVE_MAVG(200,0,,,,"PORTAGG")&lt;/Q&gt;&lt;R&gt;1&lt;/R&gt;&lt;C&gt;1&lt;/C&gt;&lt;D xsi:type="xsd:double"&gt;68.1818181818182&lt;/D&gt;&lt;/FQL&gt;&lt;FQL&gt;&lt;Q&gt;EPHE^FMA_PCT_ABOVE_MAVG(200,0,,,,"PORTAGG")&lt;/Q&gt;&lt;R&gt;1&lt;/R&gt;&lt;C&gt;1&lt;/C&gt;&lt;D xsi:type="xsd:double"&gt;42.8571428571429&lt;/D&gt;&lt;/FQL&gt;&lt;FQL&gt;&lt;Q&gt;KSA^FMA_COS_UP("EPS","1M",+1,NOW,,,"PORTAGG","MEANR")&lt;/Q&gt;&lt;R&gt;1&lt;/R&gt;&lt;C&gt;1&lt;/C&gt;&lt;D xsi:type="xsd:double"&gt;30&lt;/D&gt;&lt;/FQL&gt;&lt;FQL&gt;&lt;Q&gt;TIPSCL10Y-FDS^FG_YIELD_NAME&lt;/Q&gt;&lt;R&gt;1&lt;/R&gt;&lt;C&gt;1&lt;/C&gt;&lt;D xsi:type="xsd:string"&gt;Treasury - Chile Inflation-Indexed (TIPS) Bond 10Y&lt;/D&gt;&lt;/FQL&gt;&lt;FQL&gt;&lt;Q&gt;GREK^FMA_DIV_YLD(NTMA,NOW,NOW,M,"PORTAGG","MEANR")&lt;/Q&gt;&lt;R&gt;1&lt;/R&gt;&lt;C&gt;1&lt;/C&gt;&lt;D xsi:type="xsd:double"&gt;5.33233474351436&lt;/D&gt;&lt;/FQL&gt;&lt;FQL&gt;&lt;Q&gt;INDA^P_PRICE(0)/P_PRICE_HIGH_PR(0,,,,,,"PRICE","INTRA","52W")&lt;/Q&gt;&lt;R&gt;1&lt;/R&gt;&lt;C&gt;1&lt;/C&gt;&lt;D xsi:type="xsd:double"&gt;0.99519145&lt;/D&gt;&lt;/FQL&gt;&lt;FQL&gt;&lt;Q&gt;VWO^FG_TOTAL_RETURNC(0,-3AM)&lt;/Q&gt;&lt;R&gt;1&lt;/R&gt;&lt;C&gt;1&lt;/C&gt;&lt;D xsi:type="xsd:double"&gt;6.062472&lt;/D&gt;&lt;/FQL&gt;&lt;FQL&gt;&lt;Q&gt;VNM^SIZE(FG_CONSTITUENTS)&lt;/Q&gt;&lt;R&gt;1&lt;/R&gt;&lt;C&gt;1&lt;/C&gt;&lt;D xsi:type="xsd:long"&gt;47&lt;/D&gt;&lt;/FQL&gt;&lt;FQL&gt;&lt;Q&gt;EPU^FMA_COS_DOWN("EPS","1M",+1,NOW,,,"PORTAGG","MEANR")&lt;/Q&gt;&lt;R&gt;1&lt;/R&gt;&lt;C&gt;1&lt;/C&gt;&lt;D xsi:type="xsd:double"&gt;5&lt;/D&gt;&lt;/FQL&gt;&lt;FQL&gt;&lt;Q&gt;TRYMX10Y-FDS^PCTCHG(FG_YIELD(0,,,,"YTM"),FG_YIELD(-1AM,,,,"YTM"))&lt;/Q&gt;&lt;R&gt;1&lt;/R&gt;&lt;C&gt;1&lt;/C&gt;&lt;D xsi:type="xsd:double"&gt;-1.4783264&lt;/D&gt;&lt;/FQL&gt;&lt;FQL&gt;&lt;Q&gt;KSA^FMA_PCT_ABOVE_MAVG(200,0,,,,"PORTAGG")&lt;/Q&gt;&lt;R&gt;1&lt;/R&gt;&lt;C&gt;1&lt;/C&gt;&lt;D xsi:type="xsd:double"&gt;54.1666666666667&lt;/D&gt;&lt;/FQL&gt;&lt;FQL&gt;&lt;Q&gt;EWT^P_PRICE(0)/P_PRICE_LOW_PR(0,,,,,,"PRICE","INTRA","52W")-1&lt;/Q&gt;&lt;R&gt;1&lt;/R&gt;&lt;C&gt;1&lt;/C&gt;&lt;D xsi:type="xsd:double"&gt;0.21163201&lt;/D&gt;&lt;/FQL&gt;&lt;FQL&gt;&lt;Q&gt;VGK^P_PRICE(0)/P_PRICE_LOW_PR(0,,,,,,"PRICE","INTRA","52W")-1&lt;/Q&gt;&lt;R&gt;1&lt;/R&gt;&lt;C&gt;1&lt;/C&gt;&lt;D xsi:type="xsd:double"&gt;0.25644743&lt;/D&gt;&lt;/FQL&gt;&lt;FQL&gt;&lt;Q&gt;TRYSA10Y-FDS^PCTCHG(FG_YIELD(0,,,,"YTM"),FG_YIELD(-3AM,,,,"YTM"))&lt;/Q&gt;&lt;R&gt;1&lt;/R&gt;&lt;C&gt;1&lt;/C&gt;&lt;D xsi:type="xsd:double"&gt;0.7337621&lt;/D&gt;&lt;/FQL&gt;&lt;FQL&gt;&lt;Q&gt;TRYTW10Y-FDS^PCTCHG(FG_YIELD(0,,,,"YTM"),FG_YIELD(-3AM,,,,"YTM"))&lt;/Q&gt;&lt;R&gt;1&lt;/R&gt;&lt;C&gt;1&lt;/C&gt;&lt;D xsi:type="xsd:double"&gt;30.879353&lt;/D&gt;&lt;/FQL&gt;&lt;FQL&gt;&lt;Q&gt;EPU^FMA_PE(LTM,0,,,"PORTAGG","MEANR")&lt;/Q&gt;&lt;R&gt;1&lt;/R&gt;&lt;C&gt;1&lt;/C&gt;&lt;D xsi:type="xsd:double"&gt;21.2100352867968&lt;/D&gt;&lt;/FQL&gt;&lt;FQL&gt;&lt;Q&gt;ECH^FMA_PE(NTMA,0,,,"PORTAGG","MEANR")&lt;/Q&gt;&lt;R&gt;1&lt;/R&gt;&lt;C&gt;1&lt;/C&gt;&lt;D xsi:type="xsd:double"&gt;7.91739437820043&lt;/D&gt;&lt;/FQL&gt;&lt;FQL&gt;&lt;Q&gt;REFBRSELIC-FDS^PROPER_NAME(0,,,"SECURITY","NAME")&lt;/Q&gt;&lt;R&gt;1&lt;/R&gt;&lt;C&gt;1&lt;/C&gt;&lt;D xsi:type="xsd:string"&gt;Brazil Target Selic Rate&lt;/D&gt;&lt;/FQL&gt;&lt;FQL&gt;&lt;Q&gt;TRYPE10Y-FDS^PCTCHG(FG_YIELD(0,,,,"YTM"),FG_YIELD(-1AM,,,,"YTM"))&lt;/Q&gt;&lt;R&gt;1&lt;/R&gt;&lt;C&gt;1&lt;/C&gt;&lt;D xsi:type="xsd:double"&gt;-2.543086&lt;/D&gt;&lt;/FQL&gt;&lt;FQL&gt;&lt;Q&gt;VWO^FMA_EVAL_EBITDA(NTMA,0,,,"PORTAGG","MEANR")&lt;/Q&gt;&lt;R&gt;1&lt;/R&gt;&lt;C&gt;1&lt;/C&gt;&lt;D xsi:type="xsd:double"&gt;8.90865552620499&lt;/D&gt;&lt;/FQL&gt;&lt;FQL&gt;&lt;Q&gt;QAT^FMA_DIV_YLD(NTMA,NOW,NOW,M,"PORTAGG","MEANR")&lt;/Q&gt;&lt;R&gt;1&lt;/R&gt;&lt;C&gt;1&lt;/C&gt;&lt;D xsi:type="xsd:double"&gt;5.74508072590075&lt;/D&gt;&lt;/FQL&gt;&lt;FQL&gt;&lt;Q&gt;NI-FDS^FG_PRICE(0)/MAX(FG_PRICE(0,-1AY))&lt;/Q&gt;&lt;R&gt;1&lt;/R&gt;&lt;C&gt;1&lt;/C&gt;&lt;D xsi:type="xsd:double"&gt;0.855661192739844&lt;/D&gt;&lt;/FQL&gt;&lt;FQL&gt;&lt;Q&gt;MCHI^FG_PRICE(0)&lt;/Q&gt;&lt;R&gt;1&lt;/R&gt;&lt;C&gt;1&lt;/C&gt;&lt;D xsi:type="xsd:double"&gt;45.05&lt;/D&gt;&lt;/FQL&gt;&lt;FQL&gt;&lt;Q&gt;VNM^FG_TOTAL_RETURNC(0,-12AM)&lt;/Q&gt;&lt;R&gt;1&lt;/R&gt;&lt;C&gt;1&lt;/C&gt;&lt;D xsi:type="xsd:double"&gt;9.712374&lt;/D&gt;&lt;/FQL&gt;&lt;FQL&gt;&lt;Q&gt;VNM^FMA_COS_DOWN("EPS","1M",+1,NOW,,,"PORTAGG","MEANR")&lt;/Q&gt;&lt;R&gt;1&lt;/R&gt;&lt;C&gt;1&lt;/C&gt;&lt;D xsi:type="xsd:double"&gt;13&lt;/D&gt;&lt;/FQL&gt;&lt;FQL&gt;&lt;Q&gt;UAE^FMA_EVAL_EBITDA(NTMA,0,,,"PORTAGG","MEANR")&lt;/Q&gt;&lt;R&gt;1&lt;/R&gt;&lt;C&gt;1&lt;/C&gt;&lt;D xsi:type="xsd:double"&gt;6.01507665824573&lt;/D&gt;&lt;/FQL&gt;&lt;FQL&gt;&lt;Q&gt;EZA^FMA_EVAL_EBITDA(NTMA,0,,,"PORTAGG","MEANR")&lt;/Q&gt;&lt;R&gt;1&lt;/R&gt;&lt;C&gt;1&lt;/C&gt;&lt;D xsi:type="xsd:double"&gt;7.96921472378164&lt;/D&gt;&lt;/FQL&gt;&lt;FQL&gt;&lt;Q&gt;EWW^FMA_PE(NTMA,0,,,"PORTAGG","MEANR")&lt;/Q&gt;&lt;R&gt;1&lt;/R&gt;&lt;C&gt;1&lt;/C&gt;&lt;D xsi:type="xsd:double"&gt;12.5510819051596&lt;/D&gt;&lt;/FQL&gt;&lt;FQL&gt;&lt;Q&gt;EPOL^FG_FCF_YIELD_NTM(0)&lt;/Q&gt;&lt;R&gt;1&lt;/R&gt;&lt;C&gt;1&lt;/C&gt;&lt;D xsi:type="xsd:double"&gt;1.51194368848166&lt;/D&gt;&lt;/FQL&gt;&lt;FQL&gt;&lt;Q&gt;EWZ^FG_COMPANY_NAME&lt;/Q&gt;&lt;R&gt;1&lt;/R&gt;&lt;C&gt;1&lt;/C&gt;&lt;D xsi:type="xsd:string"&gt;iShares MSCI Brazil ETF&lt;/D&gt;&lt;/FQL&gt;&lt;FQL&gt;&lt;Q&gt;NI-FDS^FG_PRICE_CHANGE(0,-6AM)&lt;/Q&gt;&lt;R&gt;1&lt;/R&gt;&lt;C&gt;1&lt;/C&gt;&lt;D xsi:type="xsd:double"&gt;20.5112598904443&lt;/D&gt;&lt;/FQL&gt;&lt;FQL&gt;&lt;Q&gt;VNM^P_PRICE(0)/P_PRICE_LOW_PR(0,,,,,,"PRICE","INTRA","52W")-1&lt;/Q&gt;&lt;R&gt;1&lt;/R&gt;&lt;C&gt;1&lt;/C&gt;&lt;D xsi:type="xsd:double"&gt;0.11555171&lt;/D&gt;&lt;/FQL&gt;&lt;FQL&gt;&lt;Q&gt;INDA^FMA_PCT_ABOVE_MAVG(200,0,,,,"PORTAGG")&lt;/Q&gt;&lt;R&gt;1&lt;/R&gt;&lt;C&gt;1&lt;/C&gt;&lt;D xsi:type="xsd:double"&gt;79.4117647058823&lt;/D&gt;&lt;/FQL&gt;&lt;FQL&gt;&lt;Q&gt;EWT^P_PRICE(0)/P_PRICE_HIGH_PR(0,,,,,,"PRICE","INTRA","52W")&lt;/Q&gt;&lt;R&gt;1&lt;/R&gt;&lt;C&gt;1&lt;/C&gt;&lt;D xsi:type="xsd:double"&gt;0.9853282&lt;/D&gt;&lt;/FQL&gt;&lt;FQL&gt;&lt;Q&gt;VGK^P_PRICE(0)/P_PRICE_HIGH_PR(0,,,,,,"PRICE","INTRA","52W")&lt;/Q&gt;&lt;R&gt;1&lt;/R&gt;&lt;C&gt;1&lt;/C&gt;&lt;D xsi:type="xsd:double"&gt;0.9839284&lt;/D&gt;&lt;/FQL&gt;&lt;FQL&gt;&lt;Q&gt;VWO^FG_FCF_YIELD_NTM(0)&lt;/Q&gt;&lt;R&gt;1&lt;/R&gt;&lt;C&gt;1&lt;/C&gt;&lt;D xsi:type="xsd:double"&gt;5.35828969132921&lt;/D&gt;&lt;/FQL&gt;&lt;FQL&gt;&lt;Q&gt;ECH^FMA_PE(LTM,0,,,"PORTAGG","MEANR")&lt;/Q&gt;&lt;R&gt;1&lt;/R&gt;&lt;C&gt;1&lt;/C&gt;&lt;D xsi:type="xsd:double"&gt;12.041949241842&lt;/D&gt;&lt;/FQL&gt;&lt;FQL&gt;&lt;Q&gt;GREK^FMA_EVAL_EBIT(LTMA,NOW,NOW,M,"PORTAGG","MEANR")&lt;/Q&gt;&lt;R&gt;1&lt;/R&gt;&lt;C&gt;1&lt;/C&gt;&lt;D xsi:type="xsd:double"&gt;7.43503361565321&lt;/D&gt;&lt;/FQL&gt;&lt;FQL&gt;&lt;Q&gt;EPU^FMA_EVAL_EBITDA(NTMA,0,,,"PORTAGG","MEANR")&lt;/Q&gt;&lt;R&gt;1&lt;/R&gt;&lt;C&gt;1&lt;/C&gt;&lt;D xsi:type="xsd:double"&gt;7.19320666464351&lt;/D&gt;&lt;/FQL&gt;&lt;FQL&gt;&lt;Q&gt;VNM^FMA_EVAL_EBIT(LTMA,NOW,NOW,M,"PORTAGG","MEANR")&lt;/Q&gt;&lt;R&gt;1&lt;/R&gt;&lt;C&gt;1&lt;/C&gt;&lt;D xsi:type="xsd:double"&gt;18.4348079438217&lt;/D&gt;&lt;/FQL&gt;&lt;FQL&gt;&lt;Q&gt;VNM^JULIAN(FMA_DIV_YLD(NTMA,NOW,NOW,M,"PORTAGG","MEANR").DATES)&lt;/Q&gt;&lt;R&gt;1&lt;/R&gt;&lt;C&gt;1&lt;/C&gt;&lt;D xsi:type="xsd:long"&gt;45412&lt;/D&gt;&lt;/FQL&gt;&lt;FQL&gt;&lt;Q&gt;DUMMY^ECON_DATE(45315,,, 'MM/YYYY')&lt;/Q&gt;&lt;R&gt;1&lt;/R&gt;&lt;C&gt;1&lt;/C&gt;&lt;D xsi:type="xsd:string"&gt;01/2024&lt;/D&gt;&lt;/FQL&gt;&lt;FQL&gt;&lt;Q&gt;DUMMY^ECON_DATE(45406,,, 'MM/YYYY')&lt;/Q&gt;&lt;R&gt;1&lt;/R&gt;&lt;C&gt;1&lt;/C&gt;&lt;D xsi:type="xsd:string"&gt;04/2024&lt;/D&gt;&lt;/FQL&gt;&lt;FQL&gt;&lt;Q&gt;CC_SA^IMF_IFS_RCPI_Q(-1AM)&lt;/Q&gt;&lt;R&gt;0&lt;/R&gt;&lt;C&gt;0&lt;/C&gt;&lt;/FQL&gt;&lt;FQL&gt;&lt;Q&gt;CC_TR^IMF_IFS_RCPI_Q(-1AM)&lt;/Q&gt;&lt;R&gt;0&lt;/R&gt;&lt;C&gt;0&lt;/C&gt;&lt;/FQL&gt;&lt;FQL&gt;&lt;Q&gt;CC_AE^IMF_IFS_RCPI_Q(-1AM)&lt;/Q&gt;&lt;R&gt;0&lt;/R&gt;&lt;C&gt;0&lt;/C&gt;&lt;/FQL&gt;&lt;FQL&gt;&lt;Q&gt;CC_QA^IMF_IFS_RCPI_Q(-1AM)&lt;/Q&gt;&lt;R&gt;0&lt;/R&gt;&lt;C&gt;0&lt;/C&gt;&lt;/FQL&gt;&lt;FQL&gt;&lt;Q&gt;CC_TW^IMF_IFS_RCPI_Q(-1AM)&lt;/Q&gt;&lt;R&gt;0&lt;/R&gt;&lt;C&gt;0&lt;/C&gt;&lt;/FQL&gt;&lt;FQL&gt;&lt;Q&gt;CC_MX^IMF_IFS_RCPI_Q(-1AM)&lt;/Q&gt;&lt;R&gt;0&lt;/R&gt;&lt;C&gt;0&lt;/C&gt;&lt;/FQL&gt;&lt;FQL&gt;&lt;Q&gt;CC_ZA^IMF_IFS_RCPI_Q(-1AM)&lt;/Q&gt;&lt;R&gt;0&lt;/R&gt;&lt;C&gt;0&lt;/C&gt;&lt;/FQL&gt;&lt;FQL&gt;&lt;Q&gt;CC_ID^IMF_IFS_RCPI_Q(-1AM)&lt;/Q&gt;&lt;R&gt;0&lt;/R&gt;&lt;C&gt;0&lt;/C&gt;&lt;/FQL&gt;&lt;FQL&gt;&lt;Q&gt;DUMMY^ECON_EXPR_DATA('FDS_ECON[NTCPMIMFGSA@CN]',04/2024,,Q)&lt;/Q&gt;&lt;R&gt;1&lt;/R&gt;&lt;C&gt;1&lt;/C&gt;&lt;D xsi:type="xsd:double"&gt;50.938282&lt;/D&gt;&lt;/FQL&gt;&lt;FQL&gt;&lt;Q&gt;DUMMY^ECON_EXPR_DATA('FDS_ECON[NTCPMIMFGSA@CN]',01/2024,,Q)&lt;/Q&gt;&lt;R&gt;1&lt;/R&gt;&lt;C&gt;1&lt;/C&gt;&lt;D xsi:type="xsd:double"&gt;50.34384&lt;/D&gt;&lt;/FQL&gt;&lt;FQL&gt;&lt;Q&gt;DUMMY^ECON_EXPR_DATA('FDS_ECON[NTCPMIMFGSA@CL]',04/2024,,Q)&lt;/Q&gt;&lt;R&gt;0&lt;/R&gt;&lt;C&gt;0&lt;/C&gt;&lt;/FQL&gt;&lt;FQL&gt;&lt;Q&gt;DUMMY^ECON_EXPR_DATA('FDS_ECON[NTCPMIMFGSA@CL]',01/2024,,Q)&lt;/Q&gt;&lt;R&gt;0&lt;/R&gt;&lt;C&gt;0&lt;/C&gt;&lt;/FQL&gt;&lt;FQL&gt;&lt;Q&gt;DUMMY^ECON_EXPR_DATA('FDS_ECON[NTCPMIMFGSA@ID]',04/2024,,Q)&lt;/Q&gt;&lt;R&gt;1&lt;/R&gt;&lt;C&gt;1&lt;/C&gt;&lt;D xsi:type="xsd:double"&gt;53.247562&lt;/D&gt;&lt;/FQL&gt;&lt;FQL&gt;&lt;Q&gt;DUMMY^ECON_EXPR_DATA('FDS_ECON[NTCPMIMFGSA@ID]',01/2024,,Q)&lt;/Q&gt;&lt;R&gt;1&lt;/R&gt;&lt;C&gt;1&lt;/C&gt;&lt;D xsi:type="xsd:double"&gt;51.828487&lt;/D&gt;&lt;/FQL&gt;&lt;FQL&gt;&lt;Q&gt;DUMMY^ECON_EXPR_DATA('FDS_ECON[NTCPMIPHMANHE]',04/2024,,Q)&lt;/Q&gt;&lt;R&gt;1&lt;/R&gt;&lt;C&gt;1&lt;/C&gt;&lt;D xsi:type="xsd:double"&gt;50.931423&lt;/D&gt;&lt;/FQL&gt;&lt;FQL&gt;&lt;Q&gt;DUMMY^ECON_EXPR_DATA('FDS_ECON[NTCPMIPHMANHE]',01/2024,,Q)&lt;/Q&gt;&lt;R&gt;1&lt;/R&gt;&lt;C&gt;1&lt;/C&gt;&lt;D xsi:type="xsd:double"&gt;52.222515&lt;/D&gt;&lt;/FQL&gt;&lt;FQL&gt;&lt;Q&gt;DUMMY^ECON_EXPR_DATA('FDS_ECON[NTCPMIMFGSA@PL]',04/2024,,Q)&lt;/Q&gt;&lt;R&gt;1&lt;/R&gt;&lt;C&gt;1&lt;/C&gt;&lt;D xsi:type="xsd:double"&gt;47.64948&lt;/D&gt;&lt;/FQL&gt;&lt;FQL&gt;&lt;Q&gt;DUMMY^ECON_EXPR_DATA('FDS_ECON[NTCPMIMFGSA@PL]',01/2024,,Q)&lt;/Q&gt;&lt;R&gt;1&lt;/R&gt;&lt;C&gt;1&lt;/C&gt;&lt;D xsi:type="xsd:double"&gt;46.884846&lt;/D&gt;&lt;/FQL&gt;&lt;FQL&gt;&lt;Q&gt;DUMMY^ECON_EXPR_DATA('FDS_ECON[NTCPMIMFGSA@PE]',04/2024,,Q)&lt;/Q&gt;&lt;R&gt;0&lt;/R&gt;&lt;C&gt;0&lt;/C&gt;&lt;/FQL&gt;&lt;FQL&gt;&lt;Q&gt;DUMMY^ECON_EXPR_DATA('FDS_ECON[NTCPMIMFGSA@PE]',01/2024,,Q)&lt;/Q&gt;&lt;R&gt;0&lt;/R&gt;&lt;C&gt;0&lt;/C&gt;&lt;/FQL&gt;&lt;FQL&gt;&lt;Q&gt;DUMMY^ECON_EXPR_DATA('FDS_ECON[PMIMYMANHE]',04/2024,,Q)&lt;/Q&gt;&lt;R&gt;1&lt;/R&gt;&lt;C&gt;1&lt;/C&gt;&lt;D xsi:type="xsd:double"&gt;48.94971&lt;/D&gt;&lt;/FQL&gt;&lt;FQL&gt;&lt;Q&gt;DUMMY^ECON_EXPR_DATA('FDS_ECON[PMIMYMANHE]',01/2024,,Q)&lt;/Q&gt;&lt;R&gt;1&lt;/R&gt;&lt;C&gt;1&lt;/C&gt;&lt;D xsi:type="xsd:double"&gt;47.499214&lt;/D&gt;&lt;/FQL&gt;&lt;FQL&gt;&lt;Q&gt;DUMMY^ECON_EXPR_DATA('FDS_ECON[NTCPMIMFGSA@TW]',04/2024,,Q)&lt;/Q&gt;&lt;R&gt;1&lt;/R&gt;&lt;C&gt;1&lt;/C&gt;&lt;D xsi:type="xsd:double"&gt;48.895138&lt;/D&gt;&lt;/FQL&gt;&lt;FQL&gt;&lt;Q&gt;DUMMY^ECON_EXPR_DATA('FDS_ECON[NTCPMIMFGSA@TW]',01/2024,,Q)&lt;/Q&gt;&lt;R&gt;1&lt;/R&gt;&lt;C&gt;1&lt;/C&gt;&lt;D xsi:type="xsd:double"&gt;47.63588&lt;/D&gt;&lt;/FQL&gt;&lt;FQL&gt;&lt;Q&gt;DUMMY^ECON_EXPR_DATA('FDS_ECON[NTCPMIMFGSA@MX]',04/2024,,Q)&lt;/Q&gt;&lt;R&gt;1&lt;/R&gt;&lt;C&gt;1&lt;/C&gt;&lt;D xsi:type="xsd:double"&gt;51.565502&lt;/D&gt;&lt;/FQL&gt;&lt;FQL&gt;&lt;Q&gt;DUMMY^ECON_EXPR_DATA('FDS_ECON[NTCPMIMFGSA@MX]',01/2024,,Q)&lt;/Q&gt;&lt;R&gt;1&lt;/R&gt;&lt;C&gt;1&lt;/C&gt;&lt;D xsi:type="xsd:double"&gt;52.180695&lt;/D&gt;&lt;/FQL&gt;&lt;FQL&gt;&lt;Q&gt;DUMMY^ECON_EXPR_DATA('FDS_ECON[NTCPMIMFGSA@KR]',04/2024,,Q)&lt;/Q&gt;&lt;R&gt;1&lt;/R&gt;&lt;C&gt;1&lt;/C&gt;&lt;D xsi:type="xsd:double"&gt;50.57622&lt;/D&gt;&lt;/FQL&gt;&lt;FQL&gt;&lt;Q&gt;DUMMY^ECON_EXPR_DATA('FDS_ECON[NTCPMIMFGSA@KR]',01/2024,,Q)&lt;/Q&gt;&lt;R&gt;1&lt;/R&gt;&lt;C&gt;1&lt;/C&gt;&lt;D xsi:type="xsd:double"&gt;49.900604&lt;/D&gt;&lt;/FQL&gt;&lt;FQL&gt;&lt;Q&gt;DUMMY^ECON_EXPR_DATA('FDS_ECON[NTCPMIMFGSA@BR]',04/2024,,Q)&lt;/Q&gt;&lt;R&gt;1&lt;/R&gt;&lt;C&gt;1&lt;/C&gt;&lt;D xsi:type="xsd:double"&gt;53.509575&lt;/D&gt;&lt;/FQL&gt;&lt;FQL&gt;&lt;Q&gt;DUMMY^ECON_EXPR_DATA('FDS_ECON[NTCPMIMFGSA@BR]',01/2024,,Q)&lt;/Q&gt;&lt;R&gt;1&lt;/R&gt;&lt;C&gt;1&lt;/C&gt;&lt;D xsi:type="xsd:double"&gt;48.798813&lt;/D&gt;&lt;/FQL&gt;&lt;FQL&gt;&lt;Q&gt;DUMMY^ECON_EXPR_DATA('FDS_ECON[PMIMFGSA@ZA]',04/2024,,Q)&lt;/Q&gt;&lt;R&gt;1&lt;/R&gt;&lt;C&gt;1&lt;/C&gt;&lt;D xsi:type="xsd:double"&gt;49.458923&lt;/D&gt;&lt;/FQL&gt;&lt;FQL&gt;&lt;Q&gt;DUMMY^ECON_EXPR_DATA('FDS_ECON[PMIMFGSA@ZA]',01/2024,,Q)&lt;/Q&gt;&lt;R&gt;1&lt;/R&gt;&lt;C&gt;1&lt;/C&gt;&lt;D xsi:type="xsd:double"&gt;49.293606&lt;/D&gt;&lt;/FQL&gt;&lt;FQL&gt;&lt;Q&gt;DUMMY^ECON_EXPR_DATA('FDS_ECON[NTCPMIMFGSA@GR]',04/2024,,Q)&lt;/Q&gt;&lt;R&gt;1&lt;/R&gt;&lt;C&gt;1&lt;/C&gt;&lt;D xsi:type="xsd:double"&gt;55.77546&lt;/D&gt;&lt;/FQL&gt;&lt;FQL&gt;&lt;Q&gt;DUMMY^ECON_EXPR_DATA('FDS_ECON[NTCPMIMFGSA@GR]',01/2024,,Q)&lt;/Q&gt;&lt;R&gt;1&lt;/R&gt;&lt;C&gt;1&lt;/C&gt;&lt;D xsi:type="xsd:double"&gt;50.99575&lt;/D&gt;&lt;/FQL&gt;&lt;FQL&gt;&lt;Q&gt;DUMMY^ECON_EXPR_DATA('FDS_ECON[NTCPMIMFGSA@IN]',04/2024,,Q)&lt;/Q&gt;&lt;R&gt;1&lt;/R&gt;&lt;C&gt;1&lt;/C&gt;&lt;D xsi:type="xsd:double"&gt;57.516636&lt;/D&gt;&lt;/FQL&gt;&lt;FQL&gt;&lt;Q&gt;DUMMY^ECON_EXPR_DATA('FDS_ECON[NTCPMIMFGSA@IN]',01/2024,,Q)&lt;/Q&gt;&lt;R&gt;1&lt;/R&gt;&lt;C&gt;1&lt;/C&gt;&lt;D xsi:type="xsd:double"&gt;55.461708&lt;/D&gt;&lt;/FQL&gt;&lt;FQL&gt;&lt;Q&gt;DUMMY^ECON_EXPR_DATA('FDS_ECON[PMIQAWHEHE]',04/2024,,Q)&lt;/Q&gt;&lt;R&gt;1&lt;/R&gt;&lt;C&gt;1&lt;/C&gt;&lt;D xsi:type="xsd:double"&gt;50.683044&lt;/D&gt;&lt;/FQL&gt;&lt;FQL&gt;&lt;Q&gt;DUMMY^ECON_EXPR_DATA('FDS_ECON[PMIQAWHEHE]',01/2024,,Q)&lt;/Q&gt;&lt;R&gt;1&lt;/R&gt;&lt;C&gt;1&lt;/C&gt;&lt;D xsi:type="xsd:double"&gt;50.688427&lt;/D&gt;&lt;/FQL&gt;&lt;FQL&gt;&lt;Q&gt;DUMMY^ECON_EXPR_DATA('FDS_ECON[NTCPMITHMANHE]',04/2024,,Q)&lt;/Q&gt;&lt;R&gt;1&lt;/R&gt;&lt;C&gt;1&lt;/C&gt;&lt;D xsi:type="xsd:double"&gt;47.04389&lt;/D&gt;&lt;/FQL&gt;&lt;FQL&gt;&lt;Q&gt;DUMMY^ECON_EXPR_DATA('FDS_ECON[NTCPMITHMANHE]',01/2024,,Q)&lt;/Q&gt;&lt;R&gt;1&lt;/R&gt;&lt;C&gt;1&lt;/C&gt;&lt;D xsi:type="xsd:double"&gt;46.69516&lt;/D&gt;&lt;/FQL&gt;&lt;FQL&gt;&lt;Q&gt;DUMMY^ECON_EXPR_DATA('FDS_ECON[NTCPMIMFGSA@TR]',04/2024,,Q)&lt;/Q&gt;&lt;R&gt;1&lt;/R&gt;&lt;C&gt;1&lt;/C&gt;&lt;D xsi:type="xsd:double"&gt;49.822453&lt;/D&gt;&lt;/FQL&gt;&lt;FQL&gt;&lt;Q&gt;DUMMY^ECON_EXPR_DATA('FDS_ECON[NTCPMIMFGSA@TR]',01/2024,,Q)&lt;/Q&gt;&lt;R&gt;1&lt;/R&gt;&lt;C&gt;1&lt;/C&gt;&lt;D xsi:type="xsd:double"&gt;47.664864&lt;/D&gt;&lt;/FQL&gt;&lt;FQL&gt;&lt;Q&gt;DUMMY^ECON_EXPR_DATA('FDS_ECON[NTCPMIMFGSA@AE]',04/2024,,Q)&lt;/Q&gt;&lt;R&gt;0&lt;/R&gt;&lt;C&gt;0&lt;/C&gt;&lt;/FQL&gt;&lt;FQL&gt;&lt;Q&gt;DUMMY^ECON_EXPR_DATA('FDS_ECON[NTCPMIMFGSA@AE]',01/2024,,Q)&lt;/Q&gt;&lt;R&gt;0&lt;/R&gt;&lt;C&gt;0&lt;/C&gt;&lt;/FQL&gt;&lt;FQL&gt;&lt;Q&gt;DUMMY^ECON_EXPR_DATA('FDS_ECON[NTCPMIMFGSA@VN]',04/2024,,Q)&lt;/Q&gt;&lt;R&gt;1&lt;/R&gt;&lt;C&gt;1&lt;/C&gt;&lt;D xsi:type="xsd:double"&gt;50.18627&lt;/D&gt;&lt;/FQL&gt;&lt;FQL&gt;&lt;Q&gt;DUMMY^ECON_EXPR_DATA('FDS_ECON[NTCPMIMFGSA@VN]',01/2024,,Q)&lt;/Q&gt;&lt;R&gt;1&lt;/R&gt;&lt;C&gt;1&lt;/C&gt;&lt;D xsi:type="xsd:double"&gt;48.59743&lt;/D&gt;&lt;/FQL&gt;&lt;FQL&gt;&lt;Q&gt;DUMMY^ECON_EXPR_DATA('FDS_ECON[NTCPMIINDEXSA@SA]',04/2024,,Q)&lt;/Q&gt;&lt;R&gt;1&lt;/R&gt;&lt;C&gt;1&lt;/C&gt;&lt;D xsi:type="xsd:double"&gt;56.53707&lt;/D&gt;&lt;/FQL&gt;&lt;FQL&gt;&lt;Q&gt;DUMMY^ECON_EXPR_DATA('FDS_ECON[NTCPMIINDEXSA@SA]',01/2024,,Q)&lt;/Q&gt;&lt;R&gt;1&lt;/R&gt;&lt;C&gt;1&lt;/C&gt;&lt;D xsi:type="xsd:double"&gt;57.793106&lt;/D&gt;&lt;/FQL&gt;&lt;FQL&gt;&lt;Q&gt;DUMMY^ECON_EXPR_DATA('FDS_ECON[PMIDMMANHE]',04/2024,,Q)&lt;/Q&gt;&lt;R&gt;1&lt;/R&gt;&lt;C&gt;1&lt;/C&gt;&lt;D xsi:type="xsd:double"&gt;49.13533&lt;/D&gt;&lt;/FQL&gt;&lt;FQL&gt;&lt;Q&gt;DUMMY^ECON_EXPR_DATA('FDS_ECON[PMIDMMANHE]',01/2024,,Q)&lt;/Q&gt;&lt;R&gt;1&lt;/R&gt;&lt;C&gt;1&lt;/C&gt;&lt;D xsi:type="xsd:double"&gt;47.377975&lt;/D&gt;&lt;/FQL&gt;&lt;FQL&gt;&lt;Q&gt;DUMMY^ECON_EXPR_DATA('FDS_ECON[NTCPMIMFGSA@EME]',04/2024,,Q)&lt;/Q&gt;&lt;R&gt;1&lt;/R&gt;&lt;C&gt;1&lt;/C&gt;&lt;D xsi:type="xsd:double"&gt;51.51058&lt;/D&gt;&lt;/FQL&gt;&lt;FQL&gt;&lt;Q&gt;DUMMY^ECON_EXPR_DATA('FDS_ECON[NTCPMIMFGSA@EME]',01/2024,,Q)&lt;/Q&gt;&lt;R&gt;1&lt;/R&gt;&lt;C&gt;1&lt;/C&gt;&lt;D xsi:type="xsd:double"&gt;50.624123&lt;/D&gt;&lt;/FQL&gt;&lt;FQL&gt;&lt;Q&gt;CC_ID^IMF_IFS_RCPI_Q(-2AM)&lt;/Q&gt;&lt;R&gt;1&lt;/R&gt;&lt;C&gt;1&lt;/C&gt;&lt;D xsi:type="xsd:double"&gt;2.681245&lt;/D&gt;&lt;/FQL&gt;&lt;FQL&gt;&lt;Q&gt;CC_ZA^IMF_IFS_RCPI_Q(-2AM)&lt;/Q&gt;&lt;R&gt;1&lt;/R&gt;&lt;C&gt;1&lt;/C&gt;&lt;D xsi:type="xsd:double"&gt;5.633361&lt;/D&gt;&lt;/FQL&gt;&lt;FQL&gt;&lt;Q&gt;CC_TW^IMF_IFS_RCPI_Q(-2AM)&lt;/Q&gt;&lt;R&gt;0&lt;/R&gt;&lt;C&gt;0&lt;/C&gt;&lt;/FQL&gt;&lt;FQL&gt;&lt;Q&gt;CC_MX^IMF_IFS_RCPI_Q(-2AM)&lt;/Q&gt;&lt;R&gt;1&lt;/R&gt;&lt;C&gt;1&lt;/C&gt;&lt;D xsi:type="xsd:double"&gt;4.4145546&lt;/D&gt;&lt;/FQL&gt;&lt;FQL&gt;&lt;Q&gt;CC_QA^IMF_IFS_RCPI_Q(-2AM)&lt;/Q&gt;&lt;R&gt;0&lt;/R&gt;&lt;C&gt;0&lt;/C&gt;&lt;/FQL&gt;&lt;FQL&gt;&lt;Q&gt;CC_TR^IMF_IFS_RCPI_Q(-2AM)&lt;/Q&gt;&lt;R&gt;1&lt;/R&gt;&lt;C&gt;1&lt;/C&gt;&lt;D xsi:type="xsd:double"&gt;62.72422&lt;/D&gt;&lt;/FQL&gt;&lt;FQL&gt;&lt;Q&gt;CC_AE^IMF_IFS_RCPI_Q(-2AM)&lt;/Q&gt;&lt;R&gt;0&lt;/R&gt;&lt;C&gt;0&lt;/C&gt;&lt;/FQL&gt;&lt;FQL&gt;&lt;Q&gt;CC_SA^IMF_IFS_RCPI_Q(-2AM)&lt;/Q&gt;&lt;R&gt;1&lt;/R&gt;&lt;C&gt;1&lt;/C&gt;&lt;D xsi:type="xsd:double"&gt;1.5943921&lt;/D&gt;&lt;/FQL&gt;&lt;FQL&gt;&lt;Q&gt;CC_AE^IMF_IFS_RCPI_Q(-3AM)&lt;/Q&gt;&lt;R&gt;0&lt;/R&gt;&lt;C&gt;0&lt;/C&gt;&lt;/FQL&gt;&lt;FQL&gt;&lt;Q&gt;CC_QA^IMF_IFS_RCPI_Q(-3AM)&lt;/Q&gt;&lt;R&gt;0&lt;/R&gt;&lt;C&gt;0&lt;/C&gt;&lt;/FQL&gt;&lt;FQL&gt;&lt;Q&gt;CC_TW^IMF_IFS_RCPI_Q(-3AM)&lt;/Q&gt;&lt;R&gt;0&lt;/R&gt;&lt;C&gt;0&lt;/C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tc={0195B492-FC6C-4B70-985C-FD0A6858133E}</author>
  </authors>
  <commentList>
    <comment ref="P3" authorId="0" shapeId="0" xr:uid="{00000000-0006-0000-04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is good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<sst xmlns="http://schemas.openxmlformats.org/spreadsheetml/2006/main" count="2612" uniqueCount="922">
  <si>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</si>
  <si>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</si>
  <si>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</si>
  <si>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</si>
  <si>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</si>
  <si>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</si>
  <si>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</si>
  <si>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</si>
  <si>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</si>
  <si>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</si>
  <si>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</si>
  <si>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</si>
  <si>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</si>
  <si>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</si>
  <si>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</si>
  <si>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</si>
  <si>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</si>
  <si>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</si>
  <si>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</si>
  <si>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</si>
  <si>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</si>
  <si>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</si>
  <si>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</si>
  <si>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</si>
  <si>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</si>
  <si>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</si>
  <si>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</si>
  <si>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</si>
  <si>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</si>
  <si>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</si>
  <si>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</si>
  <si>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</si>
  <si>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</si>
  <si>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</si>
  <si>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</si>
  <si>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</si>
  <si>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</si>
  <si>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</si>
  <si>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</si>
  <si>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</si>
  <si>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</si>
  <si>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</si>
  <si>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</si>
  <si>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</si>
  <si>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</si>
  <si>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</si>
  <si>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</si>
  <si>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</si>
  <si>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</si>
  <si>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</si>
  <si>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</si>
  <si>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</si>
  <si>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</si>
  <si>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</si>
  <si>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</si>
  <si>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</si>
  <si>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</si>
  <si>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</si>
  <si>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</si>
  <si>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</si>
  <si>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</si>
  <si>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</si>
  <si>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</si>
  <si>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</si>
  <si>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</si>
  <si>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</si>
  <si>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</si>
  <si>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</si>
  <si>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</si>
  <si>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</si>
  <si>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</si>
  <si>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</si>
  <si>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</si>
  <si>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</si>
  <si>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</si>
  <si>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</si>
  <si>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</si>
  <si>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</si>
  <si>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</si>
  <si>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</si>
  <si>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</si>
  <si>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</si>
  <si>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</si>
  <si>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</si>
  <si>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</si>
  <si>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</si>
  <si>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</si>
  <si>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</si>
  <si>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</si>
  <si>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</si>
  <si>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</si>
  <si>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</si>
  <si>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</si>
  <si>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</si>
  <si>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</si>
  <si>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</si>
  <si>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</si>
  <si>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</si>
  <si>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</si>
  <si>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</si>
  <si>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</si>
  <si>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</si>
  <si>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</si>
  <si>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</si>
  <si>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</si>
  <si>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</si>
  <si>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</si>
  <si>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</si>
  <si>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</si>
  <si>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</si>
  <si>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</si>
  <si>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</si>
  <si>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</si>
  <si>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</si>
  <si>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</si>
  <si>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</si>
  <si>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</si>
  <si>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</si>
  <si>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</si>
  <si>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</si>
  <si>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</si>
  <si>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</si>
  <si>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</si>
  <si>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</si>
  <si>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</si>
  <si>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</si>
  <si>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</si>
  <si>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</si>
  <si>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</si>
  <si>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</si>
  <si>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</si>
  <si>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</si>
  <si>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</si>
  <si>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</si>
  <si>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</si>
  <si>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</si>
  <si>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</si>
  <si>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</si>
  <si>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</si>
  <si>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</si>
  <si>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</si>
  <si>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</si>
  <si>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</si>
  <si>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</si>
  <si>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</si>
  <si>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</si>
  <si>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</si>
  <si>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</si>
  <si>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</si>
  <si>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</si>
  <si>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</si>
  <si>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</si>
  <si>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</si>
  <si>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</si>
  <si>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</si>
  <si>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</si>
  <si>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</si>
  <si>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</si>
  <si>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</si>
  <si>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</si>
  <si>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</si>
  <si>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</si>
  <si>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</si>
  <si>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</si>
  <si>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</si>
  <si>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</si>
  <si>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</si>
  <si>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</si>
  <si>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</si>
  <si>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</si>
  <si>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</si>
  <si>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</si>
  <si>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</si>
  <si>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</si>
  <si>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</si>
  <si>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</si>
  <si>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</si>
  <si>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</si>
  <si>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</si>
  <si>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</si>
  <si>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</si>
  <si>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</si>
  <si>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</si>
  <si>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</si>
  <si>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</si>
  <si>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</si>
  <si>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</si>
  <si>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</si>
  <si>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</si>
  <si>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</si>
  <si>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</si>
  <si>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</si>
  <si>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</si>
  <si>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</si>
  <si>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</si>
  <si>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</si>
  <si>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</si>
  <si>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</si>
  <si>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</si>
  <si>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</si>
  <si>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</si>
  <si>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</si>
  <si>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</si>
  <si>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</si>
  <si>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</si>
  <si>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</si>
  <si>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</si>
  <si>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</si>
  <si>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</si>
  <si>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</si>
  <si>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</si>
  <si>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</si>
  <si>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</si>
  <si>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</si>
  <si>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</si>
  <si>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</si>
  <si>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</si>
  <si>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</si>
  <si>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</si>
  <si>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</si>
  <si>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</si>
  <si>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</si>
  <si>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</si>
  <si>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</si>
  <si>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</si>
  <si>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</si>
  <si>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</si>
  <si>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</si>
  <si>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</si>
  <si>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</si>
  <si>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</si>
  <si>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</si>
  <si>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</si>
  <si>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</si>
  <si>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</si>
  <si>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</si>
  <si>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</si>
  <si>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</si>
  <si>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</si>
  <si>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</si>
  <si>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</si>
  <si>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</si>
  <si>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</si>
  <si>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</si>
  <si>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</si>
  <si>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</si>
  <si>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</si>
  <si>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</si>
  <si>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</si>
  <si>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</si>
  <si>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</si>
  <si>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</si>
  <si>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</si>
  <si>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</si>
  <si>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</si>
  <si>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</si>
  <si>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</si>
  <si>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</si>
  <si>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</si>
  <si>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</si>
  <si>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</si>
  <si>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</si>
  <si>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</si>
  <si>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</si>
  <si>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</si>
  <si>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</si>
  <si>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</si>
  <si>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</si>
  <si>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</si>
  <si>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</si>
  <si>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</si>
  <si>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</si>
  <si>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</si>
  <si>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</si>
  <si>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</si>
  <si>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</si>
  <si>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</si>
  <si>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</si>
  <si>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</si>
  <si>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</si>
  <si>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</si>
  <si>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</si>
  <si>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</si>
  <si>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</si>
  <si>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</si>
  <si>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</si>
  <si>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</si>
  <si>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</si>
  <si>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</si>
  <si>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</si>
  <si>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</si>
  <si>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</si>
  <si>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</si>
  <si>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</si>
  <si>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</si>
  <si>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</si>
  <si>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</si>
  <si>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</si>
  <si>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</si>
  <si>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</si>
  <si>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</si>
  <si>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</si>
  <si>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</si>
  <si>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</si>
  <si>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</si>
  <si>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</si>
  <si>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</si>
  <si>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</si>
  <si>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</si>
  <si>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</si>
  <si>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</si>
  <si>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</si>
  <si>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</si>
  <si>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</si>
  <si>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</si>
  <si>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</si>
  <si>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</si>
  <si>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</si>
  <si>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</si>
  <si>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</si>
  <si>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</si>
  <si>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</si>
  <si>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</si>
  <si>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</si>
  <si>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</si>
  <si>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</si>
  <si>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</si>
  <si>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</si>
  <si>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</si>
  <si>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</si>
  <si>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</si>
  <si>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</si>
  <si>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</si>
  <si>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</si>
  <si>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</si>
  <si>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</si>
  <si>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</si>
  <si>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</si>
  <si>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</si>
  <si>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</si>
  <si>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</si>
  <si>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</si>
  <si>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</si>
  <si>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</si>
  <si>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</si>
  <si>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</si>
  <si>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</si>
  <si>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</si>
  <si>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</si>
  <si>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</si>
  <si>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</si>
  <si>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</si>
  <si>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</si>
  <si>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</si>
  <si>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</si>
  <si>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</si>
  <si>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</si>
  <si>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</si>
  <si>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</si>
  <si>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</si>
  <si>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</si>
  <si>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</si>
  <si>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</si>
  <si>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</si>
  <si>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</si>
  <si>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</si>
  <si>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</si>
  <si>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</si>
  <si>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</si>
  <si>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</si>
  <si>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</si>
  <si>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</si>
  <si>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</si>
  <si>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</si>
  <si>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</si>
  <si>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</si>
  <si>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</si>
  <si>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</si>
  <si>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</si>
  <si>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</si>
  <si>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</si>
  <si>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</si>
  <si>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</si>
  <si>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</si>
  <si>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</si>
  <si>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</si>
  <si>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USDZAR</t>
  </si>
  <si>
    <t>USDINR</t>
  </si>
  <si>
    <t>Currency change last 3  month</t>
  </si>
  <si>
    <t>Currency change last 1 month</t>
  </si>
  <si>
    <t>Rolling 12 month returns</t>
  </si>
  <si>
    <t>USDKRW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</si>
  <si>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</si>
  <si>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</si>
  <si>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</si>
  <si>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</si>
  <si>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</si>
  <si>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</si>
  <si>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</si>
  <si>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</si>
  <si>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</si>
  <si>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</si>
  <si>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</si>
  <si>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</si>
  <si>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</si>
  <si>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</si>
  <si>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</si>
  <si>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</si>
  <si>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</si>
  <si>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</si>
  <si>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</si>
  <si>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</si>
  <si>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</si>
  <si>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</si>
  <si>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</si>
  <si>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</si>
  <si>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</si>
  <si>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</si>
  <si>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</si>
  <si>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</si>
  <si>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</si>
  <si>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</si>
  <si>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</si>
  <si>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</si>
  <si>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</si>
  <si>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</si>
  <si>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</si>
  <si>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</si>
  <si>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</si>
  <si>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</si>
  <si>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</si>
  <si>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</si>
  <si>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</si>
  <si>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</si>
  <si>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THD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</si>
  <si>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</si>
  <si>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</si>
  <si>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</si>
  <si>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</si>
  <si>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</si>
  <si>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</si>
  <si>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</si>
  <si>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</si>
  <si>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</si>
  <si>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</si>
  <si>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Thailand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</si>
  <si>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</si>
  <si>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</si>
  <si>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</si>
  <si>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</si>
  <si>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</si>
  <si>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</si>
  <si>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</si>
  <si>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TRYTH10Y-FDS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</si>
  <si>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</si>
  <si>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</si>
  <si>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</si>
  <si>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</si>
  <si>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</si>
  <si>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</si>
  <si>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</si>
  <si>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</si>
  <si>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</si>
  <si>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</si>
  <si>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</si>
  <si>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</si>
  <si>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</si>
  <si>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</si>
  <si>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</si>
  <si>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USDIDR</t>
  </si>
  <si>
    <t>USDBRL</t>
  </si>
  <si>
    <t>USDTHB</t>
  </si>
  <si>
    <t>USDVND</t>
  </si>
  <si>
    <t>USDCNH</t>
  </si>
  <si>
    <t>USDMYR</t>
  </si>
  <si>
    <t>USDTWD</t>
  </si>
  <si>
    <t>USDTRY</t>
  </si>
  <si>
    <t>USDPLN</t>
  </si>
  <si>
    <t>USDMXN</t>
  </si>
  <si>
    <t>USDPHP</t>
  </si>
  <si>
    <t>USDCLP</t>
  </si>
  <si>
    <t>USDPEN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</si>
  <si>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</si>
  <si>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</si>
  <si>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</si>
  <si>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</si>
  <si>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</si>
  <si>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</si>
  <si>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</si>
  <si>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</si>
  <si>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</si>
  <si>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</si>
  <si>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</si>
  <si>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</si>
  <si>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</si>
  <si>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</si>
  <si>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</si>
  <si>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</si>
  <si>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</si>
  <si>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</si>
  <si>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</si>
  <si>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</si>
  <si>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</si>
  <si>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</si>
  <si>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</si>
  <si>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</si>
  <si>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</si>
  <si>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</si>
  <si>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</si>
  <si>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</si>
  <si>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</si>
  <si>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</si>
  <si>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</si>
  <si>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</si>
  <si>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</si>
  <si>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</si>
  <si>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</si>
  <si>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</si>
  <si>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</si>
  <si>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</si>
  <si>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</si>
  <si>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</si>
  <si>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</si>
  <si>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</si>
  <si>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</si>
  <si>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</si>
  <si>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</si>
  <si>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</si>
  <si>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</si>
  <si>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</si>
  <si>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</si>
  <si>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</si>
  <si>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</si>
  <si>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</si>
  <si>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</si>
  <si>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</si>
  <si>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</si>
  <si>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</si>
  <si>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</si>
  <si>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</si>
  <si>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</si>
  <si>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</si>
  <si>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</si>
  <si>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</si>
  <si>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</si>
  <si>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</si>
  <si>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</si>
  <si>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</si>
  <si>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</si>
  <si>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</si>
  <si>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</si>
  <si>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</si>
  <si>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</si>
  <si>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</si>
  <si>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</si>
  <si>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</si>
  <si>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</si>
  <si>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</si>
  <si>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</si>
  <si>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</si>
  <si>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</si>
  <si>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</si>
  <si>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</si>
  <si>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</si>
  <si>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</si>
  <si>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USDAED</t>
  </si>
  <si>
    <t>USDSAR</t>
  </si>
  <si>
    <t>USDQAR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</si>
  <si>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</si>
  <si>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</si>
  <si>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</si>
  <si>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</si>
  <si>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</si>
  <si>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</si>
  <si>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</si>
  <si>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</si>
  <si>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</si>
  <si>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</si>
  <si>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</si>
  <si>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</si>
  <si>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</si>
  <si>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</si>
  <si>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</si>
  <si>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</si>
  <si>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</si>
  <si>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</si>
  <si>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</si>
  <si>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</si>
  <si>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</si>
  <si>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</si>
  <si>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</si>
  <si>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</si>
  <si>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</si>
  <si>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</si>
  <si>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</si>
  <si>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</si>
  <si>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</si>
  <si>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</si>
  <si>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</si>
  <si>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</si>
  <si>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</si>
  <si>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</si>
  <si>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</si>
  <si>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</si>
  <si>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</si>
  <si>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</si>
  <si>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</si>
  <si>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</si>
  <si>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</si>
  <si>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</si>
  <si>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</si>
  <si>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</si>
  <si>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</si>
  <si>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</si>
  <si>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</si>
  <si>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</si>
  <si>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</si>
  <si>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</si>
  <si>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</si>
  <si>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</si>
  <si>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</si>
  <si>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</si>
  <si>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</si>
  <si>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</si>
  <si>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</si>
  <si>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</si>
  <si>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</si>
  <si>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</si>
  <si>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</si>
  <si>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</si>
  <si>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</si>
  <si>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</si>
  <si>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</si>
  <si>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</si>
  <si>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</si>
  <si>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</si>
  <si>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</si>
  <si>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</si>
  <si>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</si>
  <si>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</si>
  <si>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</si>
  <si>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</si>
  <si>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</si>
  <si>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</si>
  <si>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</si>
  <si>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</si>
  <si>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</si>
  <si>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</si>
  <si>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</si>
  <si>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</si>
  <si>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</si>
  <si>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</si>
  <si>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</si>
  <si>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</si>
  <si>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</si>
  <si>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</si>
  <si>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</si>
  <si>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</si>
  <si>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</si>
  <si>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</si>
  <si>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</si>
  <si>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</si>
  <si>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</si>
  <si>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</si>
  <si>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</si>
  <si>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</si>
  <si>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</si>
  <si>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</si>
  <si>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</si>
  <si>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</si>
  <si>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</si>
  <si>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</si>
  <si>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</si>
  <si>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</si>
  <si>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</si>
  <si>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</si>
  <si>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</si>
  <si>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</si>
  <si>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</si>
  <si>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</si>
  <si>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</si>
  <si>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</si>
  <si>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</si>
  <si>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</si>
  <si>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</si>
  <si>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</si>
  <si>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</si>
  <si>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</si>
  <si>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</si>
  <si>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</si>
  <si>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</si>
  <si>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</si>
  <si>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</si>
  <si>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</si>
  <si>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</si>
  <si>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</si>
  <si>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</si>
  <si>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</si>
  <si>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</si>
  <si>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</si>
  <si>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</si>
  <si>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</si>
  <si>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</si>
  <si>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</si>
  <si>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</si>
  <si>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</si>
  <si>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</si>
  <si>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</si>
  <si>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</si>
  <si>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</si>
  <si>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</si>
  <si>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</si>
  <si>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</si>
  <si>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</si>
  <si>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</si>
  <si>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</si>
  <si>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</si>
  <si>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</si>
  <si>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</si>
  <si>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</si>
  <si>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</si>
  <si>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</si>
  <si>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</si>
  <si>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</si>
  <si>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</si>
  <si>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</si>
  <si>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</si>
  <si>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</si>
  <si>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</si>
  <si>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</si>
  <si>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</si>
  <si>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</si>
  <si>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</si>
  <si>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</si>
  <si>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</si>
  <si>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</si>
  <si>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</si>
  <si>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</si>
  <si>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</si>
  <si>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</si>
  <si>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</si>
  <si>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</si>
  <si>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</si>
  <si>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</si>
  <si>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</si>
  <si>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</si>
  <si>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</si>
  <si>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</si>
  <si>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</si>
  <si>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</si>
  <si>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</si>
  <si>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</si>
  <si>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</si>
  <si>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</si>
  <si>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</si>
  <si>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</si>
  <si>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</si>
  <si>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</si>
  <si>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</si>
  <si>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</si>
  <si>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</si>
  <si>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</si>
  <si>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</si>
  <si>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NTCPMIMFGSA@BR</t>
  </si>
  <si>
    <t>NTCPMIMFGSA@MX</t>
  </si>
  <si>
    <t>NTCPMIMFGSA@CN</t>
  </si>
  <si>
    <t>NTCPMIMFGSA@IN</t>
  </si>
  <si>
    <t>NTCPMIMFGSA@ID</t>
  </si>
  <si>
    <t>NTCPMIMFGSA@KR</t>
  </si>
  <si>
    <t>South Korea</t>
  </si>
  <si>
    <t>NTCPMIMFGSA@TW</t>
  </si>
  <si>
    <t>NTCPMIMFGSA@VN</t>
  </si>
  <si>
    <t>NTCPMIMFGSA@GR</t>
  </si>
  <si>
    <t>NTCPMIMFGSA@PL</t>
  </si>
  <si>
    <t>NTCPMIMFGSA@TR</t>
  </si>
  <si>
    <t>PMIDMMANHE</t>
  </si>
  <si>
    <t>Developed Markets</t>
  </si>
  <si>
    <t>NTCPMIMFGSA@EME</t>
  </si>
  <si>
    <t>Emerging Markets</t>
  </si>
  <si>
    <t>Country_Code</t>
  </si>
  <si>
    <t>PMI</t>
  </si>
  <si>
    <t>NTCPMIMFGSA@CL</t>
  </si>
  <si>
    <t>NTCPMIMFGSA@PE</t>
  </si>
  <si>
    <t>NTCPMIMFGSA@AE</t>
  </si>
  <si>
    <t>A-5</t>
  </si>
  <si>
    <t>Economic Momentm</t>
  </si>
  <si>
    <t>Q-Q Change</t>
  </si>
  <si>
    <t>GDP AVG 5 &amp; 10 YR CAGR</t>
  </si>
  <si>
    <t>GDP Percentile</t>
  </si>
  <si>
    <t>NTCPMIPHMANHE</t>
  </si>
  <si>
    <t>PMIMYMANHE</t>
  </si>
  <si>
    <t>PMIMFGSA@ZA</t>
  </si>
  <si>
    <t>PMIQAWHEHE</t>
  </si>
  <si>
    <t>NTCPMITHMANHE</t>
  </si>
  <si>
    <t>NTCPMIINDEXSA@SA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</si>
  <si>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</si>
  <si>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</si>
  <si>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</si>
  <si>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</si>
  <si>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</si>
  <si>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</si>
  <si>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</si>
  <si>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</si>
  <si>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</si>
  <si>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</si>
  <si>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</si>
  <si>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</si>
  <si>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&gt;</t>
  </si>
  <si>
    <t>&lt;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</si>
  <si>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</si>
  <si>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</si>
  <si>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</si>
  <si>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</si>
  <si>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</si>
  <si>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</si>
  <si>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</si>
  <si>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</si>
  <si>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</si>
  <si>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</si>
  <si>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</si>
  <si>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</si>
  <si>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</si>
  <si>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</si>
  <si>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</si>
  <si>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</si>
  <si>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</si>
  <si>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</si>
  <si>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</si>
  <si>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</si>
  <si>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</si>
  <si>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</si>
  <si>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</si>
  <si>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</si>
  <si>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</si>
  <si>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</si>
  <si>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</si>
  <si>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</si>
  <si>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</si>
  <si>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</si>
  <si>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</si>
  <si>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</si>
  <si>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</si>
  <si>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</si>
  <si>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</si>
  <si>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</si>
  <si>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</si>
  <si>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</si>
  <si>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</si>
  <si>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</si>
  <si>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</si>
  <si>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</si>
  <si>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</si>
  <si>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</si>
  <si>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</si>
  <si>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</si>
  <si>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</si>
  <si>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</si>
  <si>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</si>
  <si>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</si>
  <si>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</si>
  <si>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</si>
  <si>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</si>
  <si>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</si>
  <si>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</si>
  <si>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FC0000CN</t>
  </si>
  <si>
    <t>FC0000CL</t>
  </si>
  <si>
    <t>FC0000ID</t>
  </si>
  <si>
    <t>FC0000PH</t>
  </si>
  <si>
    <t>FC0000PL</t>
  </si>
  <si>
    <t>FC0000PE</t>
  </si>
  <si>
    <t>FC0000MY</t>
  </si>
  <si>
    <t>FC0000TW</t>
  </si>
  <si>
    <t>FC0000MX</t>
  </si>
  <si>
    <t>FC0000KR</t>
  </si>
  <si>
    <t>FC0000BR</t>
  </si>
  <si>
    <t>FC0000ZA</t>
  </si>
  <si>
    <t>FC0000GR</t>
  </si>
  <si>
    <t>FC0000IN</t>
  </si>
  <si>
    <t>FC0000QA</t>
  </si>
  <si>
    <t>FC0000TR</t>
  </si>
  <si>
    <t>FC0000AE</t>
  </si>
  <si>
    <t>FTSEWIVNXXXX</t>
  </si>
  <si>
    <t>FC0000SA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</si>
  <si>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</si>
  <si>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</si>
  <si>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</si>
  <si>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</si>
  <si>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</si>
  <si>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</si>
  <si>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</si>
  <si>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</si>
  <si>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</si>
  <si>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</si>
  <si>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</si>
  <si>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</si>
  <si>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</si>
  <si>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Rules</t>
  </si>
  <si>
    <t>QQ change</t>
  </si>
  <si>
    <t>&gt;50</t>
  </si>
  <si>
    <t>&gt;0</t>
  </si>
  <si>
    <t>&lt;0</t>
  </si>
  <si>
    <t>&lt;50</t>
  </si>
  <si>
    <t>Change overall rank using this logic, let logc box be there so we can see the assumptions and change according;ly</t>
  </si>
  <si>
    <t>A- 6</t>
  </si>
  <si>
    <t>Size</t>
  </si>
  <si>
    <t>Mcap of Underlying</t>
  </si>
  <si>
    <t>No  comp. with upward revisions (1 month)</t>
  </si>
  <si>
    <t>Market_Cap Percentile</t>
  </si>
  <si>
    <t>Sum</t>
  </si>
  <si>
    <t>% of Countries above 30 day</t>
  </si>
  <si>
    <t>% of Countries above 60 day</t>
  </si>
  <si>
    <t>% of Countries above 200 day</t>
  </si>
  <si>
    <t>TECHNICAL STRENGTH</t>
  </si>
  <si>
    <t>1 month change</t>
  </si>
  <si>
    <t>FC0000TH</t>
  </si>
  <si>
    <t>1 month return</t>
  </si>
  <si>
    <t>PMI Q-Q Change</t>
  </si>
  <si>
    <t>Overall Safety Score</t>
  </si>
  <si>
    <t>SAFETY PERCENTILE</t>
  </si>
  <si>
    <t>SAFETY</t>
  </si>
  <si>
    <t>Safety</t>
  </si>
  <si>
    <t>Monthly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</si>
</sst>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sz val="7"/>
      <name val="Courier New"/>
      <family val="3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7" fontId="1" fillId="0" borderId="0" xfId="0" applyNumberFormat="1" applyFont="1"/>
    <xf numFmtId="2" fontId="1" fillId="0" borderId="0" xfId="0" applyNumberFormat="1" applyFon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65" fontId="1" fillId="0" borderId="0" xfId="0" applyNumberFormat="1" applyFont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0" fontId="10" fillId="0" borderId="0" xfId="0" applyFont="1"/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6" xfId="0" applyBorder="1"/>
    <xf numFmtId="0" fontId="0" fillId="0" borderId="15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164" fontId="0" fillId="0" borderId="0" xfId="1" applyFont="1" applyBorder="1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4" xfId="0" applyFont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64" fontId="1" fillId="0" borderId="0" xfId="1" applyFont="1" applyFill="1"/>
    <xf numFmtId="164" fontId="1" fillId="0" borderId="0" xfId="1" applyFont="1"/>
    <xf numFmtId="169" fontId="11" fillId="0" borderId="0" xfId="0" applyNumberFormat="1" applyFont="1"/>
    <xf numFmtId="167" fontId="1" fillId="0" borderId="0" xfId="1" applyNumberFormat="1" applyFon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37" borderId="31" xfId="0" applyFont="1" applyFill="1" applyBorder="1"/>
    <xf numFmtId="10" fontId="0" fillId="0" borderId="33" xfId="3" applyNumberFormat="1" applyFont="1" applyBorder="1"/>
    <xf numFmtId="10" fontId="0" fillId="0" borderId="32" xfId="3" applyNumberFormat="1" applyFont="1" applyBorder="1"/>
    <xf numFmtId="0" fontId="13" fillId="0" borderId="2" xfId="0" applyFont="1" applyBorder="1"/>
    <xf numFmtId="9" fontId="0" fillId="0" borderId="7" xfId="0" applyNumberFormat="1" applyBorder="1"/>
    <xf numFmtId="0" fontId="1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2" xfId="3" applyFont="1" applyBorder="1" applyAlignment="1">
      <alignment horizontal="center" vertical="center"/>
    </xf>
    <xf numFmtId="9" fontId="0" fillId="0" borderId="20" xfId="3" applyFont="1" applyBorder="1" applyAlignment="1">
      <alignment horizontal="center" vertical="center"/>
    </xf>
    <xf numFmtId="10" fontId="0" fillId="0" borderId="3" xfId="3" applyNumberFormat="1" applyFont="1" applyBorder="1"/>
    <xf numFmtId="2" fontId="0" fillId="0" borderId="3" xfId="0" applyNumberFormat="1" applyBorder="1"/>
    <xf numFmtId="10" fontId="0" fillId="0" borderId="31" xfId="3" applyNumberFormat="1" applyFont="1" applyBorder="1"/>
    <xf numFmtId="10" fontId="13" fillId="0" borderId="0" xfId="3" applyNumberFormat="1" applyFont="1"/>
    <xf numFmtId="167" fontId="0" fillId="0" borderId="4" xfId="0" applyNumberFormat="1" applyBorder="1"/>
    <xf numFmtId="0" fontId="13" fillId="0" borderId="16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14" fontId="42" fillId="0" borderId="4" xfId="0" applyNumberFormat="1" applyFont="1" applyBorder="1"/>
    <xf numFmtId="14" fontId="42" fillId="0" borderId="7" xfId="0" applyNumberFormat="1" applyFont="1" applyBorder="1"/>
    <xf numFmtId="0" fontId="13" fillId="0" borderId="14" xfId="0" applyFont="1" applyBorder="1" applyAlignment="1">
      <alignment horizontal="center" vertical="center"/>
    </xf>
    <xf numFmtId="9" fontId="0" fillId="2" borderId="12" xfId="0" applyNumberFormat="1" applyFill="1" applyBorder="1"/>
    <xf numFmtId="9" fontId="0" fillId="2" borderId="4" xfId="0" applyNumberFormat="1" applyFill="1" applyBorder="1"/>
    <xf numFmtId="9" fontId="1" fillId="2" borderId="0" xfId="0" applyNumberFormat="1" applyFont="1" applyFill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167" fontId="4" fillId="0" borderId="7" xfId="0" applyNumberFormat="1" applyFont="1" applyBorder="1"/>
    <xf numFmtId="0" fontId="0" fillId="36" borderId="0" xfId="0" applyFill="1"/>
    <xf numFmtId="1" fontId="0" fillId="36" borderId="0" xfId="0" applyNumberFormat="1" applyFill="1"/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 Bhartia" id="{73387293-B317-4518-8BFD-06DD7862F882}" userId="685f778331df61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" dT="2023-03-07T03:52:57.25" personId="{73387293-B317-4518-8BFD-06DD7862F882}" id="{0195B492-FC6C-4B70-985C-FD0A6858133E}">
    <text xml:space="preserve">High is good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NTCPMIINDEXSA@SA" TargetMode="External"/><Relationship Id="rId1" Type="http://schemas.openxmlformats.org/officeDocument/2006/relationships/hyperlink" Target="mailto:PMIMFGSA@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spans="1:1" x14ac:dyDescent="0.35"/>
    <row r="18" spans="1:1" x14ac:dyDescent="0.35"/>
    <row r="19" spans="1:1" x14ac:dyDescent="0.35"/>
    <row r="20" spans="1:1" x14ac:dyDescent="0.35"/>
    <row r="21" spans="1:1" x14ac:dyDescent="0.35"/>
    <row r="22" spans="1:1" x14ac:dyDescent="0.35"/>
    <row r="23" spans="1: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16" zoomScaleNormal="100" workbookViewId="0">
      <selection activeCell="D22" sqref="D22:F24"/>
    </sheetView>
  </sheetViews>
  <sheetFormatPr defaultRowHeight="14.5" x14ac:dyDescent="0.35"/>
  <cols>
    <col min="3" max="3" width="18.54296875" customWidth="1"/>
    <col min="4" max="4" width="26.81640625" customWidth="1"/>
    <col min="5" max="5" width="21" customWidth="1"/>
    <col min="6" max="6" width="18.81640625" customWidth="1"/>
    <col min="7" max="7" width="24.453125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3" t="s">
        <v>417</v>
      </c>
      <c r="D8" s="53" t="s">
        <v>55</v>
      </c>
    </row>
    <row r="9" spans="3:19" ht="15" thickBot="1" x14ac:dyDescent="0.4">
      <c r="M9" t="s">
        <v>484</v>
      </c>
      <c r="N9" s="69">
        <v>0.06</v>
      </c>
      <c r="S9" s="68"/>
    </row>
    <row r="10" spans="3:19" x14ac:dyDescent="0.35">
      <c r="C10" s="1" t="s">
        <v>418</v>
      </c>
      <c r="D10" s="65" t="s">
        <v>61</v>
      </c>
      <c r="E10" s="16" t="s">
        <v>9</v>
      </c>
      <c r="F10" s="16" t="s">
        <v>56</v>
      </c>
      <c r="G10" s="190" t="s">
        <v>57</v>
      </c>
    </row>
    <row r="11" spans="3:19" ht="15" thickBot="1" x14ac:dyDescent="0.4">
      <c r="D11" s="191" t="s">
        <v>82</v>
      </c>
      <c r="E11" s="189">
        <v>0.4</v>
      </c>
      <c r="F11" s="189">
        <v>0.3</v>
      </c>
      <c r="G11" s="192">
        <v>0.3</v>
      </c>
    </row>
    <row r="12" spans="3:19" s="19" customFormat="1" ht="15" thickBot="1" x14ac:dyDescent="0.4">
      <c r="D12" s="193" t="s">
        <v>81</v>
      </c>
      <c r="E12" s="194">
        <f>E11*$E$34</f>
        <v>0.4</v>
      </c>
      <c r="F12" s="194">
        <f t="shared" ref="F12:G12" si="0">F11*$E$34</f>
        <v>0.3</v>
      </c>
      <c r="G12" s="195">
        <f t="shared" si="0"/>
        <v>0.3</v>
      </c>
      <c r="H12" s="18"/>
      <c r="M12" s="63" t="s">
        <v>454</v>
      </c>
      <c r="N12" s="64"/>
      <c r="O12" s="66" t="s">
        <v>483</v>
      </c>
    </row>
    <row r="13" spans="3:19" s="19" customFormat="1" ht="15" thickBot="1" x14ac:dyDescent="0.4">
      <c r="D13" s="20"/>
      <c r="E13" s="18"/>
      <c r="F13" s="18"/>
      <c r="G13" s="18"/>
      <c r="M13" s="57" t="s">
        <v>455</v>
      </c>
      <c r="N13" s="58" t="e">
        <f>(1/'Value -2 '!#REF!)</f>
        <v>#REF!</v>
      </c>
      <c r="O13" s="58" t="e">
        <f>N13*(1+N9)</f>
        <v>#REF!</v>
      </c>
    </row>
    <row r="14" spans="3:19" x14ac:dyDescent="0.35">
      <c r="C14" s="1" t="s">
        <v>419</v>
      </c>
      <c r="D14" s="15" t="s">
        <v>78</v>
      </c>
      <c r="E14" s="196" t="s">
        <v>63</v>
      </c>
      <c r="F14" s="197" t="s">
        <v>64</v>
      </c>
      <c r="G14" s="197" t="s">
        <v>79</v>
      </c>
      <c r="H14" s="11" t="s">
        <v>77</v>
      </c>
      <c r="M14" s="59" t="s">
        <v>456</v>
      </c>
      <c r="N14" s="60" t="e">
        <f>(1/'Value -2 '!#REF!)</f>
        <v>#REF!</v>
      </c>
      <c r="O14" s="61"/>
    </row>
    <row r="15" spans="3:19" x14ac:dyDescent="0.35">
      <c r="D15" s="191" t="s">
        <v>82</v>
      </c>
      <c r="E15" s="69">
        <v>0.2</v>
      </c>
      <c r="F15" s="69">
        <v>0.2</v>
      </c>
      <c r="G15" s="69">
        <v>0.3</v>
      </c>
      <c r="H15" s="187">
        <v>0.3</v>
      </c>
      <c r="M15" s="59"/>
      <c r="N15" s="61"/>
      <c r="O15" s="61"/>
    </row>
    <row r="16" spans="3:19" ht="15" thickBot="1" x14ac:dyDescent="0.4">
      <c r="D16" s="193" t="s">
        <v>81</v>
      </c>
      <c r="E16" s="194">
        <f t="shared" ref="E16:F16" si="1">E15*$F$34</f>
        <v>0</v>
      </c>
      <c r="F16" s="194">
        <f t="shared" si="1"/>
        <v>0</v>
      </c>
      <c r="G16" s="194">
        <f>G15*$F$34</f>
        <v>0</v>
      </c>
      <c r="H16" s="195">
        <f>H15*$F$34</f>
        <v>0</v>
      </c>
      <c r="M16" s="59" t="s">
        <v>457</v>
      </c>
      <c r="N16" s="60" t="e">
        <f>'LIQIDITY 2'!#REF!/100</f>
        <v>#REF!</v>
      </c>
      <c r="O16" s="67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9" t="s">
        <v>458</v>
      </c>
      <c r="N17" s="60" t="e">
        <f>'LIQIDITY 2'!#REF!/100</f>
        <v>#REF!</v>
      </c>
      <c r="O17" s="61"/>
    </row>
    <row r="18" spans="3:22" x14ac:dyDescent="0.35">
      <c r="C18" s="1" t="s">
        <v>420</v>
      </c>
      <c r="D18" s="65" t="s">
        <v>70</v>
      </c>
      <c r="E18" s="138" t="s">
        <v>73</v>
      </c>
      <c r="F18" s="5"/>
      <c r="M18" s="59"/>
      <c r="N18" s="61"/>
      <c r="O18" s="61"/>
    </row>
    <row r="19" spans="3:22" x14ac:dyDescent="0.35">
      <c r="D19" s="191" t="s">
        <v>82</v>
      </c>
      <c r="E19" s="187">
        <v>1</v>
      </c>
      <c r="F19" s="5"/>
      <c r="G19" s="5"/>
      <c r="M19" s="59"/>
      <c r="N19" s="61"/>
      <c r="O19" s="61"/>
    </row>
    <row r="20" spans="3:22" ht="15" thickBot="1" x14ac:dyDescent="0.4">
      <c r="D20" s="193" t="s">
        <v>81</v>
      </c>
      <c r="E20" s="198">
        <f>E19*$G$34</f>
        <v>0</v>
      </c>
      <c r="F20" s="5"/>
      <c r="G20" s="5"/>
      <c r="M20" s="59"/>
      <c r="N20" s="61"/>
      <c r="O20" s="61"/>
    </row>
    <row r="21" spans="3:22" ht="15" thickBot="1" x14ac:dyDescent="0.4">
      <c r="G21" s="5"/>
      <c r="M21" s="59" t="s">
        <v>459</v>
      </c>
      <c r="N21" s="60" t="e">
        <f>N13-N16</f>
        <v>#REF!</v>
      </c>
      <c r="O21" s="60" t="e">
        <f>O13-O16</f>
        <v>#REF!</v>
      </c>
    </row>
    <row r="22" spans="3:22" ht="15" thickBot="1" x14ac:dyDescent="0.4">
      <c r="C22" s="1" t="s">
        <v>516</v>
      </c>
      <c r="D22" s="15" t="s">
        <v>58</v>
      </c>
      <c r="E22" s="16" t="s">
        <v>514</v>
      </c>
      <c r="F22" s="11" t="s">
        <v>59</v>
      </c>
      <c r="M22" s="12" t="s">
        <v>460</v>
      </c>
      <c r="N22" s="62" t="e">
        <f>N13-N17</f>
        <v>#REF!</v>
      </c>
      <c r="O22" s="60"/>
    </row>
    <row r="23" spans="3:22" x14ac:dyDescent="0.35">
      <c r="D23" s="191" t="s">
        <v>82</v>
      </c>
      <c r="E23" s="69">
        <v>0</v>
      </c>
      <c r="F23" s="187">
        <v>0</v>
      </c>
      <c r="G23" s="5"/>
      <c r="M23" s="9"/>
      <c r="N23" s="5"/>
      <c r="T23" s="9"/>
    </row>
    <row r="24" spans="3:22" ht="15" thickBot="1" x14ac:dyDescent="0.4">
      <c r="D24" s="193" t="s">
        <v>81</v>
      </c>
      <c r="E24" s="17">
        <f>E23*$H$34</f>
        <v>0</v>
      </c>
      <c r="F24" s="169">
        <f t="shared" ref="F24" si="2">F23*$H$34</f>
        <v>0</v>
      </c>
      <c r="G24" s="5"/>
      <c r="Q24" s="5"/>
      <c r="R24" s="56"/>
      <c r="T24" s="9"/>
      <c r="V24" s="9"/>
    </row>
    <row r="25" spans="3:22" ht="15" thickBot="1" x14ac:dyDescent="0.4"/>
    <row r="26" spans="3:22" x14ac:dyDescent="0.35">
      <c r="C26" s="119" t="s">
        <v>784</v>
      </c>
      <c r="D26" s="168" t="s">
        <v>785</v>
      </c>
      <c r="E26" s="10" t="s">
        <v>780</v>
      </c>
      <c r="F26" s="11" t="s">
        <v>786</v>
      </c>
    </row>
    <row r="27" spans="3:22" x14ac:dyDescent="0.35">
      <c r="D27" s="191" t="s">
        <v>82</v>
      </c>
      <c r="E27" s="69">
        <v>0.6</v>
      </c>
      <c r="F27" s="187">
        <v>0.4</v>
      </c>
    </row>
    <row r="28" spans="3:22" ht="15" thickBot="1" x14ac:dyDescent="0.4">
      <c r="D28" s="193" t="s">
        <v>81</v>
      </c>
      <c r="E28" s="17">
        <f>E27*$I$34</f>
        <v>0</v>
      </c>
      <c r="F28" s="169">
        <f>F27*$I$34</f>
        <v>0</v>
      </c>
    </row>
    <row r="29" spans="3:22" ht="15" thickBot="1" x14ac:dyDescent="0.4"/>
    <row r="30" spans="3:22" x14ac:dyDescent="0.35">
      <c r="C30" t="s">
        <v>903</v>
      </c>
      <c r="D30" s="15" t="s">
        <v>904</v>
      </c>
      <c r="E30" s="188">
        <v>0.2</v>
      </c>
    </row>
    <row r="31" spans="3:22" ht="15" thickBot="1" x14ac:dyDescent="0.4">
      <c r="D31" s="12"/>
      <c r="E31" s="169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515</v>
      </c>
      <c r="I33" s="123" t="s">
        <v>785</v>
      </c>
      <c r="J33" s="123" t="s">
        <v>904</v>
      </c>
    </row>
    <row r="34" spans="3:12" ht="15" thickBot="1" x14ac:dyDescent="0.4">
      <c r="D34" s="12"/>
      <c r="E34" s="71">
        <v>1</v>
      </c>
      <c r="F34" s="72">
        <v>0</v>
      </c>
      <c r="G34" s="72">
        <v>0</v>
      </c>
      <c r="H34" s="72">
        <v>0</v>
      </c>
      <c r="I34" s="73">
        <v>0</v>
      </c>
      <c r="J34" s="73">
        <v>0</v>
      </c>
    </row>
    <row r="38" spans="3:12" x14ac:dyDescent="0.35">
      <c r="C38" s="53" t="s">
        <v>421</v>
      </c>
      <c r="D38" s="53" t="s">
        <v>60</v>
      </c>
    </row>
    <row r="39" spans="3:12" x14ac:dyDescent="0.35">
      <c r="E39" s="1" t="s">
        <v>412</v>
      </c>
      <c r="F39" t="s">
        <v>413</v>
      </c>
      <c r="G39" s="1" t="s">
        <v>414</v>
      </c>
      <c r="H39" t="s">
        <v>415</v>
      </c>
      <c r="I39" s="1" t="s">
        <v>431</v>
      </c>
      <c r="J39" s="1" t="s">
        <v>535</v>
      </c>
      <c r="K39" s="1" t="s">
        <v>759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3" t="s">
        <v>401</v>
      </c>
      <c r="D42" s="53" t="s">
        <v>10</v>
      </c>
    </row>
    <row r="43" spans="3:12" x14ac:dyDescent="0.35">
      <c r="C43" t="s">
        <v>422</v>
      </c>
      <c r="D43" t="s">
        <v>416</v>
      </c>
      <c r="E43" s="5">
        <v>0.5</v>
      </c>
    </row>
    <row r="44" spans="3:12" x14ac:dyDescent="0.35">
      <c r="C44" t="s">
        <v>423</v>
      </c>
      <c r="D44" t="s">
        <v>464</v>
      </c>
      <c r="E44" s="5">
        <v>0.25</v>
      </c>
      <c r="F44" s="5"/>
    </row>
    <row r="45" spans="3:12" x14ac:dyDescent="0.35">
      <c r="C45" t="s">
        <v>465</v>
      </c>
      <c r="D45" t="s">
        <v>466</v>
      </c>
      <c r="E45" s="5">
        <v>0.25</v>
      </c>
    </row>
    <row r="47" spans="3:12" x14ac:dyDescent="0.35">
      <c r="D47" s="1"/>
    </row>
    <row r="48" spans="3:12" x14ac:dyDescent="0.35">
      <c r="C48" s="53" t="s">
        <v>424</v>
      </c>
      <c r="D48" s="53" t="s">
        <v>920</v>
      </c>
    </row>
    <row r="49" spans="3:8" x14ac:dyDescent="0.35">
      <c r="E49" t="s">
        <v>398</v>
      </c>
      <c r="F49" t="s">
        <v>399</v>
      </c>
    </row>
    <row r="50" spans="3:8" x14ac:dyDescent="0.35">
      <c r="D50" t="s">
        <v>65</v>
      </c>
      <c r="E50" s="76">
        <v>-0.05</v>
      </c>
      <c r="F50">
        <v>-10</v>
      </c>
    </row>
    <row r="52" spans="3:8" x14ac:dyDescent="0.35">
      <c r="E52" s="1" t="s">
        <v>921</v>
      </c>
      <c r="F52" t="s">
        <v>531</v>
      </c>
      <c r="G52" t="s">
        <v>407</v>
      </c>
    </row>
    <row r="53" spans="3:8" x14ac:dyDescent="0.35">
      <c r="D53" s="1" t="s">
        <v>532</v>
      </c>
      <c r="E53" s="5">
        <v>0.25</v>
      </c>
      <c r="F53" s="5">
        <v>0.25</v>
      </c>
      <c r="G53" s="5">
        <v>0.5</v>
      </c>
    </row>
    <row r="55" spans="3:8" x14ac:dyDescent="0.35">
      <c r="C55" s="53" t="s">
        <v>426</v>
      </c>
      <c r="D55" s="53" t="s">
        <v>504</v>
      </c>
      <c r="F55" s="1">
        <v>1</v>
      </c>
      <c r="G55" s="1">
        <v>3</v>
      </c>
      <c r="H55" s="1">
        <v>6</v>
      </c>
    </row>
    <row r="56" spans="3:8" x14ac:dyDescent="0.35">
      <c r="C56" s="53" t="s">
        <v>427</v>
      </c>
      <c r="D56" t="s">
        <v>489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427</v>
      </c>
      <c r="D57" t="s">
        <v>428</v>
      </c>
      <c r="E57" s="5">
        <v>0.3</v>
      </c>
    </row>
    <row r="58" spans="3:8" x14ac:dyDescent="0.35">
      <c r="C58" t="s">
        <v>429</v>
      </c>
      <c r="D58" t="s">
        <v>430</v>
      </c>
      <c r="E58" s="5">
        <v>0.2</v>
      </c>
    </row>
    <row r="60" spans="3:8" x14ac:dyDescent="0.35">
      <c r="C60" s="53" t="s">
        <v>511</v>
      </c>
      <c r="D60" s="53" t="s">
        <v>506</v>
      </c>
    </row>
    <row r="61" spans="3:8" x14ac:dyDescent="0.35">
      <c r="D61" t="s">
        <v>508</v>
      </c>
      <c r="F61" s="5">
        <v>0.25</v>
      </c>
      <c r="G61" t="s">
        <v>538</v>
      </c>
    </row>
    <row r="62" spans="3:8" x14ac:dyDescent="0.35">
      <c r="D62" t="s">
        <v>509</v>
      </c>
      <c r="F62" s="5">
        <v>0.25</v>
      </c>
    </row>
    <row r="63" spans="3:8" x14ac:dyDescent="0.35">
      <c r="D63" t="s">
        <v>510</v>
      </c>
      <c r="F63" s="5">
        <v>0.25</v>
      </c>
    </row>
    <row r="64" spans="3:8" x14ac:dyDescent="0.35">
      <c r="D64" t="s">
        <v>550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3" t="s">
        <v>505</v>
      </c>
      <c r="D69" s="53" t="s">
        <v>425</v>
      </c>
    </row>
    <row r="71" spans="3:9" x14ac:dyDescent="0.35">
      <c r="C71" s="119" t="s">
        <v>802</v>
      </c>
      <c r="D71" s="6">
        <v>0.3</v>
      </c>
    </row>
    <row r="72" spans="3:9" x14ac:dyDescent="0.35">
      <c r="C72" s="19" t="s">
        <v>556</v>
      </c>
      <c r="D72" s="18">
        <v>0.33329999999999999</v>
      </c>
    </row>
    <row r="73" spans="3:9" x14ac:dyDescent="0.35">
      <c r="C73" s="19" t="s">
        <v>558</v>
      </c>
      <c r="D73" s="18">
        <v>0.33329999999999999</v>
      </c>
    </row>
    <row r="74" spans="3:9" x14ac:dyDescent="0.35">
      <c r="C74" s="19" t="s">
        <v>559</v>
      </c>
      <c r="D74" s="18">
        <v>0.33329999999999999</v>
      </c>
    </row>
    <row r="76" spans="3:9" x14ac:dyDescent="0.35">
      <c r="C76" s="119" t="s">
        <v>557</v>
      </c>
      <c r="D76" s="5">
        <v>0.2</v>
      </c>
    </row>
    <row r="77" spans="3:9" x14ac:dyDescent="0.35">
      <c r="G77" s="1"/>
      <c r="H77" s="1"/>
    </row>
    <row r="78" spans="3:9" x14ac:dyDescent="0.35">
      <c r="C78" s="119" t="s">
        <v>554</v>
      </c>
      <c r="D78" s="5">
        <v>0.4</v>
      </c>
    </row>
    <row r="80" spans="3:9" x14ac:dyDescent="0.35">
      <c r="C80" s="119" t="s">
        <v>560</v>
      </c>
      <c r="D80" s="5">
        <v>0.1</v>
      </c>
    </row>
    <row r="82" spans="3:8" x14ac:dyDescent="0.35">
      <c r="C82" t="s">
        <v>841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80E-BFD9-473A-B119-3481B7E41B8C}">
  <dimension ref="C4:D8"/>
  <sheetViews>
    <sheetView workbookViewId="0">
      <selection activeCell="H9" sqref="H9"/>
    </sheetView>
  </sheetViews>
  <sheetFormatPr defaultRowHeight="14.5" x14ac:dyDescent="0.35"/>
  <cols>
    <col min="3" max="3" width="26.81640625" bestFit="1" customWidth="1"/>
    <col min="4" max="4" width="10.81640625" customWidth="1"/>
  </cols>
  <sheetData>
    <row r="4" spans="3:4" x14ac:dyDescent="0.35">
      <c r="C4" s="1" t="s">
        <v>912</v>
      </c>
    </row>
    <row r="5" spans="3:4" ht="15" thickBot="1" x14ac:dyDescent="0.4"/>
    <row r="6" spans="3:4" x14ac:dyDescent="0.35">
      <c r="C6" s="65" t="s">
        <v>909</v>
      </c>
      <c r="D6" s="179">
        <f>Timing!L30</f>
        <v>0.52380952380952384</v>
      </c>
    </row>
    <row r="7" spans="3:4" x14ac:dyDescent="0.35">
      <c r="C7" s="59" t="s">
        <v>910</v>
      </c>
      <c r="D7" s="60">
        <f>Timing!M30</f>
        <v>0.52380952380952384</v>
      </c>
    </row>
    <row r="8" spans="3:4" ht="15" thickBot="1" x14ac:dyDescent="0.4">
      <c r="C8" s="12" t="s">
        <v>911</v>
      </c>
      <c r="D8" s="62">
        <f>Timing!N30</f>
        <v>0.5714285714285714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26"/>
  <sheetViews>
    <sheetView zoomScale="85" zoomScaleNormal="85" workbookViewId="0">
      <selection activeCell="O19" sqref="O19"/>
    </sheetView>
  </sheetViews>
  <sheetFormatPr defaultRowHeight="14.5" x14ac:dyDescent="0.35"/>
  <cols>
    <col min="2" max="2" width="13.453125" customWidth="1"/>
    <col min="3" max="3" width="34.453125" bestFit="1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32">
        <f>Assumption!D72*Assumption!$D$71</f>
        <v>9.9989999999999996E-2</v>
      </c>
      <c r="E2" s="132">
        <f>Assumption!D73*Assumption!$D$71</f>
        <v>9.9989999999999996E-2</v>
      </c>
      <c r="F2" s="132">
        <f>Assumption!D74*Assumption!$D$71</f>
        <v>9.9989999999999996E-2</v>
      </c>
      <c r="G2" s="132"/>
      <c r="H2" s="132"/>
      <c r="I2" s="132">
        <f>Assumption!D76</f>
        <v>0.2</v>
      </c>
      <c r="J2" s="132">
        <f>Assumption!D78</f>
        <v>0.4</v>
      </c>
      <c r="K2" s="119"/>
      <c r="L2" s="132">
        <f>Assumption!D80</f>
        <v>0.1</v>
      </c>
      <c r="P2" s="52">
        <f>SUM(D2:N2)</f>
        <v>0.99996999999999991</v>
      </c>
    </row>
    <row r="4" spans="2:16" ht="60.75" customHeight="1" x14ac:dyDescent="0.35">
      <c r="B4" s="203" t="s">
        <v>555</v>
      </c>
      <c r="C4" s="204"/>
      <c r="D4" s="208" t="s">
        <v>802</v>
      </c>
      <c r="E4" s="209"/>
      <c r="F4" s="210"/>
      <c r="G4" s="211" t="s">
        <v>838</v>
      </c>
      <c r="H4" s="211" t="s">
        <v>838</v>
      </c>
      <c r="I4" s="201" t="s">
        <v>557</v>
      </c>
      <c r="J4" s="207" t="s">
        <v>554</v>
      </c>
      <c r="K4" s="207"/>
      <c r="L4" s="201" t="s">
        <v>560</v>
      </c>
      <c r="M4" s="201" t="s">
        <v>561</v>
      </c>
      <c r="N4" s="201" t="s">
        <v>750</v>
      </c>
    </row>
    <row r="5" spans="2:16" x14ac:dyDescent="0.35">
      <c r="B5" s="205"/>
      <c r="C5" s="206"/>
      <c r="D5" s="170" t="s">
        <v>556</v>
      </c>
      <c r="E5" s="170" t="s">
        <v>558</v>
      </c>
      <c r="F5" s="170" t="s">
        <v>919</v>
      </c>
      <c r="G5" s="212"/>
      <c r="H5" s="213"/>
      <c r="I5" s="202"/>
      <c r="J5" s="170" t="s">
        <v>564</v>
      </c>
      <c r="K5" s="170" t="s">
        <v>562</v>
      </c>
      <c r="L5" s="202"/>
      <c r="M5" s="202"/>
      <c r="N5" s="202"/>
    </row>
    <row r="6" spans="2:16" x14ac:dyDescent="0.35">
      <c r="B6" s="181"/>
      <c r="C6" s="182"/>
      <c r="D6" s="181"/>
      <c r="E6" s="181"/>
      <c r="F6" s="181"/>
      <c r="G6" s="180"/>
      <c r="H6" s="180"/>
      <c r="I6" s="182"/>
      <c r="J6" s="186"/>
      <c r="K6" s="183"/>
      <c r="L6" s="183"/>
      <c r="M6" s="183"/>
      <c r="N6" s="183"/>
    </row>
    <row r="7" spans="2:16" x14ac:dyDescent="0.35">
      <c r="B7" s="80" t="s">
        <v>12</v>
      </c>
      <c r="C7" s="82" t="s">
        <v>54</v>
      </c>
      <c r="D7" s="128">
        <f>VLOOKUP(B7,'Value -2 '!$D$3:$AC$23,26,FALSE)</f>
        <v>81.8</v>
      </c>
      <c r="E7" s="128">
        <f>VLOOKUP(B7,'Quality - 2'!$B$2:$S$22,18,FALSE)</f>
        <v>13.600000000000001</v>
      </c>
      <c r="F7" s="128">
        <f>VLOOKUP(B7,Safety!$B$4:$R$24,17,FALSE)</f>
        <v>31.8</v>
      </c>
      <c r="G7" s="134">
        <f t="shared" ref="G7:G26" si="0">(D7*$D$2 +E7*$E$2 +F7*$F$2)/($D$2+$E$2+$F$2)</f>
        <v>42.4</v>
      </c>
      <c r="H7" s="133" cm="1">
        <f t="array" ref="H7">_xlfn.PERCENTRANK.EXC(_xlfn._xlws.FILTER($G$7:G$26, ISNUMBER($G$7:G$26)),G7)*100</f>
        <v>38</v>
      </c>
      <c r="I7" s="171">
        <f>VLOOKUP(B7,'LIQIDITY 2'!$A$3:$X$23,24,FALSE)</f>
        <v>54.500000000000007</v>
      </c>
      <c r="J7" s="126">
        <f ca="1">VLOOKUP(B7,'Momnetum ranking'!A:AJ,36,FALSE)</f>
        <v>9</v>
      </c>
      <c r="K7" s="173">
        <f>VLOOKUP(B7,'Momnetum ranking'!$A$3:$H$23,8,FALSE)</f>
        <v>0.35294117647058826</v>
      </c>
      <c r="L7" s="127">
        <f>VLOOKUP(B7,'Currency- 2'!$A$3:$U$23,21,FALSE)</f>
        <v>9</v>
      </c>
      <c r="M7" s="136">
        <f t="shared" ref="M7:M26" ca="1" si="1">D7*$D$2 + E7*$E$2 + F7*$F$2 + I7*$I$2 + J7*$J$2 + L7*$L$2</f>
        <v>28.118728000000001</v>
      </c>
      <c r="N7" s="127" cm="1">
        <f t="array" aca="1" ref="N7" ca="1">_xlfn.PERCENTRANK.EXC(_xlfn._xlws.FILTER($M$7:M$26, ISNUMBER($M$7:M$26)),M7)*100</f>
        <v>9.5</v>
      </c>
    </row>
    <row r="8" spans="2:16" x14ac:dyDescent="0.35">
      <c r="B8" s="80" t="s">
        <v>23</v>
      </c>
      <c r="C8" s="82" t="s">
        <v>439</v>
      </c>
      <c r="D8" s="128">
        <f>VLOOKUP(B8,'Value -2 '!$D$3:$AC$23,26,FALSE)</f>
        <v>63.6</v>
      </c>
      <c r="E8" s="128">
        <f>VLOOKUP(B8,'Quality - 2'!$B$2:$S$22,18,FALSE)</f>
        <v>9</v>
      </c>
      <c r="F8" s="128">
        <f>VLOOKUP(B8,Safety!$B$4:$R$24,17,FALSE)</f>
        <v>9</v>
      </c>
      <c r="G8" s="134">
        <f t="shared" si="0"/>
        <v>27.200000000000003</v>
      </c>
      <c r="H8" s="134" cm="1">
        <f t="array" ref="H8">_xlfn.PERCENTRANK.EXC(_xlfn._xlws.FILTER($G$7:G$26, ISNUMBER($G$7:G$26)),G8)*100</f>
        <v>19</v>
      </c>
      <c r="I8" s="171">
        <f>VLOOKUP(B8,'LIQIDITY 2'!$A$3:$X$23,24,FALSE)</f>
        <v>72.7</v>
      </c>
      <c r="J8" s="126">
        <f ca="1">VLOOKUP(B8,'Momnetum ranking'!A:AJ,36,FALSE)</f>
        <v>72.7</v>
      </c>
      <c r="K8" s="173">
        <f>VLOOKUP(B8,'Momnetum ranking'!$A$3:$H$23,8,FALSE)</f>
        <v>0.29411764705882354</v>
      </c>
      <c r="L8" s="127">
        <f>VLOOKUP(B8,'Currency- 2'!$A$3:$U$23,21,FALSE)</f>
        <v>63.6</v>
      </c>
      <c r="M8" s="136">
        <f t="shared" ca="1" si="1"/>
        <v>58.139184</v>
      </c>
      <c r="N8" s="127" cm="1">
        <f t="array" aca="1" ref="N8" ca="1">_xlfn.PERCENTRANK.EXC(_xlfn._xlws.FILTER($M$7:M$26, ISNUMBER($M$7:M$26)),M8)*100</f>
        <v>76.099999999999994</v>
      </c>
    </row>
    <row r="9" spans="2:16" x14ac:dyDescent="0.35">
      <c r="B9" s="80" t="s">
        <v>21</v>
      </c>
      <c r="C9" s="82" t="s">
        <v>38</v>
      </c>
      <c r="D9" s="128">
        <f>VLOOKUP(B9,'Value -2 '!$D$3:$AC$23,26,FALSE)</f>
        <v>40.9</v>
      </c>
      <c r="E9" s="128">
        <f>VLOOKUP(B9,'Quality - 2'!$B$2:$S$22,18,FALSE)</f>
        <v>81.8</v>
      </c>
      <c r="F9" s="128">
        <f>VLOOKUP(B9,Safety!$B$4:$R$24,17,FALSE)</f>
        <v>50</v>
      </c>
      <c r="G9" s="134">
        <f t="shared" si="0"/>
        <v>57.566666666666677</v>
      </c>
      <c r="H9" s="134" cm="1">
        <f t="array" ref="H9">_xlfn.PERCENTRANK.EXC(_xlfn._xlws.FILTER($G$7:G$26, ISNUMBER($G$7:G$26)),G9)*100</f>
        <v>61.9</v>
      </c>
      <c r="I9" s="171">
        <f>VLOOKUP(B9,'LIQIDITY 2'!$A$3:$X$23,24,FALSE)</f>
        <v>54.500000000000007</v>
      </c>
      <c r="J9" s="126">
        <f ca="1">VLOOKUP(B9,'Momnetum ranking'!A:AJ,36,FALSE)</f>
        <v>45.4</v>
      </c>
      <c r="K9" s="173">
        <f>VLOOKUP(B9,'Momnetum ranking'!$A$3:$H$23,8,FALSE)</f>
        <v>0.51485148514851486</v>
      </c>
      <c r="L9" s="127">
        <f>VLOOKUP(B9,'Currency- 2'!$A$3:$U$23,21,FALSE)</f>
        <v>22.7</v>
      </c>
      <c r="M9" s="136">
        <f t="shared" ca="1" si="1"/>
        <v>48.598273000000006</v>
      </c>
      <c r="N9" s="127" cm="1">
        <f t="array" aca="1" ref="N9" ca="1">_xlfn.PERCENTRANK.EXC(_xlfn._xlws.FILTER($M$7:M$26, ISNUMBER($M$7:M$26)),M9)*100</f>
        <v>47.599999999999994</v>
      </c>
    </row>
    <row r="10" spans="2:16" x14ac:dyDescent="0.35">
      <c r="B10" s="80" t="s">
        <v>24</v>
      </c>
      <c r="C10" s="82" t="s">
        <v>40</v>
      </c>
      <c r="D10" s="128">
        <f>VLOOKUP(B10,'Value -2 '!$D$3:$AC$23,26,FALSE)</f>
        <v>36.299999999999997</v>
      </c>
      <c r="E10" s="128">
        <f>VLOOKUP(B10,'Quality - 2'!$B$2:$S$22,18,FALSE)</f>
        <v>90.9</v>
      </c>
      <c r="F10" s="128">
        <f>VLOOKUP(B10,Safety!$B$4:$R$24,17,FALSE)</f>
        <v>63.6</v>
      </c>
      <c r="G10" s="134">
        <f t="shared" si="0"/>
        <v>63.6</v>
      </c>
      <c r="H10" s="134" cm="1">
        <f t="array" ref="H10">_xlfn.PERCENTRANK.EXC(_xlfn._xlws.FILTER($G$7:G$26, ISNUMBER($G$7:G$26)),G10)*100</f>
        <v>76.099999999999994</v>
      </c>
      <c r="I10" s="171">
        <f>VLOOKUP(B10,'LIQIDITY 2'!$A$3:$X$23,24,FALSE)</f>
        <v>27.200000000000003</v>
      </c>
      <c r="J10" s="126">
        <f ca="1">VLOOKUP(B10,'Momnetum ranking'!A:AJ,36,FALSE)</f>
        <v>86.3</v>
      </c>
      <c r="K10" s="173">
        <f>VLOOKUP(B10,'Momnetum ranking'!$A$3:$H$23,8,FALSE)</f>
        <v>0.48351648351648352</v>
      </c>
      <c r="L10" s="127">
        <f>VLOOKUP(B10,'Currency- 2'!$A$3:$U$23,21,FALSE)</f>
        <v>68.100000000000009</v>
      </c>
      <c r="M10" s="136">
        <f t="shared" ca="1" si="1"/>
        <v>65.848092000000008</v>
      </c>
      <c r="N10" s="127" cm="1">
        <f t="array" aca="1" ref="N10" ca="1">_xlfn.PERCENTRANK.EXC(_xlfn._xlws.FILTER($M$7:M$26, ISNUMBER($M$7:M$26)),M10)*100</f>
        <v>95.199999999999989</v>
      </c>
    </row>
    <row r="11" spans="2:16" x14ac:dyDescent="0.35">
      <c r="B11" s="80" t="s">
        <v>32</v>
      </c>
      <c r="C11" s="82" t="s">
        <v>52</v>
      </c>
      <c r="D11" s="128">
        <f>VLOOKUP(B11,'Value -2 '!$D$3:$AC$23,26,FALSE)</f>
        <v>4.5</v>
      </c>
      <c r="E11" s="128">
        <f>VLOOKUP(B11,'Quality - 2'!$B$2:$S$22,18,FALSE)</f>
        <v>77.2</v>
      </c>
      <c r="F11" s="128">
        <f>VLOOKUP(B11,Safety!$B$4:$R$24,17,FALSE)</f>
        <v>59</v>
      </c>
      <c r="G11" s="134">
        <f t="shared" si="0"/>
        <v>46.900000000000006</v>
      </c>
      <c r="H11" s="134" cm="1">
        <f t="array" ref="H11">_xlfn.PERCENTRANK.EXC(_xlfn._xlws.FILTER($G$7:G$26, ISNUMBER($G$7:G$26)),G11)*100</f>
        <v>47.599999999999994</v>
      </c>
      <c r="I11" s="171">
        <f>VLOOKUP(B11,'LIQIDITY 2'!$A$3:$X$23,24,FALSE)</f>
        <v>54.500000000000007</v>
      </c>
      <c r="J11" s="126">
        <f ca="1">VLOOKUP(B11,'Momnetum ranking'!A:AJ,36,FALSE)</f>
        <v>81.8</v>
      </c>
      <c r="K11" s="173">
        <f>VLOOKUP(B11,'Momnetum ranking'!$A$3:$H$23,8,FALSE)</f>
        <v>0.43065693430656932</v>
      </c>
      <c r="L11" s="127">
        <f>VLOOKUP(B11,'Currency- 2'!$A$3:$U$23,21,FALSE)</f>
        <v>72.7</v>
      </c>
      <c r="M11" s="136">
        <f t="shared" ca="1" si="1"/>
        <v>64.958592999999993</v>
      </c>
      <c r="N11" s="127" cm="1">
        <f t="array" aca="1" ref="N11" ca="1">_xlfn.PERCENTRANK.EXC(_xlfn._xlws.FILTER($M$7:M$26, ISNUMBER($M$7:M$26)),M11)*100</f>
        <v>90.4</v>
      </c>
    </row>
    <row r="12" spans="2:16" x14ac:dyDescent="0.35">
      <c r="B12" s="80" t="s">
        <v>34</v>
      </c>
      <c r="C12" s="82" t="s">
        <v>447</v>
      </c>
      <c r="D12" s="128">
        <f>VLOOKUP(B12,'Value -2 '!$D$3:$AC$23,26,FALSE)</f>
        <v>86.3</v>
      </c>
      <c r="E12" s="128">
        <f>VLOOKUP(B12,'Quality - 2'!$B$2:$S$22,18,FALSE)</f>
        <v>22.7</v>
      </c>
      <c r="F12" s="128">
        <f>VLOOKUP(B12,Safety!$B$4:$R$24,17,FALSE)</f>
        <v>72.7</v>
      </c>
      <c r="G12" s="134">
        <f t="shared" si="0"/>
        <v>60.56666666666667</v>
      </c>
      <c r="H12" s="134" cm="1">
        <f t="array" ref="H12">_xlfn.PERCENTRANK.EXC(_xlfn._xlws.FILTER($G$7:G$26, ISNUMBER($G$7:G$26)),G12)*100</f>
        <v>66.600000000000009</v>
      </c>
      <c r="I12" s="171">
        <f>VLOOKUP(B12,'LIQIDITY 2'!$A$3:$X$23,24,FALSE)</f>
        <v>4.5</v>
      </c>
      <c r="J12" s="126">
        <f ca="1">VLOOKUP(B12,'Momnetum ranking'!A:AJ,36,FALSE)</f>
        <v>22.7</v>
      </c>
      <c r="K12" s="173">
        <f>VLOOKUP(B12,'Momnetum ranking'!$A$3:$H$23,8,FALSE)</f>
        <v>0.2857142857142857</v>
      </c>
      <c r="L12" s="127">
        <f>VLOOKUP(B12,'Currency- 2'!$A$3:$U$23,21,FALSE)</f>
        <v>90.9</v>
      </c>
      <c r="M12" s="136">
        <f t="shared" ca="1" si="1"/>
        <v>37.238182999999999</v>
      </c>
      <c r="N12" s="127" cm="1">
        <f t="array" aca="1" ref="N12" ca="1">_xlfn.PERCENTRANK.EXC(_xlfn._xlws.FILTER($M$7:M$26, ISNUMBER($M$7:M$26)),M12)*100</f>
        <v>23.799999999999997</v>
      </c>
    </row>
    <row r="13" spans="2:16" x14ac:dyDescent="0.35">
      <c r="B13" s="80" t="s">
        <v>26</v>
      </c>
      <c r="C13" s="82" t="s">
        <v>41</v>
      </c>
      <c r="D13" s="128">
        <f>VLOOKUP(B13,'Value -2 '!$D$3:$AC$23,26,FALSE)</f>
        <v>72.7</v>
      </c>
      <c r="E13" s="128">
        <f>VLOOKUP(B13,'Quality - 2'!$B$2:$S$22,18,FALSE)</f>
        <v>86.3</v>
      </c>
      <c r="F13" s="128">
        <f>VLOOKUP(B13,Safety!$B$4:$R$24,17,FALSE)</f>
        <v>50</v>
      </c>
      <c r="G13" s="134">
        <f t="shared" si="0"/>
        <v>69.666666666666671</v>
      </c>
      <c r="H13" s="134" cm="1">
        <f t="array" ref="H13">_xlfn.PERCENTRANK.EXC(_xlfn._xlws.FILTER($G$7:G$26, ISNUMBER($G$7:G$26)),G13)*100</f>
        <v>90.4</v>
      </c>
      <c r="I13" s="171">
        <f>VLOOKUP(B13,'LIQIDITY 2'!$A$3:$X$23,24,FALSE)</f>
        <v>72.7</v>
      </c>
      <c r="J13" s="126">
        <f ca="1">VLOOKUP(B13,'Momnetum ranking'!A:AJ,36,FALSE)</f>
        <v>54.500000000000007</v>
      </c>
      <c r="K13" s="173">
        <f>VLOOKUP(B13,'Momnetum ranking'!$A$3:$H$23,8,FALSE)</f>
        <v>0.2783661119515885</v>
      </c>
      <c r="L13" s="127">
        <f>VLOOKUP(B13,'Currency- 2'!$A$3:$U$23,21,FALSE)</f>
        <v>50</v>
      </c>
      <c r="M13" s="136">
        <f t="shared" ca="1" si="1"/>
        <v>62.237910000000007</v>
      </c>
      <c r="N13" s="127" cm="1">
        <f t="array" aca="1" ref="N13" ca="1">_xlfn.PERCENTRANK.EXC(_xlfn._xlws.FILTER($M$7:M$26, ISNUMBER($M$7:M$26)),M13)*100</f>
        <v>80.900000000000006</v>
      </c>
    </row>
    <row r="14" spans="2:16" x14ac:dyDescent="0.35">
      <c r="B14" s="80" t="s">
        <v>432</v>
      </c>
      <c r="C14" s="82" t="s">
        <v>435</v>
      </c>
      <c r="D14" s="128">
        <f>VLOOKUP(B14,'Value -2 '!$D$3:$AC$23,26,FALSE)</f>
        <v>68.100000000000009</v>
      </c>
      <c r="E14" s="128">
        <f>VLOOKUP(B14,'Quality - 2'!$B$2:$S$22,18,FALSE)</f>
        <v>95.399999999999991</v>
      </c>
      <c r="F14" s="128">
        <f>VLOOKUP(B14,Safety!$B$4:$R$24,17,FALSE)</f>
        <v>68.100000000000009</v>
      </c>
      <c r="G14" s="134">
        <f t="shared" si="0"/>
        <v>77.200000000000017</v>
      </c>
      <c r="H14" s="134" cm="1">
        <f t="array" ref="H14">_xlfn.PERCENTRANK.EXC(_xlfn._xlws.FILTER($G$7:G$26, ISNUMBER($G$7:G$26)),G14)*100</f>
        <v>95.199999999999989</v>
      </c>
      <c r="I14" s="171">
        <f>VLOOKUP(B14,'LIQIDITY 2'!$A$3:$X$23,24,FALSE)</f>
        <v>72.7</v>
      </c>
      <c r="J14" s="126">
        <f ca="1">VLOOKUP(B14,'Momnetum ranking'!A:AJ,36,FALSE)</f>
        <v>31.8</v>
      </c>
      <c r="K14" s="173">
        <f>VLOOKUP(B14,'Momnetum ranking'!$A$3:$H$23,8,FALSE)</f>
        <v>0.23506743737957611</v>
      </c>
      <c r="L14" s="127">
        <f>VLOOKUP(B14,'Currency- 2'!$A$3:$U$23,21,FALSE)</f>
        <v>50</v>
      </c>
      <c r="M14" s="136">
        <f t="shared" ca="1" si="1"/>
        <v>55.417684000000001</v>
      </c>
      <c r="N14" s="127" cm="1">
        <f t="array" aca="1" ref="N14" ca="1">_xlfn.PERCENTRANK.EXC(_xlfn._xlws.FILTER($M$7:M$26, ISNUMBER($M$7:M$26)),M14)*100</f>
        <v>57.099999999999994</v>
      </c>
    </row>
    <row r="15" spans="2:16" x14ac:dyDescent="0.35">
      <c r="B15" s="80" t="s">
        <v>28</v>
      </c>
      <c r="C15" s="82" t="s">
        <v>443</v>
      </c>
      <c r="D15" s="128">
        <f>VLOOKUP(B15,'Value -2 '!$D$3:$AC$23,26,FALSE)</f>
        <v>95.399999999999991</v>
      </c>
      <c r="E15" s="128">
        <f>VLOOKUP(B15,'Quality - 2'!$B$2:$S$22,18,FALSE)</f>
        <v>4.5</v>
      </c>
      <c r="F15" s="128">
        <f>VLOOKUP(B15,Safety!$B$4:$R$24,17,FALSE)</f>
        <v>13.600000000000001</v>
      </c>
      <c r="G15" s="134">
        <f t="shared" si="0"/>
        <v>37.833333333333336</v>
      </c>
      <c r="H15" s="134" cm="1">
        <f t="array" ref="H15">_xlfn.PERCENTRANK.EXC(_xlfn._xlws.FILTER($G$7:G$26, ISNUMBER($G$7:G$26)),G15)*100</f>
        <v>23.799999999999997</v>
      </c>
      <c r="I15" s="171">
        <f>VLOOKUP(B15,'LIQIDITY 2'!$A$3:$X$23,24,FALSE)</f>
        <v>4.5</v>
      </c>
      <c r="J15" s="126">
        <f ca="1">VLOOKUP(B15,'Momnetum ranking'!A:AJ,36,FALSE)</f>
        <v>68.100000000000009</v>
      </c>
      <c r="K15" s="173">
        <f>VLOOKUP(B15,'Momnetum ranking'!$A$3:$H$23,8,FALSE)</f>
        <v>0.36666666666666664</v>
      </c>
      <c r="L15" s="127">
        <f>VLOOKUP(B15,'Currency- 2'!$A$3:$U$23,21,FALSE)</f>
        <v>36.299999999999997</v>
      </c>
      <c r="M15" s="136">
        <f t="shared" ca="1" si="1"/>
        <v>43.118865000000007</v>
      </c>
      <c r="N15" s="127" cm="1">
        <f t="array" aca="1" ref="N15" ca="1">_xlfn.PERCENTRANK.EXC(_xlfn._xlws.FILTER($M$7:M$26, ISNUMBER($M$7:M$26)),M15)*100</f>
        <v>33.300000000000004</v>
      </c>
    </row>
    <row r="16" spans="2:16" x14ac:dyDescent="0.35">
      <c r="B16" s="80" t="s">
        <v>30</v>
      </c>
      <c r="C16" s="82" t="s">
        <v>438</v>
      </c>
      <c r="D16" s="128">
        <f>VLOOKUP(B16,'Value -2 '!$D$3:$AC$23,26,FALSE)</f>
        <v>59</v>
      </c>
      <c r="E16" s="128">
        <f>VLOOKUP(B16,'Quality - 2'!$B$2:$S$22,18,FALSE)</f>
        <v>54.500000000000007</v>
      </c>
      <c r="F16" s="128">
        <f>VLOOKUP(B16,Safety!$B$4:$R$24,17,FALSE)</f>
        <v>81.8</v>
      </c>
      <c r="G16" s="134">
        <f t="shared" si="0"/>
        <v>65.100000000000009</v>
      </c>
      <c r="H16" s="134" cm="1">
        <f t="array" ref="H16">_xlfn.PERCENTRANK.EXC(_xlfn._xlws.FILTER($G$7:G$26, ISNUMBER($G$7:G$26)),G16)*100</f>
        <v>80.900000000000006</v>
      </c>
      <c r="I16" s="171">
        <f>VLOOKUP(B16,'LIQIDITY 2'!$A$3:$X$23,24,FALSE)</f>
        <v>27.200000000000003</v>
      </c>
      <c r="J16" s="126">
        <f ca="1">VLOOKUP(B16,'Momnetum ranking'!A:AJ,36,FALSE)</f>
        <v>36.299999999999997</v>
      </c>
      <c r="K16" s="173">
        <f>VLOOKUP(B16,'Momnetum ranking'!$A$3:$H$23,8,FALSE)</f>
        <v>0.54285714285714282</v>
      </c>
      <c r="L16" s="127">
        <f>VLOOKUP(B16,'Currency- 2'!$A$3:$U$23,21,FALSE)</f>
        <v>13.600000000000001</v>
      </c>
      <c r="M16" s="136">
        <f t="shared" ca="1" si="1"/>
        <v>40.848047000000001</v>
      </c>
      <c r="N16" s="127" cm="1">
        <f t="array" aca="1" ref="N16" ca="1">_xlfn.PERCENTRANK.EXC(_xlfn._xlws.FILTER($M$7:M$26, ISNUMBER($M$7:M$26)),M16)*100</f>
        <v>28.499999999999996</v>
      </c>
    </row>
    <row r="17" spans="2:14" x14ac:dyDescent="0.35">
      <c r="B17" s="80" t="s">
        <v>33</v>
      </c>
      <c r="C17" s="82" t="s">
        <v>441</v>
      </c>
      <c r="D17" s="128">
        <f>VLOOKUP(B17,'Value -2 '!$D$3:$AC$23,26,FALSE)</f>
        <v>18.099999999999998</v>
      </c>
      <c r="E17" s="128">
        <f>VLOOKUP(B17,'Quality - 2'!$B$2:$S$22,18,FALSE)</f>
        <v>68.100000000000009</v>
      </c>
      <c r="F17" s="128">
        <f>VLOOKUP(B17,Safety!$B$4:$R$24,17,FALSE)</f>
        <v>40.9</v>
      </c>
      <c r="G17" s="134">
        <f t="shared" si="0"/>
        <v>42.366666666666667</v>
      </c>
      <c r="H17" s="134" cm="1">
        <f t="array" ref="H17">_xlfn.PERCENTRANK.EXC(_xlfn._xlws.FILTER($G$7:G$26, ISNUMBER($G$7:G$26)),G17)*100</f>
        <v>33.300000000000004</v>
      </c>
      <c r="I17" s="171">
        <f>VLOOKUP(B17,'LIQIDITY 2'!$A$3:$X$23,24,FALSE)</f>
        <v>27.200000000000003</v>
      </c>
      <c r="J17" s="126">
        <f ca="1">VLOOKUP(B17,'Momnetum ranking'!A:AJ,36,FALSE)</f>
        <v>77.2</v>
      </c>
      <c r="K17" s="173">
        <f>VLOOKUP(B17,'Momnetum ranking'!$A$3:$H$23,8,FALSE)</f>
        <v>0.26470588235294118</v>
      </c>
      <c r="L17" s="127">
        <f>VLOOKUP(B17,'Currency- 2'!$A$3:$U$23,21,FALSE)</f>
        <v>77.2</v>
      </c>
      <c r="M17" s="136">
        <f t="shared" ca="1" si="1"/>
        <v>56.748728999999997</v>
      </c>
      <c r="N17" s="127" cm="1">
        <f t="array" aca="1" ref="N17" ca="1">_xlfn.PERCENTRANK.EXC(_xlfn._xlws.FILTER($M$7:M$26, ISNUMBER($M$7:M$26)),M17)*100</f>
        <v>71.399999999999991</v>
      </c>
    </row>
    <row r="18" spans="2:14" x14ac:dyDescent="0.35">
      <c r="B18" s="80" t="s">
        <v>36</v>
      </c>
      <c r="C18" s="82" t="s">
        <v>449</v>
      </c>
      <c r="D18" s="128">
        <f>VLOOKUP(B18,'Value -2 '!$D$3:$AC$23,26,FALSE)</f>
        <v>13.600000000000001</v>
      </c>
      <c r="E18" s="128">
        <f>VLOOKUP(B18,'Quality - 2'!$B$2:$S$22,18,FALSE)</f>
        <v>40.9</v>
      </c>
      <c r="F18" s="128">
        <f>VLOOKUP(B18,Safety!$B$4:$R$24,17,FALSE)</f>
        <v>86.3</v>
      </c>
      <c r="G18" s="134">
        <f t="shared" si="0"/>
        <v>46.933333333333344</v>
      </c>
      <c r="H18" s="134" cm="1">
        <f t="array" ref="H18">_xlfn.PERCENTRANK.EXC(_xlfn._xlws.FILTER($G$7:G$26, ISNUMBER($G$7:G$26)),G18)*100</f>
        <v>52.300000000000004</v>
      </c>
      <c r="I18" s="171">
        <f>VLOOKUP(B18,'LIQIDITY 2'!$A$3:$X$23,24,FALSE)</f>
        <v>27.200000000000003</v>
      </c>
      <c r="J18" s="126">
        <f ca="1">VLOOKUP(B18,'Momnetum ranking'!A:AJ,36,FALSE)</f>
        <v>40.9</v>
      </c>
      <c r="K18" s="173">
        <f>VLOOKUP(B18,'Momnetum ranking'!$A$3:$H$23,8,FALSE)</f>
        <v>0.24590163934426229</v>
      </c>
      <c r="L18" s="127">
        <f>VLOOKUP(B18,'Currency- 2'!$A$3:$U$23,21,FALSE)</f>
        <v>86.3</v>
      </c>
      <c r="M18" s="136">
        <f t="shared" ca="1" si="1"/>
        <v>44.508592</v>
      </c>
      <c r="N18" s="127" cm="1">
        <f t="array" aca="1" ref="N18" ca="1">_xlfn.PERCENTRANK.EXC(_xlfn._xlws.FILTER($M$7:M$26, ISNUMBER($M$7:M$26)),M18)*100</f>
        <v>42.8</v>
      </c>
    </row>
    <row r="19" spans="2:14" x14ac:dyDescent="0.35">
      <c r="B19" s="80" t="s">
        <v>7</v>
      </c>
      <c r="C19" s="82" t="s">
        <v>53</v>
      </c>
      <c r="D19" s="128">
        <f>VLOOKUP(B19,'Value -2 '!$D$3:$AC$23,26,FALSE)</f>
        <v>27.200000000000003</v>
      </c>
      <c r="E19" s="128">
        <f>VLOOKUP(B19,'Quality - 2'!$B$2:$S$22,18,FALSE)</f>
        <v>59</v>
      </c>
      <c r="F19" s="128">
        <f>VLOOKUP(B19,Safety!$B$4:$R$24,17,FALSE)</f>
        <v>45.4</v>
      </c>
      <c r="G19" s="134">
        <f t="shared" si="0"/>
        <v>43.866666666666667</v>
      </c>
      <c r="H19" s="134" cm="1">
        <f t="array" ref="H19">_xlfn.PERCENTRANK.EXC(_xlfn._xlws.FILTER($G$7:G$26, ISNUMBER($G$7:G$26)),G19)*100</f>
        <v>42.8</v>
      </c>
      <c r="I19" s="171">
        <f>VLOOKUP(B19,'LIQIDITY 2'!$A$3:$X$23,24,FALSE)</f>
        <v>72.7</v>
      </c>
      <c r="J19" s="126">
        <f ca="1">VLOOKUP(B19,'Momnetum ranking'!A:AJ,36,FALSE)</f>
        <v>50</v>
      </c>
      <c r="K19" s="173">
        <f>VLOOKUP(B19,'Momnetum ranking'!$A$3:$H$23,8,FALSE)</f>
        <v>0.47727272727272729</v>
      </c>
      <c r="L19" s="127">
        <f>VLOOKUP(B19,'Currency- 2'!$A$3:$U$23,21,FALSE)</f>
        <v>81.8</v>
      </c>
      <c r="M19" s="136">
        <f t="shared" ca="1" si="1"/>
        <v>55.878684</v>
      </c>
      <c r="N19" s="127" cm="1">
        <f t="array" aca="1" ref="N19" ca="1">_xlfn.PERCENTRANK.EXC(_xlfn._xlws.FILTER($M$7:M$26, ISNUMBER($M$7:M$26)),M19)*100</f>
        <v>61.9</v>
      </c>
    </row>
    <row r="20" spans="2:14" x14ac:dyDescent="0.35">
      <c r="B20" s="80" t="s">
        <v>29</v>
      </c>
      <c r="C20" s="82" t="s">
        <v>440</v>
      </c>
      <c r="D20" s="128">
        <f>VLOOKUP(B20,'Value -2 '!$D$3:$AC$23,26,FALSE)</f>
        <v>22.7</v>
      </c>
      <c r="E20" s="128">
        <f>VLOOKUP(B20,'Quality - 2'!$B$2:$S$22,18,FALSE)</f>
        <v>31.8</v>
      </c>
      <c r="F20" s="128">
        <f>VLOOKUP(B20,Safety!$B$4:$R$24,17,FALSE)</f>
        <v>18.099999999999998</v>
      </c>
      <c r="G20" s="134">
        <f t="shared" si="0"/>
        <v>24.200000000000003</v>
      </c>
      <c r="H20" s="134" cm="1">
        <f t="array" ref="H20">_xlfn.PERCENTRANK.EXC(_xlfn._xlws.FILTER($G$7:G$26, ISNUMBER($G$7:G$26)),G20)*100</f>
        <v>9.5</v>
      </c>
      <c r="I20" s="171">
        <f>VLOOKUP(B20,'LIQIDITY 2'!$A$3:$X$23,24,FALSE)</f>
        <v>72.7</v>
      </c>
      <c r="J20" s="126">
        <f ca="1">VLOOKUP(B20,'Momnetum ranking'!A:AJ,36,FALSE)</f>
        <v>90.9</v>
      </c>
      <c r="K20" s="173">
        <f>VLOOKUP(B20,'Momnetum ranking'!$A$3:$H$23,8,FALSE)</f>
        <v>0.42307692307692307</v>
      </c>
      <c r="L20" s="127">
        <f>VLOOKUP(B20,'Currency- 2'!$A$3:$U$23,21,FALSE)</f>
        <v>40.9</v>
      </c>
      <c r="M20" s="136">
        <f t="shared" ca="1" si="1"/>
        <v>62.249274000000014</v>
      </c>
      <c r="N20" s="127" cm="1">
        <f t="array" aca="1" ref="N20" ca="1">_xlfn.PERCENTRANK.EXC(_xlfn._xlws.FILTER($M$7:M$26, ISNUMBER($M$7:M$26)),M20)*100</f>
        <v>85.7</v>
      </c>
    </row>
    <row r="21" spans="2:14" x14ac:dyDescent="0.35">
      <c r="B21" s="80" t="s">
        <v>22</v>
      </c>
      <c r="C21" s="82" t="s">
        <v>442</v>
      </c>
      <c r="D21" s="128">
        <f>VLOOKUP(B21,'Value -2 '!$D$3:$AC$23,26,FALSE)</f>
        <v>31.8</v>
      </c>
      <c r="E21" s="128">
        <f>VLOOKUP(B21,'Quality - 2'!$B$2:$S$22,18,FALSE)</f>
        <v>18.099999999999998</v>
      </c>
      <c r="F21" s="128">
        <f>VLOOKUP(B21,Safety!$B$4:$R$24,17,FALSE)</f>
        <v>27.200000000000003</v>
      </c>
      <c r="G21" s="134">
        <f t="shared" si="0"/>
        <v>25.700000000000006</v>
      </c>
      <c r="H21" s="134" cm="1">
        <f t="array" ref="H21">_xlfn.PERCENTRANK.EXC(_xlfn._xlws.FILTER($G$7:G$26, ISNUMBER($G$7:G$26)),G21)*100</f>
        <v>14.2</v>
      </c>
      <c r="I21" s="171">
        <f>VLOOKUP(B21,'LIQIDITY 2'!$A$3:$X$23,24,FALSE)</f>
        <v>27.200000000000003</v>
      </c>
      <c r="J21" s="126">
        <f ca="1">VLOOKUP(B21,'Momnetum ranking'!A:AJ,36,FALSE)</f>
        <v>63.6</v>
      </c>
      <c r="K21" s="173">
        <f>VLOOKUP(B21,'Momnetum ranking'!$A$3:$H$23,8,FALSE)</f>
        <v>0.26470588235294118</v>
      </c>
      <c r="L21" s="127">
        <f>VLOOKUP(B21,'Currency- 2'!$A$3:$U$23,21,FALSE)</f>
        <v>59</v>
      </c>
      <c r="M21" s="136">
        <f t="shared" ca="1" si="1"/>
        <v>44.489229000000002</v>
      </c>
      <c r="N21" s="127" cm="1">
        <f t="array" aca="1" ref="N21" ca="1">_xlfn.PERCENTRANK.EXC(_xlfn._xlws.FILTER($M$7:M$26, ISNUMBER($M$7:M$26)),M21)*100</f>
        <v>38</v>
      </c>
    </row>
    <row r="22" spans="2:14" x14ac:dyDescent="0.35">
      <c r="B22" s="80" t="s">
        <v>37</v>
      </c>
      <c r="C22" s="82" t="s">
        <v>448</v>
      </c>
      <c r="D22" s="128">
        <f>VLOOKUP(B22,'Value -2 '!$D$3:$AC$23,26,FALSE)</f>
        <v>9</v>
      </c>
      <c r="E22" s="128">
        <f>VLOOKUP(B22,'Quality - 2'!$B$2:$S$22,18,FALSE)</f>
        <v>27.200000000000003</v>
      </c>
      <c r="F22" s="128">
        <f>VLOOKUP(B22,Safety!$B$4:$R$24,17,FALSE)</f>
        <v>36.299999999999997</v>
      </c>
      <c r="G22" s="134">
        <f t="shared" si="0"/>
        <v>24.166666666666668</v>
      </c>
      <c r="H22" s="134" cm="1">
        <f t="array" ref="H22">_xlfn.PERCENTRANK.EXC(_xlfn._xlws.FILTER($G$7:G$26, ISNUMBER($G$7:G$26)),G22)*100</f>
        <v>4.7</v>
      </c>
      <c r="I22" s="171">
        <f>VLOOKUP(B22,'LIQIDITY 2'!$A$3:$X$23,24,FALSE)</f>
        <v>54.500000000000007</v>
      </c>
      <c r="J22" s="126">
        <f ca="1">VLOOKUP(B22,'Momnetum ranking'!A:AJ,36,FALSE)</f>
        <v>13.600000000000001</v>
      </c>
      <c r="K22" s="173">
        <f>VLOOKUP(B22,'Momnetum ranking'!$A$3:$H$23,8,FALSE)</f>
        <v>0.10638297872340426</v>
      </c>
      <c r="L22" s="127">
        <f>VLOOKUP(B22,'Currency- 2'!$A$3:$U$23,21,FALSE)</f>
        <v>27.200000000000003</v>
      </c>
      <c r="M22" s="136">
        <f t="shared" ca="1" si="1"/>
        <v>26.309275000000007</v>
      </c>
      <c r="N22" s="127" cm="1">
        <f t="array" aca="1" ref="N22" ca="1">_xlfn.PERCENTRANK.EXC(_xlfn._xlws.FILTER($M$7:M$26, ISNUMBER($M$7:M$26)),M22)*100</f>
        <v>4.7</v>
      </c>
    </row>
    <row r="23" spans="2:14" x14ac:dyDescent="0.35">
      <c r="B23" s="80" t="s">
        <v>25</v>
      </c>
      <c r="C23" s="82" t="s">
        <v>446</v>
      </c>
      <c r="D23" s="128">
        <f>VLOOKUP(B23,'Value -2 '!$D$3:$AC$23,26,FALSE)</f>
        <v>50</v>
      </c>
      <c r="E23" s="128">
        <f>VLOOKUP(B23,'Quality - 2'!$B$2:$S$22,18,FALSE)</f>
        <v>63.6</v>
      </c>
      <c r="F23" s="128">
        <f>VLOOKUP(B23,Safety!$B$4:$R$24,17,FALSE)</f>
        <v>4.5</v>
      </c>
      <c r="G23" s="134">
        <f t="shared" si="0"/>
        <v>39.366666666666674</v>
      </c>
      <c r="H23" s="134" cm="1">
        <f t="array" ref="H23">_xlfn.PERCENTRANK.EXC(_xlfn._xlws.FILTER($G$7:G$26, ISNUMBER($G$7:G$26)),G23)*100</f>
        <v>28.499999999999996</v>
      </c>
      <c r="I23" s="171">
        <f>VLOOKUP(B23,'LIQIDITY 2'!$A$3:$X$23,24,FALSE)</f>
        <v>4.5</v>
      </c>
      <c r="J23" s="126">
        <f ca="1">VLOOKUP(B23,'Momnetum ranking'!A:AJ,36,FALSE)</f>
        <v>95.399999999999991</v>
      </c>
      <c r="K23" s="173">
        <f>VLOOKUP(B23,'Momnetum ranking'!$A$3:$H$23,8,FALSE)</f>
        <v>0.14285714285714285</v>
      </c>
      <c r="L23" s="127">
        <f>VLOOKUP(B23,'Currency- 2'!$A$3:$U$23,21,FALSE)</f>
        <v>4.5</v>
      </c>
      <c r="M23" s="136">
        <f t="shared" ca="1" si="1"/>
        <v>51.318818999999998</v>
      </c>
      <c r="N23" s="127" cm="1">
        <f t="array" aca="1" ref="N23" ca="1">_xlfn.PERCENTRANK.EXC(_xlfn._xlws.FILTER($M$7:M$26, ISNUMBER($M$7:M$26)),M23)*100</f>
        <v>52.300000000000004</v>
      </c>
    </row>
    <row r="24" spans="2:14" x14ac:dyDescent="0.35">
      <c r="B24" s="80" t="s">
        <v>27</v>
      </c>
      <c r="C24" s="82" t="s">
        <v>436</v>
      </c>
      <c r="D24" s="128">
        <f>VLOOKUP(B24,'Value -2 '!$D$3:$AC$23,26,FALSE)</f>
        <v>90.9</v>
      </c>
      <c r="E24" s="128">
        <f>VLOOKUP(B24,'Quality - 2'!$B$2:$S$22,18,FALSE)</f>
        <v>50</v>
      </c>
      <c r="F24" s="128">
        <f>VLOOKUP(B24,Safety!$B$4:$R$24,17,FALSE)</f>
        <v>22.7</v>
      </c>
      <c r="G24" s="134">
        <f t="shared" si="0"/>
        <v>54.533333333333331</v>
      </c>
      <c r="H24" s="134" cm="1">
        <f t="array" ref="H24">_xlfn.PERCENTRANK.EXC(_xlfn._xlws.FILTER($G$7:G$26, ISNUMBER($G$7:G$26)),G24)*100</f>
        <v>57.099999999999994</v>
      </c>
      <c r="I24" s="171">
        <f>VLOOKUP(B24,'LIQIDITY 2'!$A$3:$X$23,24,FALSE)</f>
        <v>72.7</v>
      </c>
      <c r="J24" s="126">
        <f ca="1">VLOOKUP(B24,'Momnetum ranking'!A:AJ,36,FALSE)</f>
        <v>59</v>
      </c>
      <c r="K24" s="173">
        <f>VLOOKUP(B24,'Momnetum ranking'!$A$3:$H$23,8,FALSE)</f>
        <v>0.34482758620689657</v>
      </c>
      <c r="L24" s="127">
        <f>VLOOKUP(B24,'Currency- 2'!$A$3:$U$23,21,FALSE)</f>
        <v>18.099999999999998</v>
      </c>
      <c r="M24" s="136">
        <f t="shared" ca="1" si="1"/>
        <v>56.308364000000005</v>
      </c>
      <c r="N24" s="127" cm="1">
        <f t="array" aca="1" ref="N24" ca="1">_xlfn.PERCENTRANK.EXC(_xlfn._xlws.FILTER($M$7:M$26, ISNUMBER($M$7:M$26)),M24)*100</f>
        <v>66.600000000000009</v>
      </c>
    </row>
    <row r="25" spans="2:14" x14ac:dyDescent="0.35">
      <c r="B25" s="80" t="s">
        <v>31</v>
      </c>
      <c r="C25" s="82" t="s">
        <v>444</v>
      </c>
      <c r="D25" s="128">
        <f>VLOOKUP(B25,'Value -2 '!$D$3:$AC$23,26,FALSE)</f>
        <v>77.2</v>
      </c>
      <c r="E25" s="128">
        <f>VLOOKUP(B25,'Quality - 2'!$B$2:$S$22,18,FALSE)</f>
        <v>40.9</v>
      </c>
      <c r="F25" s="128">
        <f>VLOOKUP(B25,Safety!$B$4:$R$24,17,FALSE)</f>
        <v>77.2</v>
      </c>
      <c r="G25" s="134">
        <f t="shared" si="0"/>
        <v>65.100000000000009</v>
      </c>
      <c r="H25" s="134" cm="1">
        <f t="array" ref="H25">_xlfn.PERCENTRANK.EXC(_xlfn._xlws.FILTER($G$7:G$26, ISNUMBER($G$7:G$26)),G25)*100</f>
        <v>80.900000000000006</v>
      </c>
      <c r="I25" s="171">
        <f>VLOOKUP(B25,'LIQIDITY 2'!$A$3:$X$23,24,FALSE)</f>
        <v>4.5</v>
      </c>
      <c r="J25" s="126">
        <f ca="1">VLOOKUP(B25,'Momnetum ranking'!A:AJ,36,FALSE)</f>
        <v>18.099999999999998</v>
      </c>
      <c r="K25" s="173">
        <f>VLOOKUP(B25,'Momnetum ranking'!$A$3:$H$23,8,FALSE)</f>
        <v>0.20588235294117646</v>
      </c>
      <c r="L25" s="127">
        <f>VLOOKUP(B25,'Currency- 2'!$A$3:$U$23,21,FALSE)</f>
        <v>95.399999999999991</v>
      </c>
      <c r="M25" s="136">
        <f t="shared" ca="1" si="1"/>
        <v>37.208046999999993</v>
      </c>
      <c r="N25" s="127" cm="1">
        <f t="array" aca="1" ref="N25" ca="1">_xlfn.PERCENTRANK.EXC(_xlfn._xlws.FILTER($M$7:M$26, ISNUMBER($M$7:M$26)),M25)*100</f>
        <v>19</v>
      </c>
    </row>
    <row r="26" spans="2:14" x14ac:dyDescent="0.35">
      <c r="B26" s="81" t="s">
        <v>35</v>
      </c>
      <c r="C26" s="83" t="s">
        <v>437</v>
      </c>
      <c r="D26" s="129">
        <f>VLOOKUP(B26,'Value -2 '!$D$3:$AC$23,26,FALSE)</f>
        <v>54.500000000000007</v>
      </c>
      <c r="E26" s="129">
        <f>VLOOKUP(B26,'Quality - 2'!$B$2:$S$22,18,FALSE)</f>
        <v>36.299999999999997</v>
      </c>
      <c r="F26" s="129">
        <f>VLOOKUP(B26,Safety!$B$4:$R$24,17,FALSE)</f>
        <v>90.9</v>
      </c>
      <c r="G26" s="135">
        <f t="shared" si="0"/>
        <v>60.56666666666667</v>
      </c>
      <c r="H26" s="135" cm="1">
        <f t="array" ref="H26">_xlfn.PERCENTRANK.EXC(_xlfn._xlws.FILTER($G$7:G$26, ISNUMBER($G$7:G$26)),G26)*100</f>
        <v>66.600000000000009</v>
      </c>
      <c r="I26" s="172">
        <f>VLOOKUP(B26,'LIQIDITY 2'!$A$3:$X$23,24,FALSE)</f>
        <v>27.200000000000003</v>
      </c>
      <c r="J26" s="130">
        <f ca="1">VLOOKUP(B26,'Momnetum ranking'!A:AJ,36,FALSE)</f>
        <v>4.5</v>
      </c>
      <c r="K26" s="174">
        <f>VLOOKUP(B26,'Momnetum ranking'!$A$3:$H$23,8,FALSE)</f>
        <v>0.19480519480519481</v>
      </c>
      <c r="L26" s="131">
        <f>VLOOKUP(B26,'Currency- 2'!$A$3:$U$23,21,FALSE)</f>
        <v>45.4</v>
      </c>
      <c r="M26" s="137">
        <f t="shared" ca="1" si="1"/>
        <v>29.948183</v>
      </c>
      <c r="N26" s="131" cm="1">
        <f t="array" aca="1" ref="N26" ca="1">_xlfn.PERCENTRANK.EXC(_xlfn._xlws.FILTER($M$7:M$26, ISNUMBER($M$7:M$26)),M26)*100</f>
        <v>14.2</v>
      </c>
    </row>
  </sheetData>
  <autoFilter ref="B6:N6" xr:uid="{529E9CE9-D88B-4C94-B4F6-F98AE1A97539}">
    <sortState xmlns:xlrd2="http://schemas.microsoft.com/office/spreadsheetml/2017/richdata2" ref="B7:N27">
      <sortCondition descending="1" ref="N6"/>
    </sortState>
  </autoFilter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30"/>
  <sheetViews>
    <sheetView topLeftCell="A2" zoomScale="82" zoomScaleNormal="82" workbookViewId="0">
      <selection activeCell="R12" sqref="R12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40" t="s">
        <v>848</v>
      </c>
      <c r="D2" s="141">
        <v>0.5</v>
      </c>
      <c r="E2" s="65" t="s">
        <v>862</v>
      </c>
      <c r="F2" s="138">
        <v>0.1</v>
      </c>
      <c r="R2" s="159" t="s">
        <v>888</v>
      </c>
      <c r="S2" s="159" t="s">
        <v>888</v>
      </c>
    </row>
    <row r="3" spans="2:21" ht="15" thickBot="1" x14ac:dyDescent="0.4">
      <c r="C3" s="142" t="s">
        <v>849</v>
      </c>
      <c r="D3" s="143">
        <v>70</v>
      </c>
      <c r="E3" s="59" t="s">
        <v>850</v>
      </c>
      <c r="F3" s="61">
        <v>50</v>
      </c>
      <c r="R3" s="163">
        <f ca="1">COUNTIF(R9:R29,"&gt;0")</f>
        <v>0</v>
      </c>
      <c r="S3" s="163">
        <f ca="1">COUNTIF(S9:S29,"&gt;0")</f>
        <v>0</v>
      </c>
    </row>
    <row r="4" spans="2:21" ht="15" thickBot="1" x14ac:dyDescent="0.4">
      <c r="C4" s="142" t="s">
        <v>851</v>
      </c>
      <c r="D4" s="144">
        <v>0.3</v>
      </c>
      <c r="E4" s="59" t="s">
        <v>857</v>
      </c>
      <c r="F4" s="139">
        <v>0.1</v>
      </c>
    </row>
    <row r="5" spans="2:21" ht="15" thickBot="1" x14ac:dyDescent="0.4">
      <c r="C5" s="145" t="s">
        <v>852</v>
      </c>
      <c r="D5" s="146">
        <v>70</v>
      </c>
      <c r="E5" s="12" t="s">
        <v>849</v>
      </c>
      <c r="F5" s="14">
        <v>60</v>
      </c>
      <c r="Q5" s="65" t="s">
        <v>886</v>
      </c>
      <c r="R5" s="11"/>
    </row>
    <row r="6" spans="2:21" ht="15" thickBot="1" x14ac:dyDescent="0.4">
      <c r="Q6" s="12" t="s">
        <v>887</v>
      </c>
      <c r="R6" s="162">
        <v>0.01</v>
      </c>
    </row>
    <row r="7" spans="2:21" ht="15" thickBot="1" x14ac:dyDescent="0.4"/>
    <row r="8" spans="2:21" ht="15" thickBot="1" x14ac:dyDescent="0.4">
      <c r="B8" s="150" t="s">
        <v>853</v>
      </c>
      <c r="C8" s="151" t="s">
        <v>529</v>
      </c>
      <c r="D8" s="151" t="s">
        <v>555</v>
      </c>
      <c r="E8" s="151" t="s">
        <v>854</v>
      </c>
      <c r="F8" s="151" t="s">
        <v>554</v>
      </c>
      <c r="G8" s="151" t="s">
        <v>556</v>
      </c>
      <c r="H8" s="151" t="s">
        <v>557</v>
      </c>
      <c r="I8" s="151" t="s">
        <v>560</v>
      </c>
      <c r="J8" s="151" t="s">
        <v>858</v>
      </c>
      <c r="K8" s="151" t="s">
        <v>890</v>
      </c>
      <c r="L8" s="151" t="s">
        <v>859</v>
      </c>
      <c r="M8" s="151" t="s">
        <v>895</v>
      </c>
      <c r="N8" s="151" t="s">
        <v>860</v>
      </c>
      <c r="O8" s="151" t="s">
        <v>891</v>
      </c>
      <c r="P8" s="151" t="s">
        <v>861</v>
      </c>
      <c r="Q8" s="151" t="s">
        <v>892</v>
      </c>
      <c r="R8" s="151" t="s">
        <v>893</v>
      </c>
      <c r="S8" s="165" t="s">
        <v>894</v>
      </c>
    </row>
    <row r="9" spans="2:21" x14ac:dyDescent="0.35">
      <c r="B9" s="65" t="s">
        <v>432</v>
      </c>
      <c r="C9" s="10" t="str" cm="1">
        <f t="array" ref="C9">_xll.FDS(B9,"FG_COMPANY_NAME")</f>
        <v>iShares MSCI China A ETF</v>
      </c>
      <c r="D9" s="10" t="s">
        <v>615</v>
      </c>
      <c r="E9" s="175">
        <f>HLOOKUP(B9,'Monthly Returns'!$A$1:$V$139,139,FALSE)</f>
        <v>0.20691024509154382</v>
      </c>
      <c r="F9" s="10">
        <f ca="1">VLOOKUP(B9,OUTPUT_COUNTRY!$B$7:$N$26, 9, FALSE)</f>
        <v>31.8</v>
      </c>
      <c r="G9" s="176">
        <f>VLOOKUP(B9,OUTPUT_COUNTRY!$B$7:$N$26, 7, FALSE)</f>
        <v>95.199999999999989</v>
      </c>
      <c r="H9" s="10">
        <f>VLOOKUP(B9,OUTPUT_COUNTRY!$B$7:$N$26, 8, FALSE)</f>
        <v>72.7</v>
      </c>
      <c r="I9" s="10">
        <f>VLOOKUP(B9,OUTPUT_COUNTRY!$B$7:$N$26, 11, FALSE)</f>
        <v>50</v>
      </c>
      <c r="J9" s="176">
        <f t="shared" ref="J9:J29" ca="1" si="0">IF(F9&gt;=$D$3,1/E9,0)</f>
        <v>0</v>
      </c>
      <c r="K9" s="175" t="e">
        <f t="shared" ref="K9:K29" ca="1" si="1">J9/$J$30</f>
        <v>#N/A</v>
      </c>
      <c r="L9" s="10">
        <f t="shared" ref="L9:L29" si="2">IF(G9&gt;=$D$5,1/E9,0)</f>
        <v>4.8330134622264236</v>
      </c>
      <c r="M9" s="175" t="e">
        <f t="shared" ref="M9:M29" si="3">L9/$L$30</f>
        <v>#N/A</v>
      </c>
      <c r="N9" s="10">
        <f>IF(H9&gt;=$F$3,1/E9,0)</f>
        <v>4.8330134622264236</v>
      </c>
      <c r="O9" s="175" t="e">
        <f t="shared" ref="O9:O29" si="4">N9/$N$30</f>
        <v>#N/A</v>
      </c>
      <c r="P9" s="10">
        <f>IF(I9&gt;=$F$5,1/E9,0)</f>
        <v>0</v>
      </c>
      <c r="Q9" s="175" t="e">
        <f t="shared" ref="Q9:Q29" si="5">P9/$P$30</f>
        <v>#N/A</v>
      </c>
      <c r="R9" s="175" t="e">
        <f t="shared" ref="R9:R29" ca="1" si="6">IF($D$2*K9+$D$4*M9+$F$2*O9+$F$4*Q9 = 0,"",$D$2*K9+$D$4*M9+$F$2*O9+$F$4*Q9)</f>
        <v>#N/A</v>
      </c>
      <c r="S9" s="177" t="str">
        <f t="shared" ref="S9:S29" ca="1" si="7">IFERROR(IF(R9&gt;=$R$6, R9/SUMIF($R$9:$R$29,"&gt;="&amp;$R$6), ""),"")</f>
        <v/>
      </c>
      <c r="U9" s="52"/>
    </row>
    <row r="10" spans="2:21" x14ac:dyDescent="0.35">
      <c r="B10" s="59" t="s">
        <v>27</v>
      </c>
      <c r="C10" t="str" cm="1">
        <f t="array" ref="C10">_xll.FDS(B10,"FG_COMPANY_NAME")</f>
        <v>iShares MSCI Chile ETF</v>
      </c>
      <c r="D10" t="s">
        <v>614</v>
      </c>
      <c r="E10" s="147">
        <f>HLOOKUP(B10,'Monthly Returns'!$A$1:$V$139,139,FALSE)</f>
        <v>0.32257162604267886</v>
      </c>
      <c r="F10">
        <f ca="1">VLOOKUP(B10,OUTPUT_COUNTRY!$B$7:$N$26, 9, FALSE)</f>
        <v>59</v>
      </c>
      <c r="G10" s="47">
        <f>VLOOKUP(B10,OUTPUT_COUNTRY!$B$7:$N$26, 7, FALSE)</f>
        <v>57.099999999999994</v>
      </c>
      <c r="H10">
        <f>VLOOKUP(B10,OUTPUT_COUNTRY!$B$7:$N$26, 8, FALSE)</f>
        <v>72.7</v>
      </c>
      <c r="I10">
        <f>VLOOKUP(B10,OUTPUT_COUNTRY!$B$7:$N$26, 11, FALSE)</f>
        <v>18.099999999999998</v>
      </c>
      <c r="J10" s="47">
        <f t="shared" ca="1" si="0"/>
        <v>0</v>
      </c>
      <c r="K10" s="147" t="e">
        <f t="shared" ca="1" si="1"/>
        <v>#N/A</v>
      </c>
      <c r="L10">
        <f t="shared" si="2"/>
        <v>0</v>
      </c>
      <c r="M10" s="147" t="e">
        <f t="shared" si="3"/>
        <v>#N/A</v>
      </c>
      <c r="N10">
        <f t="shared" ref="N10:N29" si="8">IF(H10&gt;=$F$3,1/E10,0)</f>
        <v>3.1000866761532579</v>
      </c>
      <c r="O10" s="147" t="e">
        <f t="shared" si="4"/>
        <v>#N/A</v>
      </c>
      <c r="P10">
        <f t="shared" ref="P10:P29" si="9">IF(I10&gt;=$F$5,1/E10,0)</f>
        <v>0</v>
      </c>
      <c r="Q10" s="147" t="e">
        <f t="shared" si="5"/>
        <v>#N/A</v>
      </c>
      <c r="R10" s="147" t="e">
        <f t="shared" ca="1" si="6"/>
        <v>#N/A</v>
      </c>
      <c r="S10" s="166" t="str">
        <f t="shared" ca="1" si="7"/>
        <v/>
      </c>
      <c r="U10" s="52"/>
    </row>
    <row r="11" spans="2:21" x14ac:dyDescent="0.35">
      <c r="B11" s="59" t="s">
        <v>35</v>
      </c>
      <c r="C11" t="str" cm="1">
        <f t="array" ref="C11">_xll.FDS(B11,"FG_COMPANY_NAME")</f>
        <v>iShares MSCI Indonesia ETF</v>
      </c>
      <c r="D11" t="s">
        <v>651</v>
      </c>
      <c r="E11" s="147">
        <f>HLOOKUP(B11,'Monthly Returns'!$A$1:$V$139,139,FALSE)</f>
        <v>0.29737718035713734</v>
      </c>
      <c r="F11">
        <f ca="1">VLOOKUP(B11,OUTPUT_COUNTRY!$B$7:$N$26, 9, FALSE)</f>
        <v>4.5</v>
      </c>
      <c r="G11" s="47">
        <f>VLOOKUP(B11,OUTPUT_COUNTRY!$B$7:$N$26, 7, FALSE)</f>
        <v>66.600000000000009</v>
      </c>
      <c r="H11">
        <f>VLOOKUP(B11,OUTPUT_COUNTRY!$B$7:$N$26, 8, FALSE)</f>
        <v>27.200000000000003</v>
      </c>
      <c r="I11">
        <f>VLOOKUP(B11,OUTPUT_COUNTRY!$B$7:$N$26, 11, FALSE)</f>
        <v>45.4</v>
      </c>
      <c r="J11" s="47">
        <f t="shared" ca="1" si="0"/>
        <v>0</v>
      </c>
      <c r="K11" s="147" t="e">
        <f t="shared" ca="1" si="1"/>
        <v>#N/A</v>
      </c>
      <c r="L11">
        <f t="shared" si="2"/>
        <v>0</v>
      </c>
      <c r="M11" s="147" t="e">
        <f t="shared" si="3"/>
        <v>#N/A</v>
      </c>
      <c r="N11">
        <f t="shared" si="8"/>
        <v>0</v>
      </c>
      <c r="O11" s="147" t="e">
        <f t="shared" si="4"/>
        <v>#N/A</v>
      </c>
      <c r="P11">
        <f t="shared" si="9"/>
        <v>0</v>
      </c>
      <c r="Q11" s="147" t="e">
        <f t="shared" si="5"/>
        <v>#N/A</v>
      </c>
      <c r="R11" s="147" t="e">
        <f t="shared" ca="1" si="6"/>
        <v>#N/A</v>
      </c>
      <c r="S11" s="166" t="str">
        <f t="shared" ca="1" si="7"/>
        <v/>
      </c>
      <c r="U11" s="52"/>
    </row>
    <row r="12" spans="2:21" x14ac:dyDescent="0.35">
      <c r="B12" s="59" t="s">
        <v>30</v>
      </c>
      <c r="C12" t="str" cm="1">
        <f t="array" ref="C12">_xll.FDS(B12,"FG_COMPANY_NAME")</f>
        <v>iShares MSCI Philippines ETF</v>
      </c>
      <c r="D12" t="s">
        <v>699</v>
      </c>
      <c r="E12" s="147">
        <f>HLOOKUP(B12,'Monthly Returns'!$A$1:$V$139,139,FALSE)</f>
        <v>0.25500146628275422</v>
      </c>
      <c r="F12">
        <f ca="1">VLOOKUP(B12,OUTPUT_COUNTRY!$B$7:$N$26, 9, FALSE)</f>
        <v>36.299999999999997</v>
      </c>
      <c r="G12" s="47">
        <f>VLOOKUP(B12,OUTPUT_COUNTRY!$B$7:$N$26, 7, FALSE)</f>
        <v>80.900000000000006</v>
      </c>
      <c r="H12">
        <f>VLOOKUP(B12,OUTPUT_COUNTRY!$B$7:$N$26, 8, FALSE)</f>
        <v>27.200000000000003</v>
      </c>
      <c r="I12">
        <f>VLOOKUP(B12,OUTPUT_COUNTRY!$B$7:$N$26, 11, FALSE)</f>
        <v>13.600000000000001</v>
      </c>
      <c r="J12" s="47">
        <f t="shared" ca="1" si="0"/>
        <v>0</v>
      </c>
      <c r="K12" s="147" t="e">
        <f t="shared" ca="1" si="1"/>
        <v>#N/A</v>
      </c>
      <c r="L12">
        <f t="shared" si="2"/>
        <v>3.9215460780573173</v>
      </c>
      <c r="M12" s="147" t="e">
        <f t="shared" si="3"/>
        <v>#N/A</v>
      </c>
      <c r="N12">
        <f t="shared" si="8"/>
        <v>0</v>
      </c>
      <c r="O12" s="147" t="e">
        <f t="shared" si="4"/>
        <v>#N/A</v>
      </c>
      <c r="P12">
        <f t="shared" si="9"/>
        <v>0</v>
      </c>
      <c r="Q12" s="147" t="e">
        <f t="shared" si="5"/>
        <v>#N/A</v>
      </c>
      <c r="R12" s="147" t="e">
        <f t="shared" ca="1" si="6"/>
        <v>#N/A</v>
      </c>
      <c r="S12" s="166" t="str">
        <f t="shared" ca="1" si="7"/>
        <v/>
      </c>
      <c r="U12" s="52"/>
    </row>
    <row r="13" spans="2:21" x14ac:dyDescent="0.35">
      <c r="B13" s="59" t="s">
        <v>23</v>
      </c>
      <c r="C13" t="str" cm="1">
        <f t="array" ref="C13">_xll.FDS(B13,"FG_COMPANY_NAME")</f>
        <v>iShares MSCI Poland ETF</v>
      </c>
      <c r="D13" t="s">
        <v>700</v>
      </c>
      <c r="E13" s="147">
        <f>HLOOKUP(B13,'Monthly Returns'!$A$1:$V$139,139,FALSE)</f>
        <v>0.30387018950476807</v>
      </c>
      <c r="F13">
        <f ca="1">VLOOKUP(B13,OUTPUT_COUNTRY!$B$7:$N$26, 9, FALSE)</f>
        <v>72.7</v>
      </c>
      <c r="G13" s="47">
        <f>VLOOKUP(B13,OUTPUT_COUNTRY!$B$7:$N$26, 7, FALSE)</f>
        <v>19</v>
      </c>
      <c r="H13">
        <f>VLOOKUP(B13,OUTPUT_COUNTRY!$B$7:$N$26, 8, FALSE)</f>
        <v>72.7</v>
      </c>
      <c r="I13">
        <f>VLOOKUP(B13,OUTPUT_COUNTRY!$B$7:$N$26, 11, FALSE)</f>
        <v>63.6</v>
      </c>
      <c r="J13" s="47">
        <f t="shared" ca="1" si="0"/>
        <v>3.2908789165194134</v>
      </c>
      <c r="K13" s="147" t="e">
        <f t="shared" ca="1" si="1"/>
        <v>#N/A</v>
      </c>
      <c r="L13">
        <f t="shared" si="2"/>
        <v>0</v>
      </c>
      <c r="M13" s="147" t="e">
        <f t="shared" si="3"/>
        <v>#N/A</v>
      </c>
      <c r="N13">
        <f t="shared" si="8"/>
        <v>3.2908789165194134</v>
      </c>
      <c r="O13" s="147" t="e">
        <f t="shared" si="4"/>
        <v>#N/A</v>
      </c>
      <c r="P13">
        <f t="shared" si="9"/>
        <v>3.2908789165194134</v>
      </c>
      <c r="Q13" s="147" t="e">
        <f t="shared" si="5"/>
        <v>#N/A</v>
      </c>
      <c r="R13" s="147" t="e">
        <f t="shared" ca="1" si="6"/>
        <v>#N/A</v>
      </c>
      <c r="S13" s="166" t="str">
        <f t="shared" ca="1" si="7"/>
        <v/>
      </c>
      <c r="U13" s="52"/>
    </row>
    <row r="14" spans="2:21" x14ac:dyDescent="0.35">
      <c r="B14" s="59" t="s">
        <v>29</v>
      </c>
      <c r="C14" t="str" cm="1">
        <f t="array" ref="C14">_xll.FDS(B14,"FG_COMPANY_NAME")</f>
        <v>iShares MSCI Peru and Global Exposure ETF</v>
      </c>
      <c r="D14" t="s">
        <v>698</v>
      </c>
      <c r="E14" s="147">
        <f>HLOOKUP(B14,'Monthly Returns'!$A$1:$V$139,139,FALSE)</f>
        <v>0.2859606267161191</v>
      </c>
      <c r="F14">
        <f ca="1">VLOOKUP(B14,OUTPUT_COUNTRY!$B$7:$N$26, 9, FALSE)</f>
        <v>90.9</v>
      </c>
      <c r="G14" s="47">
        <f>VLOOKUP(B14,OUTPUT_COUNTRY!$B$7:$N$26, 7, FALSE)</f>
        <v>9.5</v>
      </c>
      <c r="H14">
        <f>VLOOKUP(B14,OUTPUT_COUNTRY!$B$7:$N$26, 8, FALSE)</f>
        <v>72.7</v>
      </c>
      <c r="I14">
        <f>VLOOKUP(B14,OUTPUT_COUNTRY!$B$7:$N$26, 11, FALSE)</f>
        <v>40.9</v>
      </c>
      <c r="J14" s="47">
        <f t="shared" ca="1" si="0"/>
        <v>3.4969849223079486</v>
      </c>
      <c r="K14" s="147" t="e">
        <f t="shared" ca="1" si="1"/>
        <v>#N/A</v>
      </c>
      <c r="L14">
        <f t="shared" si="2"/>
        <v>0</v>
      </c>
      <c r="M14" s="147" t="e">
        <f t="shared" si="3"/>
        <v>#N/A</v>
      </c>
      <c r="N14">
        <f t="shared" si="8"/>
        <v>3.4969849223079486</v>
      </c>
      <c r="O14" s="147" t="e">
        <f t="shared" si="4"/>
        <v>#N/A</v>
      </c>
      <c r="P14">
        <f t="shared" si="9"/>
        <v>0</v>
      </c>
      <c r="Q14" s="147" t="e">
        <f t="shared" si="5"/>
        <v>#N/A</v>
      </c>
      <c r="R14" s="147" t="e">
        <f t="shared" ca="1" si="6"/>
        <v>#N/A</v>
      </c>
      <c r="S14" s="166" t="str">
        <f t="shared" ca="1" si="7"/>
        <v/>
      </c>
      <c r="U14" s="52"/>
    </row>
    <row r="15" spans="2:21" x14ac:dyDescent="0.35">
      <c r="B15" s="59" t="s">
        <v>33</v>
      </c>
      <c r="C15" t="str" cm="1">
        <f t="array" ref="C15">_xll.FDS(B15,"FG_COMPANY_NAME")</f>
        <v>iShares MSCI Malaysia ETF</v>
      </c>
      <c r="D15" t="s">
        <v>673</v>
      </c>
      <c r="E15" s="147">
        <f>HLOOKUP(B15,'Monthly Returns'!$A$1:$V$139,139,FALSE)</f>
        <v>0.16942482720565552</v>
      </c>
      <c r="F15">
        <f ca="1">VLOOKUP(B15,OUTPUT_COUNTRY!$B$7:$N$26, 9, FALSE)</f>
        <v>77.2</v>
      </c>
      <c r="G15" s="47">
        <f>VLOOKUP(B15,OUTPUT_COUNTRY!$B$7:$N$26, 7, FALSE)</f>
        <v>33.300000000000004</v>
      </c>
      <c r="H15">
        <f>VLOOKUP(B15,OUTPUT_COUNTRY!$B$7:$N$26, 8, FALSE)</f>
        <v>27.200000000000003</v>
      </c>
      <c r="I15">
        <f>VLOOKUP(B15,OUTPUT_COUNTRY!$B$7:$N$26, 11, FALSE)</f>
        <v>77.2</v>
      </c>
      <c r="J15" s="47">
        <f t="shared" ca="1" si="0"/>
        <v>5.9023226789905756</v>
      </c>
      <c r="K15" s="147" t="e">
        <f t="shared" ca="1" si="1"/>
        <v>#N/A</v>
      </c>
      <c r="L15">
        <f t="shared" si="2"/>
        <v>0</v>
      </c>
      <c r="M15" s="147" t="e">
        <f t="shared" si="3"/>
        <v>#N/A</v>
      </c>
      <c r="N15">
        <f t="shared" si="8"/>
        <v>0</v>
      </c>
      <c r="O15" s="147" t="e">
        <f t="shared" si="4"/>
        <v>#N/A</v>
      </c>
      <c r="P15">
        <f t="shared" si="9"/>
        <v>5.9023226789905756</v>
      </c>
      <c r="Q15" s="147" t="e">
        <f t="shared" si="5"/>
        <v>#N/A</v>
      </c>
      <c r="R15" s="147" t="e">
        <f t="shared" ca="1" si="6"/>
        <v>#N/A</v>
      </c>
      <c r="S15" s="166" t="str">
        <f t="shared" ca="1" si="7"/>
        <v/>
      </c>
      <c r="U15" s="52"/>
    </row>
    <row r="16" spans="2:21" x14ac:dyDescent="0.35">
      <c r="B16" s="59" t="s">
        <v>24</v>
      </c>
      <c r="C16" t="str" cm="1">
        <f t="array" ref="C16">_xll.FDS(B16,"FG_COMPANY_NAME")</f>
        <v>iShares MSCI Taiwan ETF</v>
      </c>
      <c r="D16" t="s">
        <v>720</v>
      </c>
      <c r="E16" s="147">
        <f>HLOOKUP(B16,'Monthly Returns'!$A$1:$V$139,139,FALSE)</f>
        <v>0.21460419953029372</v>
      </c>
      <c r="F16">
        <f ca="1">VLOOKUP(B16,OUTPUT_COUNTRY!$B$7:$N$26, 9, FALSE)</f>
        <v>86.3</v>
      </c>
      <c r="G16" s="47">
        <f>VLOOKUP(B16,OUTPUT_COUNTRY!$B$7:$N$26, 7, FALSE)</f>
        <v>76.099999999999994</v>
      </c>
      <c r="H16">
        <f>VLOOKUP(B16,OUTPUT_COUNTRY!$B$7:$N$26, 8, FALSE)</f>
        <v>27.200000000000003</v>
      </c>
      <c r="I16">
        <f>VLOOKUP(B16,OUTPUT_COUNTRY!$B$7:$N$26, 11, FALSE)</f>
        <v>68.100000000000009</v>
      </c>
      <c r="J16" s="47">
        <f t="shared" ca="1" si="0"/>
        <v>4.6597410590692521</v>
      </c>
      <c r="K16" s="147" t="e">
        <f t="shared" ca="1" si="1"/>
        <v>#N/A</v>
      </c>
      <c r="L16">
        <f t="shared" si="2"/>
        <v>4.6597410590692521</v>
      </c>
      <c r="M16" s="147" t="e">
        <f t="shared" si="3"/>
        <v>#N/A</v>
      </c>
      <c r="N16">
        <f t="shared" si="8"/>
        <v>0</v>
      </c>
      <c r="O16" s="147" t="e">
        <f t="shared" si="4"/>
        <v>#N/A</v>
      </c>
      <c r="P16">
        <f t="shared" si="9"/>
        <v>4.6597410590692521</v>
      </c>
      <c r="Q16" s="147" t="e">
        <f t="shared" si="5"/>
        <v>#N/A</v>
      </c>
      <c r="R16" s="147" t="e">
        <f t="shared" ca="1" si="6"/>
        <v>#N/A</v>
      </c>
      <c r="S16" s="166" t="str">
        <f t="shared" ca="1" si="7"/>
        <v/>
      </c>
      <c r="U16" s="52"/>
    </row>
    <row r="17" spans="2:21" x14ac:dyDescent="0.35">
      <c r="B17" s="59" t="s">
        <v>7</v>
      </c>
      <c r="C17" t="str" cm="1">
        <f t="array" ref="C17">_xll.FDS(B17,"FG_COMPANY_NAME")</f>
        <v>iShares MSCI Mexico ETF</v>
      </c>
      <c r="D17" t="s">
        <v>678</v>
      </c>
      <c r="E17" s="147">
        <f>HLOOKUP(B17,'Monthly Returns'!$A$1:$V$139,139,FALSE)</f>
        <v>0.28617373016513153</v>
      </c>
      <c r="F17">
        <f ca="1">VLOOKUP(B17,OUTPUT_COUNTRY!$B$7:$N$26, 9, FALSE)</f>
        <v>50</v>
      </c>
      <c r="G17" s="47">
        <f>VLOOKUP(B17,OUTPUT_COUNTRY!$B$7:$N$26, 7, FALSE)</f>
        <v>42.8</v>
      </c>
      <c r="H17">
        <f>VLOOKUP(B17,OUTPUT_COUNTRY!$B$7:$N$26, 8, FALSE)</f>
        <v>72.7</v>
      </c>
      <c r="I17">
        <f>VLOOKUP(B17,OUTPUT_COUNTRY!$B$7:$N$26, 11, FALSE)</f>
        <v>81.8</v>
      </c>
      <c r="J17" s="47">
        <f t="shared" ca="1" si="0"/>
        <v>0</v>
      </c>
      <c r="K17" s="147" t="e">
        <f t="shared" ca="1" si="1"/>
        <v>#N/A</v>
      </c>
      <c r="L17">
        <f t="shared" si="2"/>
        <v>0</v>
      </c>
      <c r="M17" s="147" t="e">
        <f t="shared" si="3"/>
        <v>#N/A</v>
      </c>
      <c r="N17">
        <f t="shared" si="8"/>
        <v>3.4943808413964748</v>
      </c>
      <c r="O17" s="147" t="e">
        <f t="shared" si="4"/>
        <v>#N/A</v>
      </c>
      <c r="P17">
        <f t="shared" si="9"/>
        <v>3.4943808413964748</v>
      </c>
      <c r="Q17" s="147" t="e">
        <f t="shared" si="5"/>
        <v>#N/A</v>
      </c>
      <c r="R17" s="147" t="e">
        <f t="shared" ca="1" si="6"/>
        <v>#N/A</v>
      </c>
      <c r="S17" s="166" t="str">
        <f t="shared" ca="1" si="7"/>
        <v/>
      </c>
      <c r="U17" s="52"/>
    </row>
    <row r="18" spans="2:21" x14ac:dyDescent="0.35">
      <c r="B18" s="59" t="s">
        <v>21</v>
      </c>
      <c r="C18" t="str" cm="1">
        <f t="array" ref="C18">_xll.FDS(B18,"FG_COMPANY_NAME")</f>
        <v>iShares MSCI South Korea ETF</v>
      </c>
      <c r="D18" t="s">
        <v>660</v>
      </c>
      <c r="E18" s="147">
        <f>HLOOKUP(B18,'Monthly Returns'!$A$1:$V$139,139,FALSE)</f>
        <v>0.275207424716993</v>
      </c>
      <c r="F18">
        <f ca="1">VLOOKUP(B18,OUTPUT_COUNTRY!$B$7:$N$26, 9, FALSE)</f>
        <v>45.4</v>
      </c>
      <c r="G18" s="47">
        <f>VLOOKUP(B18,OUTPUT_COUNTRY!$B$7:$N$26, 7, FALSE)</f>
        <v>61.9</v>
      </c>
      <c r="H18">
        <f>VLOOKUP(B18,OUTPUT_COUNTRY!$B$7:$N$26, 8, FALSE)</f>
        <v>54.500000000000007</v>
      </c>
      <c r="I18">
        <f>VLOOKUP(B18,OUTPUT_COUNTRY!$B$7:$N$26, 11, FALSE)</f>
        <v>22.7</v>
      </c>
      <c r="J18" s="47">
        <f t="shared" ca="1" si="0"/>
        <v>0</v>
      </c>
      <c r="K18" s="147" t="e">
        <f t="shared" ca="1" si="1"/>
        <v>#N/A</v>
      </c>
      <c r="L18">
        <f t="shared" si="2"/>
        <v>0</v>
      </c>
      <c r="M18" s="147" t="e">
        <f t="shared" si="3"/>
        <v>#N/A</v>
      </c>
      <c r="N18">
        <f t="shared" si="8"/>
        <v>3.6336228974503166</v>
      </c>
      <c r="O18" s="147" t="e">
        <f t="shared" si="4"/>
        <v>#N/A</v>
      </c>
      <c r="P18">
        <f t="shared" si="9"/>
        <v>0</v>
      </c>
      <c r="Q18" s="147" t="e">
        <f t="shared" si="5"/>
        <v>#N/A</v>
      </c>
      <c r="R18" s="147" t="e">
        <f t="shared" ca="1" si="6"/>
        <v>#N/A</v>
      </c>
      <c r="S18" s="166" t="str">
        <f t="shared" ca="1" si="7"/>
        <v/>
      </c>
      <c r="U18" s="52"/>
    </row>
    <row r="19" spans="2:21" x14ac:dyDescent="0.35">
      <c r="B19" s="59" t="s">
        <v>12</v>
      </c>
      <c r="C19" t="str" cm="1">
        <f t="array" ref="C19">_xll.FDS(B19,"FG_COMPANY_NAME")</f>
        <v>iShares MSCI Brazil ETF</v>
      </c>
      <c r="D19" t="s">
        <v>603</v>
      </c>
      <c r="E19" s="147">
        <f>HLOOKUP(B19,'Monthly Returns'!$A$1:$V$139,139,FALSE)</f>
        <v>0.36524933590141073</v>
      </c>
      <c r="F19">
        <f ca="1">VLOOKUP(B19,OUTPUT_COUNTRY!$B$7:$N$26, 9, FALSE)</f>
        <v>9</v>
      </c>
      <c r="G19" s="47">
        <f>VLOOKUP(B19,OUTPUT_COUNTRY!$B$7:$N$26, 7, FALSE)</f>
        <v>38</v>
      </c>
      <c r="H19">
        <f>VLOOKUP(B19,OUTPUT_COUNTRY!$B$7:$N$26, 8, FALSE)</f>
        <v>54.500000000000007</v>
      </c>
      <c r="I19">
        <f>VLOOKUP(B19,OUTPUT_COUNTRY!$B$7:$N$26, 11, FALSE)</f>
        <v>9</v>
      </c>
      <c r="J19" s="47">
        <f t="shared" ca="1" si="0"/>
        <v>0</v>
      </c>
      <c r="K19" s="147" t="e">
        <f t="shared" ca="1" si="1"/>
        <v>#N/A</v>
      </c>
      <c r="L19">
        <f t="shared" si="2"/>
        <v>0</v>
      </c>
      <c r="M19" s="147" t="e">
        <f t="shared" si="3"/>
        <v>#N/A</v>
      </c>
      <c r="N19">
        <f t="shared" si="8"/>
        <v>2.7378557651092437</v>
      </c>
      <c r="O19" s="147" t="e">
        <f t="shared" si="4"/>
        <v>#N/A</v>
      </c>
      <c r="P19">
        <f t="shared" si="9"/>
        <v>0</v>
      </c>
      <c r="Q19" s="147" t="e">
        <f t="shared" si="5"/>
        <v>#N/A</v>
      </c>
      <c r="R19" s="147" t="e">
        <f t="shared" ca="1" si="6"/>
        <v>#N/A</v>
      </c>
      <c r="S19" s="166" t="str">
        <f t="shared" ca="1" si="7"/>
        <v/>
      </c>
      <c r="U19" s="52"/>
    </row>
    <row r="20" spans="2:21" x14ac:dyDescent="0.35">
      <c r="B20" s="59" t="s">
        <v>22</v>
      </c>
      <c r="C20" t="str" cm="1">
        <f t="array" ref="C20">_xll.FDS(B20,"FG_COMPANY_NAME")</f>
        <v>iShares MSCI South Africa ETF</v>
      </c>
      <c r="D20" t="s">
        <v>713</v>
      </c>
      <c r="E20" s="147">
        <f>HLOOKUP(B20,'Monthly Returns'!$A$1:$V$139,139,FALSE)</f>
        <v>0.30586019354141225</v>
      </c>
      <c r="F20">
        <f ca="1">VLOOKUP(B20,OUTPUT_COUNTRY!$B$7:$N$26, 9, FALSE)</f>
        <v>63.6</v>
      </c>
      <c r="G20" s="47">
        <f>VLOOKUP(B20,OUTPUT_COUNTRY!$B$7:$N$26, 7, FALSE)</f>
        <v>14.2</v>
      </c>
      <c r="H20">
        <f>VLOOKUP(B20,OUTPUT_COUNTRY!$B$7:$N$26, 8, FALSE)</f>
        <v>27.200000000000003</v>
      </c>
      <c r="I20">
        <f>VLOOKUP(B20,OUTPUT_COUNTRY!$B$7:$N$26, 11, FALSE)</f>
        <v>59</v>
      </c>
      <c r="J20" s="47">
        <f t="shared" ca="1" si="0"/>
        <v>0</v>
      </c>
      <c r="K20" s="147" t="e">
        <f t="shared" ca="1" si="1"/>
        <v>#N/A</v>
      </c>
      <c r="L20">
        <f t="shared" si="2"/>
        <v>0</v>
      </c>
      <c r="M20" s="147" t="e">
        <f t="shared" si="3"/>
        <v>#N/A</v>
      </c>
      <c r="N20">
        <f t="shared" si="8"/>
        <v>0</v>
      </c>
      <c r="O20" s="147" t="e">
        <f t="shared" si="4"/>
        <v>#N/A</v>
      </c>
      <c r="P20">
        <f t="shared" si="9"/>
        <v>0</v>
      </c>
      <c r="Q20" s="147" t="e">
        <f t="shared" si="5"/>
        <v>#N/A</v>
      </c>
      <c r="R20" s="147" t="e">
        <f t="shared" ca="1" si="6"/>
        <v>#N/A</v>
      </c>
      <c r="S20" s="166" t="str">
        <f t="shared" ca="1" si="7"/>
        <v/>
      </c>
      <c r="U20" s="52"/>
    </row>
    <row r="21" spans="2:21" x14ac:dyDescent="0.35">
      <c r="B21" s="59" t="s">
        <v>28</v>
      </c>
      <c r="C21" t="str" cm="1">
        <f t="array" ref="C21">_xll.FDS(B21,"FG_COMPANY_NAME")</f>
        <v>Global X MSCI Greece ETF</v>
      </c>
      <c r="D21" t="s">
        <v>640</v>
      </c>
      <c r="E21" s="147">
        <f>HLOOKUP(B21,'Monthly Returns'!$A$1:$V$139,139,FALSE)</f>
        <v>0.30806511774102729</v>
      </c>
      <c r="F21">
        <f ca="1">VLOOKUP(B21,OUTPUT_COUNTRY!$B$7:$N$26, 9, FALSE)</f>
        <v>68.100000000000009</v>
      </c>
      <c r="G21" s="47">
        <f>VLOOKUP(B21,OUTPUT_COUNTRY!$B$7:$N$26, 7, FALSE)</f>
        <v>23.799999999999997</v>
      </c>
      <c r="H21">
        <f>VLOOKUP(B21,OUTPUT_COUNTRY!$B$7:$N$26, 8, FALSE)</f>
        <v>4.5</v>
      </c>
      <c r="I21">
        <f>VLOOKUP(B21,OUTPUT_COUNTRY!$B$7:$N$26, 11, FALSE)</f>
        <v>36.299999999999997</v>
      </c>
      <c r="J21" s="47">
        <f t="shared" ca="1" si="0"/>
        <v>0</v>
      </c>
      <c r="K21" s="147" t="e">
        <f t="shared" ca="1" si="1"/>
        <v>#N/A</v>
      </c>
      <c r="L21">
        <f t="shared" si="2"/>
        <v>0</v>
      </c>
      <c r="M21" s="147" t="e">
        <f t="shared" si="3"/>
        <v>#N/A</v>
      </c>
      <c r="N21">
        <f t="shared" si="8"/>
        <v>0</v>
      </c>
      <c r="O21" s="147" t="e">
        <f t="shared" si="4"/>
        <v>#N/A</v>
      </c>
      <c r="P21">
        <f t="shared" si="9"/>
        <v>0</v>
      </c>
      <c r="Q21" s="147" t="e">
        <f t="shared" si="5"/>
        <v>#N/A</v>
      </c>
      <c r="R21" s="147" t="e">
        <f t="shared" ca="1" si="6"/>
        <v>#N/A</v>
      </c>
      <c r="S21" s="166" t="str">
        <f t="shared" ca="1" si="7"/>
        <v/>
      </c>
      <c r="U21" s="52"/>
    </row>
    <row r="22" spans="2:21" x14ac:dyDescent="0.35">
      <c r="B22" s="59" t="s">
        <v>32</v>
      </c>
      <c r="C22" t="str" cm="1">
        <f t="array" ref="C22">_xll.FDS(B22,"FG_COMPANY_NAME")</f>
        <v>iShares MSCI India ETF</v>
      </c>
      <c r="D22" t="s">
        <v>650</v>
      </c>
      <c r="E22" s="147">
        <f>HLOOKUP(B22,'Monthly Returns'!$A$1:$V$139,139,FALSE)</f>
        <v>0.24293302058438654</v>
      </c>
      <c r="F22">
        <f ca="1">VLOOKUP(B22,OUTPUT_COUNTRY!$B$7:$N$26, 9, FALSE)</f>
        <v>81.8</v>
      </c>
      <c r="G22" s="47">
        <f>VLOOKUP(B22,OUTPUT_COUNTRY!$B$7:$N$26, 7, FALSE)</f>
        <v>47.599999999999994</v>
      </c>
      <c r="H22">
        <f>VLOOKUP(B22,OUTPUT_COUNTRY!$B$7:$N$26, 8, FALSE)</f>
        <v>54.500000000000007</v>
      </c>
      <c r="I22">
        <f>VLOOKUP(B22,OUTPUT_COUNTRY!$B$7:$N$26, 11, FALSE)</f>
        <v>72.7</v>
      </c>
      <c r="J22" s="47">
        <f t="shared" ca="1" si="0"/>
        <v>4.1163609524734595</v>
      </c>
      <c r="K22" s="147" t="e">
        <f t="shared" ca="1" si="1"/>
        <v>#N/A</v>
      </c>
      <c r="L22">
        <f t="shared" si="2"/>
        <v>0</v>
      </c>
      <c r="M22" s="147" t="e">
        <f t="shared" si="3"/>
        <v>#N/A</v>
      </c>
      <c r="N22">
        <f t="shared" si="8"/>
        <v>4.1163609524734595</v>
      </c>
      <c r="O22" s="147" t="e">
        <f t="shared" si="4"/>
        <v>#N/A</v>
      </c>
      <c r="P22">
        <f t="shared" si="9"/>
        <v>4.1163609524734595</v>
      </c>
      <c r="Q22" s="147" t="e">
        <f t="shared" si="5"/>
        <v>#N/A</v>
      </c>
      <c r="R22" s="147" t="e">
        <f t="shared" ca="1" si="6"/>
        <v>#N/A</v>
      </c>
      <c r="S22" s="166" t="str">
        <f t="shared" ca="1" si="7"/>
        <v/>
      </c>
      <c r="U22" s="52"/>
    </row>
    <row r="23" spans="2:21" x14ac:dyDescent="0.35">
      <c r="B23" s="59" t="s">
        <v>26</v>
      </c>
      <c r="C23" t="str" cm="1">
        <f t="array" ref="C23">_xll.FDS(B23,"FG_COMPANY_NAME")</f>
        <v>iShares MSCI China ETF</v>
      </c>
      <c r="D23" t="s">
        <v>615</v>
      </c>
      <c r="E23" s="147">
        <f>HLOOKUP(B23,'Monthly Returns'!$A$1:$V$139,139,FALSE)</f>
        <v>0.24750029973357499</v>
      </c>
      <c r="F23">
        <f ca="1">VLOOKUP(B23,OUTPUT_COUNTRY!$B$7:$N$26, 9, FALSE)</f>
        <v>54.500000000000007</v>
      </c>
      <c r="G23" s="47">
        <f>VLOOKUP(B23,OUTPUT_COUNTRY!$B$7:$N$26, 7, FALSE)</f>
        <v>90.4</v>
      </c>
      <c r="H23">
        <f>VLOOKUP(B23,OUTPUT_COUNTRY!$B$7:$N$26, 8, FALSE)</f>
        <v>72.7</v>
      </c>
      <c r="I23">
        <f>VLOOKUP(B23,OUTPUT_COUNTRY!$B$7:$N$26, 11, FALSE)</f>
        <v>50</v>
      </c>
      <c r="J23" s="47">
        <f t="shared" ca="1" si="0"/>
        <v>0</v>
      </c>
      <c r="K23" s="147" t="e">
        <f t="shared" ca="1" si="1"/>
        <v>#N/A</v>
      </c>
      <c r="L23">
        <f t="shared" si="2"/>
        <v>4.0403991472998753</v>
      </c>
      <c r="M23" s="147" t="e">
        <f t="shared" si="3"/>
        <v>#N/A</v>
      </c>
      <c r="N23">
        <f t="shared" si="8"/>
        <v>4.0403991472998753</v>
      </c>
      <c r="O23" s="147" t="e">
        <f t="shared" si="4"/>
        <v>#N/A</v>
      </c>
      <c r="P23">
        <f t="shared" si="9"/>
        <v>0</v>
      </c>
      <c r="Q23" s="147" t="e">
        <f t="shared" si="5"/>
        <v>#N/A</v>
      </c>
      <c r="R23" s="147" t="e">
        <f t="shared" ca="1" si="6"/>
        <v>#N/A</v>
      </c>
      <c r="S23" s="166" t="str">
        <f t="shared" ca="1" si="7"/>
        <v/>
      </c>
      <c r="U23" s="52"/>
    </row>
    <row r="24" spans="2:21" x14ac:dyDescent="0.35">
      <c r="B24" s="59" t="s">
        <v>31</v>
      </c>
      <c r="C24" t="str" cm="1">
        <f t="array" ref="C24">_xll.FDS(B24,"FG_COMPANY_NAME")</f>
        <v>iShares MSCI Qatar ETF</v>
      </c>
      <c r="D24" t="s">
        <v>702</v>
      </c>
      <c r="E24" s="147">
        <f>HLOOKUP(B24,'Monthly Returns'!$A$1:$V$139,139,FALSE)</f>
        <v>0.183389713477705</v>
      </c>
      <c r="F24">
        <f ca="1">VLOOKUP(B24,OUTPUT_COUNTRY!$B$7:$N$26, 9, FALSE)</f>
        <v>18.099999999999998</v>
      </c>
      <c r="G24" s="47">
        <f>VLOOKUP(B24,OUTPUT_COUNTRY!$B$7:$N$26, 7, FALSE)</f>
        <v>80.900000000000006</v>
      </c>
      <c r="H24">
        <f>VLOOKUP(B24,OUTPUT_COUNTRY!$B$7:$N$26, 8, FALSE)</f>
        <v>4.5</v>
      </c>
      <c r="I24">
        <f>VLOOKUP(B24,OUTPUT_COUNTRY!$B$7:$N$26, 11, FALSE)</f>
        <v>95.399999999999991</v>
      </c>
      <c r="J24" s="47">
        <f t="shared" ca="1" si="0"/>
        <v>0</v>
      </c>
      <c r="K24" s="147" t="e">
        <f t="shared" ca="1" si="1"/>
        <v>#N/A</v>
      </c>
      <c r="L24">
        <f t="shared" si="2"/>
        <v>5.4528685444594016</v>
      </c>
      <c r="M24" s="147" t="e">
        <f t="shared" si="3"/>
        <v>#N/A</v>
      </c>
      <c r="N24">
        <f t="shared" si="8"/>
        <v>0</v>
      </c>
      <c r="O24" s="147" t="e">
        <f t="shared" si="4"/>
        <v>#N/A</v>
      </c>
      <c r="P24">
        <f t="shared" si="9"/>
        <v>5.4528685444594016</v>
      </c>
      <c r="Q24" s="147" t="e">
        <f t="shared" si="5"/>
        <v>#N/A</v>
      </c>
      <c r="R24" s="147" t="e">
        <f t="shared" ca="1" si="6"/>
        <v>#N/A</v>
      </c>
      <c r="S24" s="166" t="str">
        <f t="shared" ca="1" si="7"/>
        <v/>
      </c>
      <c r="U24" s="52"/>
    </row>
    <row r="25" spans="2:21" x14ac:dyDescent="0.35">
      <c r="B25" s="59" t="s">
        <v>757</v>
      </c>
      <c r="C25" t="str" cm="1">
        <f t="array" ref="C25">_xll.FDS(B25,"FG_COMPANY_NAME")</f>
        <v>Thailand SET</v>
      </c>
      <c r="D25" t="s">
        <v>723</v>
      </c>
      <c r="E25" s="147">
        <f>HLOOKUP(B25,'Monthly Returns'!$A$1:$V$139,139,FALSE)</f>
        <v>0.19273159453501509</v>
      </c>
      <c r="F25" t="e">
        <f>VLOOKUP(B25,OUTPUT_COUNTRY!$B$7:$N$26, 9, FALSE)</f>
        <v>#N/A</v>
      </c>
      <c r="G25" s="47" t="e">
        <f>VLOOKUP(B25,OUTPUT_COUNTRY!$B$7:$N$26, 7, FALSE)</f>
        <v>#N/A</v>
      </c>
      <c r="H25" t="e">
        <f>VLOOKUP(B25,OUTPUT_COUNTRY!$B$7:$N$26, 8, FALSE)</f>
        <v>#N/A</v>
      </c>
      <c r="I25" t="e">
        <f>VLOOKUP(B25,OUTPUT_COUNTRY!$B$7:$N$26, 11, FALSE)</f>
        <v>#N/A</v>
      </c>
      <c r="J25" s="47" t="e">
        <f t="shared" si="0"/>
        <v>#N/A</v>
      </c>
      <c r="K25" s="147" t="e">
        <f t="shared" ca="1" si="1"/>
        <v>#N/A</v>
      </c>
      <c r="L25" t="e">
        <f t="shared" si="2"/>
        <v>#N/A</v>
      </c>
      <c r="M25" s="147" t="e">
        <f t="shared" si="3"/>
        <v>#N/A</v>
      </c>
      <c r="N25" t="e">
        <f t="shared" si="8"/>
        <v>#N/A</v>
      </c>
      <c r="O25" s="147" t="e">
        <f t="shared" si="4"/>
        <v>#N/A</v>
      </c>
      <c r="P25" t="e">
        <f t="shared" si="9"/>
        <v>#N/A</v>
      </c>
      <c r="Q25" s="147" t="e">
        <f t="shared" si="5"/>
        <v>#N/A</v>
      </c>
      <c r="R25" s="147" t="e">
        <f t="shared" ca="1" si="6"/>
        <v>#N/A</v>
      </c>
      <c r="S25" s="166" t="str">
        <f t="shared" ca="1" si="7"/>
        <v/>
      </c>
      <c r="U25" s="52"/>
    </row>
    <row r="26" spans="2:21" x14ac:dyDescent="0.35">
      <c r="B26" s="59" t="s">
        <v>25</v>
      </c>
      <c r="C26" t="str" cm="1">
        <f t="array" ref="C26">_xll.FDS(B26,"FG_COMPANY_NAME")</f>
        <v>iShares MSCI Turkey ETF</v>
      </c>
      <c r="D26" t="s">
        <v>727</v>
      </c>
      <c r="E26" s="147">
        <f>HLOOKUP(B26,'Monthly Returns'!$A$1:$V$139,139,FALSE)</f>
        <v>0.34226853932068768</v>
      </c>
      <c r="F26">
        <f ca="1">VLOOKUP(B26,OUTPUT_COUNTRY!$B$7:$N$26, 9, FALSE)</f>
        <v>95.399999999999991</v>
      </c>
      <c r="G26" s="47">
        <f>VLOOKUP(B26,OUTPUT_COUNTRY!$B$7:$N$26, 7, FALSE)</f>
        <v>28.499999999999996</v>
      </c>
      <c r="H26">
        <f>VLOOKUP(B26,OUTPUT_COUNTRY!$B$7:$N$26, 8, FALSE)</f>
        <v>4.5</v>
      </c>
      <c r="I26">
        <f>VLOOKUP(B26,OUTPUT_COUNTRY!$B$7:$N$26, 11, FALSE)</f>
        <v>4.5</v>
      </c>
      <c r="J26" s="47">
        <f t="shared" ca="1" si="0"/>
        <v>2.921682495226511</v>
      </c>
      <c r="K26" s="147" t="e">
        <f t="shared" ca="1" si="1"/>
        <v>#N/A</v>
      </c>
      <c r="L26">
        <f t="shared" si="2"/>
        <v>0</v>
      </c>
      <c r="M26" s="147" t="e">
        <f t="shared" si="3"/>
        <v>#N/A</v>
      </c>
      <c r="N26">
        <f t="shared" si="8"/>
        <v>0</v>
      </c>
      <c r="O26" s="147" t="e">
        <f t="shared" si="4"/>
        <v>#N/A</v>
      </c>
      <c r="P26">
        <f t="shared" si="9"/>
        <v>0</v>
      </c>
      <c r="Q26" s="147" t="e">
        <f t="shared" si="5"/>
        <v>#N/A</v>
      </c>
      <c r="R26" s="147" t="e">
        <f t="shared" ca="1" si="6"/>
        <v>#N/A</v>
      </c>
      <c r="S26" s="166" t="str">
        <f t="shared" ca="1" si="7"/>
        <v/>
      </c>
      <c r="U26" s="52"/>
    </row>
    <row r="27" spans="2:21" x14ac:dyDescent="0.35">
      <c r="B27" s="59" t="s">
        <v>34</v>
      </c>
      <c r="C27" t="str" cm="1">
        <f t="array" ref="C27">_xll.FDS(B27,"FG_COMPANY_NAME")</f>
        <v>iShares MSCI UAE ETF</v>
      </c>
      <c r="D27" t="s">
        <v>731</v>
      </c>
      <c r="E27" s="147">
        <f>HLOOKUP(B27,'Monthly Returns'!$A$1:$V$139,139,FALSE)</f>
        <v>0.21354660743627035</v>
      </c>
      <c r="F27">
        <f ca="1">VLOOKUP(B27,OUTPUT_COUNTRY!$B$7:$N$26, 9, FALSE)</f>
        <v>22.7</v>
      </c>
      <c r="G27" s="47">
        <f>VLOOKUP(B27,OUTPUT_COUNTRY!$B$7:$N$26, 7, FALSE)</f>
        <v>66.600000000000009</v>
      </c>
      <c r="H27">
        <f>VLOOKUP(B27,OUTPUT_COUNTRY!$B$7:$N$26, 8, FALSE)</f>
        <v>4.5</v>
      </c>
      <c r="I27">
        <f>VLOOKUP(B27,OUTPUT_COUNTRY!$B$7:$N$26, 11, FALSE)</f>
        <v>90.9</v>
      </c>
      <c r="J27" s="47">
        <f t="shared" ca="1" si="0"/>
        <v>0</v>
      </c>
      <c r="K27" s="147" t="e">
        <f t="shared" ca="1" si="1"/>
        <v>#N/A</v>
      </c>
      <c r="L27">
        <f t="shared" si="2"/>
        <v>0</v>
      </c>
      <c r="M27" s="147" t="e">
        <f t="shared" si="3"/>
        <v>#N/A</v>
      </c>
      <c r="N27">
        <f t="shared" si="8"/>
        <v>0</v>
      </c>
      <c r="O27" s="147" t="e">
        <f t="shared" si="4"/>
        <v>#N/A</v>
      </c>
      <c r="P27">
        <f t="shared" si="9"/>
        <v>4.6828184816676819</v>
      </c>
      <c r="Q27" s="147" t="e">
        <f t="shared" si="5"/>
        <v>#N/A</v>
      </c>
      <c r="R27" s="147" t="e">
        <f t="shared" ca="1" si="6"/>
        <v>#N/A</v>
      </c>
      <c r="S27" s="166" t="str">
        <f t="shared" ca="1" si="7"/>
        <v/>
      </c>
      <c r="U27" s="52"/>
    </row>
    <row r="28" spans="2:21" x14ac:dyDescent="0.35">
      <c r="B28" s="59" t="s">
        <v>37</v>
      </c>
      <c r="C28" t="str" cm="1">
        <f t="array" ref="C28">_xll.FDS(B28,"FG_COMPANY_NAME")</f>
        <v>VanEck Vietnam ETF</v>
      </c>
      <c r="D28" t="s">
        <v>736</v>
      </c>
      <c r="E28" s="147">
        <f>HLOOKUP(B28,'Monthly Returns'!$A$1:$V$139,139,FALSE)</f>
        <v>0.26150499400570837</v>
      </c>
      <c r="F28">
        <f ca="1">VLOOKUP(B28,OUTPUT_COUNTRY!$B$7:$N$26, 9, FALSE)</f>
        <v>13.600000000000001</v>
      </c>
      <c r="G28" s="47">
        <f>VLOOKUP(B28,OUTPUT_COUNTRY!$B$7:$N$26, 7, FALSE)</f>
        <v>4.7</v>
      </c>
      <c r="H28">
        <f>VLOOKUP(B28,OUTPUT_COUNTRY!$B$7:$N$26, 8, FALSE)</f>
        <v>54.500000000000007</v>
      </c>
      <c r="I28">
        <f>VLOOKUP(B28,OUTPUT_COUNTRY!$B$7:$N$26, 11, FALSE)</f>
        <v>27.200000000000003</v>
      </c>
      <c r="J28" s="47">
        <f t="shared" ca="1" si="0"/>
        <v>0</v>
      </c>
      <c r="K28" s="147" t="e">
        <f t="shared" ca="1" si="1"/>
        <v>#N/A</v>
      </c>
      <c r="L28">
        <f t="shared" si="2"/>
        <v>0</v>
      </c>
      <c r="M28" s="147" t="e">
        <f t="shared" si="3"/>
        <v>#N/A</v>
      </c>
      <c r="N28">
        <f t="shared" si="8"/>
        <v>3.8240187488663069</v>
      </c>
      <c r="O28" s="147" t="e">
        <f t="shared" si="4"/>
        <v>#N/A</v>
      </c>
      <c r="P28">
        <f t="shared" si="9"/>
        <v>0</v>
      </c>
      <c r="Q28" s="147" t="e">
        <f t="shared" si="5"/>
        <v>#N/A</v>
      </c>
      <c r="R28" s="147" t="e">
        <f t="shared" ca="1" si="6"/>
        <v>#N/A</v>
      </c>
      <c r="S28" s="166" t="str">
        <f t="shared" ca="1" si="7"/>
        <v/>
      </c>
      <c r="U28" s="52"/>
    </row>
    <row r="29" spans="2:21" ht="15" thickBot="1" x14ac:dyDescent="0.4">
      <c r="B29" s="12" t="s">
        <v>36</v>
      </c>
      <c r="C29" s="13" t="str" cm="1">
        <f t="array" ref="C29">_xll.FDS(B29,"FG_COMPANY_NAME")</f>
        <v>iShares MSCI Saudi Arabia ETF</v>
      </c>
      <c r="D29" s="13" t="s">
        <v>706</v>
      </c>
      <c r="E29" s="148">
        <f>HLOOKUP(B29,'Monthly Returns'!$A$1:$V$139,139,FALSE)</f>
        <v>0.21617191490448839</v>
      </c>
      <c r="F29" s="13">
        <f ca="1">VLOOKUP(B29,OUTPUT_COUNTRY!$B$7:$N$26, 9, FALSE)</f>
        <v>40.9</v>
      </c>
      <c r="G29" s="149">
        <f>VLOOKUP(B29,OUTPUT_COUNTRY!$B$7:$N$26, 7, FALSE)</f>
        <v>52.300000000000004</v>
      </c>
      <c r="H29" s="13">
        <f>VLOOKUP(B29,OUTPUT_COUNTRY!$B$7:$N$26, 8, FALSE)</f>
        <v>27.200000000000003</v>
      </c>
      <c r="I29" s="13">
        <f>VLOOKUP(B29,OUTPUT_COUNTRY!$B$7:$N$26, 11, FALSE)</f>
        <v>86.3</v>
      </c>
      <c r="J29" s="149">
        <f t="shared" ca="1" si="0"/>
        <v>0</v>
      </c>
      <c r="K29" s="148" t="e">
        <f t="shared" ca="1" si="1"/>
        <v>#N/A</v>
      </c>
      <c r="L29" s="13">
        <f t="shared" si="2"/>
        <v>0</v>
      </c>
      <c r="M29" s="148" t="e">
        <f t="shared" si="3"/>
        <v>#N/A</v>
      </c>
      <c r="N29" s="13">
        <f t="shared" si="8"/>
        <v>0</v>
      </c>
      <c r="O29" s="148" t="e">
        <f t="shared" si="4"/>
        <v>#N/A</v>
      </c>
      <c r="P29" s="13">
        <f t="shared" si="9"/>
        <v>4.6259478269498224</v>
      </c>
      <c r="Q29" s="148" t="e">
        <f t="shared" si="5"/>
        <v>#N/A</v>
      </c>
      <c r="R29" s="148" t="e">
        <f t="shared" ca="1" si="6"/>
        <v>#N/A</v>
      </c>
      <c r="S29" s="167" t="str">
        <f t="shared" ca="1" si="7"/>
        <v/>
      </c>
      <c r="U29" s="52"/>
    </row>
    <row r="30" spans="2:21" x14ac:dyDescent="0.35">
      <c r="J30" s="47" t="e">
        <f ca="1">SUM(J9:J29)</f>
        <v>#N/A</v>
      </c>
      <c r="L30" s="47" t="e">
        <f>SUM(L9:L29)</f>
        <v>#N/A</v>
      </c>
      <c r="N30" t="e">
        <f>SUM(N9:N29)</f>
        <v>#N/A</v>
      </c>
      <c r="P30" t="e">
        <f>SUM(P9:P29)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23"/>
  <sheetViews>
    <sheetView topLeftCell="B1" zoomScale="95" zoomScaleNormal="95" workbookViewId="0">
      <selection activeCell="E7" sqref="E7"/>
    </sheetView>
  </sheetViews>
  <sheetFormatPr defaultRowHeight="14.5" x14ac:dyDescent="0.35"/>
  <cols>
    <col min="3" max="3" width="8.453125" bestFit="1" customWidth="1"/>
    <col min="4" max="4" width="34.453125" bestFit="1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3" t="s">
        <v>555</v>
      </c>
      <c r="D2" s="204"/>
      <c r="E2" s="208" t="s">
        <v>802</v>
      </c>
      <c r="F2" s="209"/>
      <c r="G2" s="210"/>
      <c r="H2" s="211" t="s">
        <v>802</v>
      </c>
      <c r="I2" s="201" t="s">
        <v>557</v>
      </c>
      <c r="J2" s="203" t="s">
        <v>554</v>
      </c>
      <c r="K2" s="201" t="s">
        <v>560</v>
      </c>
      <c r="L2" s="201" t="s">
        <v>750</v>
      </c>
    </row>
    <row r="3" spans="3:12" x14ac:dyDescent="0.35">
      <c r="C3" s="205"/>
      <c r="D3" s="206"/>
      <c r="E3" s="170" t="s">
        <v>556</v>
      </c>
      <c r="F3" s="170" t="s">
        <v>558</v>
      </c>
      <c r="G3" s="170" t="s">
        <v>919</v>
      </c>
      <c r="H3" s="212"/>
      <c r="I3" s="214"/>
      <c r="J3" s="215"/>
      <c r="K3" s="214"/>
      <c r="L3" s="214"/>
    </row>
    <row r="4" spans="3:12" x14ac:dyDescent="0.35">
      <c r="C4" s="80" t="s">
        <v>24</v>
      </c>
      <c r="D4" s="82" t="s">
        <v>40</v>
      </c>
      <c r="E4" s="126" t="str">
        <f>IF(VLOOKUP(C4,OUTPUT_COUNTRY!$B$7:$N$26,3,FALSE)&gt;75,"++",(IF(VLOOKUP(C4,OUTPUT_COUNTRY!$B$7:$N$26,3,FALSE)&gt;50,"+",(IF(VLOOKUP(C4,OUTPUT_COUNTRY!$B$7:$N$26,3,FALSE)&gt;25,"-","--")))))</f>
        <v>-</v>
      </c>
      <c r="F4" s="126" t="str">
        <f>IF(VLOOKUP(C4,OUTPUT_COUNTRY!$B$7:$N$26,4,FALSE)&gt;75,"++",(IF(VLOOKUP(C4,OUTPUT_COUNTRY!$B$7:$N$26,4,FALSE)&gt;50,"+",(IF(VLOOKUP(C4,OUTPUT_COUNTRY!$B$7:$N$26,4,FALSE)&gt;25,"-","--")))))</f>
        <v>++</v>
      </c>
      <c r="G4" s="128" t="str">
        <f>IF(VLOOKUP(C4,OUTPUT_COUNTRY!$B$7:$N$26,5,FALSE)&gt;75,"++",(IF(VLOOKUP(C4,OUTPUT_COUNTRY!$B$7:$N$26,5,FALSE)&gt;50,"+",(IF(VLOOKUP(C4,OUTPUT_COUNTRY!$B$7:$N$26,5,FALSE)&gt;25,"-","--")))))</f>
        <v>+</v>
      </c>
      <c r="H4" s="124" t="str">
        <f>IF(VLOOKUP(C4,OUTPUT_COUNTRY!$B$7:$N$26,7,FALSE)&gt;75,"++",(IF(VLOOKUP(C4,OUTPUT_COUNTRY!$B$7:$N$26,7,FALSE)&gt;50,"+",(IF(VLOOKUP(C4,OUTPUT_COUNTRY!$B$7:$N$26,7,FALSE)&gt;25,"-","--")))))</f>
        <v>++</v>
      </c>
      <c r="I4" s="124" t="str">
        <f>IF(VLOOKUP(C4,OUTPUT_COUNTRY!$B$7:$N$26,8,FALSE)&gt;75,"++",(IF(VLOOKUP(C4,OUTPUT_COUNTRY!$B$7:$N$26,8,FALSE)&gt;50,"+",(IF(VLOOKUP(C4,OUTPUT_COUNTRY!$B$7:$N$26,8,FALSE)&gt;25,"-","--")))))</f>
        <v>-</v>
      </c>
      <c r="J4" s="124" t="str">
        <f ca="1">IF(VLOOKUP(C4,OUTPUT_COUNTRY!$B$7:$N$26,9,FALSE)&gt;75,"++",(IF(VLOOKUP(C4,OUTPUT_COUNTRY!$B$7:$N$26,9,FALSE)&gt;50,"+",(IF(VLOOKUP(C4,OUTPUT_COUNTRY!$B$7:$N$26,9,FALSE)&gt;25,"-","--")))))</f>
        <v>++</v>
      </c>
      <c r="K4" s="124" t="str">
        <f>IF(VLOOKUP(C4,OUTPUT_COUNTRY!$B$7:$N$26,11,FALSE)&gt;75,"++",(IF(VLOOKUP(C4,OUTPUT_COUNTRY!$B$7:$N$26,11,FALSE)&gt;50,"+",(IF(VLOOKUP(C4,OUTPUT_COUNTRY!$B$7:$N$26,11,FALSE)&gt;25,"-","--")))))</f>
        <v>+</v>
      </c>
      <c r="L4" s="125" t="str">
        <f ca="1">IF(VLOOKUP(C4,OUTPUT_COUNTRY!$B$7:$N$26,13,FALSE)&gt;75,"++",(IF(VLOOKUP(C4,OUTPUT_COUNTRY!$B$7:$N$26,13,FALSE)&gt;50,"+",(IF(VLOOKUP(C4,OUTPUT_COUNTRY!$B$7:$N$26,13,FALSE)&gt;25,"-","--")))))</f>
        <v>++</v>
      </c>
    </row>
    <row r="5" spans="3:12" x14ac:dyDescent="0.35">
      <c r="C5" s="80" t="s">
        <v>37</v>
      </c>
      <c r="D5" s="82" t="s">
        <v>448</v>
      </c>
      <c r="E5" s="126" t="str">
        <f>IF(VLOOKUP(C5,OUTPUT_COUNTRY!$B$7:$N$26,3,FALSE)&gt;75,"++",(IF(VLOOKUP(C5,OUTPUT_COUNTRY!$B$7:$N$26,3,FALSE)&gt;50,"+",(IF(VLOOKUP(C5,OUTPUT_COUNTRY!$B$7:$N$26,3,FALSE)&gt;25,"-","--")))))</f>
        <v>--</v>
      </c>
      <c r="F5" s="126" t="str">
        <f>IF(VLOOKUP(C5,OUTPUT_COUNTRY!$B$7:$N$26,4,FALSE)&gt;75,"++",(IF(VLOOKUP(C5,OUTPUT_COUNTRY!$B$7:$N$26,4,FALSE)&gt;50,"+",(IF(VLOOKUP(C5,OUTPUT_COUNTRY!$B$7:$N$26,4,FALSE)&gt;25,"-","--")))))</f>
        <v>-</v>
      </c>
      <c r="G5" s="128" t="str">
        <f>IF(VLOOKUP(C5,OUTPUT_COUNTRY!$B$7:$N$26,5,FALSE)&gt;75,"++",(IF(VLOOKUP(C5,OUTPUT_COUNTRY!$B$7:$N$26,5,FALSE)&gt;50,"+",(IF(VLOOKUP(C5,OUTPUT_COUNTRY!$B$7:$N$26,5,FALSE)&gt;25,"-","--")))))</f>
        <v>-</v>
      </c>
      <c r="H5" s="128" t="str">
        <f>IF(VLOOKUP(C5,OUTPUT_COUNTRY!$B$7:$N$26,7,FALSE)&gt;75,"++",(IF(VLOOKUP(C5,OUTPUT_COUNTRY!$B$7:$N$26,7,FALSE)&gt;50,"+",(IF(VLOOKUP(C5,OUTPUT_COUNTRY!$B$7:$N$26,7,FALSE)&gt;25,"-","--")))))</f>
        <v>--</v>
      </c>
      <c r="I5" s="128" t="str">
        <f>IF(VLOOKUP(C5,OUTPUT_COUNTRY!$B$7:$N$26,8,FALSE)&gt;75,"++",(IF(VLOOKUP(C5,OUTPUT_COUNTRY!$B$7:$N$26,8,FALSE)&gt;50,"+",(IF(VLOOKUP(C5,OUTPUT_COUNTRY!$B$7:$N$26,8,FALSE)&gt;25,"-","--")))))</f>
        <v>+</v>
      </c>
      <c r="J5" s="128" t="str">
        <f ca="1">IF(VLOOKUP(C5,OUTPUT_COUNTRY!$B$7:$N$26,9,FALSE)&gt;75,"++",(IF(VLOOKUP(C5,OUTPUT_COUNTRY!$B$7:$N$26,9,FALSE)&gt;50,"+",(IF(VLOOKUP(C5,OUTPUT_COUNTRY!$B$7:$N$26,9,FALSE)&gt;25,"-","--")))))</f>
        <v>--</v>
      </c>
      <c r="K5" s="128" t="str">
        <f>IF(VLOOKUP(C5,OUTPUT_COUNTRY!$B$7:$N$26,11,FALSE)&gt;75,"++",(IF(VLOOKUP(C5,OUTPUT_COUNTRY!$B$7:$N$26,11,FALSE)&gt;50,"+",(IF(VLOOKUP(C5,OUTPUT_COUNTRY!$B$7:$N$26,11,FALSE)&gt;25,"-","--")))))</f>
        <v>-</v>
      </c>
      <c r="L5" s="126" t="str">
        <f ca="1">IF(VLOOKUP(C5,OUTPUT_COUNTRY!$B$7:$N$26,13,FALSE)&gt;75,"++",(IF(VLOOKUP(C5,OUTPUT_COUNTRY!$B$7:$N$26,13,FALSE)&gt;50,"+",(IF(VLOOKUP(C5,OUTPUT_COUNTRY!$B$7:$N$26,13,FALSE)&gt;25,"-","--")))))</f>
        <v>--</v>
      </c>
    </row>
    <row r="6" spans="3:12" x14ac:dyDescent="0.35">
      <c r="C6" s="80" t="s">
        <v>36</v>
      </c>
      <c r="D6" s="82" t="s">
        <v>449</v>
      </c>
      <c r="E6" s="126" t="str">
        <f>IF(VLOOKUP(C6,OUTPUT_COUNTRY!$B$7:$N$26,3,FALSE)&gt;75,"++",(IF(VLOOKUP(C6,OUTPUT_COUNTRY!$B$7:$N$26,3,FALSE)&gt;50,"+",(IF(VLOOKUP(C6,OUTPUT_COUNTRY!$B$7:$N$26,3,FALSE)&gt;25,"-","--")))))</f>
        <v>--</v>
      </c>
      <c r="F6" s="126" t="str">
        <f>IF(VLOOKUP(C6,OUTPUT_COUNTRY!$B$7:$N$26,4,FALSE)&gt;75,"++",(IF(VLOOKUP(C6,OUTPUT_COUNTRY!$B$7:$N$26,4,FALSE)&gt;50,"+",(IF(VLOOKUP(C6,OUTPUT_COUNTRY!$B$7:$N$26,4,FALSE)&gt;25,"-","--")))))</f>
        <v>-</v>
      </c>
      <c r="G6" s="128" t="str">
        <f>IF(VLOOKUP(C6,OUTPUT_COUNTRY!$B$7:$N$26,5,FALSE)&gt;75,"++",(IF(VLOOKUP(C6,OUTPUT_COUNTRY!$B$7:$N$26,5,FALSE)&gt;50,"+",(IF(VLOOKUP(C6,OUTPUT_COUNTRY!$B$7:$N$26,5,FALSE)&gt;25,"-","--")))))</f>
        <v>++</v>
      </c>
      <c r="H6" s="128" t="str">
        <f>IF(VLOOKUP(C6,OUTPUT_COUNTRY!$B$7:$N$26,7,FALSE)&gt;75,"++",(IF(VLOOKUP(C6,OUTPUT_COUNTRY!$B$7:$N$26,7,FALSE)&gt;50,"+",(IF(VLOOKUP(C6,OUTPUT_COUNTRY!$B$7:$N$26,7,FALSE)&gt;25,"-","--")))))</f>
        <v>+</v>
      </c>
      <c r="I6" s="128" t="str">
        <f>IF(VLOOKUP(C6,OUTPUT_COUNTRY!$B$7:$N$26,8,FALSE)&gt;75,"++",(IF(VLOOKUP(C6,OUTPUT_COUNTRY!$B$7:$N$26,8,FALSE)&gt;50,"+",(IF(VLOOKUP(C6,OUTPUT_COUNTRY!$B$7:$N$26,8,FALSE)&gt;25,"-","--")))))</f>
        <v>-</v>
      </c>
      <c r="J6" s="128" t="str">
        <f ca="1">IF(VLOOKUP(C6,OUTPUT_COUNTRY!$B$7:$N$26,9,FALSE)&gt;75,"++",(IF(VLOOKUP(C6,OUTPUT_COUNTRY!$B$7:$N$26,9,FALSE)&gt;50,"+",(IF(VLOOKUP(C6,OUTPUT_COUNTRY!$B$7:$N$26,9,FALSE)&gt;25,"-","--")))))</f>
        <v>-</v>
      </c>
      <c r="K6" s="128" t="str">
        <f>IF(VLOOKUP(C6,OUTPUT_COUNTRY!$B$7:$N$26,11,FALSE)&gt;75,"++",(IF(VLOOKUP(C6,OUTPUT_COUNTRY!$B$7:$N$26,11,FALSE)&gt;50,"+",(IF(VLOOKUP(C6,OUTPUT_COUNTRY!$B$7:$N$26,11,FALSE)&gt;25,"-","--")))))</f>
        <v>++</v>
      </c>
      <c r="L6" s="126" t="str">
        <f ca="1">IF(VLOOKUP(C6,OUTPUT_COUNTRY!$B$7:$N$26,13,FALSE)&gt;75,"++",(IF(VLOOKUP(C6,OUTPUT_COUNTRY!$B$7:$N$26,13,FALSE)&gt;50,"+",(IF(VLOOKUP(C6,OUTPUT_COUNTRY!$B$7:$N$26,13,FALSE)&gt;25,"-","--")))))</f>
        <v>-</v>
      </c>
    </row>
    <row r="7" spans="3:12" x14ac:dyDescent="0.35">
      <c r="C7" s="80" t="s">
        <v>7</v>
      </c>
      <c r="D7" s="82" t="s">
        <v>53</v>
      </c>
      <c r="E7" s="126" t="str">
        <f>IF(VLOOKUP(C7,OUTPUT_COUNTRY!$B$7:$N$26,3,FALSE)&gt;75,"++",(IF(VLOOKUP(C7,OUTPUT_COUNTRY!$B$7:$N$26,3,FALSE)&gt;50,"+",(IF(VLOOKUP(C7,OUTPUT_COUNTRY!$B$7:$N$26,3,FALSE)&gt;25,"-","--")))))</f>
        <v>-</v>
      </c>
      <c r="F7" s="126" t="str">
        <f>IF(VLOOKUP(C7,OUTPUT_COUNTRY!$B$7:$N$26,4,FALSE)&gt;75,"++",(IF(VLOOKUP(C7,OUTPUT_COUNTRY!$B$7:$N$26,4,FALSE)&gt;50,"+",(IF(VLOOKUP(C7,OUTPUT_COUNTRY!$B$7:$N$26,4,FALSE)&gt;25,"-","--")))))</f>
        <v>+</v>
      </c>
      <c r="G7" s="128" t="str">
        <f>IF(VLOOKUP(C7,OUTPUT_COUNTRY!$B$7:$N$26,5,FALSE)&gt;75,"++",(IF(VLOOKUP(C7,OUTPUT_COUNTRY!$B$7:$N$26,5,FALSE)&gt;50,"+",(IF(VLOOKUP(C7,OUTPUT_COUNTRY!$B$7:$N$26,5,FALSE)&gt;25,"-","--")))))</f>
        <v>-</v>
      </c>
      <c r="H7" s="128" t="str">
        <f>IF(VLOOKUP(C7,OUTPUT_COUNTRY!$B$7:$N$26,7,FALSE)&gt;75,"++",(IF(VLOOKUP(C7,OUTPUT_COUNTRY!$B$7:$N$26,7,FALSE)&gt;50,"+",(IF(VLOOKUP(C7,OUTPUT_COUNTRY!$B$7:$N$26,7,FALSE)&gt;25,"-","--")))))</f>
        <v>-</v>
      </c>
      <c r="I7" s="128" t="str">
        <f>IF(VLOOKUP(C7,OUTPUT_COUNTRY!$B$7:$N$26,8,FALSE)&gt;75,"++",(IF(VLOOKUP(C7,OUTPUT_COUNTRY!$B$7:$N$26,8,FALSE)&gt;50,"+",(IF(VLOOKUP(C7,OUTPUT_COUNTRY!$B$7:$N$26,8,FALSE)&gt;25,"-","--")))))</f>
        <v>+</v>
      </c>
      <c r="J7" s="128" t="str">
        <f ca="1">IF(VLOOKUP(C7,OUTPUT_COUNTRY!$B$7:$N$26,9,FALSE)&gt;75,"++",(IF(VLOOKUP(C7,OUTPUT_COUNTRY!$B$7:$N$26,9,FALSE)&gt;50,"+",(IF(VLOOKUP(C7,OUTPUT_COUNTRY!$B$7:$N$26,9,FALSE)&gt;25,"-","--")))))</f>
        <v>-</v>
      </c>
      <c r="K7" s="128" t="str">
        <f>IF(VLOOKUP(C7,OUTPUT_COUNTRY!$B$7:$N$26,11,FALSE)&gt;75,"++",(IF(VLOOKUP(C7,OUTPUT_COUNTRY!$B$7:$N$26,11,FALSE)&gt;50,"+",(IF(VLOOKUP(C7,OUTPUT_COUNTRY!$B$7:$N$26,11,FALSE)&gt;25,"-","--")))))</f>
        <v>++</v>
      </c>
      <c r="L7" s="126" t="str">
        <f ca="1">IF(VLOOKUP(C7,OUTPUT_COUNTRY!$B$7:$N$26,13,FALSE)&gt;75,"++",(IF(VLOOKUP(C7,OUTPUT_COUNTRY!$B$7:$N$26,13,FALSE)&gt;50,"+",(IF(VLOOKUP(C7,OUTPUT_COUNTRY!$B$7:$N$26,13,FALSE)&gt;25,"-","--")))))</f>
        <v>+</v>
      </c>
    </row>
    <row r="8" spans="3:12" x14ac:dyDescent="0.35">
      <c r="C8" s="80" t="s">
        <v>35</v>
      </c>
      <c r="D8" s="82" t="s">
        <v>437</v>
      </c>
      <c r="E8" s="126" t="str">
        <f>IF(VLOOKUP(C8,OUTPUT_COUNTRY!$B$7:$N$26,3,FALSE)&gt;75,"++",(IF(VLOOKUP(C8,OUTPUT_COUNTRY!$B$7:$N$26,3,FALSE)&gt;50,"+",(IF(VLOOKUP(C8,OUTPUT_COUNTRY!$B$7:$N$26,3,FALSE)&gt;25,"-","--")))))</f>
        <v>+</v>
      </c>
      <c r="F8" s="126" t="str">
        <f>IF(VLOOKUP(C8,OUTPUT_COUNTRY!$B$7:$N$26,4,FALSE)&gt;75,"++",(IF(VLOOKUP(C8,OUTPUT_COUNTRY!$B$7:$N$26,4,FALSE)&gt;50,"+",(IF(VLOOKUP(C8,OUTPUT_COUNTRY!$B$7:$N$26,4,FALSE)&gt;25,"-","--")))))</f>
        <v>-</v>
      </c>
      <c r="G8" s="128" t="str">
        <f>IF(VLOOKUP(C8,OUTPUT_COUNTRY!$B$7:$N$26,5,FALSE)&gt;75,"++",(IF(VLOOKUP(C8,OUTPUT_COUNTRY!$B$7:$N$26,5,FALSE)&gt;50,"+",(IF(VLOOKUP(C8,OUTPUT_COUNTRY!$B$7:$N$26,5,FALSE)&gt;25,"-","--")))))</f>
        <v>++</v>
      </c>
      <c r="H8" s="128" t="str">
        <f>IF(VLOOKUP(C8,OUTPUT_COUNTRY!$B$7:$N$26,7,FALSE)&gt;75,"++",(IF(VLOOKUP(C8,OUTPUT_COUNTRY!$B$7:$N$26,7,FALSE)&gt;50,"+",(IF(VLOOKUP(C8,OUTPUT_COUNTRY!$B$7:$N$26,7,FALSE)&gt;25,"-","--")))))</f>
        <v>+</v>
      </c>
      <c r="I8" s="128" t="str">
        <f>IF(VLOOKUP(C8,OUTPUT_COUNTRY!$B$7:$N$26,8,FALSE)&gt;75,"++",(IF(VLOOKUP(C8,OUTPUT_COUNTRY!$B$7:$N$26,8,FALSE)&gt;50,"+",(IF(VLOOKUP(C8,OUTPUT_COUNTRY!$B$7:$N$26,8,FALSE)&gt;25,"-","--")))))</f>
        <v>-</v>
      </c>
      <c r="J8" s="128" t="str">
        <f ca="1">IF(VLOOKUP(C8,OUTPUT_COUNTRY!$B$7:$N$26,9,FALSE)&gt;75,"++",(IF(VLOOKUP(C8,OUTPUT_COUNTRY!$B$7:$N$26,9,FALSE)&gt;50,"+",(IF(VLOOKUP(C8,OUTPUT_COUNTRY!$B$7:$N$26,9,FALSE)&gt;25,"-","--")))))</f>
        <v>--</v>
      </c>
      <c r="K8" s="128" t="str">
        <f>IF(VLOOKUP(C8,OUTPUT_COUNTRY!$B$7:$N$26,11,FALSE)&gt;75,"++",(IF(VLOOKUP(C8,OUTPUT_COUNTRY!$B$7:$N$26,11,FALSE)&gt;50,"+",(IF(VLOOKUP(C8,OUTPUT_COUNTRY!$B$7:$N$26,11,FALSE)&gt;25,"-","--")))))</f>
        <v>-</v>
      </c>
      <c r="L8" s="126" t="str">
        <f ca="1">IF(VLOOKUP(C8,OUTPUT_COUNTRY!$B$7:$N$26,13,FALSE)&gt;75,"++",(IF(VLOOKUP(C8,OUTPUT_COUNTRY!$B$7:$N$26,13,FALSE)&gt;50,"+",(IF(VLOOKUP(C8,OUTPUT_COUNTRY!$B$7:$N$26,13,FALSE)&gt;25,"-","--")))))</f>
        <v>--</v>
      </c>
    </row>
    <row r="9" spans="3:12" x14ac:dyDescent="0.35">
      <c r="C9" s="80" t="s">
        <v>432</v>
      </c>
      <c r="D9" s="82" t="s">
        <v>435</v>
      </c>
      <c r="E9" s="126" t="str">
        <f>IF(VLOOKUP(C9,OUTPUT_COUNTRY!$B$7:$N$26,3,FALSE)&gt;75,"++",(IF(VLOOKUP(C9,OUTPUT_COUNTRY!$B$7:$N$26,3,FALSE)&gt;50,"+",(IF(VLOOKUP(C9,OUTPUT_COUNTRY!$B$7:$N$26,3,FALSE)&gt;25,"-","--")))))</f>
        <v>+</v>
      </c>
      <c r="F9" s="126" t="str">
        <f>IF(VLOOKUP(C9,OUTPUT_COUNTRY!$B$7:$N$26,4,FALSE)&gt;75,"++",(IF(VLOOKUP(C9,OUTPUT_COUNTRY!$B$7:$N$26,4,FALSE)&gt;50,"+",(IF(VLOOKUP(C9,OUTPUT_COUNTRY!$B$7:$N$26,4,FALSE)&gt;25,"-","--")))))</f>
        <v>++</v>
      </c>
      <c r="G9" s="128" t="str">
        <f>IF(VLOOKUP(C9,OUTPUT_COUNTRY!$B$7:$N$26,5,FALSE)&gt;75,"++",(IF(VLOOKUP(C9,OUTPUT_COUNTRY!$B$7:$N$26,5,FALSE)&gt;50,"+",(IF(VLOOKUP(C9,OUTPUT_COUNTRY!$B$7:$N$26,5,FALSE)&gt;25,"-","--")))))</f>
        <v>+</v>
      </c>
      <c r="H9" s="128" t="str">
        <f>IF(VLOOKUP(C9,OUTPUT_COUNTRY!$B$7:$N$26,7,FALSE)&gt;75,"++",(IF(VLOOKUP(C9,OUTPUT_COUNTRY!$B$7:$N$26,7,FALSE)&gt;50,"+",(IF(VLOOKUP(C9,OUTPUT_COUNTRY!$B$7:$N$26,7,FALSE)&gt;25,"-","--")))))</f>
        <v>++</v>
      </c>
      <c r="I9" s="128" t="str">
        <f>IF(VLOOKUP(C9,OUTPUT_COUNTRY!$B$7:$N$26,8,FALSE)&gt;75,"++",(IF(VLOOKUP(C9,OUTPUT_COUNTRY!$B$7:$N$26,8,FALSE)&gt;50,"+",(IF(VLOOKUP(C9,OUTPUT_COUNTRY!$B$7:$N$26,8,FALSE)&gt;25,"-","--")))))</f>
        <v>+</v>
      </c>
      <c r="J9" s="128" t="str">
        <f ca="1">IF(VLOOKUP(C9,OUTPUT_COUNTRY!$B$7:$N$26,9,FALSE)&gt;75,"++",(IF(VLOOKUP(C9,OUTPUT_COUNTRY!$B$7:$N$26,9,FALSE)&gt;50,"+",(IF(VLOOKUP(C9,OUTPUT_COUNTRY!$B$7:$N$26,9,FALSE)&gt;25,"-","--")))))</f>
        <v>-</v>
      </c>
      <c r="K9" s="128" t="str">
        <f>IF(VLOOKUP(C9,OUTPUT_COUNTRY!$B$7:$N$26,11,FALSE)&gt;75,"++",(IF(VLOOKUP(C9,OUTPUT_COUNTRY!$B$7:$N$26,11,FALSE)&gt;50,"+",(IF(VLOOKUP(C9,OUTPUT_COUNTRY!$B$7:$N$26,11,FALSE)&gt;25,"-","--")))))</f>
        <v>-</v>
      </c>
      <c r="L9" s="126" t="str">
        <f ca="1">IF(VLOOKUP(C9,OUTPUT_COUNTRY!$B$7:$N$26,13,FALSE)&gt;75,"++",(IF(VLOOKUP(C9,OUTPUT_COUNTRY!$B$7:$N$26,13,FALSE)&gt;50,"+",(IF(VLOOKUP(C9,OUTPUT_COUNTRY!$B$7:$N$26,13,FALSE)&gt;25,"-","--")))))</f>
        <v>+</v>
      </c>
    </row>
    <row r="10" spans="3:12" x14ac:dyDescent="0.35">
      <c r="C10" s="80" t="s">
        <v>23</v>
      </c>
      <c r="D10" s="82" t="s">
        <v>439</v>
      </c>
      <c r="E10" s="126" t="str">
        <f>IF(VLOOKUP(C10,OUTPUT_COUNTRY!$B$7:$N$26,3,FALSE)&gt;75,"++",(IF(VLOOKUP(C10,OUTPUT_COUNTRY!$B$7:$N$26,3,FALSE)&gt;50,"+",(IF(VLOOKUP(C10,OUTPUT_COUNTRY!$B$7:$N$26,3,FALSE)&gt;25,"-","--")))))</f>
        <v>+</v>
      </c>
      <c r="F10" s="126" t="str">
        <f>IF(VLOOKUP(C10,OUTPUT_COUNTRY!$B$7:$N$26,4,FALSE)&gt;75,"++",(IF(VLOOKUP(C10,OUTPUT_COUNTRY!$B$7:$N$26,4,FALSE)&gt;50,"+",(IF(VLOOKUP(C10,OUTPUT_COUNTRY!$B$7:$N$26,4,FALSE)&gt;25,"-","--")))))</f>
        <v>--</v>
      </c>
      <c r="G10" s="128" t="str">
        <f>IF(VLOOKUP(C10,OUTPUT_COUNTRY!$B$7:$N$26,5,FALSE)&gt;75,"++",(IF(VLOOKUP(C10,OUTPUT_COUNTRY!$B$7:$N$26,5,FALSE)&gt;50,"+",(IF(VLOOKUP(C10,OUTPUT_COUNTRY!$B$7:$N$26,5,FALSE)&gt;25,"-","--")))))</f>
        <v>--</v>
      </c>
      <c r="H10" s="128" t="str">
        <f>IF(VLOOKUP(C10,OUTPUT_COUNTRY!$B$7:$N$26,7,FALSE)&gt;75,"++",(IF(VLOOKUP(C10,OUTPUT_COUNTRY!$B$7:$N$26,7,FALSE)&gt;50,"+",(IF(VLOOKUP(C10,OUTPUT_COUNTRY!$B$7:$N$26,7,FALSE)&gt;25,"-","--")))))</f>
        <v>--</v>
      </c>
      <c r="I10" s="128" t="str">
        <f>IF(VLOOKUP(C10,OUTPUT_COUNTRY!$B$7:$N$26,8,FALSE)&gt;75,"++",(IF(VLOOKUP(C10,OUTPUT_COUNTRY!$B$7:$N$26,8,FALSE)&gt;50,"+",(IF(VLOOKUP(C10,OUTPUT_COUNTRY!$B$7:$N$26,8,FALSE)&gt;25,"-","--")))))</f>
        <v>+</v>
      </c>
      <c r="J10" s="128" t="str">
        <f ca="1">IF(VLOOKUP(C10,OUTPUT_COUNTRY!$B$7:$N$26,9,FALSE)&gt;75,"++",(IF(VLOOKUP(C10,OUTPUT_COUNTRY!$B$7:$N$26,9,FALSE)&gt;50,"+",(IF(VLOOKUP(C10,OUTPUT_COUNTRY!$B$7:$N$26,9,FALSE)&gt;25,"-","--")))))</f>
        <v>+</v>
      </c>
      <c r="K10" s="128" t="str">
        <f>IF(VLOOKUP(C10,OUTPUT_COUNTRY!$B$7:$N$26,11,FALSE)&gt;75,"++",(IF(VLOOKUP(C10,OUTPUT_COUNTRY!$B$7:$N$26,11,FALSE)&gt;50,"+",(IF(VLOOKUP(C10,OUTPUT_COUNTRY!$B$7:$N$26,11,FALSE)&gt;25,"-","--")))))</f>
        <v>+</v>
      </c>
      <c r="L10" s="126" t="str">
        <f ca="1">IF(VLOOKUP(C10,OUTPUT_COUNTRY!$B$7:$N$26,13,FALSE)&gt;75,"++",(IF(VLOOKUP(C10,OUTPUT_COUNTRY!$B$7:$N$26,13,FALSE)&gt;50,"+",(IF(VLOOKUP(C10,OUTPUT_COUNTRY!$B$7:$N$26,13,FALSE)&gt;25,"-","--")))))</f>
        <v>++</v>
      </c>
    </row>
    <row r="11" spans="3:12" x14ac:dyDescent="0.35">
      <c r="C11" s="80" t="s">
        <v>21</v>
      </c>
      <c r="D11" s="82" t="s">
        <v>38</v>
      </c>
      <c r="E11" s="126" t="str">
        <f>IF(VLOOKUP(C11,OUTPUT_COUNTRY!$B$7:$N$26,3,FALSE)&gt;75,"++",(IF(VLOOKUP(C11,OUTPUT_COUNTRY!$B$7:$N$26,3,FALSE)&gt;50,"+",(IF(VLOOKUP(C11,OUTPUT_COUNTRY!$B$7:$N$26,3,FALSE)&gt;25,"-","--")))))</f>
        <v>-</v>
      </c>
      <c r="F11" s="126" t="str">
        <f>IF(VLOOKUP(C11,OUTPUT_COUNTRY!$B$7:$N$26,4,FALSE)&gt;75,"++",(IF(VLOOKUP(C11,OUTPUT_COUNTRY!$B$7:$N$26,4,FALSE)&gt;50,"+",(IF(VLOOKUP(C11,OUTPUT_COUNTRY!$B$7:$N$26,4,FALSE)&gt;25,"-","--")))))</f>
        <v>++</v>
      </c>
      <c r="G11" s="128" t="str">
        <f>IF(VLOOKUP(C11,OUTPUT_COUNTRY!$B$7:$N$26,5,FALSE)&gt;75,"++",(IF(VLOOKUP(C11,OUTPUT_COUNTRY!$B$7:$N$26,5,FALSE)&gt;50,"+",(IF(VLOOKUP(C11,OUTPUT_COUNTRY!$B$7:$N$26,5,FALSE)&gt;25,"-","--")))))</f>
        <v>-</v>
      </c>
      <c r="H11" s="128" t="str">
        <f>IF(VLOOKUP(C11,OUTPUT_COUNTRY!$B$7:$N$26,7,FALSE)&gt;75,"++",(IF(VLOOKUP(C11,OUTPUT_COUNTRY!$B$7:$N$26,7,FALSE)&gt;50,"+",(IF(VLOOKUP(C11,OUTPUT_COUNTRY!$B$7:$N$26,7,FALSE)&gt;25,"-","--")))))</f>
        <v>+</v>
      </c>
      <c r="I11" s="128" t="str">
        <f>IF(VLOOKUP(C11,OUTPUT_COUNTRY!$B$7:$N$26,8,FALSE)&gt;75,"++",(IF(VLOOKUP(C11,OUTPUT_COUNTRY!$B$7:$N$26,8,FALSE)&gt;50,"+",(IF(VLOOKUP(C11,OUTPUT_COUNTRY!$B$7:$N$26,8,FALSE)&gt;25,"-","--")))))</f>
        <v>+</v>
      </c>
      <c r="J11" s="128" t="str">
        <f ca="1">IF(VLOOKUP(C11,OUTPUT_COUNTRY!$B$7:$N$26,9,FALSE)&gt;75,"++",(IF(VLOOKUP(C11,OUTPUT_COUNTRY!$B$7:$N$26,9,FALSE)&gt;50,"+",(IF(VLOOKUP(C11,OUTPUT_COUNTRY!$B$7:$N$26,9,FALSE)&gt;25,"-","--")))))</f>
        <v>-</v>
      </c>
      <c r="K11" s="128" t="str">
        <f>IF(VLOOKUP(C11,OUTPUT_COUNTRY!$B$7:$N$26,11,FALSE)&gt;75,"++",(IF(VLOOKUP(C11,OUTPUT_COUNTRY!$B$7:$N$26,11,FALSE)&gt;50,"+",(IF(VLOOKUP(C11,OUTPUT_COUNTRY!$B$7:$N$26,11,FALSE)&gt;25,"-","--")))))</f>
        <v>--</v>
      </c>
      <c r="L11" s="126" t="str">
        <f ca="1">IF(VLOOKUP(C11,OUTPUT_COUNTRY!$B$7:$N$26,13,FALSE)&gt;75,"++",(IF(VLOOKUP(C11,OUTPUT_COUNTRY!$B$7:$N$26,13,FALSE)&gt;50,"+",(IF(VLOOKUP(C11,OUTPUT_COUNTRY!$B$7:$N$26,13,FALSE)&gt;25,"-","--")))))</f>
        <v>-</v>
      </c>
    </row>
    <row r="12" spans="3:12" x14ac:dyDescent="0.35">
      <c r="C12" s="80" t="s">
        <v>28</v>
      </c>
      <c r="D12" s="82" t="s">
        <v>443</v>
      </c>
      <c r="E12" s="126" t="str">
        <f>IF(VLOOKUP(C12,OUTPUT_COUNTRY!$B$7:$N$26,3,FALSE)&gt;75,"++",(IF(VLOOKUP(C12,OUTPUT_COUNTRY!$B$7:$N$26,3,FALSE)&gt;50,"+",(IF(VLOOKUP(C12,OUTPUT_COUNTRY!$B$7:$N$26,3,FALSE)&gt;25,"-","--")))))</f>
        <v>++</v>
      </c>
      <c r="F12" s="126" t="str">
        <f>IF(VLOOKUP(C12,OUTPUT_COUNTRY!$B$7:$N$26,4,FALSE)&gt;75,"++",(IF(VLOOKUP(C12,OUTPUT_COUNTRY!$B$7:$N$26,4,FALSE)&gt;50,"+",(IF(VLOOKUP(C12,OUTPUT_COUNTRY!$B$7:$N$26,4,FALSE)&gt;25,"-","--")))))</f>
        <v>--</v>
      </c>
      <c r="G12" s="128" t="str">
        <f>IF(VLOOKUP(C12,OUTPUT_COUNTRY!$B$7:$N$26,5,FALSE)&gt;75,"++",(IF(VLOOKUP(C12,OUTPUT_COUNTRY!$B$7:$N$26,5,FALSE)&gt;50,"+",(IF(VLOOKUP(C12,OUTPUT_COUNTRY!$B$7:$N$26,5,FALSE)&gt;25,"-","--")))))</f>
        <v>--</v>
      </c>
      <c r="H12" s="128" t="str">
        <f>IF(VLOOKUP(C12,OUTPUT_COUNTRY!$B$7:$N$26,7,FALSE)&gt;75,"++",(IF(VLOOKUP(C12,OUTPUT_COUNTRY!$B$7:$N$26,7,FALSE)&gt;50,"+",(IF(VLOOKUP(C12,OUTPUT_COUNTRY!$B$7:$N$26,7,FALSE)&gt;25,"-","--")))))</f>
        <v>--</v>
      </c>
      <c r="I12" s="128" t="str">
        <f>IF(VLOOKUP(C12,OUTPUT_COUNTRY!$B$7:$N$26,8,FALSE)&gt;75,"++",(IF(VLOOKUP(C12,OUTPUT_COUNTRY!$B$7:$N$26,8,FALSE)&gt;50,"+",(IF(VLOOKUP(C12,OUTPUT_COUNTRY!$B$7:$N$26,8,FALSE)&gt;25,"-","--")))))</f>
        <v>--</v>
      </c>
      <c r="J12" s="128" t="str">
        <f ca="1">IF(VLOOKUP(C12,OUTPUT_COUNTRY!$B$7:$N$26,9,FALSE)&gt;75,"++",(IF(VLOOKUP(C12,OUTPUT_COUNTRY!$B$7:$N$26,9,FALSE)&gt;50,"+",(IF(VLOOKUP(C12,OUTPUT_COUNTRY!$B$7:$N$26,9,FALSE)&gt;25,"-","--")))))</f>
        <v>+</v>
      </c>
      <c r="K12" s="128" t="str">
        <f>IF(VLOOKUP(C12,OUTPUT_COUNTRY!$B$7:$N$26,11,FALSE)&gt;75,"++",(IF(VLOOKUP(C12,OUTPUT_COUNTRY!$B$7:$N$26,11,FALSE)&gt;50,"+",(IF(VLOOKUP(C12,OUTPUT_COUNTRY!$B$7:$N$26,11,FALSE)&gt;25,"-","--")))))</f>
        <v>-</v>
      </c>
      <c r="L12" s="126" t="str">
        <f ca="1">IF(VLOOKUP(C12,OUTPUT_COUNTRY!$B$7:$N$26,13,FALSE)&gt;75,"++",(IF(VLOOKUP(C12,OUTPUT_COUNTRY!$B$7:$N$26,13,FALSE)&gt;50,"+",(IF(VLOOKUP(C12,OUTPUT_COUNTRY!$B$7:$N$26,13,FALSE)&gt;25,"-","--")))))</f>
        <v>-</v>
      </c>
    </row>
    <row r="13" spans="3:12" x14ac:dyDescent="0.35">
      <c r="C13" s="80" t="s">
        <v>26</v>
      </c>
      <c r="D13" s="82" t="s">
        <v>41</v>
      </c>
      <c r="E13" s="126" t="str">
        <f>IF(VLOOKUP(C13,OUTPUT_COUNTRY!$B$7:$N$26,3,FALSE)&gt;75,"++",(IF(VLOOKUP(C13,OUTPUT_COUNTRY!$B$7:$N$26,3,FALSE)&gt;50,"+",(IF(VLOOKUP(C13,OUTPUT_COUNTRY!$B$7:$N$26,3,FALSE)&gt;25,"-","--")))))</f>
        <v>+</v>
      </c>
      <c r="F13" s="126" t="str">
        <f>IF(VLOOKUP(C13,OUTPUT_COUNTRY!$B$7:$N$26,4,FALSE)&gt;75,"++",(IF(VLOOKUP(C13,OUTPUT_COUNTRY!$B$7:$N$26,4,FALSE)&gt;50,"+",(IF(VLOOKUP(C13,OUTPUT_COUNTRY!$B$7:$N$26,4,FALSE)&gt;25,"-","--")))))</f>
        <v>++</v>
      </c>
      <c r="G13" s="128" t="str">
        <f>IF(VLOOKUP(C13,OUTPUT_COUNTRY!$B$7:$N$26,5,FALSE)&gt;75,"++",(IF(VLOOKUP(C13,OUTPUT_COUNTRY!$B$7:$N$26,5,FALSE)&gt;50,"+",(IF(VLOOKUP(C13,OUTPUT_COUNTRY!$B$7:$N$26,5,FALSE)&gt;25,"-","--")))))</f>
        <v>-</v>
      </c>
      <c r="H13" s="128" t="str">
        <f>IF(VLOOKUP(C13,OUTPUT_COUNTRY!$B$7:$N$26,7,FALSE)&gt;75,"++",(IF(VLOOKUP(C13,OUTPUT_COUNTRY!$B$7:$N$26,7,FALSE)&gt;50,"+",(IF(VLOOKUP(C13,OUTPUT_COUNTRY!$B$7:$N$26,7,FALSE)&gt;25,"-","--")))))</f>
        <v>++</v>
      </c>
      <c r="I13" s="128" t="str">
        <f>IF(VLOOKUP(C13,OUTPUT_COUNTRY!$B$7:$N$26,8,FALSE)&gt;75,"++",(IF(VLOOKUP(C13,OUTPUT_COUNTRY!$B$7:$N$26,8,FALSE)&gt;50,"+",(IF(VLOOKUP(C13,OUTPUT_COUNTRY!$B$7:$N$26,8,FALSE)&gt;25,"-","--")))))</f>
        <v>+</v>
      </c>
      <c r="J13" s="128" t="str">
        <f ca="1">IF(VLOOKUP(C13,OUTPUT_COUNTRY!$B$7:$N$26,9,FALSE)&gt;75,"++",(IF(VLOOKUP(C13,OUTPUT_COUNTRY!$B$7:$N$26,9,FALSE)&gt;50,"+",(IF(VLOOKUP(C13,OUTPUT_COUNTRY!$B$7:$N$26,9,FALSE)&gt;25,"-","--")))))</f>
        <v>+</v>
      </c>
      <c r="K13" s="128" t="str">
        <f>IF(VLOOKUP(C13,OUTPUT_COUNTRY!$B$7:$N$26,11,FALSE)&gt;75,"++",(IF(VLOOKUP(C13,OUTPUT_COUNTRY!$B$7:$N$26,11,FALSE)&gt;50,"+",(IF(VLOOKUP(C13,OUTPUT_COUNTRY!$B$7:$N$26,11,FALSE)&gt;25,"-","--")))))</f>
        <v>-</v>
      </c>
      <c r="L13" s="126" t="str">
        <f ca="1">IF(VLOOKUP(C13,OUTPUT_COUNTRY!$B$7:$N$26,13,FALSE)&gt;75,"++",(IF(VLOOKUP(C13,OUTPUT_COUNTRY!$B$7:$N$26,13,FALSE)&gt;50,"+",(IF(VLOOKUP(C13,OUTPUT_COUNTRY!$B$7:$N$26,13,FALSE)&gt;25,"-","--")))))</f>
        <v>++</v>
      </c>
    </row>
    <row r="14" spans="3:12" x14ac:dyDescent="0.35">
      <c r="C14" s="80" t="s">
        <v>32</v>
      </c>
      <c r="D14" s="82" t="s">
        <v>52</v>
      </c>
      <c r="E14" s="126" t="str">
        <f>IF(VLOOKUP(C14,OUTPUT_COUNTRY!$B$7:$N$26,3,FALSE)&gt;75,"++",(IF(VLOOKUP(C14,OUTPUT_COUNTRY!$B$7:$N$26,3,FALSE)&gt;50,"+",(IF(VLOOKUP(C14,OUTPUT_COUNTRY!$B$7:$N$26,3,FALSE)&gt;25,"-","--")))))</f>
        <v>--</v>
      </c>
      <c r="F14" s="126" t="str">
        <f>IF(VLOOKUP(C14,OUTPUT_COUNTRY!$B$7:$N$26,4,FALSE)&gt;75,"++",(IF(VLOOKUP(C14,OUTPUT_COUNTRY!$B$7:$N$26,4,FALSE)&gt;50,"+",(IF(VLOOKUP(C14,OUTPUT_COUNTRY!$B$7:$N$26,4,FALSE)&gt;25,"-","--")))))</f>
        <v>++</v>
      </c>
      <c r="G14" s="128" t="str">
        <f>IF(VLOOKUP(C14,OUTPUT_COUNTRY!$B$7:$N$26,5,FALSE)&gt;75,"++",(IF(VLOOKUP(C14,OUTPUT_COUNTRY!$B$7:$N$26,5,FALSE)&gt;50,"+",(IF(VLOOKUP(C14,OUTPUT_COUNTRY!$B$7:$N$26,5,FALSE)&gt;25,"-","--")))))</f>
        <v>+</v>
      </c>
      <c r="H14" s="128" t="str">
        <f>IF(VLOOKUP(C14,OUTPUT_COUNTRY!$B$7:$N$26,7,FALSE)&gt;75,"++",(IF(VLOOKUP(C14,OUTPUT_COUNTRY!$B$7:$N$26,7,FALSE)&gt;50,"+",(IF(VLOOKUP(C14,OUTPUT_COUNTRY!$B$7:$N$26,7,FALSE)&gt;25,"-","--")))))</f>
        <v>-</v>
      </c>
      <c r="I14" s="128" t="str">
        <f>IF(VLOOKUP(C14,OUTPUT_COUNTRY!$B$7:$N$26,8,FALSE)&gt;75,"++",(IF(VLOOKUP(C14,OUTPUT_COUNTRY!$B$7:$N$26,8,FALSE)&gt;50,"+",(IF(VLOOKUP(C14,OUTPUT_COUNTRY!$B$7:$N$26,8,FALSE)&gt;25,"-","--")))))</f>
        <v>+</v>
      </c>
      <c r="J14" s="128" t="str">
        <f ca="1">IF(VLOOKUP(C14,OUTPUT_COUNTRY!$B$7:$N$26,9,FALSE)&gt;75,"++",(IF(VLOOKUP(C14,OUTPUT_COUNTRY!$B$7:$N$26,9,FALSE)&gt;50,"+",(IF(VLOOKUP(C14,OUTPUT_COUNTRY!$B$7:$N$26,9,FALSE)&gt;25,"-","--")))))</f>
        <v>++</v>
      </c>
      <c r="K14" s="128" t="str">
        <f>IF(VLOOKUP(C14,OUTPUT_COUNTRY!$B$7:$N$26,11,FALSE)&gt;75,"++",(IF(VLOOKUP(C14,OUTPUT_COUNTRY!$B$7:$N$26,11,FALSE)&gt;50,"+",(IF(VLOOKUP(C14,OUTPUT_COUNTRY!$B$7:$N$26,11,FALSE)&gt;25,"-","--")))))</f>
        <v>+</v>
      </c>
      <c r="L14" s="126" t="str">
        <f ca="1">IF(VLOOKUP(C14,OUTPUT_COUNTRY!$B$7:$N$26,13,FALSE)&gt;75,"++",(IF(VLOOKUP(C14,OUTPUT_COUNTRY!$B$7:$N$26,13,FALSE)&gt;50,"+",(IF(VLOOKUP(C14,OUTPUT_COUNTRY!$B$7:$N$26,13,FALSE)&gt;25,"-","--")))))</f>
        <v>++</v>
      </c>
    </row>
    <row r="15" spans="3:12" x14ac:dyDescent="0.35">
      <c r="C15" s="80" t="s">
        <v>27</v>
      </c>
      <c r="D15" s="82" t="s">
        <v>436</v>
      </c>
      <c r="E15" s="126" t="str">
        <f>IF(VLOOKUP(C15,OUTPUT_COUNTRY!$B$7:$N$26,3,FALSE)&gt;75,"++",(IF(VLOOKUP(C15,OUTPUT_COUNTRY!$B$7:$N$26,3,FALSE)&gt;50,"+",(IF(VLOOKUP(C15,OUTPUT_COUNTRY!$B$7:$N$26,3,FALSE)&gt;25,"-","--")))))</f>
        <v>++</v>
      </c>
      <c r="F15" s="126" t="str">
        <f>IF(VLOOKUP(C15,OUTPUT_COUNTRY!$B$7:$N$26,4,FALSE)&gt;75,"++",(IF(VLOOKUP(C15,OUTPUT_COUNTRY!$B$7:$N$26,4,FALSE)&gt;50,"+",(IF(VLOOKUP(C15,OUTPUT_COUNTRY!$B$7:$N$26,4,FALSE)&gt;25,"-","--")))))</f>
        <v>-</v>
      </c>
      <c r="G15" s="128" t="str">
        <f>IF(VLOOKUP(C15,OUTPUT_COUNTRY!$B$7:$N$26,5,FALSE)&gt;75,"++",(IF(VLOOKUP(C15,OUTPUT_COUNTRY!$B$7:$N$26,5,FALSE)&gt;50,"+",(IF(VLOOKUP(C15,OUTPUT_COUNTRY!$B$7:$N$26,5,FALSE)&gt;25,"-","--")))))</f>
        <v>--</v>
      </c>
      <c r="H15" s="128" t="str">
        <f>IF(VLOOKUP(C15,OUTPUT_COUNTRY!$B$7:$N$26,7,FALSE)&gt;75,"++",(IF(VLOOKUP(C15,OUTPUT_COUNTRY!$B$7:$N$26,7,FALSE)&gt;50,"+",(IF(VLOOKUP(C15,OUTPUT_COUNTRY!$B$7:$N$26,7,FALSE)&gt;25,"-","--")))))</f>
        <v>+</v>
      </c>
      <c r="I15" s="128" t="str">
        <f>IF(VLOOKUP(C15,OUTPUT_COUNTRY!$B$7:$N$26,8,FALSE)&gt;75,"++",(IF(VLOOKUP(C15,OUTPUT_COUNTRY!$B$7:$N$26,8,FALSE)&gt;50,"+",(IF(VLOOKUP(C15,OUTPUT_COUNTRY!$B$7:$N$26,8,FALSE)&gt;25,"-","--")))))</f>
        <v>+</v>
      </c>
      <c r="J15" s="128" t="str">
        <f ca="1">IF(VLOOKUP(C15,OUTPUT_COUNTRY!$B$7:$N$26,9,FALSE)&gt;75,"++",(IF(VLOOKUP(C15,OUTPUT_COUNTRY!$B$7:$N$26,9,FALSE)&gt;50,"+",(IF(VLOOKUP(C15,OUTPUT_COUNTRY!$B$7:$N$26,9,FALSE)&gt;25,"-","--")))))</f>
        <v>+</v>
      </c>
      <c r="K15" s="128" t="str">
        <f>IF(VLOOKUP(C15,OUTPUT_COUNTRY!$B$7:$N$26,11,FALSE)&gt;75,"++",(IF(VLOOKUP(C15,OUTPUT_COUNTRY!$B$7:$N$26,11,FALSE)&gt;50,"+",(IF(VLOOKUP(C15,OUTPUT_COUNTRY!$B$7:$N$26,11,FALSE)&gt;25,"-","--")))))</f>
        <v>--</v>
      </c>
      <c r="L15" s="126" t="str">
        <f ca="1">IF(VLOOKUP(C15,OUTPUT_COUNTRY!$B$7:$N$26,13,FALSE)&gt;75,"++",(IF(VLOOKUP(C15,OUTPUT_COUNTRY!$B$7:$N$26,13,FALSE)&gt;50,"+",(IF(VLOOKUP(C15,OUTPUT_COUNTRY!$B$7:$N$26,13,FALSE)&gt;25,"-","--")))))</f>
        <v>+</v>
      </c>
    </row>
    <row r="16" spans="3:12" x14ac:dyDescent="0.35">
      <c r="C16" s="80" t="s">
        <v>25</v>
      </c>
      <c r="D16" s="82" t="s">
        <v>446</v>
      </c>
      <c r="E16" s="126" t="str">
        <f>IF(VLOOKUP(C16,OUTPUT_COUNTRY!$B$7:$N$26,3,FALSE)&gt;75,"++",(IF(VLOOKUP(C16,OUTPUT_COUNTRY!$B$7:$N$26,3,FALSE)&gt;50,"+",(IF(VLOOKUP(C16,OUTPUT_COUNTRY!$B$7:$N$26,3,FALSE)&gt;25,"-","--")))))</f>
        <v>-</v>
      </c>
      <c r="F16" s="126" t="str">
        <f>IF(VLOOKUP(C16,OUTPUT_COUNTRY!$B$7:$N$26,4,FALSE)&gt;75,"++",(IF(VLOOKUP(C16,OUTPUT_COUNTRY!$B$7:$N$26,4,FALSE)&gt;50,"+",(IF(VLOOKUP(C16,OUTPUT_COUNTRY!$B$7:$N$26,4,FALSE)&gt;25,"-","--")))))</f>
        <v>+</v>
      </c>
      <c r="G16" s="128" t="str">
        <f>IF(VLOOKUP(C16,OUTPUT_COUNTRY!$B$7:$N$26,5,FALSE)&gt;75,"++",(IF(VLOOKUP(C16,OUTPUT_COUNTRY!$B$7:$N$26,5,FALSE)&gt;50,"+",(IF(VLOOKUP(C16,OUTPUT_COUNTRY!$B$7:$N$26,5,FALSE)&gt;25,"-","--")))))</f>
        <v>--</v>
      </c>
      <c r="H16" s="128" t="str">
        <f>IF(VLOOKUP(C16,OUTPUT_COUNTRY!$B$7:$N$26,7,FALSE)&gt;75,"++",(IF(VLOOKUP(C16,OUTPUT_COUNTRY!$B$7:$N$26,7,FALSE)&gt;50,"+",(IF(VLOOKUP(C16,OUTPUT_COUNTRY!$B$7:$N$26,7,FALSE)&gt;25,"-","--")))))</f>
        <v>-</v>
      </c>
      <c r="I16" s="128" t="str">
        <f>IF(VLOOKUP(C16,OUTPUT_COUNTRY!$B$7:$N$26,8,FALSE)&gt;75,"++",(IF(VLOOKUP(C16,OUTPUT_COUNTRY!$B$7:$N$26,8,FALSE)&gt;50,"+",(IF(VLOOKUP(C16,OUTPUT_COUNTRY!$B$7:$N$26,8,FALSE)&gt;25,"-","--")))))</f>
        <v>--</v>
      </c>
      <c r="J16" s="128" t="str">
        <f ca="1">IF(VLOOKUP(C16,OUTPUT_COUNTRY!$B$7:$N$26,9,FALSE)&gt;75,"++",(IF(VLOOKUP(C16,OUTPUT_COUNTRY!$B$7:$N$26,9,FALSE)&gt;50,"+",(IF(VLOOKUP(C16,OUTPUT_COUNTRY!$B$7:$N$26,9,FALSE)&gt;25,"-","--")))))</f>
        <v>++</v>
      </c>
      <c r="K16" s="128" t="str">
        <f>IF(VLOOKUP(C16,OUTPUT_COUNTRY!$B$7:$N$26,11,FALSE)&gt;75,"++",(IF(VLOOKUP(C16,OUTPUT_COUNTRY!$B$7:$N$26,11,FALSE)&gt;50,"+",(IF(VLOOKUP(C16,OUTPUT_COUNTRY!$B$7:$N$26,11,FALSE)&gt;25,"-","--")))))</f>
        <v>--</v>
      </c>
      <c r="L16" s="126" t="str">
        <f ca="1">IF(VLOOKUP(C16,OUTPUT_COUNTRY!$B$7:$N$26,13,FALSE)&gt;75,"++",(IF(VLOOKUP(C16,OUTPUT_COUNTRY!$B$7:$N$26,13,FALSE)&gt;50,"+",(IF(VLOOKUP(C16,OUTPUT_COUNTRY!$B$7:$N$26,13,FALSE)&gt;25,"-","--")))))</f>
        <v>+</v>
      </c>
    </row>
    <row r="17" spans="3:12" x14ac:dyDescent="0.35">
      <c r="C17" s="80" t="s">
        <v>12</v>
      </c>
      <c r="D17" s="82" t="s">
        <v>54</v>
      </c>
      <c r="E17" s="126" t="str">
        <f>IF(VLOOKUP(C17,OUTPUT_COUNTRY!$B$7:$N$26,3,FALSE)&gt;75,"++",(IF(VLOOKUP(C17,OUTPUT_COUNTRY!$B$7:$N$26,3,FALSE)&gt;50,"+",(IF(VLOOKUP(C17,OUTPUT_COUNTRY!$B$7:$N$26,3,FALSE)&gt;25,"-","--")))))</f>
        <v>++</v>
      </c>
      <c r="F17" s="126" t="str">
        <f>IF(VLOOKUP(C17,OUTPUT_COUNTRY!$B$7:$N$26,4,FALSE)&gt;75,"++",(IF(VLOOKUP(C17,OUTPUT_COUNTRY!$B$7:$N$26,4,FALSE)&gt;50,"+",(IF(VLOOKUP(C17,OUTPUT_COUNTRY!$B$7:$N$26,4,FALSE)&gt;25,"-","--")))))</f>
        <v>--</v>
      </c>
      <c r="G17" s="128" t="str">
        <f>IF(VLOOKUP(C17,OUTPUT_COUNTRY!$B$7:$N$26,5,FALSE)&gt;75,"++",(IF(VLOOKUP(C17,OUTPUT_COUNTRY!$B$7:$N$26,5,FALSE)&gt;50,"+",(IF(VLOOKUP(C17,OUTPUT_COUNTRY!$B$7:$N$26,5,FALSE)&gt;25,"-","--")))))</f>
        <v>-</v>
      </c>
      <c r="H17" s="128" t="str">
        <f>IF(VLOOKUP(C17,OUTPUT_COUNTRY!$B$7:$N$26,7,FALSE)&gt;75,"++",(IF(VLOOKUP(C17,OUTPUT_COUNTRY!$B$7:$N$26,7,FALSE)&gt;50,"+",(IF(VLOOKUP(C17,OUTPUT_COUNTRY!$B$7:$N$26,7,FALSE)&gt;25,"-","--")))))</f>
        <v>-</v>
      </c>
      <c r="I17" s="128" t="str">
        <f>IF(VLOOKUP(C17,OUTPUT_COUNTRY!$B$7:$N$26,8,FALSE)&gt;75,"++",(IF(VLOOKUP(C17,OUTPUT_COUNTRY!$B$7:$N$26,8,FALSE)&gt;50,"+",(IF(VLOOKUP(C17,OUTPUT_COUNTRY!$B$7:$N$26,8,FALSE)&gt;25,"-","--")))))</f>
        <v>+</v>
      </c>
      <c r="J17" s="128" t="str">
        <f ca="1">IF(VLOOKUP(C17,OUTPUT_COUNTRY!$B$7:$N$26,9,FALSE)&gt;75,"++",(IF(VLOOKUP(C17,OUTPUT_COUNTRY!$B$7:$N$26,9,FALSE)&gt;50,"+",(IF(VLOOKUP(C17,OUTPUT_COUNTRY!$B$7:$N$26,9,FALSE)&gt;25,"-","--")))))</f>
        <v>--</v>
      </c>
      <c r="K17" s="128" t="str">
        <f>IF(VLOOKUP(C17,OUTPUT_COUNTRY!$B$7:$N$26,11,FALSE)&gt;75,"++",(IF(VLOOKUP(C17,OUTPUT_COUNTRY!$B$7:$N$26,11,FALSE)&gt;50,"+",(IF(VLOOKUP(C17,OUTPUT_COUNTRY!$B$7:$N$26,11,FALSE)&gt;25,"-","--")))))</f>
        <v>--</v>
      </c>
      <c r="L17" s="126" t="str">
        <f ca="1">IF(VLOOKUP(C17,OUTPUT_COUNTRY!$B$7:$N$26,13,FALSE)&gt;75,"++",(IF(VLOOKUP(C17,OUTPUT_COUNTRY!$B$7:$N$26,13,FALSE)&gt;50,"+",(IF(VLOOKUP(C17,OUTPUT_COUNTRY!$B$7:$N$26,13,FALSE)&gt;25,"-","--")))))</f>
        <v>--</v>
      </c>
    </row>
    <row r="18" spans="3:12" x14ac:dyDescent="0.35">
      <c r="C18" s="80" t="s">
        <v>29</v>
      </c>
      <c r="D18" s="82" t="s">
        <v>440</v>
      </c>
      <c r="E18" s="126" t="str">
        <f>IF(VLOOKUP(C18,OUTPUT_COUNTRY!$B$7:$N$26,3,FALSE)&gt;75,"++",(IF(VLOOKUP(C18,OUTPUT_COUNTRY!$B$7:$N$26,3,FALSE)&gt;50,"+",(IF(VLOOKUP(C18,OUTPUT_COUNTRY!$B$7:$N$26,3,FALSE)&gt;25,"-","--")))))</f>
        <v>--</v>
      </c>
      <c r="F18" s="126" t="str">
        <f>IF(VLOOKUP(C18,OUTPUT_COUNTRY!$B$7:$N$26,4,FALSE)&gt;75,"++",(IF(VLOOKUP(C18,OUTPUT_COUNTRY!$B$7:$N$26,4,FALSE)&gt;50,"+",(IF(VLOOKUP(C18,OUTPUT_COUNTRY!$B$7:$N$26,4,FALSE)&gt;25,"-","--")))))</f>
        <v>-</v>
      </c>
      <c r="G18" s="128" t="str">
        <f>IF(VLOOKUP(C18,OUTPUT_COUNTRY!$B$7:$N$26,5,FALSE)&gt;75,"++",(IF(VLOOKUP(C18,OUTPUT_COUNTRY!$B$7:$N$26,5,FALSE)&gt;50,"+",(IF(VLOOKUP(C18,OUTPUT_COUNTRY!$B$7:$N$26,5,FALSE)&gt;25,"-","--")))))</f>
        <v>--</v>
      </c>
      <c r="H18" s="128" t="str">
        <f>IF(VLOOKUP(C18,OUTPUT_COUNTRY!$B$7:$N$26,7,FALSE)&gt;75,"++",(IF(VLOOKUP(C18,OUTPUT_COUNTRY!$B$7:$N$26,7,FALSE)&gt;50,"+",(IF(VLOOKUP(C18,OUTPUT_COUNTRY!$B$7:$N$26,7,FALSE)&gt;25,"-","--")))))</f>
        <v>--</v>
      </c>
      <c r="I18" s="128" t="str">
        <f>IF(VLOOKUP(C18,OUTPUT_COUNTRY!$B$7:$N$26,8,FALSE)&gt;75,"++",(IF(VLOOKUP(C18,OUTPUT_COUNTRY!$B$7:$N$26,8,FALSE)&gt;50,"+",(IF(VLOOKUP(C18,OUTPUT_COUNTRY!$B$7:$N$26,8,FALSE)&gt;25,"-","--")))))</f>
        <v>+</v>
      </c>
      <c r="J18" s="128" t="str">
        <f ca="1">IF(VLOOKUP(C18,OUTPUT_COUNTRY!$B$7:$N$26,9,FALSE)&gt;75,"++",(IF(VLOOKUP(C18,OUTPUT_COUNTRY!$B$7:$N$26,9,FALSE)&gt;50,"+",(IF(VLOOKUP(C18,OUTPUT_COUNTRY!$B$7:$N$26,9,FALSE)&gt;25,"-","--")))))</f>
        <v>++</v>
      </c>
      <c r="K18" s="128" t="str">
        <f>IF(VLOOKUP(C18,OUTPUT_COUNTRY!$B$7:$N$26,11,FALSE)&gt;75,"++",(IF(VLOOKUP(C18,OUTPUT_COUNTRY!$B$7:$N$26,11,FALSE)&gt;50,"+",(IF(VLOOKUP(C18,OUTPUT_COUNTRY!$B$7:$N$26,11,FALSE)&gt;25,"-","--")))))</f>
        <v>-</v>
      </c>
      <c r="L18" s="126" t="str">
        <f ca="1">IF(VLOOKUP(C18,OUTPUT_COUNTRY!$B$7:$N$26,13,FALSE)&gt;75,"++",(IF(VLOOKUP(C18,OUTPUT_COUNTRY!$B$7:$N$26,13,FALSE)&gt;50,"+",(IF(VLOOKUP(C18,OUTPUT_COUNTRY!$B$7:$N$26,13,FALSE)&gt;25,"-","--")))))</f>
        <v>++</v>
      </c>
    </row>
    <row r="19" spans="3:12" x14ac:dyDescent="0.35">
      <c r="C19" s="80" t="s">
        <v>33</v>
      </c>
      <c r="D19" s="82" t="s">
        <v>441</v>
      </c>
      <c r="E19" s="126" t="str">
        <f>IF(VLOOKUP(C19,OUTPUT_COUNTRY!$B$7:$N$26,3,FALSE)&gt;75,"++",(IF(VLOOKUP(C19,OUTPUT_COUNTRY!$B$7:$N$26,3,FALSE)&gt;50,"+",(IF(VLOOKUP(C19,OUTPUT_COUNTRY!$B$7:$N$26,3,FALSE)&gt;25,"-","--")))))</f>
        <v>--</v>
      </c>
      <c r="F19" s="126" t="str">
        <f>IF(VLOOKUP(C19,OUTPUT_COUNTRY!$B$7:$N$26,4,FALSE)&gt;75,"++",(IF(VLOOKUP(C19,OUTPUT_COUNTRY!$B$7:$N$26,4,FALSE)&gt;50,"+",(IF(VLOOKUP(C19,OUTPUT_COUNTRY!$B$7:$N$26,4,FALSE)&gt;25,"-","--")))))</f>
        <v>+</v>
      </c>
      <c r="G19" s="128" t="str">
        <f>IF(VLOOKUP(C19,OUTPUT_COUNTRY!$B$7:$N$26,5,FALSE)&gt;75,"++",(IF(VLOOKUP(C19,OUTPUT_COUNTRY!$B$7:$N$26,5,FALSE)&gt;50,"+",(IF(VLOOKUP(C19,OUTPUT_COUNTRY!$B$7:$N$26,5,FALSE)&gt;25,"-","--")))))</f>
        <v>-</v>
      </c>
      <c r="H19" s="128" t="str">
        <f>IF(VLOOKUP(C19,OUTPUT_COUNTRY!$B$7:$N$26,7,FALSE)&gt;75,"++",(IF(VLOOKUP(C19,OUTPUT_COUNTRY!$B$7:$N$26,7,FALSE)&gt;50,"+",(IF(VLOOKUP(C19,OUTPUT_COUNTRY!$B$7:$N$26,7,FALSE)&gt;25,"-","--")))))</f>
        <v>-</v>
      </c>
      <c r="I19" s="128" t="str">
        <f>IF(VLOOKUP(C19,OUTPUT_COUNTRY!$B$7:$N$26,8,FALSE)&gt;75,"++",(IF(VLOOKUP(C19,OUTPUT_COUNTRY!$B$7:$N$26,8,FALSE)&gt;50,"+",(IF(VLOOKUP(C19,OUTPUT_COUNTRY!$B$7:$N$26,8,FALSE)&gt;25,"-","--")))))</f>
        <v>-</v>
      </c>
      <c r="J19" s="128" t="str">
        <f ca="1">IF(VLOOKUP(C19,OUTPUT_COUNTRY!$B$7:$N$26,9,FALSE)&gt;75,"++",(IF(VLOOKUP(C19,OUTPUT_COUNTRY!$B$7:$N$26,9,FALSE)&gt;50,"+",(IF(VLOOKUP(C19,OUTPUT_COUNTRY!$B$7:$N$26,9,FALSE)&gt;25,"-","--")))))</f>
        <v>++</v>
      </c>
      <c r="K19" s="128" t="str">
        <f>IF(VLOOKUP(C19,OUTPUT_COUNTRY!$B$7:$N$26,11,FALSE)&gt;75,"++",(IF(VLOOKUP(C19,OUTPUT_COUNTRY!$B$7:$N$26,11,FALSE)&gt;50,"+",(IF(VLOOKUP(C19,OUTPUT_COUNTRY!$B$7:$N$26,11,FALSE)&gt;25,"-","--")))))</f>
        <v>++</v>
      </c>
      <c r="L19" s="126" t="str">
        <f ca="1">IF(VLOOKUP(C19,OUTPUT_COUNTRY!$B$7:$N$26,13,FALSE)&gt;75,"++",(IF(VLOOKUP(C19,OUTPUT_COUNTRY!$B$7:$N$26,13,FALSE)&gt;50,"+",(IF(VLOOKUP(C19,OUTPUT_COUNTRY!$B$7:$N$26,13,FALSE)&gt;25,"-","--")))))</f>
        <v>+</v>
      </c>
    </row>
    <row r="20" spans="3:12" x14ac:dyDescent="0.35">
      <c r="C20" s="80" t="s">
        <v>31</v>
      </c>
      <c r="D20" s="82" t="s">
        <v>444</v>
      </c>
      <c r="E20" s="126" t="str">
        <f>IF(VLOOKUP(C20,OUTPUT_COUNTRY!$B$7:$N$26,3,FALSE)&gt;75,"++",(IF(VLOOKUP(C20,OUTPUT_COUNTRY!$B$7:$N$26,3,FALSE)&gt;50,"+",(IF(VLOOKUP(C20,OUTPUT_COUNTRY!$B$7:$N$26,3,FALSE)&gt;25,"-","--")))))</f>
        <v>++</v>
      </c>
      <c r="F20" s="126" t="str">
        <f>IF(VLOOKUP(C20,OUTPUT_COUNTRY!$B$7:$N$26,4,FALSE)&gt;75,"++",(IF(VLOOKUP(C20,OUTPUT_COUNTRY!$B$7:$N$26,4,FALSE)&gt;50,"+",(IF(VLOOKUP(C20,OUTPUT_COUNTRY!$B$7:$N$26,4,FALSE)&gt;25,"-","--")))))</f>
        <v>-</v>
      </c>
      <c r="G20" s="128" t="str">
        <f>IF(VLOOKUP(C20,OUTPUT_COUNTRY!$B$7:$N$26,5,FALSE)&gt;75,"++",(IF(VLOOKUP(C20,OUTPUT_COUNTRY!$B$7:$N$26,5,FALSE)&gt;50,"+",(IF(VLOOKUP(C20,OUTPUT_COUNTRY!$B$7:$N$26,5,FALSE)&gt;25,"-","--")))))</f>
        <v>++</v>
      </c>
      <c r="H20" s="128" t="str">
        <f>IF(VLOOKUP(C20,OUTPUT_COUNTRY!$B$7:$N$26,7,FALSE)&gt;75,"++",(IF(VLOOKUP(C20,OUTPUT_COUNTRY!$B$7:$N$26,7,FALSE)&gt;50,"+",(IF(VLOOKUP(C20,OUTPUT_COUNTRY!$B$7:$N$26,7,FALSE)&gt;25,"-","--")))))</f>
        <v>++</v>
      </c>
      <c r="I20" s="128" t="str">
        <f>IF(VLOOKUP(C20,OUTPUT_COUNTRY!$B$7:$N$26,8,FALSE)&gt;75,"++",(IF(VLOOKUP(C20,OUTPUT_COUNTRY!$B$7:$N$26,8,FALSE)&gt;50,"+",(IF(VLOOKUP(C20,OUTPUT_COUNTRY!$B$7:$N$26,8,FALSE)&gt;25,"-","--")))))</f>
        <v>--</v>
      </c>
      <c r="J20" s="128" t="str">
        <f ca="1">IF(VLOOKUP(C20,OUTPUT_COUNTRY!$B$7:$N$26,9,FALSE)&gt;75,"++",(IF(VLOOKUP(C20,OUTPUT_COUNTRY!$B$7:$N$26,9,FALSE)&gt;50,"+",(IF(VLOOKUP(C20,OUTPUT_COUNTRY!$B$7:$N$26,9,FALSE)&gt;25,"-","--")))))</f>
        <v>--</v>
      </c>
      <c r="K20" s="128" t="str">
        <f>IF(VLOOKUP(C20,OUTPUT_COUNTRY!$B$7:$N$26,11,FALSE)&gt;75,"++",(IF(VLOOKUP(C20,OUTPUT_COUNTRY!$B$7:$N$26,11,FALSE)&gt;50,"+",(IF(VLOOKUP(C20,OUTPUT_COUNTRY!$B$7:$N$26,11,FALSE)&gt;25,"-","--")))))</f>
        <v>++</v>
      </c>
      <c r="L20" s="126" t="str">
        <f ca="1">IF(VLOOKUP(C20,OUTPUT_COUNTRY!$B$7:$N$26,13,FALSE)&gt;75,"++",(IF(VLOOKUP(C20,OUTPUT_COUNTRY!$B$7:$N$26,13,FALSE)&gt;50,"+",(IF(VLOOKUP(C20,OUTPUT_COUNTRY!$B$7:$N$26,13,FALSE)&gt;25,"-","--")))))</f>
        <v>--</v>
      </c>
    </row>
    <row r="21" spans="3:12" x14ac:dyDescent="0.35">
      <c r="C21" s="80" t="s">
        <v>30</v>
      </c>
      <c r="D21" s="82" t="s">
        <v>438</v>
      </c>
      <c r="E21" s="126" t="str">
        <f>IF(VLOOKUP(C21,OUTPUT_COUNTRY!$B$7:$N$26,3,FALSE)&gt;75,"++",(IF(VLOOKUP(C21,OUTPUT_COUNTRY!$B$7:$N$26,3,FALSE)&gt;50,"+",(IF(VLOOKUP(C21,OUTPUT_COUNTRY!$B$7:$N$26,3,FALSE)&gt;25,"-","--")))))</f>
        <v>+</v>
      </c>
      <c r="F21" s="126" t="str">
        <f>IF(VLOOKUP(C21,OUTPUT_COUNTRY!$B$7:$N$26,4,FALSE)&gt;75,"++",(IF(VLOOKUP(C21,OUTPUT_COUNTRY!$B$7:$N$26,4,FALSE)&gt;50,"+",(IF(VLOOKUP(C21,OUTPUT_COUNTRY!$B$7:$N$26,4,FALSE)&gt;25,"-","--")))))</f>
        <v>+</v>
      </c>
      <c r="G21" s="128" t="str">
        <f>IF(VLOOKUP(C21,OUTPUT_COUNTRY!$B$7:$N$26,5,FALSE)&gt;75,"++",(IF(VLOOKUP(C21,OUTPUT_COUNTRY!$B$7:$N$26,5,FALSE)&gt;50,"+",(IF(VLOOKUP(C21,OUTPUT_COUNTRY!$B$7:$N$26,5,FALSE)&gt;25,"-","--")))))</f>
        <v>++</v>
      </c>
      <c r="H21" s="128" t="str">
        <f>IF(VLOOKUP(C21,OUTPUT_COUNTRY!$B$7:$N$26,7,FALSE)&gt;75,"++",(IF(VLOOKUP(C21,OUTPUT_COUNTRY!$B$7:$N$26,7,FALSE)&gt;50,"+",(IF(VLOOKUP(C21,OUTPUT_COUNTRY!$B$7:$N$26,7,FALSE)&gt;25,"-","--")))))</f>
        <v>++</v>
      </c>
      <c r="I21" s="128" t="str">
        <f>IF(VLOOKUP(C21,OUTPUT_COUNTRY!$B$7:$N$26,8,FALSE)&gt;75,"++",(IF(VLOOKUP(C21,OUTPUT_COUNTRY!$B$7:$N$26,8,FALSE)&gt;50,"+",(IF(VLOOKUP(C21,OUTPUT_COUNTRY!$B$7:$N$26,8,FALSE)&gt;25,"-","--")))))</f>
        <v>-</v>
      </c>
      <c r="J21" s="128" t="str">
        <f ca="1">IF(VLOOKUP(C21,OUTPUT_COUNTRY!$B$7:$N$26,9,FALSE)&gt;75,"++",(IF(VLOOKUP(C21,OUTPUT_COUNTRY!$B$7:$N$26,9,FALSE)&gt;50,"+",(IF(VLOOKUP(C21,OUTPUT_COUNTRY!$B$7:$N$26,9,FALSE)&gt;25,"-","--")))))</f>
        <v>-</v>
      </c>
      <c r="K21" s="128" t="str">
        <f>IF(VLOOKUP(C21,OUTPUT_COUNTRY!$B$7:$N$26,11,FALSE)&gt;75,"++",(IF(VLOOKUP(C21,OUTPUT_COUNTRY!$B$7:$N$26,11,FALSE)&gt;50,"+",(IF(VLOOKUP(C21,OUTPUT_COUNTRY!$B$7:$N$26,11,FALSE)&gt;25,"-","--")))))</f>
        <v>--</v>
      </c>
      <c r="L21" s="126" t="str">
        <f ca="1">IF(VLOOKUP(C21,OUTPUT_COUNTRY!$B$7:$N$26,13,FALSE)&gt;75,"++",(IF(VLOOKUP(C21,OUTPUT_COUNTRY!$B$7:$N$26,13,FALSE)&gt;50,"+",(IF(VLOOKUP(C21,OUTPUT_COUNTRY!$B$7:$N$26,13,FALSE)&gt;25,"-","--")))))</f>
        <v>-</v>
      </c>
    </row>
    <row r="22" spans="3:12" x14ac:dyDescent="0.35">
      <c r="C22" s="80" t="s">
        <v>34</v>
      </c>
      <c r="D22" s="82" t="s">
        <v>447</v>
      </c>
      <c r="E22" s="126" t="str">
        <f>IF(VLOOKUP(C22,OUTPUT_COUNTRY!$B$7:$N$26,3,FALSE)&gt;75,"++",(IF(VLOOKUP(C22,OUTPUT_COUNTRY!$B$7:$N$26,3,FALSE)&gt;50,"+",(IF(VLOOKUP(C22,OUTPUT_COUNTRY!$B$7:$N$26,3,FALSE)&gt;25,"-","--")))))</f>
        <v>++</v>
      </c>
      <c r="F22" s="126" t="str">
        <f>IF(VLOOKUP(C22,OUTPUT_COUNTRY!$B$7:$N$26,4,FALSE)&gt;75,"++",(IF(VLOOKUP(C22,OUTPUT_COUNTRY!$B$7:$N$26,4,FALSE)&gt;50,"+",(IF(VLOOKUP(C22,OUTPUT_COUNTRY!$B$7:$N$26,4,FALSE)&gt;25,"-","--")))))</f>
        <v>--</v>
      </c>
      <c r="G22" s="128" t="str">
        <f>IF(VLOOKUP(C22,OUTPUT_COUNTRY!$B$7:$N$26,5,FALSE)&gt;75,"++",(IF(VLOOKUP(C22,OUTPUT_COUNTRY!$B$7:$N$26,5,FALSE)&gt;50,"+",(IF(VLOOKUP(C22,OUTPUT_COUNTRY!$B$7:$N$26,5,FALSE)&gt;25,"-","--")))))</f>
        <v>+</v>
      </c>
      <c r="H22" s="128" t="str">
        <f>IF(VLOOKUP(C22,OUTPUT_COUNTRY!$B$7:$N$26,7,FALSE)&gt;75,"++",(IF(VLOOKUP(C22,OUTPUT_COUNTRY!$B$7:$N$26,7,FALSE)&gt;50,"+",(IF(VLOOKUP(C22,OUTPUT_COUNTRY!$B$7:$N$26,7,FALSE)&gt;25,"-","--")))))</f>
        <v>+</v>
      </c>
      <c r="I22" s="128" t="str">
        <f>IF(VLOOKUP(C22,OUTPUT_COUNTRY!$B$7:$N$26,8,FALSE)&gt;75,"++",(IF(VLOOKUP(C22,OUTPUT_COUNTRY!$B$7:$N$26,8,FALSE)&gt;50,"+",(IF(VLOOKUP(C22,OUTPUT_COUNTRY!$B$7:$N$26,8,FALSE)&gt;25,"-","--")))))</f>
        <v>--</v>
      </c>
      <c r="J22" s="128" t="str">
        <f ca="1">IF(VLOOKUP(C22,OUTPUT_COUNTRY!$B$7:$N$26,9,FALSE)&gt;75,"++",(IF(VLOOKUP(C22,OUTPUT_COUNTRY!$B$7:$N$26,9,FALSE)&gt;50,"+",(IF(VLOOKUP(C22,OUTPUT_COUNTRY!$B$7:$N$26,9,FALSE)&gt;25,"-","--")))))</f>
        <v>--</v>
      </c>
      <c r="K22" s="128" t="str">
        <f>IF(VLOOKUP(C22,OUTPUT_COUNTRY!$B$7:$N$26,11,FALSE)&gt;75,"++",(IF(VLOOKUP(C22,OUTPUT_COUNTRY!$B$7:$N$26,11,FALSE)&gt;50,"+",(IF(VLOOKUP(C22,OUTPUT_COUNTRY!$B$7:$N$26,11,FALSE)&gt;25,"-","--")))))</f>
        <v>++</v>
      </c>
      <c r="L22" s="126" t="str">
        <f ca="1">IF(VLOOKUP(C22,OUTPUT_COUNTRY!$B$7:$N$26,13,FALSE)&gt;75,"++",(IF(VLOOKUP(C22,OUTPUT_COUNTRY!$B$7:$N$26,13,FALSE)&gt;50,"+",(IF(VLOOKUP(C22,OUTPUT_COUNTRY!$B$7:$N$26,13,FALSE)&gt;25,"-","--")))))</f>
        <v>--</v>
      </c>
    </row>
    <row r="23" spans="3:12" x14ac:dyDescent="0.35">
      <c r="C23" s="81" t="s">
        <v>22</v>
      </c>
      <c r="D23" s="83" t="s">
        <v>442</v>
      </c>
      <c r="E23" s="130" t="str">
        <f>IF(VLOOKUP(C23,OUTPUT_COUNTRY!$B$7:$N$26,3,FALSE)&gt;75,"++",(IF(VLOOKUP(C23,OUTPUT_COUNTRY!$B$7:$N$26,3,FALSE)&gt;50,"+",(IF(VLOOKUP(C23,OUTPUT_COUNTRY!$B$7:$N$26,3,FALSE)&gt;25,"-","--")))))</f>
        <v>-</v>
      </c>
      <c r="F23" s="130" t="str">
        <f>IF(VLOOKUP(C23,OUTPUT_COUNTRY!$B$7:$N$26,4,FALSE)&gt;75,"++",(IF(VLOOKUP(C23,OUTPUT_COUNTRY!$B$7:$N$26,4,FALSE)&gt;50,"+",(IF(VLOOKUP(C23,OUTPUT_COUNTRY!$B$7:$N$26,4,FALSE)&gt;25,"-","--")))))</f>
        <v>--</v>
      </c>
      <c r="G23" s="129" t="str">
        <f>IF(VLOOKUP(C23,OUTPUT_COUNTRY!$B$7:$N$26,5,FALSE)&gt;75,"++",(IF(VLOOKUP(C23,OUTPUT_COUNTRY!$B$7:$N$26,5,FALSE)&gt;50,"+",(IF(VLOOKUP(C23,OUTPUT_COUNTRY!$B$7:$N$26,5,FALSE)&gt;25,"-","--")))))</f>
        <v>-</v>
      </c>
      <c r="H23" s="129" t="str">
        <f>IF(VLOOKUP(C23,OUTPUT_COUNTRY!$B$7:$N$26,7,FALSE)&gt;75,"++",(IF(VLOOKUP(C23,OUTPUT_COUNTRY!$B$7:$N$26,7,FALSE)&gt;50,"+",(IF(VLOOKUP(C23,OUTPUT_COUNTRY!$B$7:$N$26,7,FALSE)&gt;25,"-","--")))))</f>
        <v>--</v>
      </c>
      <c r="I23" s="129" t="str">
        <f>IF(VLOOKUP(C23,OUTPUT_COUNTRY!$B$7:$N$26,8,FALSE)&gt;75,"++",(IF(VLOOKUP(C23,OUTPUT_COUNTRY!$B$7:$N$26,8,FALSE)&gt;50,"+",(IF(VLOOKUP(C23,OUTPUT_COUNTRY!$B$7:$N$26,8,FALSE)&gt;25,"-","--")))))</f>
        <v>-</v>
      </c>
      <c r="J23" s="129" t="str">
        <f ca="1">IF(VLOOKUP(C23,OUTPUT_COUNTRY!$B$7:$N$26,9,FALSE)&gt;75,"++",(IF(VLOOKUP(C23,OUTPUT_COUNTRY!$B$7:$N$26,9,FALSE)&gt;50,"+",(IF(VLOOKUP(C23,OUTPUT_COUNTRY!$B$7:$N$26,9,FALSE)&gt;25,"-","--")))))</f>
        <v>+</v>
      </c>
      <c r="K23" s="129" t="str">
        <f>IF(VLOOKUP(C23,OUTPUT_COUNTRY!$B$7:$N$26,11,FALSE)&gt;75,"++",(IF(VLOOKUP(C23,OUTPUT_COUNTRY!$B$7:$N$26,11,FALSE)&gt;50,"+",(IF(VLOOKUP(C23,OUTPUT_COUNTRY!$B$7:$N$26,11,FALSE)&gt;25,"-","--")))))</f>
        <v>+</v>
      </c>
      <c r="L23" s="130" t="str">
        <f ca="1">IF(VLOOKUP(C23,OUTPUT_COUNTRY!$B$7:$N$26,13,FALSE)&gt;75,"++",(IF(VLOOKUP(C23,OUTPUT_COUNTRY!$B$7:$N$26,13,FALSE)&gt;50,"+",(IF(VLOOKUP(C23,OUTPUT_COUNTRY!$B$7:$N$26,13,FALSE)&gt;25,"-","--")))))</f>
        <v>-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abSelected="1" topLeftCell="A35" workbookViewId="0">
      <selection activeCell="B46" sqref="B46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568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498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9"/>
  <sheetViews>
    <sheetView workbookViewId="0">
      <selection activeCell="O8" sqref="O8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0.089843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9.7265625" bestFit="1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753</v>
      </c>
      <c r="D2" s="74" t="s">
        <v>0</v>
      </c>
      <c r="E2" s="74" t="s">
        <v>574</v>
      </c>
      <c r="F2" s="74"/>
      <c r="G2" s="74" t="s">
        <v>2</v>
      </c>
      <c r="H2" s="74" t="s">
        <v>3</v>
      </c>
      <c r="I2" s="74" t="s">
        <v>408</v>
      </c>
      <c r="J2" s="74" t="s">
        <v>8</v>
      </c>
      <c r="K2" s="74" t="s">
        <v>67</v>
      </c>
      <c r="L2" s="74" t="s">
        <v>409</v>
      </c>
      <c r="M2" s="74" t="s">
        <v>410</v>
      </c>
      <c r="N2" s="74" t="s">
        <v>520</v>
      </c>
      <c r="O2" s="74" t="s">
        <v>754</v>
      </c>
      <c r="P2" s="74" t="s">
        <v>787</v>
      </c>
      <c r="Q2" s="74" t="s">
        <v>521</v>
      </c>
      <c r="R2" s="74" t="s">
        <v>522</v>
      </c>
      <c r="S2" s="74" t="s">
        <v>523</v>
      </c>
      <c r="T2" s="74" t="s">
        <v>755</v>
      </c>
      <c r="U2" s="74" t="s">
        <v>524</v>
      </c>
      <c r="V2" s="74" t="s">
        <v>525</v>
      </c>
      <c r="W2" s="74" t="s">
        <v>526</v>
      </c>
      <c r="X2" s="74" t="s">
        <v>527</v>
      </c>
      <c r="Y2" s="74" t="s">
        <v>528</v>
      </c>
      <c r="Z2" s="74" t="s">
        <v>756</v>
      </c>
      <c r="AA2" s="120" t="s">
        <v>788</v>
      </c>
      <c r="AB2" s="74" t="s">
        <v>541</v>
      </c>
      <c r="AC2" s="74" t="s">
        <v>552</v>
      </c>
    </row>
    <row r="3" spans="1:29" x14ac:dyDescent="0.35">
      <c r="A3" t="s">
        <v>432</v>
      </c>
      <c r="B3" t="s">
        <v>177</v>
      </c>
      <c r="C3" t="s">
        <v>435</v>
      </c>
      <c r="D3" t="s">
        <v>432</v>
      </c>
      <c r="E3" t="s">
        <v>615</v>
      </c>
      <c r="F3" s="2" cm="1">
        <f t="array" ref="F3">_xll.FDS(D3,"JULIAN(FMA_DIV_YLD(NTMA,NOW,NOW,M,""PORTAGG"",""MEANR"").dates)")</f>
        <v>45412</v>
      </c>
      <c r="G3" s="4" cm="1">
        <f t="array" ref="G3">_xll.FDS(D3,"FMA_PE(LTM,0,,,""PORTAGG"",""MEANR"")")</f>
        <v>15.584110019913799</v>
      </c>
      <c r="H3" s="4" cm="1">
        <f t="array" ref="H3">_xll.FDS(D3,"FMA_PE(NTMA,0,,,""PORTAGG"",""MEANR"")")</f>
        <v>13.0415360098746</v>
      </c>
      <c r="I3" cm="1">
        <f t="array" ref="I3">_xll.FDS(D3,"FMA_DIV_YLD(NTMA,NOW,NOW,M,""PORTAGG"",""MEANR"")")</f>
        <v>2.81685641348317</v>
      </c>
      <c r="J3" s="55" cm="1">
        <f t="array" ref="J3">IFERROR(_xll.FDS(D3,"FG_FCF_YIELD_NTM(0)"),(1/G3*100))</f>
        <v>5.2463269326819004</v>
      </c>
      <c r="K3" s="3" cm="1">
        <f t="array" ref="K3">_xll.FDS(D3,"FMA_EVAL_EBITDA(NTMA,0,,,""PORTAGG"",""MEANR"")")</f>
        <v>10.4420260948372</v>
      </c>
      <c r="L3" cm="1">
        <f t="array" ref="L3">_xll.FDS(D3,"FMA_EVAL_EBIT(LTMA,NOW,NOW,M,""PORTAGG"",""MEANR"")")</f>
        <v>16.562779184043901</v>
      </c>
      <c r="M3">
        <f>HLOOKUP(D3,'Index ROE'!$A$1:$V$25,25,FALSE)</f>
        <v>12.0077667934377</v>
      </c>
      <c r="N3">
        <f>VLOOKUP(A3,'LIQIDITY 2'!$A$3:$E$26,5,FALSE)</f>
        <v>2.3176999999999999</v>
      </c>
      <c r="O3" cm="1">
        <f t="array" ref="O3">IFERROR(IFERROR(IFERROR(IFERROR(_xll.FDS(B3,"IMF_IFS_RCPI_Q(0)"),_xll.FDS(B3,"IMF_IFS_RCPI_Q(-1AM)")),_xll.FDS(B3,"IMF_IFS_RCPI_Q(-2AM)")),_xll.FDS(B3,"IMF_IFS_RCPI_Q(-3AM)")),$D$31)</f>
        <v>-3.2184999999999998E-2</v>
      </c>
      <c r="P3">
        <f>VLOOKUP(E3,GDP_GROWTH!$B$10:$W$165,22,FALSE)</f>
        <v>5.6866931054303738</v>
      </c>
      <c r="Q3">
        <f t="shared" ref="Q3:Q23" si="0">I3-N3</f>
        <v>0.49915641348317008</v>
      </c>
      <c r="R3" s="55">
        <f t="shared" ref="R3:R23" si="1">J3-N3</f>
        <v>2.9286269326819006</v>
      </c>
      <c r="S3">
        <f t="shared" ref="S3:S23" si="2">M3-N3</f>
        <v>9.6900667934376994</v>
      </c>
      <c r="T3">
        <f>M3-O3</f>
        <v>12.0399517934377</v>
      </c>
      <c r="U3" cm="1">
        <f t="array" ref="U3">_xlfn.PERCENTRANK.EXC(_xlfn._xlws.FILTER(Q$3:Q$23, ISNUMBER(Q$3:Q$23)),Q3)*100</f>
        <v>63.6</v>
      </c>
      <c r="V3" cm="1">
        <f t="array" ref="V3">_xlfn.PERCENTRANK.EXC(_xlfn._xlws.FILTER(R$3:R$23, ISNUMBER(R$3:R$23)),R3)*100</f>
        <v>72.7</v>
      </c>
      <c r="W3" cm="1">
        <f t="array" ref="W3">_xlfn.PERCENTRANK.EXC(_xlfn._xlws.FILTER(S$3:S$23, ISNUMBER(S$3:S$23)),S3)*100</f>
        <v>86.3</v>
      </c>
      <c r="X3" cm="1">
        <f t="array" ref="X3">(1-_xlfn.PERCENTRANK.EXC(_xlfn._xlws.FILTER(G$3:G$23, ISNUMBER(G$3:G$23)),G3))*100</f>
        <v>41</v>
      </c>
      <c r="Y3" cm="1">
        <f t="array" ref="Y3">(1-_xlfn.PERCENTRANK.EXC(_xlfn._xlws.FILTER(H$3:H$23, ISNUMBER(H$3:H$23)),H3))*100</f>
        <v>36.4</v>
      </c>
      <c r="Z3" cm="1">
        <f t="array" ref="Z3">_xlfn.PERCENTRANK.EXC(_xlfn._xlws.FILTER(T$3:T$23, ISNUMBER(T$3:T$23)),T3)*100</f>
        <v>90.9</v>
      </c>
      <c r="AA3" cm="1">
        <f t="array" ref="AA3">_xlfn.PERCENTRANK.EXC(_xlfn._xlws.FILTER(P$3:P$23, ISNUMBER(P$3:P$23)),P3)*100</f>
        <v>86.3</v>
      </c>
      <c r="AB3">
        <f>U3*Assumption!$E$40 + V3*Assumption!$F$40 + X3*Assumption!$G$40 + Y3*Assumption!$H$40 + W3*Assumption!$I$40 +Z3* Assumption!$K$40 + AA3* Assumption!$J$40</f>
        <v>58.425000000000004</v>
      </c>
      <c r="AC3" cm="1">
        <f t="array" ref="AC3">_xlfn.PERCENTRANK.EXC(_xlfn._xlws.FILTER(AB$3:AB$23, ISNUMBER(AB$3:AB$23)),AB3)*100</f>
        <v>68.100000000000009</v>
      </c>
    </row>
    <row r="4" spans="1:29" x14ac:dyDescent="0.35">
      <c r="A4" t="s">
        <v>27</v>
      </c>
      <c r="B4" t="s">
        <v>294</v>
      </c>
      <c r="C4" t="s">
        <v>436</v>
      </c>
      <c r="D4" t="s">
        <v>27</v>
      </c>
      <c r="E4" t="s">
        <v>614</v>
      </c>
      <c r="F4" s="2" cm="1">
        <f t="array" ref="F4">_xll.FDS(D4,"JULIAN(FMA_DIV_YLD(NTMA,NOW,NOW,M,""PORTAGG"",""MEANR"").dates)")</f>
        <v>45412</v>
      </c>
      <c r="G4" s="4" cm="1">
        <f t="array" ref="G4">_xll.FDS(D4,"FMA_PE(LTM,0,,,""PORTAGG"",""MEANR"")")</f>
        <v>12.041949241842</v>
      </c>
      <c r="H4" s="4" cm="1">
        <f t="array" ref="H4">_xll.FDS(D4,"FMA_PE(NTMA,0,,,""PORTAGG"",""MEANR"")")</f>
        <v>7.9173943782004299</v>
      </c>
      <c r="I4" cm="1">
        <f t="array" ref="I4">_xll.FDS(D4,"FMA_DIV_YLD(NTMA,NOW,NOW,M,""PORTAGG"",""MEANR"")")</f>
        <v>6.6301613563298698</v>
      </c>
      <c r="J4" s="55" cm="1">
        <f t="array" ref="J4">IFERROR(_xll.FDS(D4,"FG_FCF_YIELD_NTM(0)"),(1/G4*100))</f>
        <v>8.9665467504349703</v>
      </c>
      <c r="K4" s="3" cm="1">
        <f t="array" ref="K4">_xll.FDS(D4,"FMA_EVAL_EBITDA(NTMA,0,,,""PORTAGG"",""MEANR"")")</f>
        <v>6.1700837832305302</v>
      </c>
      <c r="L4" cm="1">
        <f t="array" ref="L4">_xll.FDS(D4,"FMA_EVAL_EBIT(LTMA,NOW,NOW,M,""PORTAGG"",""MEANR"")")</f>
        <v>9.5582009289285494</v>
      </c>
      <c r="M4">
        <f>HLOOKUP(D4,'Index ROE'!$A$1:$V$25,25,FALSE)</f>
        <v>13.910839056081601</v>
      </c>
      <c r="N4">
        <f>VLOOKUP(A4,'LIQIDITY 2'!$A$3:$E$26,5,FALSE)</f>
        <v>2.5896884999999998</v>
      </c>
      <c r="O4" cm="1">
        <f t="array" ref="O4">IFERROR(IFERROR(IFERROR(IFERROR(_xll.FDS(B4,"IMF_IFS_RCPI_Q(0)"),_xll.FDS(B4,"IMF_IFS_RCPI_Q(-1AM)")),_xll.FDS(B4,"IMF_IFS_RCPI_Q(-2AM)")),_xll.FDS(B4,"IMF_IFS_RCPI_Q(-3AM)")),$D$31)</f>
        <v>4.0412949999999999</v>
      </c>
      <c r="P4">
        <f>VLOOKUP(E4,GDP_GROWTH!$B$10:$W$165,22,FALSE)</f>
        <v>2.8445276358834981</v>
      </c>
      <c r="Q4">
        <f t="shared" si="0"/>
        <v>4.0404728563298704</v>
      </c>
      <c r="R4" s="55">
        <f t="shared" si="1"/>
        <v>6.3768582504349709</v>
      </c>
      <c r="S4">
        <f t="shared" si="2"/>
        <v>11.321150556081601</v>
      </c>
      <c r="T4">
        <f t="shared" ref="T4:T23" si="3">M4-O4</f>
        <v>9.869544056081601</v>
      </c>
      <c r="U4" cm="1">
        <f t="array" ref="U4">_xlfn.PERCENTRANK.EXC(_xlfn._xlws.FILTER(Q$3:Q$23, ISNUMBER(Q$3:Q$23)),Q4)*100</f>
        <v>95.399999999999991</v>
      </c>
      <c r="V4" cm="1">
        <f t="array" ref="V4">_xlfn.PERCENTRANK.EXC(_xlfn._xlws.FILTER(R$3:R$23, ISNUMBER(R$3:R$23)),R4)*100</f>
        <v>90.9</v>
      </c>
      <c r="W4" cm="1">
        <f t="array" ref="W4">_xlfn.PERCENTRANK.EXC(_xlfn._xlws.FILTER(S$3:S$23, ISNUMBER(S$3:S$23)),S4)*100</f>
        <v>95.399999999999991</v>
      </c>
      <c r="X4" cm="1">
        <f t="array" ref="X4">(1-_xlfn.PERCENTRANK.EXC(_xlfn._xlws.FILTER(G$3:G$23, ISNUMBER(G$3:G$23)),G4))*100</f>
        <v>59.099999999999994</v>
      </c>
      <c r="Y4" cm="1">
        <f t="array" ref="Y4">(1-_xlfn.PERCENTRANK.EXC(_xlfn._xlws.FILTER(H$3:H$23, ISNUMBER(H$3:H$23)),H4))*100</f>
        <v>81.899999999999991</v>
      </c>
      <c r="Z4" cm="1">
        <f t="array" ref="Z4">_xlfn.PERCENTRANK.EXC(_xlfn._xlws.FILTER(T$3:T$23, ISNUMBER(T$3:T$23)),T4)*100</f>
        <v>50</v>
      </c>
      <c r="AA4" cm="1">
        <f t="array" ref="AA4">_xlfn.PERCENTRANK.EXC(_xlfn._xlws.FILTER(P$3:P$23, ISNUMBER(P$3:P$23)),P4)*100</f>
        <v>50</v>
      </c>
      <c r="AB4">
        <f>U4*Assumption!$E$40 + V4*Assumption!$F$40 + X4*Assumption!$G$40 + Y4*Assumption!$H$40 + W4*Assumption!$I$40 +Z4* Assumption!$K$40 + AA4* Assumption!$J$40</f>
        <v>77.284999999999997</v>
      </c>
      <c r="AC4" cm="1">
        <f t="array" ref="AC4">_xlfn.PERCENTRANK.EXC(_xlfn._xlws.FILTER(AB$3:AB$23, ISNUMBER(AB$3:AB$23)),AB4)*100</f>
        <v>90.9</v>
      </c>
    </row>
    <row r="5" spans="1:29" x14ac:dyDescent="0.35">
      <c r="A5" t="s">
        <v>35</v>
      </c>
      <c r="B5" t="s">
        <v>187</v>
      </c>
      <c r="C5" t="s">
        <v>437</v>
      </c>
      <c r="D5" t="s">
        <v>35</v>
      </c>
      <c r="E5" t="s">
        <v>651</v>
      </c>
      <c r="F5" s="2" cm="1">
        <f t="array" ref="F5">_xll.FDS(D5,"JULIAN(FMA_DIV_YLD(NTMA,NOW,NOW,M,""PORTAGG"",""MEANR"").dates)")</f>
        <v>45412</v>
      </c>
      <c r="G5" s="4" cm="1">
        <f t="array" ref="G5">_xll.FDS(D5,"FMA_PE(LTM,0,,,""PORTAGG"",""MEANR"")")</f>
        <v>14.894294689100001</v>
      </c>
      <c r="H5" s="4" cm="1">
        <f t="array" ref="H5">_xll.FDS(D5,"FMA_PE(NTMA,0,,,""PORTAGG"",""MEANR"")")</f>
        <v>11.9398710714717</v>
      </c>
      <c r="I5" cm="1">
        <f t="array" ref="I5">_xll.FDS(D5,"FMA_DIV_YLD(NTMA,NOW,NOW,M,""PORTAGG"",""MEANR"")")</f>
        <v>4.3607969465801499</v>
      </c>
      <c r="J5" s="55" cm="1">
        <f t="array" ref="J5">IFERROR(_xll.FDS(D5,"FG_FCF_YIELD_NTM(0)"),(1/G5*100))</f>
        <v>6.7139802244669147</v>
      </c>
      <c r="K5" s="3" cm="1">
        <f t="array" ref="K5">_xll.FDS(D5,"FMA_EVAL_EBITDA(NTMA,0,,,""PORTAGG"",""MEANR"")")</f>
        <v>5.9480481820536202</v>
      </c>
      <c r="L5" cm="1">
        <f t="array" ref="L5">_xll.FDS(D5,"FMA_EVAL_EBIT(LTMA,NOW,NOW,M,""PORTAGG"",""MEANR"")")</f>
        <v>9.3940275078713196</v>
      </c>
      <c r="M5">
        <f>HLOOKUP(D5,'Index ROE'!$A$1:$V$25,25,FALSE)</f>
        <v>14.0234033144087</v>
      </c>
      <c r="N5">
        <f>VLOOKUP(A5,'LIQIDITY 2'!$A$3:$E$26,5,FALSE)</f>
        <v>6.833361</v>
      </c>
      <c r="O5" cm="1">
        <f t="array" ref="O5">IFERROR(IFERROR(IFERROR(IFERROR(_xll.FDS(B5,"IMF_IFS_RCPI_Q(0)"),_xll.FDS(B5,"IMF_IFS_RCPI_Q(-1AM)")),_xll.FDS(B5,"IMF_IFS_RCPI_Q(-2AM)")),_xll.FDS(B5,"IMF_IFS_RCPI_Q(-3AM)")),$D$31)</f>
        <v>2.6812450000000001</v>
      </c>
      <c r="P5">
        <f>VLOOKUP(E5,GDP_GROWTH!$B$10:$W$165,22,FALSE)</f>
        <v>3.8153657829076093</v>
      </c>
      <c r="Q5">
        <f t="shared" si="0"/>
        <v>-2.4725640534198501</v>
      </c>
      <c r="R5" s="55">
        <f t="shared" si="1"/>
        <v>-0.11938077553308535</v>
      </c>
      <c r="S5">
        <f t="shared" si="2"/>
        <v>7.1900423144087</v>
      </c>
      <c r="T5">
        <f t="shared" si="3"/>
        <v>11.342158314408699</v>
      </c>
      <c r="U5" cm="1">
        <f t="array" ref="U5">_xlfn.PERCENTRANK.EXC(_xlfn._xlws.FILTER(Q$3:Q$23, ISNUMBER(Q$3:Q$23)),Q5)*100</f>
        <v>36.299999999999997</v>
      </c>
      <c r="V5" cm="1">
        <f t="array" ref="V5">_xlfn.PERCENTRANK.EXC(_xlfn._xlws.FILTER(R$3:R$23, ISNUMBER(R$3:R$23)),R5)*100</f>
        <v>45.4</v>
      </c>
      <c r="W5" cm="1">
        <f t="array" ref="W5">_xlfn.PERCENTRANK.EXC(_xlfn._xlws.FILTER(S$3:S$23, ISNUMBER(S$3:S$23)),S5)*100</f>
        <v>54.500000000000007</v>
      </c>
      <c r="X5" cm="1">
        <f t="array" ref="X5">(1-_xlfn.PERCENTRANK.EXC(_xlfn._xlws.FILTER(G$3:G$23, ISNUMBER(G$3:G$23)),G5))*100</f>
        <v>50</v>
      </c>
      <c r="Y5" cm="1">
        <f t="array" ref="Y5">(1-_xlfn.PERCENTRANK.EXC(_xlfn._xlws.FILTER(H$3:H$23, ISNUMBER(H$3:H$23)),H5))*100</f>
        <v>45.499999999999993</v>
      </c>
      <c r="Z5" cm="1">
        <f t="array" ref="Z5">_xlfn.PERCENTRANK.EXC(_xlfn._xlws.FILTER(T$3:T$23, ISNUMBER(T$3:T$23)),T5)*100</f>
        <v>81.8</v>
      </c>
      <c r="AA5" cm="1">
        <f t="array" ref="AA5">_xlfn.PERCENTRANK.EXC(_xlfn._xlws.FILTER(P$3:P$23, ISNUMBER(P$3:P$23)),P5)*100</f>
        <v>68.100000000000009</v>
      </c>
      <c r="AB5">
        <f>U5*Assumption!$E$40 + V5*Assumption!$F$40 + X5*Assumption!$G$40 + Y5*Assumption!$H$40 + W5*Assumption!$I$40 +Z5* Assumption!$K$40 + AA5* Assumption!$J$40</f>
        <v>50.67</v>
      </c>
      <c r="AC5" cm="1">
        <f t="array" ref="AC5">_xlfn.PERCENTRANK.EXC(_xlfn._xlws.FILTER(AB$3:AB$23, ISNUMBER(AB$3:AB$23)),AB5)*100</f>
        <v>54.500000000000007</v>
      </c>
    </row>
    <row r="6" spans="1:29" x14ac:dyDescent="0.35">
      <c r="A6" t="s">
        <v>30</v>
      </c>
      <c r="B6" t="s">
        <v>205</v>
      </c>
      <c r="C6" t="s">
        <v>438</v>
      </c>
      <c r="D6" t="s">
        <v>30</v>
      </c>
      <c r="E6" t="s">
        <v>699</v>
      </c>
      <c r="F6" s="2" cm="1">
        <f t="array" ref="F6">_xll.FDS(D6,"JULIAN(FMA_DIV_YLD(NTMA,NOW,NOW,M,""PORTAGG"",""MEANR"").dates)")</f>
        <v>45412</v>
      </c>
      <c r="G6" s="4" cm="1">
        <f t="array" ref="G6">_xll.FDS(D6,"FMA_PE(LTM,0,,,""PORTAGG"",""MEANR"")")</f>
        <v>9.8056239674993009</v>
      </c>
      <c r="H6" s="4" cm="1">
        <f t="array" ref="H6">_xll.FDS(D6,"FMA_PE(NTMA,0,,,""PORTAGG"",""MEANR"")")</f>
        <v>8.9501161295470109</v>
      </c>
      <c r="I6" cm="1">
        <f t="array" ref="I6">_xll.FDS(D6,"FMA_DIV_YLD(NTMA,NOW,NOW,M,""PORTAGG"",""MEANR"")")</f>
        <v>2.8691212222060898</v>
      </c>
      <c r="J6" s="55" cm="1">
        <f t="array" ref="J6">IFERROR(_xll.FDS(D6,"FG_FCF_YIELD_NTM(0)"),(1/G6*100))</f>
        <v>5.6240410892086201</v>
      </c>
      <c r="K6" s="3" cm="1">
        <f t="array" ref="K6">_xll.FDS(D6,"FMA_EVAL_EBITDA(NTMA,0,,,""PORTAGG"",""MEANR"")")</f>
        <v>8.2255763863792595</v>
      </c>
      <c r="L6" cm="1">
        <f t="array" ref="L6">_xll.FDS(D6,"FMA_EVAL_EBIT(LTMA,NOW,NOW,M,""PORTAGG"",""MEANR"")")</f>
        <v>13.2318958847095</v>
      </c>
      <c r="M6">
        <f>HLOOKUP(D6,'Index ROE'!$A$1:$V$25,25,FALSE)</f>
        <v>11.9407094450378</v>
      </c>
      <c r="N6">
        <f>VLOOKUP(A6,'LIQIDITY 2'!$A$3:$E$26,5,FALSE)</f>
        <v>6.6642675000000002</v>
      </c>
      <c r="O6" cm="1">
        <f t="array" ref="O6">IFERROR(IFERROR(IFERROR(IFERROR(_xll.FDS(B6,"IMF_IFS_RCPI_Q(0)"),_xll.FDS(B6,"IMF_IFS_RCPI_Q(-1AM)")),_xll.FDS(B6,"IMF_IFS_RCPI_Q(-2AM)")),_xll.FDS(B6,"IMF_IFS_RCPI_Q(-3AM)")),$D$31)</f>
        <v>3.2976057999999999</v>
      </c>
      <c r="P6">
        <f>VLOOKUP(E6,GDP_GROWTH!$B$10:$W$165,22,FALSE)</f>
        <v>3.9454348254778893</v>
      </c>
      <c r="Q6">
        <f t="shared" si="0"/>
        <v>-3.7951462777939104</v>
      </c>
      <c r="R6" s="55">
        <f t="shared" si="1"/>
        <v>-1.0402264107913801</v>
      </c>
      <c r="S6">
        <f t="shared" si="2"/>
        <v>5.2764419450378002</v>
      </c>
      <c r="T6">
        <f t="shared" si="3"/>
        <v>8.6431036450378009</v>
      </c>
      <c r="U6" cm="1">
        <f t="array" ref="U6">_xlfn.PERCENTRANK.EXC(_xlfn._xlws.FILTER(Q$3:Q$23, ISNUMBER(Q$3:Q$23)),Q6)*100</f>
        <v>27.200000000000003</v>
      </c>
      <c r="V6" cm="1">
        <f t="array" ref="V6">_xlfn.PERCENTRANK.EXC(_xlfn._xlws.FILTER(R$3:R$23, ISNUMBER(R$3:R$23)),R6)*100</f>
        <v>40.9</v>
      </c>
      <c r="W6" cm="1">
        <f t="array" ref="W6">_xlfn.PERCENTRANK.EXC(_xlfn._xlws.FILTER(S$3:S$23, ISNUMBER(S$3:S$23)),S6)*100</f>
        <v>18.099999999999998</v>
      </c>
      <c r="X6" cm="1">
        <f t="array" ref="X6">(1-_xlfn.PERCENTRANK.EXC(_xlfn._xlws.FILTER(G$3:G$23, ISNUMBER(G$3:G$23)),G6))*100</f>
        <v>77.3</v>
      </c>
      <c r="Y6" cm="1">
        <f t="array" ref="Y6">(1-_xlfn.PERCENTRANK.EXC(_xlfn._xlws.FILTER(H$3:H$23, ISNUMBER(H$3:H$23)),H6))*100</f>
        <v>72.8</v>
      </c>
      <c r="Z6" cm="1">
        <f t="array" ref="Z6">_xlfn.PERCENTRANK.EXC(_xlfn._xlws.FILTER(T$3:T$23, ISNUMBER(T$3:T$23)),T6)*100</f>
        <v>22.7</v>
      </c>
      <c r="AA6" cm="1">
        <f t="array" ref="AA6">_xlfn.PERCENTRANK.EXC(_xlfn._xlws.FILTER(P$3:P$23, ISNUMBER(P$3:P$23)),P6)*100</f>
        <v>72.7</v>
      </c>
      <c r="AB6">
        <f>U6*Assumption!$E$40 + V6*Assumption!$F$40 + X6*Assumption!$G$40 + Y6*Assumption!$H$40 + W6*Assumption!$I$40 +Z6* Assumption!$K$40 + AA6* Assumption!$J$40</f>
        <v>53.190000000000005</v>
      </c>
      <c r="AC6" cm="1">
        <f t="array" ref="AC6">_xlfn.PERCENTRANK.EXC(_xlfn._xlws.FILTER(AB$3:AB$23, ISNUMBER(AB$3:AB$23)),AB6)*100</f>
        <v>59</v>
      </c>
    </row>
    <row r="7" spans="1:29" x14ac:dyDescent="0.35">
      <c r="A7" t="s">
        <v>23</v>
      </c>
      <c r="B7" t="s">
        <v>257</v>
      </c>
      <c r="C7" t="s">
        <v>439</v>
      </c>
      <c r="D7" t="s">
        <v>23</v>
      </c>
      <c r="E7" t="s">
        <v>700</v>
      </c>
      <c r="F7" s="2" cm="1">
        <f t="array" ref="F7">_xll.FDS(D7,"JULIAN(FMA_DIV_YLD(NTMA,NOW,NOW,M,""PORTAGG"",""MEANR"").dates)")</f>
        <v>45412</v>
      </c>
      <c r="G7" s="4" cm="1">
        <f t="array" ref="G7">_xll.FDS(D7,"FMA_PE(LTM,0,,,""PORTAGG"",""MEANR"")")</f>
        <v>7.6059071044504298</v>
      </c>
      <c r="H7" s="4" cm="1">
        <f t="array" ref="H7">_xll.FDS(D7,"FMA_PE(NTMA,0,,,""PORTAGG"",""MEANR"")")</f>
        <v>9.0224493319026902</v>
      </c>
      <c r="I7" cm="1">
        <f t="array" ref="I7">_xll.FDS(D7,"FMA_DIV_YLD(NTMA,NOW,NOW,M,""PORTAGG"",""MEANR"")")</f>
        <v>5.1150677484436002</v>
      </c>
      <c r="J7" s="55" cm="1">
        <f t="array" ref="J7">IFERROR(_xll.FDS(D7,"FG_FCF_YIELD_NTM(0)"),(1/G7*100))</f>
        <v>1.5119436884816599</v>
      </c>
      <c r="K7" s="3" cm="1">
        <f t="array" ref="K7">_xll.FDS(D7,"FMA_EVAL_EBITDA(NTMA,0,,,""PORTAGG"",""MEANR"")")</f>
        <v>5.0399246009427197</v>
      </c>
      <c r="L7" cm="1">
        <f t="array" ref="L7">_xll.FDS(D7,"FMA_EVAL_EBIT(LTMA,NOW,NOW,M,""PORTAGG"",""MEANR"")")</f>
        <v>7.8292410425596097</v>
      </c>
      <c r="M7">
        <f>HLOOKUP(D7,'Index ROE'!$A$1:$V$25,25,FALSE)</f>
        <v>12.394579327579899</v>
      </c>
      <c r="N7">
        <f>VLOOKUP(A7,'LIQIDITY 2'!$A$3:$E$26,5,FALSE)</f>
        <v>5.7248999999999999</v>
      </c>
      <c r="O7" cm="1">
        <f t="array" ref="O7">IFERROR(IFERROR(IFERROR(IFERROR(_xll.FDS(B7,"IMF_IFS_RCPI_Q(0)"),_xll.FDS(B7,"IMF_IFS_RCPI_Q(-1AM)")),_xll.FDS(B7,"IMF_IFS_RCPI_Q(-2AM)")),_xll.FDS(B7,"IMF_IFS_RCPI_Q(-3AM)")),$D$31)</f>
        <v>3.0719981000000001</v>
      </c>
      <c r="P7">
        <f>VLOOKUP(E7,GDP_GROWTH!$B$10:$W$165,22,FALSE)</f>
        <v>3.7030435940290873</v>
      </c>
      <c r="Q7">
        <f t="shared" si="0"/>
        <v>-0.60983225155639964</v>
      </c>
      <c r="R7" s="55">
        <f t="shared" si="1"/>
        <v>-4.2129563115183402</v>
      </c>
      <c r="S7">
        <f t="shared" si="2"/>
        <v>6.6696793275798996</v>
      </c>
      <c r="T7">
        <f t="shared" si="3"/>
        <v>9.3225812275798994</v>
      </c>
      <c r="U7" cm="1">
        <f t="array" ref="U7">_xlfn.PERCENTRANK.EXC(_xlfn._xlws.FILTER(Q$3:Q$23, ISNUMBER(Q$3:Q$23)),Q7)*100</f>
        <v>50</v>
      </c>
      <c r="V7" cm="1">
        <f t="array" ref="V7">_xlfn.PERCENTRANK.EXC(_xlfn._xlws.FILTER(R$3:R$23, ISNUMBER(R$3:R$23)),R7)*100</f>
        <v>13.600000000000001</v>
      </c>
      <c r="W7" cm="1">
        <f t="array" ref="W7">_xlfn.PERCENTRANK.EXC(_xlfn._xlws.FILTER(S$3:S$23, ISNUMBER(S$3:S$23)),S7)*100</f>
        <v>45.4</v>
      </c>
      <c r="X7" cm="1">
        <f t="array" ref="X7">(1-_xlfn.PERCENTRANK.EXC(_xlfn._xlws.FILTER(G$3:G$23, ISNUMBER(G$3:G$23)),G7))*100</f>
        <v>95.5</v>
      </c>
      <c r="Y7" cm="1">
        <f t="array" ref="Y7">(1-_xlfn.PERCENTRANK.EXC(_xlfn._xlws.FILTER(H$3:H$23, ISNUMBER(H$3:H$23)),H7))*100</f>
        <v>68.199999999999989</v>
      </c>
      <c r="Z7" cm="1">
        <f t="array" ref="Z7">_xlfn.PERCENTRANK.EXC(_xlfn._xlws.FILTER(T$3:T$23, ISNUMBER(T$3:T$23)),T7)*100</f>
        <v>45.4</v>
      </c>
      <c r="AA7" cm="1">
        <f t="array" ref="AA7">_xlfn.PERCENTRANK.EXC(_xlfn._xlws.FILTER(P$3:P$23, ISNUMBER(P$3:P$23)),P7)*100</f>
        <v>63.6</v>
      </c>
      <c r="AB7">
        <f>U7*Assumption!$E$40 + V7*Assumption!$F$40 + X7*Assumption!$G$40 + Y7*Assumption!$H$40 + W7*Assumption!$I$40 +Z7* Assumption!$K$40 + AA7* Assumption!$J$40</f>
        <v>55.904999999999994</v>
      </c>
      <c r="AC7" cm="1">
        <f t="array" ref="AC7">_xlfn.PERCENTRANK.EXC(_xlfn._xlws.FILTER(AB$3:AB$23, ISNUMBER(AB$3:AB$23)),AB7)*100</f>
        <v>63.6</v>
      </c>
    </row>
    <row r="8" spans="1:29" x14ac:dyDescent="0.35">
      <c r="A8" t="s">
        <v>29</v>
      </c>
      <c r="B8" t="s">
        <v>304</v>
      </c>
      <c r="C8" t="s">
        <v>440</v>
      </c>
      <c r="D8" t="s">
        <v>29</v>
      </c>
      <c r="E8" t="s">
        <v>698</v>
      </c>
      <c r="F8" s="2" cm="1">
        <f t="array" ref="F8">_xll.FDS(D8,"JULIAN(FMA_DIV_YLD(NTMA,NOW,NOW,M,""PORTAGG"",""MEANR"").dates)")</f>
        <v>45412</v>
      </c>
      <c r="G8" s="4" cm="1">
        <f t="array" ref="G8">_xll.FDS(D8,"FMA_PE(LTM,0,,,""PORTAGG"",""MEANR"")")</f>
        <v>21.210035286796799</v>
      </c>
      <c r="H8" s="4" cm="1">
        <f t="array" ref="H8">_xll.FDS(D8,"FMA_PE(NTMA,0,,,""PORTAGG"",""MEANR"")")</f>
        <v>14.2227670864903</v>
      </c>
      <c r="I8" cm="1">
        <f t="array" ref="I8">_xll.FDS(D8,"FMA_DIV_YLD(NTMA,NOW,NOW,M,""PORTAGG"",""MEANR"")")</f>
        <v>3.5133608109984</v>
      </c>
      <c r="J8" s="55" cm="1">
        <f t="array" ref="J8">IFERROR(_xll.FDS(D8,"FG_FCF_YIELD_NTM(0)"),(1/G8*100))</f>
        <v>7.4206070185136799</v>
      </c>
      <c r="K8" s="3" cm="1">
        <f t="array" ref="K8">_xll.FDS(D8,"FMA_EVAL_EBITDA(NTMA,0,,,""PORTAGG"",""MEANR"")")</f>
        <v>7.19320666464351</v>
      </c>
      <c r="L8" cm="1">
        <f t="array" ref="L8">_xll.FDS(D8,"FMA_EVAL_EBIT(LTMA,NOW,NOW,M,""PORTAGG"",""MEANR"")")</f>
        <v>13.1326831434711</v>
      </c>
      <c r="M8">
        <f>HLOOKUP(D8,'Index ROE'!$A$1:$V$25,25,FALSE)</f>
        <v>12.9324474391171</v>
      </c>
      <c r="N8">
        <f>VLOOKUP(A8,'LIQIDITY 2'!$A$3:$E$26,5,FALSE)</f>
        <v>7.0888929999999997</v>
      </c>
      <c r="O8" cm="1">
        <f t="array" ref="O8">IFERROR(IFERROR(IFERROR(IFERROR(_xll.FDS(B8,"IMF_IFS_RCPI_Q(0)"),_xll.FDS(B8,"IMF_IFS_RCPI_Q(-1AM)")),_xll.FDS(B8,"IMF_IFS_RCPI_Q(-2AM)")),_xll.FDS(B8,"IMF_IFS_RCPI_Q(-3AM)")),$D$31)</f>
        <v>2.8496776000000001</v>
      </c>
      <c r="P8">
        <f>VLOOKUP(E8,GDP_GROWTH!$B$10:$W$165,22,FALSE)</f>
        <v>2.3642552134477857</v>
      </c>
      <c r="Q8">
        <f t="shared" si="0"/>
        <v>-3.5755321890015996</v>
      </c>
      <c r="R8" s="55">
        <f t="shared" si="1"/>
        <v>0.33171401851368021</v>
      </c>
      <c r="S8">
        <f t="shared" si="2"/>
        <v>5.8435544391171002</v>
      </c>
      <c r="T8">
        <f t="shared" si="3"/>
        <v>10.0827698391171</v>
      </c>
      <c r="U8" cm="1">
        <f t="array" ref="U8">_xlfn.PERCENTRANK.EXC(_xlfn._xlws.FILTER(Q$3:Q$23, ISNUMBER(Q$3:Q$23)),Q8)*100</f>
        <v>31.8</v>
      </c>
      <c r="V8" cm="1">
        <f t="array" ref="V8">_xlfn.PERCENTRANK.EXC(_xlfn._xlws.FILTER(R$3:R$23, ISNUMBER(R$3:R$23)),R8)*100</f>
        <v>50</v>
      </c>
      <c r="W8" cm="1">
        <f t="array" ref="W8">_xlfn.PERCENTRANK.EXC(_xlfn._xlws.FILTER(S$3:S$23, ISNUMBER(S$3:S$23)),S8)*100</f>
        <v>31.8</v>
      </c>
      <c r="X8" cm="1">
        <f t="array" ref="X8">(1-_xlfn.PERCENTRANK.EXC(_xlfn._xlws.FILTER(G$3:G$23, ISNUMBER(G$3:G$23)),G8))*100</f>
        <v>18.200000000000006</v>
      </c>
      <c r="Y8" cm="1">
        <f t="array" ref="Y8">(1-_xlfn.PERCENTRANK.EXC(_xlfn._xlws.FILTER(H$3:H$23, ISNUMBER(H$3:H$23)),H8))*100</f>
        <v>27.3</v>
      </c>
      <c r="Z8" cm="1">
        <f t="array" ref="Z8">_xlfn.PERCENTRANK.EXC(_xlfn._xlws.FILTER(T$3:T$23, ISNUMBER(T$3:T$23)),T8)*100</f>
        <v>63.6</v>
      </c>
      <c r="AA8" cm="1">
        <f t="array" ref="AA8">_xlfn.PERCENTRANK.EXC(_xlfn._xlws.FILTER(P$3:P$23, ISNUMBER(P$3:P$23)),P8)*100</f>
        <v>36.299999999999997</v>
      </c>
      <c r="AB8">
        <f>U8*Assumption!$E$40 + V8*Assumption!$F$40 + X8*Assumption!$G$40 + Y8*Assumption!$H$40 + W8*Assumption!$I$40 +Z8* Assumption!$K$40 + AA8* Assumption!$J$40</f>
        <v>35.005000000000003</v>
      </c>
      <c r="AC8" cm="1">
        <f t="array" ref="AC8">_xlfn.PERCENTRANK.EXC(_xlfn._xlws.FILTER(AB$3:AB$23, ISNUMBER(AB$3:AB$23)),AB8)*100</f>
        <v>22.7</v>
      </c>
    </row>
    <row r="9" spans="1:29" x14ac:dyDescent="0.35">
      <c r="A9" t="s">
        <v>33</v>
      </c>
      <c r="B9" t="s">
        <v>194</v>
      </c>
      <c r="C9" t="s">
        <v>441</v>
      </c>
      <c r="D9" t="s">
        <v>33</v>
      </c>
      <c r="E9" t="s">
        <v>673</v>
      </c>
      <c r="F9" s="2" cm="1">
        <f t="array" ref="F9">_xll.FDS(D9,"JULIAN(FMA_DIV_YLD(NTMA,NOW,NOW,M,""PORTAGG"",""MEANR"").dates)")</f>
        <v>45412</v>
      </c>
      <c r="G9" s="4" cm="1">
        <f t="array" ref="G9">_xll.FDS(D9,"FMA_PE(LTM,0,,,""PORTAGG"",""MEANR"")")</f>
        <v>18.6205577160583</v>
      </c>
      <c r="H9" s="4" cm="1">
        <f t="array" ref="H9">_xll.FDS(D9,"FMA_PE(NTMA,0,,,""PORTAGG"",""MEANR"")")</f>
        <v>14.5061298747999</v>
      </c>
      <c r="I9" cm="1">
        <f t="array" ref="I9">_xll.FDS(D9,"FMA_DIV_YLD(NTMA,NOW,NOW,M,""PORTAGG"",""MEANR"")")</f>
        <v>4.10235444811837</v>
      </c>
      <c r="J9" s="55" cm="1">
        <f t="array" ref="J9">IFERROR(_xll.FDS(D9,"FG_FCF_YIELD_NTM(0)"),(1/G9*100))</f>
        <v>5.6900226953504403</v>
      </c>
      <c r="K9" s="3" cm="1">
        <f t="array" ref="K9">_xll.FDS(D9,"FMA_EVAL_EBITDA(NTMA,0,,,""PORTAGG"",""MEANR"")")</f>
        <v>9.0714140011981907</v>
      </c>
      <c r="L9" cm="1">
        <f t="array" ref="L9">_xll.FDS(D9,"FMA_EVAL_EBIT(LTMA,NOW,NOW,M,""PORTAGG"",""MEANR"")")</f>
        <v>17.825505006607401</v>
      </c>
      <c r="M9">
        <f>HLOOKUP(D9,'Index ROE'!$A$1:$V$25,25,FALSE)</f>
        <v>9.5588573391121106</v>
      </c>
      <c r="N9">
        <f>VLOOKUP(A9,'LIQIDITY 2'!$A$3:$E$26,5,FALSE)</f>
        <v>3.88557</v>
      </c>
      <c r="O9" cm="1">
        <f t="array" ref="O9">IFERROR(IFERROR(IFERROR(IFERROR(_xll.FDS(B9,"IMF_IFS_RCPI_Q(0)"),_xll.FDS(B9,"IMF_IFS_RCPI_Q(-1AM)")),_xll.FDS(B9,"IMF_IFS_RCPI_Q(-2AM)")),_xll.FDS(B9,"IMF_IFS_RCPI_Q(-3AM)")),$D$31)</f>
        <v>1.6700923000000001</v>
      </c>
      <c r="P9">
        <f>VLOOKUP(E9,GDP_GROWTH!$B$10:$W$165,22,FALSE)</f>
        <v>3.5466921531802975</v>
      </c>
      <c r="Q9">
        <f t="shared" si="0"/>
        <v>0.21678444811837005</v>
      </c>
      <c r="R9" s="55">
        <f t="shared" si="1"/>
        <v>1.8044526953504403</v>
      </c>
      <c r="S9">
        <f t="shared" si="2"/>
        <v>5.673287339112111</v>
      </c>
      <c r="T9">
        <f t="shared" si="3"/>
        <v>7.8887650391121102</v>
      </c>
      <c r="U9" cm="1">
        <f t="array" ref="U9">_xlfn.PERCENTRANK.EXC(_xlfn._xlws.FILTER(Q$3:Q$23, ISNUMBER(Q$3:Q$23)),Q9)*100</f>
        <v>59</v>
      </c>
      <c r="V9" cm="1">
        <f t="array" ref="V9">_xlfn.PERCENTRANK.EXC(_xlfn._xlws.FILTER(R$3:R$23, ISNUMBER(R$3:R$23)),R9)*100</f>
        <v>63.6</v>
      </c>
      <c r="W9" cm="1">
        <f t="array" ref="W9">_xlfn.PERCENTRANK.EXC(_xlfn._xlws.FILTER(S$3:S$23, ISNUMBER(S$3:S$23)),S9)*100</f>
        <v>27.200000000000003</v>
      </c>
      <c r="X9" cm="1">
        <f t="array" ref="X9">(1-_xlfn.PERCENTRANK.EXC(_xlfn._xlws.FILTER(G$3:G$23, ISNUMBER(G$3:G$23)),G9))*100</f>
        <v>22.799999999999997</v>
      </c>
      <c r="Y9" cm="1">
        <f t="array" ref="Y9">(1-_xlfn.PERCENTRANK.EXC(_xlfn._xlws.FILTER(H$3:H$23, ISNUMBER(H$3:H$23)),H9))*100</f>
        <v>22.799999999999997</v>
      </c>
      <c r="Z9" cm="1">
        <f t="array" ref="Z9">_xlfn.PERCENTRANK.EXC(_xlfn._xlws.FILTER(T$3:T$23, ISNUMBER(T$3:T$23)),T9)*100</f>
        <v>18.099999999999998</v>
      </c>
      <c r="AA9" cm="1">
        <f t="array" ref="AA9">_xlfn.PERCENTRANK.EXC(_xlfn._xlws.FILTER(P$3:P$23, ISNUMBER(P$3:P$23)),P9)*100</f>
        <v>59</v>
      </c>
      <c r="AB9">
        <f>U9*Assumption!$E$40 + V9*Assumption!$F$40 + X9*Assumption!$G$40 + Y9*Assumption!$H$40 + W9*Assumption!$I$40 +Z9* Assumption!$K$40 + AA9* Assumption!$J$40</f>
        <v>34.78</v>
      </c>
      <c r="AC9" cm="1">
        <f t="array" ref="AC9">_xlfn.PERCENTRANK.EXC(_xlfn._xlws.FILTER(AB$3:AB$23, ISNUMBER(AB$3:AB$23)),AB9)*100</f>
        <v>18.099999999999998</v>
      </c>
    </row>
    <row r="10" spans="1:29" x14ac:dyDescent="0.35">
      <c r="A10" t="s">
        <v>24</v>
      </c>
      <c r="B10" t="s">
        <v>217</v>
      </c>
      <c r="C10" t="s">
        <v>40</v>
      </c>
      <c r="D10" t="s">
        <v>24</v>
      </c>
      <c r="E10" t="s">
        <v>720</v>
      </c>
      <c r="F10" s="2" cm="1">
        <f t="array" ref="F10">_xll.FDS(D10,"JULIAN(FMA_DIV_YLD(NTMA,NOW,NOW,M,""PORTAGG"",""MEANR"").dates)")</f>
        <v>45412</v>
      </c>
      <c r="G10" s="4" cm="1">
        <f t="array" ref="G10">_xll.FDS(D10,"FMA_PE(LTM,0,,,""PORTAGG"",""MEANR"")")</f>
        <v>21.6516259477395</v>
      </c>
      <c r="H10" s="4" cm="1">
        <f t="array" ref="H10">_xll.FDS(D10,"FMA_PE(NTMA,0,,,""PORTAGG"",""MEANR"")")</f>
        <v>17.741531183271299</v>
      </c>
      <c r="I10" cm="1">
        <f t="array" ref="I10">_xll.FDS(D10,"FMA_DIV_YLD(NTMA,NOW,NOW,M,""PORTAGG"",""MEANR"")")</f>
        <v>3.1693136042013701</v>
      </c>
      <c r="J10" s="55" cm="1">
        <f t="array" ref="J10">IFERROR(_xll.FDS(D10,"FG_FCF_YIELD_NTM(0)"),(1/G10*100))</f>
        <v>3.9188771497308901</v>
      </c>
      <c r="K10" s="3" cm="1">
        <f t="array" ref="K10">_xll.FDS(D10,"FMA_EVAL_EBITDA(NTMA,0,,,""PORTAGG"",""MEANR"")")</f>
        <v>10.074816195213501</v>
      </c>
      <c r="L10" cm="1">
        <f t="array" ref="L10">_xll.FDS(D10,"FMA_EVAL_EBIT(LTMA,NOW,NOW,M,""PORTAGG"",""MEANR"")")</f>
        <v>19.963683178847901</v>
      </c>
      <c r="M10">
        <f>HLOOKUP(D10,'Index ROE'!$A$1:$V$25,25,FALSE)</f>
        <v>11.9152161134332</v>
      </c>
      <c r="N10">
        <f>VLOOKUP(A10,'LIQIDITY 2'!$A$3:$E$26,5,FALSE)</f>
        <v>1.6</v>
      </c>
      <c r="O10" cm="1">
        <f t="array" ref="O10">IFERROR(IFERROR(IFERROR(IFERROR(_xll.FDS(B10,"IMF_IFS_RCPI_Q(0)"),_xll.FDS(B10,"IMF_IFS_RCPI_Q(-1AM)")),_xll.FDS(B10,"IMF_IFS_RCPI_Q(-2AM)")),_xll.FDS(B10,"IMF_IFS_RCPI_Q(-3AM)")),$D$31)</f>
        <v>3.2095159999999998</v>
      </c>
      <c r="P10">
        <f>VLOOKUP(E10,GDP_GROWTH!$B$10:$W$165,22,FALSE)</f>
        <v>3.5195870793715778</v>
      </c>
      <c r="Q10">
        <f t="shared" si="0"/>
        <v>1.56931360420137</v>
      </c>
      <c r="R10" s="55">
        <f t="shared" si="1"/>
        <v>2.31887714973089</v>
      </c>
      <c r="S10">
        <f t="shared" si="2"/>
        <v>10.3152161134332</v>
      </c>
      <c r="T10">
        <f t="shared" si="3"/>
        <v>8.705700113433199</v>
      </c>
      <c r="U10" cm="1">
        <f t="array" ref="U10">_xlfn.PERCENTRANK.EXC(_xlfn._xlws.FILTER(Q$3:Q$23, ISNUMBER(Q$3:Q$23)),Q10)*100</f>
        <v>86.3</v>
      </c>
      <c r="V10" cm="1">
        <f t="array" ref="V10">_xlfn.PERCENTRANK.EXC(_xlfn._xlws.FILTER(R$3:R$23, ISNUMBER(R$3:R$23)),R10)*100</f>
        <v>68.100000000000009</v>
      </c>
      <c r="W10" cm="1">
        <f t="array" ref="W10">_xlfn.PERCENTRANK.EXC(_xlfn._xlws.FILTER(S$3:S$23, ISNUMBER(S$3:S$23)),S10)*100</f>
        <v>90.9</v>
      </c>
      <c r="X10" cm="1">
        <f t="array" ref="X10">(1-_xlfn.PERCENTRANK.EXC(_xlfn._xlws.FILTER(G$3:G$23, ISNUMBER(G$3:G$23)),G10))*100</f>
        <v>9.0999999999999979</v>
      </c>
      <c r="Y10" cm="1">
        <f t="array" ref="Y10">(1-_xlfn.PERCENTRANK.EXC(_xlfn._xlws.FILTER(H$3:H$23, ISNUMBER(H$3:H$23)),H10))*100</f>
        <v>9.0999999999999979</v>
      </c>
      <c r="Z10" cm="1">
        <f t="array" ref="Z10">_xlfn.PERCENTRANK.EXC(_xlfn._xlws.FILTER(T$3:T$23, ISNUMBER(T$3:T$23)),T10)*100</f>
        <v>27.200000000000003</v>
      </c>
      <c r="AA10" cm="1">
        <f t="array" ref="AA10">_xlfn.PERCENTRANK.EXC(_xlfn._xlws.FILTER(P$3:P$23, ISNUMBER(P$3:P$23)),P10)*100</f>
        <v>54.500000000000007</v>
      </c>
      <c r="AB10">
        <f>U10*Assumption!$E$40 + V10*Assumption!$F$40 + X10*Assumption!$G$40 + Y10*Assumption!$H$40 + W10*Assumption!$I$40 +Z10* Assumption!$K$40 + AA10* Assumption!$J$40</f>
        <v>37.700000000000003</v>
      </c>
      <c r="AC10" cm="1">
        <f t="array" ref="AC10">_xlfn.PERCENTRANK.EXC(_xlfn._xlws.FILTER(AB$3:AB$23, ISNUMBER(AB$3:AB$23)),AB10)*100</f>
        <v>36.299999999999997</v>
      </c>
    </row>
    <row r="11" spans="1:29" x14ac:dyDescent="0.35">
      <c r="A11" t="s">
        <v>7</v>
      </c>
      <c r="B11" t="s">
        <v>301</v>
      </c>
      <c r="C11" t="s">
        <v>53</v>
      </c>
      <c r="D11" t="s">
        <v>7</v>
      </c>
      <c r="E11" t="s">
        <v>678</v>
      </c>
      <c r="F11" s="2" cm="1">
        <f t="array" ref="F11">_xll.FDS(D11,"JULIAN(FMA_DIV_YLD(NTMA,NOW,NOW,M,""PORTAGG"",""MEANR"").dates)")</f>
        <v>45412</v>
      </c>
      <c r="G11" s="4" cm="1">
        <f t="array" ref="G11">_xll.FDS(D11,"FMA_PE(LTM,0,,,""PORTAGG"",""MEANR"")")</f>
        <v>15.4761616049024</v>
      </c>
      <c r="H11" s="4" cm="1">
        <f t="array" ref="H11">_xll.FDS(D11,"FMA_PE(NTMA,0,,,""PORTAGG"",""MEANR"")")</f>
        <v>12.551081905159601</v>
      </c>
      <c r="I11" cm="1">
        <f t="array" ref="I11">_xll.FDS(D11,"FMA_DIV_YLD(NTMA,NOW,NOW,M,""PORTAGG"",""MEANR"")")</f>
        <v>4.1798514366606296</v>
      </c>
      <c r="J11" s="55" cm="1">
        <f t="array" ref="J11">IFERROR(_xll.FDS(D11,"FG_FCF_YIELD_NTM(0)"),(1/G11*100))</f>
        <v>7.9440960622248102</v>
      </c>
      <c r="K11" s="3" cm="1">
        <f t="array" ref="K11">_xll.FDS(D11,"FMA_EVAL_EBITDA(NTMA,0,,,""PORTAGG"",""MEANR"")")</f>
        <v>6.2399622492262701</v>
      </c>
      <c r="L11" cm="1">
        <f t="array" ref="L11">_xll.FDS(D11,"FMA_EVAL_EBIT(LTMA,NOW,NOW,M,""PORTAGG"",""MEANR"")")</f>
        <v>10.4011907861917</v>
      </c>
      <c r="M11">
        <f>HLOOKUP(D11,'Index ROE'!$A$1:$V$25,25,FALSE)</f>
        <v>13.7129718327555</v>
      </c>
      <c r="N11">
        <f>VLOOKUP(A11,'LIQIDITY 2'!$A$3:$E$26,5,FALSE)</f>
        <v>9.7367000000000008</v>
      </c>
      <c r="O11" cm="1">
        <f t="array" ref="O11">IFERROR(IFERROR(IFERROR(IFERROR(_xll.FDS(B11,"IMF_IFS_RCPI_Q(0)"),_xll.FDS(B11,"IMF_IFS_RCPI_Q(-1AM)")),_xll.FDS(B11,"IMF_IFS_RCPI_Q(-2AM)")),_xll.FDS(B11,"IMF_IFS_RCPI_Q(-3AM)")),$D$31)</f>
        <v>4.4145545999999998</v>
      </c>
      <c r="P11">
        <f>VLOOKUP(E11,GDP_GROWTH!$B$10:$W$165,22,FALSE)</f>
        <v>0.75528355941661962</v>
      </c>
      <c r="Q11">
        <f t="shared" si="0"/>
        <v>-5.5568485633393712</v>
      </c>
      <c r="R11" s="55">
        <f t="shared" si="1"/>
        <v>-1.7926039377751906</v>
      </c>
      <c r="S11">
        <f t="shared" si="2"/>
        <v>3.9762718327554989</v>
      </c>
      <c r="T11">
        <f t="shared" si="3"/>
        <v>9.2984172327555008</v>
      </c>
      <c r="U11" cm="1">
        <f t="array" ref="U11">_xlfn.PERCENTRANK.EXC(_xlfn._xlws.FILTER(Q$3:Q$23, ISNUMBER(Q$3:Q$23)),Q11)*100</f>
        <v>18.099999999999998</v>
      </c>
      <c r="V11" cm="1">
        <f t="array" ref="V11">_xlfn.PERCENTRANK.EXC(_xlfn._xlws.FILTER(R$3:R$23, ISNUMBER(R$3:R$23)),R11)*100</f>
        <v>31.8</v>
      </c>
      <c r="W11" cm="1">
        <f t="array" ref="W11">_xlfn.PERCENTRANK.EXC(_xlfn._xlws.FILTER(S$3:S$23, ISNUMBER(S$3:S$23)),S11)*100</f>
        <v>13.600000000000001</v>
      </c>
      <c r="X11" cm="1">
        <f t="array" ref="X11">(1-_xlfn.PERCENTRANK.EXC(_xlfn._xlws.FILTER(G$3:G$23, ISNUMBER(G$3:G$23)),G11))*100</f>
        <v>45.499999999999993</v>
      </c>
      <c r="Y11" cm="1">
        <f t="array" ref="Y11">(1-_xlfn.PERCENTRANK.EXC(_xlfn._xlws.FILTER(H$3:H$23, ISNUMBER(H$3:H$23)),H11))*100</f>
        <v>41</v>
      </c>
      <c r="Z11" cm="1">
        <f t="array" ref="Z11">_xlfn.PERCENTRANK.EXC(_xlfn._xlws.FILTER(T$3:T$23, ISNUMBER(T$3:T$23)),T11)*100</f>
        <v>40.9</v>
      </c>
      <c r="AA11" cm="1">
        <f t="array" ref="AA11">_xlfn.PERCENTRANK.EXC(_xlfn._xlws.FILTER(P$3:P$23, ISNUMBER(P$3:P$23)),P11)*100</f>
        <v>4.5</v>
      </c>
      <c r="AB11">
        <f>U11*Assumption!$E$40 + V11*Assumption!$F$40 + X11*Assumption!$G$40 + Y11*Assumption!$H$40 + W11*Assumption!$I$40 +Z11* Assumption!$K$40 + AA11* Assumption!$J$40</f>
        <v>35.929999999999993</v>
      </c>
      <c r="AC11" cm="1">
        <f t="array" ref="AC11">_xlfn.PERCENTRANK.EXC(_xlfn._xlws.FILTER(AB$3:AB$23, ISNUMBER(AB$3:AB$23)),AB11)*100</f>
        <v>27.200000000000003</v>
      </c>
    </row>
    <row r="12" spans="1:29" x14ac:dyDescent="0.35">
      <c r="A12" t="s">
        <v>21</v>
      </c>
      <c r="B12" t="s">
        <v>210</v>
      </c>
      <c r="C12" t="s">
        <v>38</v>
      </c>
      <c r="D12" t="s">
        <v>21</v>
      </c>
      <c r="E12" t="s">
        <v>660</v>
      </c>
      <c r="F12" s="2" cm="1">
        <f t="array" ref="F12">_xll.FDS(D12,"JULIAN(FMA_DIV_YLD(NTMA,NOW,NOW,M,""PORTAGG"",""MEANR"").dates)")</f>
        <v>45412</v>
      </c>
      <c r="G12" s="4" cm="1">
        <f t="array" ref="G12">_xll.FDS(D12,"FMA_PE(LTM,0,,,""PORTAGG"",""MEANR"")")</f>
        <v>17.002410396107098</v>
      </c>
      <c r="H12" s="4" cm="1">
        <f t="array" ref="H12">_xll.FDS(D12,"FMA_PE(NTMA,0,,,""PORTAGG"",""MEANR"")")</f>
        <v>9.9287177133695899</v>
      </c>
      <c r="I12" cm="1">
        <f t="array" ref="I12">_xll.FDS(D12,"FMA_DIV_YLD(NTMA,NOW,NOW,M,""PORTAGG"",""MEANR"")")</f>
        <v>2.2272239253242199</v>
      </c>
      <c r="J12" s="55" cm="1">
        <f t="array" ref="J12">IFERROR(_xll.FDS(D12,"FG_FCF_YIELD_NTM(0)"),(1/G12*100))</f>
        <v>4.9663587803980898</v>
      </c>
      <c r="K12" s="3" cm="1">
        <f t="array" ref="K12">_xll.FDS(D12,"FMA_EVAL_EBITDA(NTMA,0,,,""PORTAGG"",""MEANR"")")</f>
        <v>6.3774784547310004</v>
      </c>
      <c r="L12" cm="1">
        <f t="array" ref="L12">_xll.FDS(D12,"FMA_EVAL_EBIT(LTMA,NOW,NOW,M,""PORTAGG"",""MEANR"")")</f>
        <v>19.050011437064999</v>
      </c>
      <c r="M12">
        <f>HLOOKUP(D12,'Index ROE'!$A$1:$V$25,25,FALSE)</f>
        <v>8.9090911478552002</v>
      </c>
      <c r="N12">
        <f>VLOOKUP(A12,'LIQIDITY 2'!$A$3:$E$26,5,FALSE)</f>
        <v>3.4672000000000001</v>
      </c>
      <c r="O12" cm="1">
        <f t="array" ref="O12">IFERROR(IFERROR(IFERROR(IFERROR(_xll.FDS(B12,"IMF_IFS_RCPI_Q(0)"),_xll.FDS(B12,"IMF_IFS_RCPI_Q(-1AM)")),_xll.FDS(B12,"IMF_IFS_RCPI_Q(-2AM)")),_xll.FDS(B12,"IMF_IFS_RCPI_Q(-3AM)")),$D$31)</f>
        <v>3.0037531999999998</v>
      </c>
      <c r="P12">
        <f>VLOOKUP(E12,GDP_GROWTH!$B$10:$W$165,22,FALSE)</f>
        <v>2.41003689527024</v>
      </c>
      <c r="Q12">
        <f t="shared" si="0"/>
        <v>-1.2399760746757802</v>
      </c>
      <c r="R12" s="55">
        <f t="shared" si="1"/>
        <v>1.4991587803980897</v>
      </c>
      <c r="S12">
        <f t="shared" si="2"/>
        <v>5.4418911478552001</v>
      </c>
      <c r="T12">
        <f t="shared" si="3"/>
        <v>5.9053379478551999</v>
      </c>
      <c r="U12" cm="1">
        <f t="array" ref="U12">_xlfn.PERCENTRANK.EXC(_xlfn._xlws.FILTER(Q$3:Q$23, ISNUMBER(Q$3:Q$23)),Q12)*100</f>
        <v>45.4</v>
      </c>
      <c r="V12" cm="1">
        <f t="array" ref="V12">_xlfn.PERCENTRANK.EXC(_xlfn._xlws.FILTER(R$3:R$23, ISNUMBER(R$3:R$23)),R12)*100</f>
        <v>54.500000000000007</v>
      </c>
      <c r="W12" cm="1">
        <f t="array" ref="W12">_xlfn.PERCENTRANK.EXC(_xlfn._xlws.FILTER(S$3:S$23, ISNUMBER(S$3:S$23)),S12)*100</f>
        <v>22.7</v>
      </c>
      <c r="X12" cm="1">
        <f t="array" ref="X12">(1-_xlfn.PERCENTRANK.EXC(_xlfn._xlws.FILTER(G$3:G$23, ISNUMBER(G$3:G$23)),G12))*100</f>
        <v>36.4</v>
      </c>
      <c r="Y12" cm="1">
        <f t="array" ref="Y12">(1-_xlfn.PERCENTRANK.EXC(_xlfn._xlws.FILTER(H$3:H$23, ISNUMBER(H$3:H$23)),H12))*100</f>
        <v>59.099999999999994</v>
      </c>
      <c r="Z12" cm="1">
        <f t="array" ref="Z12">_xlfn.PERCENTRANK.EXC(_xlfn._xlws.FILTER(T$3:T$23, ISNUMBER(T$3:T$23)),T12)*100</f>
        <v>9</v>
      </c>
      <c r="AA12" cm="1">
        <f t="array" ref="AA12">_xlfn.PERCENTRANK.EXC(_xlfn._xlws.FILTER(P$3:P$23, ISNUMBER(P$3:P$23)),P12)*100</f>
        <v>40.9</v>
      </c>
      <c r="AB12">
        <f>U12*Assumption!$E$40 + V12*Assumption!$F$40 + X12*Assumption!$G$40 + Y12*Assumption!$H$40 + W12*Assumption!$I$40 +Z12* Assumption!$K$40 + AA12* Assumption!$J$40</f>
        <v>42.94</v>
      </c>
      <c r="AC12" cm="1">
        <f t="array" ref="AC12">_xlfn.PERCENTRANK.EXC(_xlfn._xlws.FILTER(AB$3:AB$23, ISNUMBER(AB$3:AB$23)),AB12)*100</f>
        <v>40.9</v>
      </c>
    </row>
    <row r="13" spans="1:29" x14ac:dyDescent="0.35">
      <c r="A13" t="s">
        <v>12</v>
      </c>
      <c r="B13" t="s">
        <v>291</v>
      </c>
      <c r="C13" t="s">
        <v>54</v>
      </c>
      <c r="D13" t="s">
        <v>12</v>
      </c>
      <c r="E13" t="s">
        <v>603</v>
      </c>
      <c r="F13" s="2" cm="1">
        <f t="array" ref="F13">_xll.FDS(D13,"JULIAN(FMA_DIV_YLD(NTMA,NOW,NOW,M,""PORTAGG"",""MEANR"").dates)")</f>
        <v>45412</v>
      </c>
      <c r="G13" s="4" cm="1">
        <f t="array" ref="G13">_xll.FDS(D13,"FMA_PE(LTM,0,,,""PORTAGG"",""MEANR"")")</f>
        <v>7.6364383048278102</v>
      </c>
      <c r="H13" s="4" cm="1">
        <f t="array" ref="H13">_xll.FDS(D13,"FMA_PE(NTMA,0,,,""PORTAGG"",""MEANR"")")</f>
        <v>7.5092260509129796</v>
      </c>
      <c r="I13" cm="1">
        <f t="array" ref="I13">_xll.FDS(D13,"FMA_DIV_YLD(NTMA,NOW,NOW,M,""PORTAGG"",""MEANR"")")</f>
        <v>6.6966925994556004</v>
      </c>
      <c r="J13" s="55" cm="1">
        <f t="array" ref="J13">IFERROR(_xll.FDS(D13,"FG_FCF_YIELD_NTM(0)"),(1/G13*100))</f>
        <v>9.8211621466090904</v>
      </c>
      <c r="K13" s="3" cm="1">
        <f t="array" ref="K13">_xll.FDS(D13,"FMA_EVAL_EBITDA(NTMA,0,,,""PORTAGG"",""MEANR"")")</f>
        <v>4.6608759500165799</v>
      </c>
      <c r="L13" cm="1">
        <f t="array" ref="L13">_xll.FDS(D13,"FMA_EVAL_EBIT(LTMA,NOW,NOW,M,""PORTAGG"",""MEANR"")")</f>
        <v>6.7385419389236798</v>
      </c>
      <c r="M13">
        <f>HLOOKUP(D13,'Index ROE'!$A$1:$V$25,25,FALSE)</f>
        <v>18.6086842292654</v>
      </c>
      <c r="N13">
        <f>VLOOKUP(A13,'LIQIDITY 2'!$A$3:$E$26,5,FALSE)</f>
        <v>11.854141</v>
      </c>
      <c r="O13" cm="1">
        <f t="array" ref="O13">IFERROR(IFERROR(IFERROR(IFERROR(_xll.FDS(B13,"IMF_IFS_RCPI_Q(0)"),_xll.FDS(B13,"IMF_IFS_RCPI_Q(-1AM)")),_xll.FDS(B13,"IMF_IFS_RCPI_Q(-2AM)")),_xll.FDS(B13,"IMF_IFS_RCPI_Q(-3AM)")),$D$31)</f>
        <v>4.3081307000000004</v>
      </c>
      <c r="P13">
        <f>VLOOKUP(E13,GDP_GROWTH!$B$10:$W$165,22,FALSE)</f>
        <v>0.86151944639016875</v>
      </c>
      <c r="Q13">
        <f t="shared" si="0"/>
        <v>-5.1574484005443999</v>
      </c>
      <c r="R13" s="55">
        <f t="shared" si="1"/>
        <v>-2.0329788533909099</v>
      </c>
      <c r="S13">
        <f t="shared" si="2"/>
        <v>6.7545432292653995</v>
      </c>
      <c r="T13">
        <f t="shared" si="3"/>
        <v>14.3005535292654</v>
      </c>
      <c r="U13" cm="1">
        <f t="array" ref="U13">_xlfn.PERCENTRANK.EXC(_xlfn._xlws.FILTER(Q$3:Q$23, ISNUMBER(Q$3:Q$23)),Q13)*100</f>
        <v>22.7</v>
      </c>
      <c r="V13" cm="1">
        <f t="array" ref="V13">_xlfn.PERCENTRANK.EXC(_xlfn._xlws.FILTER(R$3:R$23, ISNUMBER(R$3:R$23)),R13)*100</f>
        <v>27.200000000000003</v>
      </c>
      <c r="W13" cm="1">
        <f t="array" ref="W13">_xlfn.PERCENTRANK.EXC(_xlfn._xlws.FILTER(S$3:S$23, ISNUMBER(S$3:S$23)),S13)*100</f>
        <v>50</v>
      </c>
      <c r="X13" cm="1">
        <f t="array" ref="X13">(1-_xlfn.PERCENTRANK.EXC(_xlfn._xlws.FILTER(G$3:G$23, ISNUMBER(G$3:G$23)),G13))*100</f>
        <v>91</v>
      </c>
      <c r="Y13" cm="1">
        <f t="array" ref="Y13">(1-_xlfn.PERCENTRANK.EXC(_xlfn._xlws.FILTER(H$3:H$23, ISNUMBER(H$3:H$23)),H13))*100</f>
        <v>86.4</v>
      </c>
      <c r="Z13" cm="1">
        <f t="array" ref="Z13">_xlfn.PERCENTRANK.EXC(_xlfn._xlws.FILTER(T$3:T$23, ISNUMBER(T$3:T$23)),T13)*100</f>
        <v>95.399999999999991</v>
      </c>
      <c r="AA13" cm="1">
        <f t="array" ref="AA13">_xlfn.PERCENTRANK.EXC(_xlfn._xlws.FILTER(P$3:P$23, ISNUMBER(P$3:P$23)),P13)*100</f>
        <v>13.600000000000001</v>
      </c>
      <c r="AB13">
        <f>U13*Assumption!$E$40 + V13*Assumption!$F$40 + X13*Assumption!$G$40 + Y13*Assumption!$H$40 + W13*Assumption!$I$40 +Z13* Assumption!$K$40 + AA13* Assumption!$J$40</f>
        <v>66.825000000000003</v>
      </c>
      <c r="AC13" cm="1">
        <f t="array" ref="AC13">_xlfn.PERCENTRANK.EXC(_xlfn._xlws.FILTER(AB$3:AB$23, ISNUMBER(AB$3:AB$23)),AB13)*100</f>
        <v>81.8</v>
      </c>
    </row>
    <row r="14" spans="1:29" x14ac:dyDescent="0.35">
      <c r="A14" t="s">
        <v>22</v>
      </c>
      <c r="B14" t="s">
        <v>366</v>
      </c>
      <c r="C14" t="s">
        <v>442</v>
      </c>
      <c r="D14" t="s">
        <v>22</v>
      </c>
      <c r="E14" t="s">
        <v>713</v>
      </c>
      <c r="F14" s="2" cm="1">
        <f t="array" ref="F14">_xll.FDS(D14,"JULIAN(FMA_DIV_YLD(NTMA,NOW,NOW,M,""PORTAGG"",""MEANR"").dates)")</f>
        <v>45412</v>
      </c>
      <c r="G14" s="4" cm="1">
        <f t="array" ref="G14">_xll.FDS(D14,"FMA_PE(LTM,0,,,""PORTAGG"",""MEANR"")")</f>
        <v>11.975407278787999</v>
      </c>
      <c r="H14" s="4" cm="1">
        <f t="array" ref="H14">_xll.FDS(D14,"FMA_PE(NTMA,0,,,""PORTAGG"",""MEANR"")")</f>
        <v>9.9683201117465003</v>
      </c>
      <c r="I14" cm="1">
        <f t="array" ref="I14">_xll.FDS(D14,"FMA_DIV_YLD(NTMA,NOW,NOW,M,""PORTAGG"",""MEANR"")")</f>
        <v>4.1548951107817</v>
      </c>
      <c r="J14" s="55" cm="1">
        <f t="array" ref="J14">IFERROR(_xll.FDS(D14,"FG_FCF_YIELD_NTM(0)"),(1/G14*100))</f>
        <v>6.1452718348046602</v>
      </c>
      <c r="K14" s="3" cm="1">
        <f t="array" ref="K14">_xll.FDS(D14,"FMA_EVAL_EBITDA(NTMA,0,,,""PORTAGG"",""MEANR"")")</f>
        <v>7.96921472378164</v>
      </c>
      <c r="L14" cm="1">
        <f t="array" ref="L14">_xll.FDS(D14,"FMA_EVAL_EBIT(LTMA,NOW,NOW,M,""PORTAGG"",""MEANR"")")</f>
        <v>12.1586802293763</v>
      </c>
      <c r="M14">
        <f>HLOOKUP(D14,'Index ROE'!$A$1:$V$25,25,FALSE)</f>
        <v>14.5722752976358</v>
      </c>
      <c r="N14">
        <f>VLOOKUP(A14,'LIQIDITY 2'!$A$3:$E$26,5,FALSE)</f>
        <v>11.966108</v>
      </c>
      <c r="O14" cm="1">
        <f t="array" ref="O14">IFERROR(IFERROR(IFERROR(IFERROR(_xll.FDS(B14,"IMF_IFS_RCPI_Q(0)"),_xll.FDS(B14,"IMF_IFS_RCPI_Q(-1AM)")),_xll.FDS(B14,"IMF_IFS_RCPI_Q(-2AM)")),_xll.FDS(B14,"IMF_IFS_RCPI_Q(-3AM)")),$D$31)</f>
        <v>5.6333609999999998</v>
      </c>
      <c r="P14">
        <f>VLOOKUP(E14,GDP_GROWTH!$B$10:$W$165,22,FALSE)</f>
        <v>2.0053433544621524</v>
      </c>
      <c r="Q14">
        <f t="shared" si="0"/>
        <v>-7.8112128892183001</v>
      </c>
      <c r="R14" s="55">
        <f t="shared" si="1"/>
        <v>-5.82083616519534</v>
      </c>
      <c r="S14">
        <f t="shared" si="2"/>
        <v>2.6061672976357997</v>
      </c>
      <c r="T14">
        <f t="shared" si="3"/>
        <v>8.9389142976358009</v>
      </c>
      <c r="U14" cm="1">
        <f t="array" ref="U14">_xlfn.PERCENTRANK.EXC(_xlfn._xlws.FILTER(Q$3:Q$23, ISNUMBER(Q$3:Q$23)),Q14)*100</f>
        <v>9</v>
      </c>
      <c r="V14" cm="1">
        <f t="array" ref="V14">_xlfn.PERCENTRANK.EXC(_xlfn._xlws.FILTER(R$3:R$23, ISNUMBER(R$3:R$23)),R14)*100</f>
        <v>9</v>
      </c>
      <c r="W14" cm="1">
        <f t="array" ref="W14">_xlfn.PERCENTRANK.EXC(_xlfn._xlws.FILTER(S$3:S$23, ISNUMBER(S$3:S$23)),S14)*100</f>
        <v>9</v>
      </c>
      <c r="X14" cm="1">
        <f t="array" ref="X14">(1-_xlfn.PERCENTRANK.EXC(_xlfn._xlws.FILTER(G$3:G$23, ISNUMBER(G$3:G$23)),G14))*100</f>
        <v>63.7</v>
      </c>
      <c r="Y14" cm="1">
        <f t="array" ref="Y14">(1-_xlfn.PERCENTRANK.EXC(_xlfn._xlws.FILTER(H$3:H$23, ISNUMBER(H$3:H$23)),H14))*100</f>
        <v>54.6</v>
      </c>
      <c r="Z14" cm="1">
        <f t="array" ref="Z14">_xlfn.PERCENTRANK.EXC(_xlfn._xlws.FILTER(T$3:T$23, ISNUMBER(T$3:T$23)),T14)*100</f>
        <v>36.299999999999997</v>
      </c>
      <c r="AA14" cm="1">
        <f t="array" ref="AA14">_xlfn.PERCENTRANK.EXC(_xlfn._xlws.FILTER(P$3:P$23, ISNUMBER(P$3:P$23)),P14)*100</f>
        <v>27.200000000000003</v>
      </c>
      <c r="AB14">
        <f>U14*Assumption!$E$40 + V14*Assumption!$F$40 + X14*Assumption!$G$40 + Y14*Assumption!$H$40 + W14*Assumption!$I$40 +Z14* Assumption!$K$40 + AA14* Assumption!$J$40</f>
        <v>36.805</v>
      </c>
      <c r="AC14" cm="1">
        <f t="array" ref="AC14">_xlfn.PERCENTRANK.EXC(_xlfn._xlws.FILTER(AB$3:AB$23, ISNUMBER(AB$3:AB$23)),AB14)*100</f>
        <v>31.8</v>
      </c>
    </row>
    <row r="15" spans="1:29" x14ac:dyDescent="0.35">
      <c r="A15" t="s">
        <v>28</v>
      </c>
      <c r="B15" t="s">
        <v>498</v>
      </c>
      <c r="C15" t="s">
        <v>443</v>
      </c>
      <c r="D15" t="s">
        <v>28</v>
      </c>
      <c r="E15" t="s">
        <v>640</v>
      </c>
      <c r="F15" s="2" cm="1">
        <f t="array" ref="F15">_xll.FDS(D15,"JULIAN(FMA_DIV_YLD(NTMA,NOW,NOW,M,""PORTAGG"",""MEANR"").dates)")</f>
        <v>45412</v>
      </c>
      <c r="G15" s="4" cm="1">
        <f t="array" ref="G15">_xll.FDS(D15,"FMA_PE(LTM,0,,,""PORTAGG"",""MEANR"")")</f>
        <v>7.6865179842619202</v>
      </c>
      <c r="H15" s="4" cm="1">
        <f t="array" ref="H15">_xll.FDS(D15,"FMA_PE(NTMA,0,,,""PORTAGG"",""MEANR"")")</f>
        <v>7.36628405726902</v>
      </c>
      <c r="I15" cm="1">
        <f t="array" ref="I15">_xll.FDS(D15,"FMA_DIV_YLD(NTMA,NOW,NOW,M,""PORTAGG"",""MEANR"")")</f>
        <v>5.3323347435143598</v>
      </c>
      <c r="J15" s="55" cm="1">
        <f t="array" ref="J15">IFERROR(_xll.FDS(D15,"FG_FCF_YIELD_NTM(0)"),(1/G15*100))</f>
        <v>13.009791976646531</v>
      </c>
      <c r="K15" s="3" cm="1">
        <f t="array" ref="K15">_xll.FDS(D15,"FMA_EVAL_EBITDA(NTMA,0,,,""PORTAGG"",""MEANR"")")</f>
        <v>5.3229352937149903</v>
      </c>
      <c r="L15" cm="1">
        <f t="array" ref="L15">_xll.FDS(D15,"FMA_EVAL_EBIT(LTMA,NOW,NOW,M,""PORTAGG"",""MEANR"")")</f>
        <v>7.43503361565321</v>
      </c>
      <c r="M15">
        <f>HLOOKUP(D15,'Index ROE'!$A$1:$V$25,25,FALSE)</f>
        <v>13.1253657894167</v>
      </c>
      <c r="N15">
        <f>VLOOKUP(A15,'LIQIDITY 2'!$A$3:$E$26,5,FALSE)</f>
        <v>3.5920000000000001</v>
      </c>
      <c r="O15" cm="1">
        <f t="array" ref="O15">IFERROR(IFERROR(IFERROR(IFERROR(_xll.FDS(B15,"IMF_IFS_RCPI_Q(0)"),_xll.FDS(B15,"IMF_IFS_RCPI_Q(-1AM)")),_xll.FDS(B15,"IMF_IFS_RCPI_Q(-2AM)")),_xll.FDS(B15,"IMF_IFS_RCPI_Q(-3AM)")),$D$31)</f>
        <v>3.0919249999999998</v>
      </c>
      <c r="P15">
        <f>VLOOKUP(E15,GDP_GROWTH!$B$10:$W$165,22,FALSE)</f>
        <v>0.85736345187500396</v>
      </c>
      <c r="Q15">
        <f t="shared" si="0"/>
        <v>1.7403347435143597</v>
      </c>
      <c r="R15" s="55">
        <f t="shared" si="1"/>
        <v>9.4177919766465301</v>
      </c>
      <c r="S15">
        <f t="shared" si="2"/>
        <v>9.533365789416699</v>
      </c>
      <c r="T15">
        <f t="shared" si="3"/>
        <v>10.0334407894167</v>
      </c>
      <c r="U15" cm="1">
        <f t="array" ref="U15">_xlfn.PERCENTRANK.EXC(_xlfn._xlws.FILTER(Q$3:Q$23, ISNUMBER(Q$3:Q$23)),Q15)*100</f>
        <v>90.9</v>
      </c>
      <c r="V15" cm="1">
        <f t="array" ref="V15">_xlfn.PERCENTRANK.EXC(_xlfn._xlws.FILTER(R$3:R$23, ISNUMBER(R$3:R$23)),R15)*100</f>
        <v>95.399999999999991</v>
      </c>
      <c r="W15" cm="1">
        <f t="array" ref="W15">_xlfn.PERCENTRANK.EXC(_xlfn._xlws.FILTER(S$3:S$23, ISNUMBER(S$3:S$23)),S15)*100</f>
        <v>81.8</v>
      </c>
      <c r="X15" cm="1">
        <f t="array" ref="X15">(1-_xlfn.PERCENTRANK.EXC(_xlfn._xlws.FILTER(G$3:G$23, ISNUMBER(G$3:G$23)),G15))*100</f>
        <v>86.4</v>
      </c>
      <c r="Y15" cm="1">
        <f t="array" ref="Y15">(1-_xlfn.PERCENTRANK.EXC(_xlfn._xlws.FILTER(H$3:H$23, ISNUMBER(H$3:H$23)),H15))*100</f>
        <v>91</v>
      </c>
      <c r="Z15" cm="1">
        <f t="array" ref="Z15">_xlfn.PERCENTRANK.EXC(_xlfn._xlws.FILTER(T$3:T$23, ISNUMBER(T$3:T$23)),T15)*100</f>
        <v>59</v>
      </c>
      <c r="AA15" cm="1">
        <f t="array" ref="AA15">_xlfn.PERCENTRANK.EXC(_xlfn._xlws.FILTER(P$3:P$23, ISNUMBER(P$3:P$23)),P15)*100</f>
        <v>9</v>
      </c>
      <c r="AB15">
        <f>U15*Assumption!$E$40 + V15*Assumption!$F$40 + X15*Assumption!$G$40 + Y15*Assumption!$H$40 + W15*Assumption!$I$40 +Z15* Assumption!$K$40 + AA15* Assumption!$J$40</f>
        <v>86.825000000000017</v>
      </c>
      <c r="AC15" cm="1">
        <f t="array" ref="AC15">_xlfn.PERCENTRANK.EXC(_xlfn._xlws.FILTER(AB$3:AB$23, ISNUMBER(AB$3:AB$23)),AB15)*100</f>
        <v>95.399999999999991</v>
      </c>
    </row>
    <row r="16" spans="1:29" x14ac:dyDescent="0.35">
      <c r="A16" t="s">
        <v>32</v>
      </c>
      <c r="B16" t="s">
        <v>184</v>
      </c>
      <c r="C16" t="s">
        <v>52</v>
      </c>
      <c r="D16" t="s">
        <v>32</v>
      </c>
      <c r="E16" t="s">
        <v>650</v>
      </c>
      <c r="F16" s="2" cm="1">
        <f t="array" ref="F16">_xll.FDS(D16,"JULIAN(FMA_DIV_YLD(NTMA,NOW,NOW,M,""PORTAGG"",""MEANR"").dates)")</f>
        <v>45412</v>
      </c>
      <c r="G16" s="4" cm="1">
        <f t="array" ref="G16">_xll.FDS(D16,"FMA_PE(LTM,0,,,""PORTAGG"",""MEANR"")")</f>
        <v>25.948940951035901</v>
      </c>
      <c r="H16" s="4" cm="1">
        <f t="array" ref="H16">_xll.FDS(D16,"FMA_PE(NTMA,0,,,""PORTAGG"",""MEANR"")")</f>
        <v>22.635482181038601</v>
      </c>
      <c r="I16" cm="1">
        <f t="array" ref="I16">_xll.FDS(D16,"FMA_DIV_YLD(NTMA,NOW,NOW,M,""PORTAGG"",""MEANR"")")</f>
        <v>1.3346798121179999</v>
      </c>
      <c r="J16" s="55" cm="1">
        <f t="array" ref="J16">IFERROR(_xll.FDS(D16,"FG_FCF_YIELD_NTM(0)"),(1/G16*100))</f>
        <v>2.9420447613215002</v>
      </c>
      <c r="K16" s="3" cm="1">
        <f t="array" ref="K16">_xll.FDS(D16,"FMA_EVAL_EBITDA(NTMA,0,,,""PORTAGG"",""MEANR"")")</f>
        <v>15.0344452466523</v>
      </c>
      <c r="L16" cm="1">
        <f t="array" ref="L16">_xll.FDS(D16,"FMA_EVAL_EBIT(LTMA,NOW,NOW,M,""PORTAGG"",""MEANR"")")</f>
        <v>22.7719956234222</v>
      </c>
      <c r="M16">
        <f>HLOOKUP(D16,'Index ROE'!$A$1:$V$25,25,FALSE)</f>
        <v>16.0848706505016</v>
      </c>
      <c r="N16">
        <f>VLOOKUP(A16,'LIQIDITY 2'!$A$3:$E$26,5,FALSE)</f>
        <v>7.0374999999999996</v>
      </c>
      <c r="O16" cm="1">
        <f t="array" ref="O16">IFERROR(IFERROR(IFERROR(IFERROR(_xll.FDS(B16,"IMF_IFS_RCPI_Q(0)"),_xll.FDS(B16,"IMF_IFS_RCPI_Q(-1AM)")),_xll.FDS(B16,"IMF_IFS_RCPI_Q(-2AM)")),_xll.FDS(B16,"IMF_IFS_RCPI_Q(-3AM)")),$D$31)</f>
        <v>5.0141410000000004</v>
      </c>
      <c r="P16">
        <f>VLOOKUP(E16,GDP_GROWTH!$B$10:$W$165,22,FALSE)</f>
        <v>4.5925545086595072</v>
      </c>
      <c r="Q16">
        <f t="shared" si="0"/>
        <v>-5.7028201878819997</v>
      </c>
      <c r="R16" s="55">
        <f t="shared" si="1"/>
        <v>-4.0954552386784995</v>
      </c>
      <c r="S16">
        <f t="shared" si="2"/>
        <v>9.0473706505016001</v>
      </c>
      <c r="T16">
        <f t="shared" si="3"/>
        <v>11.070729650501599</v>
      </c>
      <c r="U16" cm="1">
        <f t="array" ref="U16">_xlfn.PERCENTRANK.EXC(_xlfn._xlws.FILTER(Q$3:Q$23, ISNUMBER(Q$3:Q$23)),Q16)*100</f>
        <v>13.600000000000001</v>
      </c>
      <c r="V16" cm="1">
        <f t="array" ref="V16">_xlfn.PERCENTRANK.EXC(_xlfn._xlws.FILTER(R$3:R$23, ISNUMBER(R$3:R$23)),R16)*100</f>
        <v>22.7</v>
      </c>
      <c r="W16" cm="1">
        <f t="array" ref="W16">_xlfn.PERCENTRANK.EXC(_xlfn._xlws.FILTER(S$3:S$23, ISNUMBER(S$3:S$23)),S16)*100</f>
        <v>72.7</v>
      </c>
      <c r="X16" cm="1">
        <f t="array" ref="X16">(1-_xlfn.PERCENTRANK.EXC(_xlfn._xlws.FILTER(G$3:G$23, ISNUMBER(G$3:G$23)),G16))*100</f>
        <v>4.6000000000000041</v>
      </c>
      <c r="Y16" cm="1">
        <f t="array" ref="Y16">(1-_xlfn.PERCENTRANK.EXC(_xlfn._xlws.FILTER(H$3:H$23, ISNUMBER(H$3:H$23)),H16))*100</f>
        <v>4.6000000000000041</v>
      </c>
      <c r="Z16" cm="1">
        <f t="array" ref="Z16">_xlfn.PERCENTRANK.EXC(_xlfn._xlws.FILTER(T$3:T$23, ISNUMBER(T$3:T$23)),T16)*100</f>
        <v>77.2</v>
      </c>
      <c r="AA16" cm="1">
        <f t="array" ref="AA16">_xlfn.PERCENTRANK.EXC(_xlfn._xlws.FILTER(P$3:P$23, ISNUMBER(P$3:P$23)),P16)*100</f>
        <v>77.2</v>
      </c>
      <c r="AB16">
        <f>U16*Assumption!$E$40 + V16*Assumption!$F$40 + X16*Assumption!$G$40 + Y16*Assumption!$H$40 + W16*Assumption!$I$40 +Z16* Assumption!$K$40 + AA16* Assumption!$J$40</f>
        <v>23.645000000000003</v>
      </c>
      <c r="AC16" cm="1">
        <f t="array" ref="AC16">_xlfn.PERCENTRANK.EXC(_xlfn._xlws.FILTER(AB$3:AB$23, ISNUMBER(AB$3:AB$23)),AB16)*100</f>
        <v>4.5</v>
      </c>
    </row>
    <row r="17" spans="1:29" x14ac:dyDescent="0.35">
      <c r="A17" t="s">
        <v>26</v>
      </c>
      <c r="B17" t="s">
        <v>177</v>
      </c>
      <c r="C17" t="s">
        <v>41</v>
      </c>
      <c r="D17" t="s">
        <v>26</v>
      </c>
      <c r="E17" t="s">
        <v>615</v>
      </c>
      <c r="F17" s="2" cm="1">
        <f t="array" ref="F17">_xll.FDS(D17,"JULIAN(FMA_DIV_YLD(NTMA,NOW,NOW,M,""PORTAGG"",""MEANR"").dates)")</f>
        <v>45412</v>
      </c>
      <c r="G17" s="4" cm="1">
        <f t="array" ref="G17">_xll.FDS(D17,"FMA_PE(LTM,0,,,""PORTAGG"",""MEANR"")")</f>
        <v>13.6243110624861</v>
      </c>
      <c r="H17" s="4" cm="1">
        <f t="array" ref="H17">_xll.FDS(D17,"FMA_PE(NTMA,0,,,""PORTAGG"",""MEANR"")")</f>
        <v>10.692598022338</v>
      </c>
      <c r="I17" cm="1">
        <f t="array" ref="I17">_xll.FDS(D17,"FMA_DIV_YLD(NTMA,NOW,NOW,M,""PORTAGG"",""MEANR"")")</f>
        <v>2.8763951429005501</v>
      </c>
      <c r="J17" s="55" cm="1">
        <f t="array" ref="J17">IFERROR(_xll.FDS(D17,"FG_FCF_YIELD_NTM(0)"),(1/G17*100))</f>
        <v>6.4229974108691001</v>
      </c>
      <c r="K17" s="3" cm="1">
        <f t="array" ref="K17">_xll.FDS(D17,"FMA_EVAL_EBITDA(NTMA,0,,,""PORTAGG"",""MEANR"")")</f>
        <v>9.4433672765294094</v>
      </c>
      <c r="L17" cm="1">
        <f t="array" ref="L17">_xll.FDS(D17,"FMA_EVAL_EBIT(LTMA,NOW,NOW,M,""PORTAGG"",""MEANR"")")</f>
        <v>13.8415156993668</v>
      </c>
      <c r="M17">
        <f>HLOOKUP(D17,'Index ROE'!$A$1:$V$25,25,FALSE)</f>
        <v>11.5611834350638</v>
      </c>
      <c r="N17">
        <f>VLOOKUP(A17,'LIQIDITY 2'!$A$3:$E$26,5,FALSE)</f>
        <v>2.3176999999999999</v>
      </c>
      <c r="O17" cm="1">
        <f t="array" ref="O17">IFERROR(IFERROR(IFERROR(IFERROR(_xll.FDS(B17,"IMF_IFS_RCPI_Q(0)"),_xll.FDS(B17,"IMF_IFS_RCPI_Q(-1AM)")),_xll.FDS(B17,"IMF_IFS_RCPI_Q(-2AM)")),_xll.FDS(B17,"IMF_IFS_RCPI_Q(-3AM)")),$D$31)</f>
        <v>-3.2184999999999998E-2</v>
      </c>
      <c r="P17">
        <f>VLOOKUP(E17,GDP_GROWTH!$B$10:$W$165,22,FALSE)</f>
        <v>5.6866931054303738</v>
      </c>
      <c r="Q17">
        <f t="shared" si="0"/>
        <v>0.55869514290055022</v>
      </c>
      <c r="R17" s="55">
        <f t="shared" si="1"/>
        <v>4.1052974108691007</v>
      </c>
      <c r="S17">
        <f t="shared" si="2"/>
        <v>9.2434834350637995</v>
      </c>
      <c r="T17">
        <f t="shared" si="3"/>
        <v>11.5933684350638</v>
      </c>
      <c r="U17" cm="1">
        <f t="array" ref="U17">_xlfn.PERCENTRANK.EXC(_xlfn._xlws.FILTER(Q$3:Q$23, ISNUMBER(Q$3:Q$23)),Q17)*100</f>
        <v>68.100000000000009</v>
      </c>
      <c r="V17" cm="1">
        <f t="array" ref="V17">_xlfn.PERCENTRANK.EXC(_xlfn._xlws.FILTER(R$3:R$23, ISNUMBER(R$3:R$23)),R17)*100</f>
        <v>77.2</v>
      </c>
      <c r="W17" cm="1">
        <f t="array" ref="W17">_xlfn.PERCENTRANK.EXC(_xlfn._xlws.FILTER(S$3:S$23, ISNUMBER(S$3:S$23)),S17)*100</f>
        <v>77.2</v>
      </c>
      <c r="X17" cm="1">
        <f t="array" ref="X17">(1-_xlfn.PERCENTRANK.EXC(_xlfn._xlws.FILTER(G$3:G$23, ISNUMBER(G$3:G$23)),G17))*100</f>
        <v>54.6</v>
      </c>
      <c r="Y17" cm="1">
        <f t="array" ref="Y17">(1-_xlfn.PERCENTRANK.EXC(_xlfn._xlws.FILTER(H$3:H$23, ISNUMBER(H$3:H$23)),H17))*100</f>
        <v>50</v>
      </c>
      <c r="Z17" cm="1">
        <f t="array" ref="Z17">_xlfn.PERCENTRANK.EXC(_xlfn._xlws.FILTER(T$3:T$23, ISNUMBER(T$3:T$23)),T17)*100</f>
        <v>86.3</v>
      </c>
      <c r="AA17" cm="1">
        <f t="array" ref="AA17">_xlfn.PERCENTRANK.EXC(_xlfn._xlws.FILTER(P$3:P$23, ISNUMBER(P$3:P$23)),P17)*100</f>
        <v>86.3</v>
      </c>
      <c r="AB17">
        <f>U17*Assumption!$E$40 + V17*Assumption!$F$40 + X17*Assumption!$G$40 + Y17*Assumption!$H$40 + W17*Assumption!$I$40 +Z17* Assumption!$K$40 + AA17* Assumption!$J$40</f>
        <v>65.204999999999998</v>
      </c>
      <c r="AC17" cm="1">
        <f t="array" ref="AC17">_xlfn.PERCENTRANK.EXC(_xlfn._xlws.FILTER(AB$3:AB$23, ISNUMBER(AB$3:AB$23)),AB17)*100</f>
        <v>72.7</v>
      </c>
    </row>
    <row r="18" spans="1:29" x14ac:dyDescent="0.35">
      <c r="A18" t="s">
        <v>1</v>
      </c>
      <c r="B18" t="s">
        <v>360</v>
      </c>
      <c r="C18" t="s">
        <v>444</v>
      </c>
      <c r="D18" t="s">
        <v>31</v>
      </c>
      <c r="E18" t="s">
        <v>702</v>
      </c>
      <c r="F18" s="2" cm="1">
        <f t="array" ref="F18">_xll.FDS(D18,"JULIAN(FMA_DIV_YLD(NTMA,NOW,NOW,M,""PORTAGG"",""MEANR"").dates)")</f>
        <v>45412</v>
      </c>
      <c r="G18" s="4" cm="1">
        <f t="array" ref="G18">_xll.FDS(D18,"FMA_PE(LTM,0,,,""PORTAGG"",""MEANR"")")</f>
        <v>10.9181419341227</v>
      </c>
      <c r="H18" s="4" cm="1">
        <f t="array" ref="H18">_xll.FDS(D18,"FMA_PE(NTMA,0,,,""PORTAGG"",""MEANR"")")</f>
        <v>9.8896379677601391</v>
      </c>
      <c r="I18" cm="1">
        <f t="array" ref="I18">_xll.FDS(D18,"FMA_DIV_YLD(NTMA,NOW,NOW,M,""PORTAGG"",""MEANR"")")</f>
        <v>5.7450807259007499</v>
      </c>
      <c r="J18" s="55" cm="1">
        <f t="array" ref="J18">IFERROR(_xll.FDS(D18,"FG_FCF_YIELD_NTM(0)"),(1/G18*100))</f>
        <v>9.159067596242533</v>
      </c>
      <c r="K18" s="3" cm="1">
        <f t="array" ref="K18">_xll.FDS(D18,"FMA_EVAL_EBITDA(NTMA,0,,,""PORTAGG"",""MEANR"")")</f>
        <v>9.6662298583807296</v>
      </c>
      <c r="L18" cm="1">
        <f t="array" ref="L18">_xll.FDS(D18,"FMA_EVAL_EBIT(LTMA,NOW,NOW,M,""PORTAGG"",""MEANR"")")</f>
        <v>15.4986568117973</v>
      </c>
      <c r="M18">
        <f>HLOOKUP(D18,'Index ROE'!$A$1:$V$25,25,FALSE)</f>
        <v>12.1192289718939</v>
      </c>
      <c r="N18">
        <f>VLOOKUP(A18,'LIQIDITY 2'!$A$3:$E$26,5,FALSE)</f>
        <v>4.4767000000000001</v>
      </c>
      <c r="O18" cm="1">
        <f t="array" ref="O18">IFERROR(IFERROR(IFERROR(IFERROR(_xll.FDS(B18,"IMF_IFS_RCPI_Q(0)"),_xll.FDS(B18,"IMF_IFS_RCPI_Q(-1AM)")),_xll.FDS(B18,"IMF_IFS_RCPI_Q(-2AM)")),_xll.FDS(B18,"IMF_IFS_RCPI_Q(-3AM)")),$D$31)</f>
        <v>3.2095159999999998</v>
      </c>
      <c r="P18">
        <f>VLOOKUP(E18,GDP_GROWTH!$B$10:$W$165,22,FALSE)</f>
        <v>1.453731693851934</v>
      </c>
      <c r="Q18">
        <f t="shared" si="0"/>
        <v>1.2683807259007498</v>
      </c>
      <c r="R18" s="55">
        <f t="shared" si="1"/>
        <v>4.6823675962425328</v>
      </c>
      <c r="S18">
        <f t="shared" si="2"/>
        <v>7.6425289718939</v>
      </c>
      <c r="T18">
        <f t="shared" si="3"/>
        <v>8.9097129718938994</v>
      </c>
      <c r="U18" cm="1">
        <f t="array" ref="U18">_xlfn.PERCENTRANK.EXC(_xlfn._xlws.FILTER(Q$3:Q$23, ISNUMBER(Q$3:Q$23)),Q18)*100</f>
        <v>81.8</v>
      </c>
      <c r="V18" cm="1">
        <f t="array" ref="V18">_xlfn.PERCENTRANK.EXC(_xlfn._xlws.FILTER(R$3:R$23, ISNUMBER(R$3:R$23)),R18)*100</f>
        <v>81.8</v>
      </c>
      <c r="W18" cm="1">
        <f t="array" ref="W18">_xlfn.PERCENTRANK.EXC(_xlfn._xlws.FILTER(S$3:S$23, ISNUMBER(S$3:S$23)),S18)*100</f>
        <v>59</v>
      </c>
      <c r="X18" cm="1">
        <f t="array" ref="X18">(1-_xlfn.PERCENTRANK.EXC(_xlfn._xlws.FILTER(G$3:G$23, ISNUMBER(G$3:G$23)),G18))*100</f>
        <v>68.199999999999989</v>
      </c>
      <c r="Y18" cm="1">
        <f t="array" ref="Y18">(1-_xlfn.PERCENTRANK.EXC(_xlfn._xlws.FILTER(H$3:H$23, ISNUMBER(H$3:H$23)),H18))*100</f>
        <v>63.7</v>
      </c>
      <c r="Z18" cm="1">
        <f t="array" ref="Z18">_xlfn.PERCENTRANK.EXC(_xlfn._xlws.FILTER(T$3:T$23, ISNUMBER(T$3:T$23)),T18)*100</f>
        <v>31.8</v>
      </c>
      <c r="AA18" cm="1">
        <f t="array" ref="AA18">_xlfn.PERCENTRANK.EXC(_xlfn._xlws.FILTER(P$3:P$23, ISNUMBER(P$3:P$23)),P18)*100</f>
        <v>22.7</v>
      </c>
      <c r="AB18">
        <f>U18*Assumption!$E$40 + V18*Assumption!$F$40 + X18*Assumption!$G$40 + Y18*Assumption!$H$40 + W18*Assumption!$I$40 +Z18* Assumption!$K$40 + AA18* Assumption!$J$40</f>
        <v>66.594999999999999</v>
      </c>
      <c r="AC18" cm="1">
        <f t="array" ref="AC18">_xlfn.PERCENTRANK.EXC(_xlfn._xlws.FILTER(AB$3:AB$23, ISNUMBER(AB$3:AB$23)),AB18)*100</f>
        <v>77.2</v>
      </c>
    </row>
    <row r="19" spans="1:29" x14ac:dyDescent="0.35">
      <c r="A19" t="s">
        <v>757</v>
      </c>
      <c r="B19" t="s">
        <v>221</v>
      </c>
      <c r="C19" t="s">
        <v>758</v>
      </c>
      <c r="D19" t="s">
        <v>757</v>
      </c>
      <c r="E19" t="s">
        <v>723</v>
      </c>
      <c r="F19" s="2" cm="1">
        <f t="array" ref="F19">_xll.FDS(D19,"JULIAN(FMA_DIV_YLD(NTMA,NOW,NOW,M,""PORTAGG"",""MEANR"").dates)")</f>
        <v>45412</v>
      </c>
      <c r="G19" s="4" cm="1">
        <f t="array" ref="G19">_xll.FDS(D19,"FMA_PE(LTM,0,,,""PORTAGG"",""MEANR"")")</f>
        <v>17.142657012399599</v>
      </c>
      <c r="H19" s="4" cm="1">
        <f t="array" ref="H19">_xll.FDS(D19,"FMA_PE(NTMA,0,,,""PORTAGG"",""MEANR"")")</f>
        <v>14.170813163966599</v>
      </c>
      <c r="I19" cm="1">
        <f t="array" ref="I19">_xll.FDS(D19,"FMA_DIV_YLD(NTMA,NOW,NOW,M,""PORTAGG"",""MEANR"")")</f>
        <v>3.6277138554194401</v>
      </c>
      <c r="J19" s="55" cm="1">
        <f t="array" ref="J19">IFERROR(_xll.FDS(D19,"FG_FCF_YIELD_NTM(0)"),(1/G19*100))</f>
        <v>4.5823721383750504</v>
      </c>
      <c r="K19" s="3" cm="1">
        <f t="array" ref="K19">_xll.FDS(D19,"FMA_EVAL_EBITDA(NTMA,0,,,""PORTAGG"",""MEANR"")")</f>
        <v>9.4432862481332496</v>
      </c>
      <c r="L19" cm="1">
        <f t="array" ref="L19">_xll.FDS(D19,"FMA_EVAL_EBIT(LTMA,NOW,NOW,M,""PORTAGG"",""MEANR"")")</f>
        <v>18.7849820176829</v>
      </c>
      <c r="M19">
        <f>HLOOKUP(D19,'Index ROE'!$A$1:$V$25,25,FALSE)</f>
        <v>9.34877442177023</v>
      </c>
      <c r="N19">
        <f>VLOOKUP(A19,'LIQIDITY 2'!$A$3:$E$26,5,FALSE)</f>
        <v>2.8286410000000002</v>
      </c>
      <c r="O19" cm="1">
        <f t="array" ref="O19">IFERROR(IFERROR(IFERROR(IFERROR(_xll.FDS(B19,"IMF_IFS_RCPI_Q(0)"),_xll.FDS(B19,"IMF_IFS_RCPI_Q(-1AM)")),_xll.FDS(B19,"IMF_IFS_RCPI_Q(-2AM)")),_xll.FDS(B19,"IMF_IFS_RCPI_Q(-3AM)")),$D$31)</f>
        <v>-0.78397644</v>
      </c>
      <c r="P19">
        <f>VLOOKUP(E19,GDP_GROWTH!$B$10:$W$165,22,FALSE)</f>
        <v>1.3158022817511328</v>
      </c>
      <c r="Q19">
        <f t="shared" si="0"/>
        <v>0.79907285541943995</v>
      </c>
      <c r="R19" s="55">
        <f t="shared" si="1"/>
        <v>1.7537311383750502</v>
      </c>
      <c r="S19">
        <f t="shared" si="2"/>
        <v>6.5201334217702298</v>
      </c>
      <c r="T19">
        <f t="shared" si="3"/>
        <v>10.13275086177023</v>
      </c>
      <c r="U19" cm="1">
        <f t="array" ref="U19">_xlfn.PERCENTRANK.EXC(_xlfn._xlws.FILTER(Q$3:Q$23, ISNUMBER(Q$3:Q$23)),Q19)*100</f>
        <v>77.2</v>
      </c>
      <c r="V19" cm="1">
        <f t="array" ref="V19">_xlfn.PERCENTRANK.EXC(_xlfn._xlws.FILTER(R$3:R$23, ISNUMBER(R$3:R$23)),R19)*100</f>
        <v>59</v>
      </c>
      <c r="W19" cm="1">
        <f t="array" ref="W19">_xlfn.PERCENTRANK.EXC(_xlfn._xlws.FILTER(S$3:S$23, ISNUMBER(S$3:S$23)),S19)*100</f>
        <v>40.9</v>
      </c>
      <c r="X19" cm="1">
        <f t="array" ref="X19">(1-_xlfn.PERCENTRANK.EXC(_xlfn._xlws.FILTER(G$3:G$23, ISNUMBER(G$3:G$23)),G19))*100</f>
        <v>31.899999999999995</v>
      </c>
      <c r="Y19" cm="1">
        <f t="array" ref="Y19">(1-_xlfn.PERCENTRANK.EXC(_xlfn._xlws.FILTER(H$3:H$23, ISNUMBER(H$3:H$23)),H19))*100</f>
        <v>31.899999999999995</v>
      </c>
      <c r="Z19" cm="1">
        <f t="array" ref="Z19">_xlfn.PERCENTRANK.EXC(_xlfn._xlws.FILTER(T$3:T$23, ISNUMBER(T$3:T$23)),T19)*100</f>
        <v>68.100000000000009</v>
      </c>
      <c r="AA19" cm="1">
        <f t="array" ref="AA19">_xlfn.PERCENTRANK.EXC(_xlfn._xlws.FILTER(P$3:P$23, ISNUMBER(P$3:P$23)),P19)*100</f>
        <v>18.099999999999998</v>
      </c>
      <c r="AB19">
        <f>U19*Assumption!$E$40 + V19*Assumption!$F$40 + X19*Assumption!$G$40 + Y19*Assumption!$H$40 + W19*Assumption!$I$40 +Z19* Assumption!$K$40 + AA19* Assumption!$J$40</f>
        <v>45.459999999999994</v>
      </c>
      <c r="AC19" cm="1">
        <f t="array" ref="AC19">_xlfn.PERCENTRANK.EXC(_xlfn._xlws.FILTER(AB$3:AB$23, ISNUMBER(AB$3:AB$23)),AB19)*100</f>
        <v>45.4</v>
      </c>
    </row>
    <row r="20" spans="1:29" x14ac:dyDescent="0.35">
      <c r="A20" t="s">
        <v>25</v>
      </c>
      <c r="B20" t="s">
        <v>279</v>
      </c>
      <c r="C20" t="s">
        <v>446</v>
      </c>
      <c r="D20" t="s">
        <v>25</v>
      </c>
      <c r="E20" t="s">
        <v>727</v>
      </c>
      <c r="F20" s="2" cm="1">
        <f t="array" ref="F20">_xll.FDS(D20,"JULIAN(FMA_DIV_YLD(NTMA,NOW,NOW,M,""PORTAGG"",""MEANR"").dates)")</f>
        <v>45412</v>
      </c>
      <c r="G20" s="4" cm="1">
        <f t="array" ref="G20">_xll.FDS(D20,"FMA_PE(LTM,0,,,""PORTAGG"",""MEANR"")")</f>
        <v>8.5209673633414695</v>
      </c>
      <c r="H20" s="4" cm="1">
        <f t="array" ref="H20">_xll.FDS(D20,"FMA_PE(NTMA,0,,,""PORTAGG"",""MEANR"")")</f>
        <v>5.9602356118199298</v>
      </c>
      <c r="I20" cm="1">
        <f t="array" ref="I20">_xll.FDS(D20,"FMA_DIV_YLD(NTMA,NOW,NOW,M,""PORTAGG"",""MEANR"")")</f>
        <v>4.1592273440835301</v>
      </c>
      <c r="J20" s="55" cm="1">
        <f t="array" ref="J20">IFERROR(_xll.FDS(D20,"FG_FCF_YIELD_NTM(0)"),(1/G20*100))</f>
        <v>7.6818076133249704</v>
      </c>
      <c r="K20" s="3" cm="1">
        <f t="array" ref="K20">_xll.FDS(D20,"FMA_EVAL_EBITDA(NTMA,0,,,""PORTAGG"",""MEANR"")")</f>
        <v>4.8216708062784797</v>
      </c>
      <c r="L20" cm="1">
        <f t="array" ref="L20">_xll.FDS(D20,"FMA_EVAL_EBIT(LTMA,NOW,NOW,M,""PORTAGG"",""MEANR"")")</f>
        <v>7.4124001810418401</v>
      </c>
      <c r="M20">
        <f>HLOOKUP(D20,'Index ROE'!$A$1:$V$25,25,FALSE)</f>
        <v>25.846008849302699</v>
      </c>
      <c r="N20">
        <f>VLOOKUP(A20,'LIQIDITY 2'!$A$3:$E$26,5,FALSE)</f>
        <v>24.4331</v>
      </c>
      <c r="O20" cm="1">
        <f t="array" ref="O20">IFERROR(IFERROR(IFERROR(IFERROR(_xll.FDS(B20,"IMF_IFS_RCPI_Q(0)"),_xll.FDS(B20,"IMF_IFS_RCPI_Q(-1AM)")),_xll.FDS(B20,"IMF_IFS_RCPI_Q(-2AM)")),_xll.FDS(B20,"IMF_IFS_RCPI_Q(-3AM)")),$D$31)</f>
        <v>62.724220000000003</v>
      </c>
      <c r="P20">
        <f>VLOOKUP(E20,GDP_GROWTH!$B$10:$W$165,22,FALSE)</f>
        <v>4.8494927539907469</v>
      </c>
      <c r="Q20">
        <f t="shared" si="0"/>
        <v>-20.27387265591647</v>
      </c>
      <c r="R20" s="55">
        <f t="shared" si="1"/>
        <v>-16.751292386675029</v>
      </c>
      <c r="S20">
        <f t="shared" si="2"/>
        <v>1.4129088493026991</v>
      </c>
      <c r="T20">
        <f t="shared" si="3"/>
        <v>-36.878211150697304</v>
      </c>
      <c r="U20" cm="1">
        <f t="array" ref="U20">_xlfn.PERCENTRANK.EXC(_xlfn._xlws.FILTER(Q$3:Q$23, ISNUMBER(Q$3:Q$23)),Q20)*100</f>
        <v>4.5</v>
      </c>
      <c r="V20" cm="1">
        <f t="array" ref="V20">_xlfn.PERCENTRANK.EXC(_xlfn._xlws.FILTER(R$3:R$23, ISNUMBER(R$3:R$23)),R20)*100</f>
        <v>4.5</v>
      </c>
      <c r="W20" cm="1">
        <f t="array" ref="W20">_xlfn.PERCENTRANK.EXC(_xlfn._xlws.FILTER(S$3:S$23, ISNUMBER(S$3:S$23)),S20)*100</f>
        <v>4.5</v>
      </c>
      <c r="X20" cm="1">
        <f t="array" ref="X20">(1-_xlfn.PERCENTRANK.EXC(_xlfn._xlws.FILTER(G$3:G$23, ISNUMBER(G$3:G$23)),G20))*100</f>
        <v>81.899999999999991</v>
      </c>
      <c r="Y20" cm="1">
        <f t="array" ref="Y20">(1-_xlfn.PERCENTRANK.EXC(_xlfn._xlws.FILTER(H$3:H$23, ISNUMBER(H$3:H$23)),H20))*100</f>
        <v>95.5</v>
      </c>
      <c r="Z20" cm="1">
        <f t="array" ref="Z20">_xlfn.PERCENTRANK.EXC(_xlfn._xlws.FILTER(T$3:T$23, ISNUMBER(T$3:T$23)),T20)*100</f>
        <v>4.5</v>
      </c>
      <c r="AA20" cm="1">
        <f t="array" ref="AA20">_xlfn.PERCENTRANK.EXC(_xlfn._xlws.FILTER(P$3:P$23, ISNUMBER(P$3:P$23)),P20)*100</f>
        <v>81.8</v>
      </c>
      <c r="AB20">
        <f>U20*Assumption!$E$40 + V20*Assumption!$F$40 + X20*Assumption!$G$40 + Y20*Assumption!$H$40 + W20*Assumption!$I$40 +Z20* Assumption!$K$40 + AA20* Assumption!$J$40</f>
        <v>46.600000000000009</v>
      </c>
      <c r="AC20" cm="1">
        <f t="array" ref="AC20">_xlfn.PERCENTRANK.EXC(_xlfn._xlws.FILTER(AB$3:AB$23, ISNUMBER(AB$3:AB$23)),AB20)*100</f>
        <v>50</v>
      </c>
    </row>
    <row r="21" spans="1:29" x14ac:dyDescent="0.35">
      <c r="A21" t="s">
        <v>34</v>
      </c>
      <c r="B21" t="s">
        <v>373</v>
      </c>
      <c r="C21" t="s">
        <v>447</v>
      </c>
      <c r="D21" t="s">
        <v>34</v>
      </c>
      <c r="E21" t="s">
        <v>731</v>
      </c>
      <c r="F21" s="2" cm="1">
        <f t="array" ref="F21">_xll.FDS(D21,"JULIAN(FMA_DIV_YLD(NTMA,NOW,NOW,M,""PORTAGG"",""MEANR"").dates)")</f>
        <v>45412</v>
      </c>
      <c r="G21" s="4" cm="1">
        <f t="array" ref="G21">_xll.FDS(D21,"FMA_PE(LTM,0,,,""PORTAGG"",""MEANR"")")</f>
        <v>10.2087041546154</v>
      </c>
      <c r="H21" s="4" cm="1">
        <f t="array" ref="H21">_xll.FDS(D21,"FMA_PE(NTMA,0,,,""PORTAGG"",""MEANR"")")</f>
        <v>8.6563238486538001</v>
      </c>
      <c r="I21" cm="1">
        <f t="array" ref="I21">_xll.FDS(D21,"FMA_DIV_YLD(NTMA,NOW,NOW,M,""PORTAGG"",""MEANR"")")</f>
        <v>5.6413885639114998</v>
      </c>
      <c r="J21" s="55" cm="1">
        <f t="array" ref="J21">IFERROR(_xll.FDS(D21,"FG_FCF_YIELD_NTM(0)"),(1/G21*100))</f>
        <v>9.8289019932803008</v>
      </c>
      <c r="K21" s="3" cm="1">
        <f t="array" ref="K21">_xll.FDS(D21,"FMA_EVAL_EBITDA(NTMA,0,,,""PORTAGG"",""MEANR"")")</f>
        <v>6.0150766582457296</v>
      </c>
      <c r="L21" cm="1">
        <f t="array" ref="L21">_xll.FDS(D21,"FMA_EVAL_EBIT(LTMA,NOW,NOW,M,""PORTAGG"",""MEANR"")")</f>
        <v>9.9653668930768102</v>
      </c>
      <c r="M21">
        <f>HLOOKUP(D21,'Index ROE'!$A$1:$V$25,25,FALSE)</f>
        <v>13.2251182354264</v>
      </c>
      <c r="N21">
        <f>VLOOKUP(A21,'LIQIDITY 2'!$A$3:$E$26,5,FALSE)</f>
        <v>4.9281230000000003</v>
      </c>
      <c r="O21" cm="1">
        <f t="array" ref="O21">IFERROR(IFERROR(IFERROR(IFERROR(_xll.FDS(B21,"IMF_IFS_RCPI_Q(0)"),_xll.FDS(B21,"IMF_IFS_RCPI_Q(-1AM)")),_xll.FDS(B21,"IMF_IFS_RCPI_Q(-2AM)")),_xll.FDS(B21,"IMF_IFS_RCPI_Q(-3AM)")),$D$31)</f>
        <v>3.2095159999999998</v>
      </c>
      <c r="P21">
        <f>VLOOKUP(E21,GDP_GROWTH!$B$10:$W$165,22,FALSE)</f>
        <v>2.4407957064008778</v>
      </c>
      <c r="Q21">
        <f t="shared" si="0"/>
        <v>0.71326556391149953</v>
      </c>
      <c r="R21" s="55">
        <f t="shared" si="1"/>
        <v>4.9007789932803005</v>
      </c>
      <c r="S21">
        <f t="shared" si="2"/>
        <v>8.2969952354264009</v>
      </c>
      <c r="T21">
        <f t="shared" si="3"/>
        <v>10.0156022354264</v>
      </c>
      <c r="U21" cm="1">
        <f t="array" ref="U21">_xlfn.PERCENTRANK.EXC(_xlfn._xlws.FILTER(Q$3:Q$23, ISNUMBER(Q$3:Q$23)),Q21)*100</f>
        <v>72.7</v>
      </c>
      <c r="V21" cm="1">
        <f t="array" ref="V21">_xlfn.PERCENTRANK.EXC(_xlfn._xlws.FILTER(R$3:R$23, ISNUMBER(R$3:R$23)),R21)*100</f>
        <v>86.3</v>
      </c>
      <c r="W21" cm="1">
        <f t="array" ref="W21">_xlfn.PERCENTRANK.EXC(_xlfn._xlws.FILTER(S$3:S$23, ISNUMBER(S$3:S$23)),S21)*100</f>
        <v>68.100000000000009</v>
      </c>
      <c r="X21" cm="1">
        <f t="array" ref="X21">(1-_xlfn.PERCENTRANK.EXC(_xlfn._xlws.FILTER(G$3:G$23, ISNUMBER(G$3:G$23)),G21))*100</f>
        <v>72.8</v>
      </c>
      <c r="Y21" cm="1">
        <f t="array" ref="Y21">(1-_xlfn.PERCENTRANK.EXC(_xlfn._xlws.FILTER(H$3:H$23, ISNUMBER(H$3:H$23)),H21))*100</f>
        <v>77.3</v>
      </c>
      <c r="Z21" cm="1">
        <f t="array" ref="Z21">_xlfn.PERCENTRANK.EXC(_xlfn._xlws.FILTER(T$3:T$23, ISNUMBER(T$3:T$23)),T21)*100</f>
        <v>54.500000000000007</v>
      </c>
      <c r="AA21" cm="1">
        <f t="array" ref="AA21">_xlfn.PERCENTRANK.EXC(_xlfn._xlws.FILTER(P$3:P$23, ISNUMBER(P$3:P$23)),P21)*100</f>
        <v>45.4</v>
      </c>
      <c r="AB21">
        <f>U21*Assumption!$E$40 + V21*Assumption!$F$40 + X21*Assumption!$G$40 + Y21*Assumption!$H$40 + W21*Assumption!$I$40 +Z21* Assumption!$K$40 + AA21* Assumption!$J$40</f>
        <v>74.995000000000005</v>
      </c>
      <c r="AC21" cm="1">
        <f t="array" ref="AC21">_xlfn.PERCENTRANK.EXC(_xlfn._xlws.FILTER(AB$3:AB$23, ISNUMBER(AB$3:AB$23)),AB21)*100</f>
        <v>86.3</v>
      </c>
    </row>
    <row r="22" spans="1:29" x14ac:dyDescent="0.35">
      <c r="A22" t="s">
        <v>37</v>
      </c>
      <c r="B22" t="s">
        <v>224</v>
      </c>
      <c r="C22" t="s">
        <v>448</v>
      </c>
      <c r="D22" t="s">
        <v>37</v>
      </c>
      <c r="E22" t="s">
        <v>736</v>
      </c>
      <c r="F22" s="2" cm="1">
        <f t="array" ref="F22">_xll.FDS(D22,"JULIAN(FMA_DIV_YLD(NTMA,NOW,NOW,M,""PORTAGG"",""MEANR"").dates)")</f>
        <v>45412</v>
      </c>
      <c r="G22" s="4" cm="1">
        <f t="array" ref="G22">_xll.FDS(D22,"FMA_PE(LTM,0,,,""PORTAGG"",""MEANR"")")</f>
        <v>17.6387785225212</v>
      </c>
      <c r="H22" s="4" cm="1">
        <f t="array" ref="H22">_xll.FDS(D22,"FMA_PE(NTMA,0,,,""PORTAGG"",""MEANR"")")</f>
        <v>16.1772971924727</v>
      </c>
      <c r="I22" cm="1">
        <f t="array" ref="I22">_xll.FDS(D22,"FMA_DIV_YLD(NTMA,NOW,NOW,M,""PORTAGG"",""MEANR"")")</f>
        <v>2.4151645727705899</v>
      </c>
      <c r="J22" s="55" cm="1">
        <f t="array" ref="J22">IFERROR(_xll.FDS(D22,"FG_FCF_YIELD_NTM(0)"),(1/G22*100))</f>
        <v>-1.3192957664640199</v>
      </c>
      <c r="K22" s="3" cm="1">
        <f t="array" ref="K22">_xll.FDS(D22,"FMA_EVAL_EBITDA(NTMA,0,,,""PORTAGG"",""MEANR"")")</f>
        <v>9.8906383315689901</v>
      </c>
      <c r="L22" cm="1">
        <f t="array" ref="L22">_xll.FDS(D22,"FMA_EVAL_EBIT(LTMA,NOW,NOW,M,""PORTAGG"",""MEANR"")")</f>
        <v>18.434807943821699</v>
      </c>
      <c r="M22">
        <f>HLOOKUP(D22,'Index ROE'!$A$1:$V$25,25,FALSE)</f>
        <v>10.732551346519401</v>
      </c>
      <c r="N22">
        <f>VLOOKUP(A22,'LIQIDITY 2'!$A$3:$E$26,5,FALSE)</f>
        <v>2.8704779999999999</v>
      </c>
      <c r="O22" cm="1">
        <f t="array" ref="O22">IFERROR(IFERROR(IFERROR(IFERROR(_xll.FDS(B22,"IMF_IFS_RCPI_Q(0)"),_xll.FDS(B22,"IMF_IFS_RCPI_Q(-1AM)")),_xll.FDS(B22,"IMF_IFS_RCPI_Q(-2AM)")),_xll.FDS(B22,"IMF_IFS_RCPI_Q(-3AM)")),$D$31)</f>
        <v>3.7726899999999999</v>
      </c>
      <c r="P22">
        <f>VLOOKUP(E22,GDP_GROWTH!$B$10:$W$165,22,FALSE)</f>
        <v>8.3599457036252378</v>
      </c>
      <c r="Q22">
        <f t="shared" si="0"/>
        <v>-0.45531342722940993</v>
      </c>
      <c r="R22" s="55">
        <f t="shared" si="1"/>
        <v>-4.18977376646402</v>
      </c>
      <c r="S22">
        <f t="shared" si="2"/>
        <v>7.8620733465194004</v>
      </c>
      <c r="T22">
        <f t="shared" si="3"/>
        <v>6.9598613465194008</v>
      </c>
      <c r="U22" cm="1">
        <f t="array" ref="U22">_xlfn.PERCENTRANK.EXC(_xlfn._xlws.FILTER(Q$3:Q$23, ISNUMBER(Q$3:Q$23)),Q22)*100</f>
        <v>54.500000000000007</v>
      </c>
      <c r="V22" cm="1">
        <f t="array" ref="V22">_xlfn.PERCENTRANK.EXC(_xlfn._xlws.FILTER(R$3:R$23, ISNUMBER(R$3:R$23)),R22)*100</f>
        <v>18.099999999999998</v>
      </c>
      <c r="W22" cm="1">
        <f t="array" ref="W22">_xlfn.PERCENTRANK.EXC(_xlfn._xlws.FILTER(S$3:S$23, ISNUMBER(S$3:S$23)),S22)*100</f>
        <v>63.6</v>
      </c>
      <c r="X22" cm="1">
        <f t="array" ref="X22">(1-_xlfn.PERCENTRANK.EXC(_xlfn._xlws.FILTER(G$3:G$23, ISNUMBER(G$3:G$23)),G22))*100</f>
        <v>27.3</v>
      </c>
      <c r="Y22" cm="1">
        <f t="array" ref="Y22">(1-_xlfn.PERCENTRANK.EXC(_xlfn._xlws.FILTER(H$3:H$23, ISNUMBER(H$3:H$23)),H22))*100</f>
        <v>18.200000000000006</v>
      </c>
      <c r="Z22" cm="1">
        <f t="array" ref="Z22">_xlfn.PERCENTRANK.EXC(_xlfn._xlws.FILTER(T$3:T$23, ISNUMBER(T$3:T$23)),T22)*100</f>
        <v>13.600000000000001</v>
      </c>
      <c r="AA22" cm="1">
        <f t="array" ref="AA22">_xlfn.PERCENTRANK.EXC(_xlfn._xlws.FILTER(P$3:P$23, ISNUMBER(P$3:P$23)),P22)*100</f>
        <v>95.399999999999991</v>
      </c>
      <c r="AB22">
        <f>U22*Assumption!$E$40 + V22*Assumption!$F$40 + X22*Assumption!$G$40 + Y22*Assumption!$H$40 + W22*Assumption!$I$40 +Z22* Assumption!$K$40 + AA22* Assumption!$J$40</f>
        <v>26.344999999999999</v>
      </c>
      <c r="AC22" cm="1">
        <f t="array" ref="AC22">_xlfn.PERCENTRANK.EXC(_xlfn._xlws.FILTER(AB$3:AB$23, ISNUMBER(AB$3:AB$23)),AB22)*100</f>
        <v>9</v>
      </c>
    </row>
    <row r="23" spans="1:29" x14ac:dyDescent="0.35">
      <c r="A23" t="s">
        <v>36</v>
      </c>
      <c r="B23" t="s">
        <v>363</v>
      </c>
      <c r="C23" t="s">
        <v>449</v>
      </c>
      <c r="D23" t="s">
        <v>36</v>
      </c>
      <c r="E23" t="s">
        <v>706</v>
      </c>
      <c r="F23" s="2" cm="1">
        <f t="array" ref="F23">_xll.FDS(D23,"JULIAN(FMA_DIV_YLD(NTMA,NOW,NOW,M,""PORTAGG"",""MEANR"").dates)")</f>
        <v>45412</v>
      </c>
      <c r="G23" s="4" cm="1">
        <f t="array" ref="G23">_xll.FDS(D23,"FMA_PE(LTM,0,,,""PORTAGG"",""MEANR"")")</f>
        <v>21.3083950662737</v>
      </c>
      <c r="H23" s="4" cm="1">
        <f t="array" ref="H23">_xll.FDS(D23,"FMA_PE(NTMA,0,,,""PORTAGG"",""MEANR"")")</f>
        <v>17.015185172089399</v>
      </c>
      <c r="I23" cm="1">
        <f t="array" ref="I23">_xll.FDS(D23,"FMA_DIV_YLD(NTMA,NOW,NOW,M,""PORTAGG"",""MEANR"")")</f>
        <v>3.4733645689300201</v>
      </c>
      <c r="J23" s="55" cm="1">
        <f t="array" ref="J23">IFERROR(_xll.FDS(D23,"FG_FCF_YIELD_NTM(0)"),(1/G23*100))</f>
        <v>3.9516222660396099</v>
      </c>
      <c r="K23" s="3" cm="1">
        <f t="array" ref="K23">_xll.FDS(D23,"FMA_EVAL_EBITDA(NTMA,0,,,""PORTAGG"",""MEANR"")")</f>
        <v>11.212814830916701</v>
      </c>
      <c r="L23" cm="1">
        <f t="array" ref="L23">_xll.FDS(D23,"FMA_EVAL_EBIT(LTMA,NOW,NOW,M,""PORTAGG"",""MEANR"")")</f>
        <v>22.324233730530398</v>
      </c>
      <c r="M23">
        <f>HLOOKUP(D23,'Index ROE'!$A$1:$V$25,25,FALSE)</f>
        <v>11.763457300140701</v>
      </c>
      <c r="N23">
        <f>VLOOKUP(A23,'LIQIDITY 2'!$A$3:$E$26,5,FALSE)</f>
        <v>5.2994839999999996</v>
      </c>
      <c r="O23" cm="1">
        <f t="array" ref="O23">IFERROR(IFERROR(IFERROR(IFERROR(_xll.FDS(B23,"IMF_IFS_RCPI_Q(0)"),_xll.FDS(B23,"IMF_IFS_RCPI_Q(-1AM)")),_xll.FDS(B23,"IMF_IFS_RCPI_Q(-2AM)")),_xll.FDS(B23,"IMF_IFS_RCPI_Q(-3AM)")),$D$31)</f>
        <v>1.5943921000000001</v>
      </c>
      <c r="P23">
        <f>VLOOKUP(E23,GDP_GROWTH!$B$10:$W$165,22,FALSE)</f>
        <v>2.105673262075014</v>
      </c>
      <c r="Q23">
        <f t="shared" si="0"/>
        <v>-1.8261194310699795</v>
      </c>
      <c r="R23" s="55">
        <f t="shared" si="1"/>
        <v>-1.3478617339603898</v>
      </c>
      <c r="S23">
        <f t="shared" si="2"/>
        <v>6.4639733001407009</v>
      </c>
      <c r="T23">
        <f t="shared" si="3"/>
        <v>10.1690652001407</v>
      </c>
      <c r="U23" cm="1">
        <f t="array" ref="U23">_xlfn.PERCENTRANK.EXC(_xlfn._xlws.FILTER(Q$3:Q$23, ISNUMBER(Q$3:Q$23)),Q23)*100</f>
        <v>40.9</v>
      </c>
      <c r="V23" cm="1">
        <f t="array" ref="V23">_xlfn.PERCENTRANK.EXC(_xlfn._xlws.FILTER(R$3:R$23, ISNUMBER(R$3:R$23)),R23)*100</f>
        <v>36.299999999999997</v>
      </c>
      <c r="W23" cm="1">
        <f t="array" ref="W23">_xlfn.PERCENTRANK.EXC(_xlfn._xlws.FILTER(S$3:S$23, ISNUMBER(S$3:S$23)),S23)*100</f>
        <v>36.299999999999997</v>
      </c>
      <c r="X23" cm="1">
        <f t="array" ref="X23">(1-_xlfn.PERCENTRANK.EXC(_xlfn._xlws.FILTER(G$3:G$23, ISNUMBER(G$3:G$23)),G23))*100</f>
        <v>13.700000000000001</v>
      </c>
      <c r="Y23" cm="1">
        <f t="array" ref="Y23">(1-_xlfn.PERCENTRANK.EXC(_xlfn._xlws.FILTER(H$3:H$23, ISNUMBER(H$3:H$23)),H23))*100</f>
        <v>13.700000000000001</v>
      </c>
      <c r="Z23" cm="1">
        <f t="array" ref="Z23">_xlfn.PERCENTRANK.EXC(_xlfn._xlws.FILTER(T$3:T$23, ISNUMBER(T$3:T$23)),T23)*100</f>
        <v>72.7</v>
      </c>
      <c r="AA23" cm="1">
        <f t="array" ref="AA23">_xlfn.PERCENTRANK.EXC(_xlfn._xlws.FILTER(P$3:P$23, ISNUMBER(P$3:P$23)),P23)*100</f>
        <v>31.8</v>
      </c>
      <c r="AB23">
        <f>U23*Assumption!$E$40 + V23*Assumption!$F$40 + X23*Assumption!$G$40 + Y23*Assumption!$H$40 + W23*Assumption!$I$40 +Z23* Assumption!$K$40 + AA23* Assumption!$J$40</f>
        <v>28.869999999999997</v>
      </c>
      <c r="AC23" cm="1">
        <f t="array" ref="AC23">_xlfn.PERCENTRANK.EXC(_xlfn._xlws.FILTER(AB$3:AB$23, ISNUMBER(AB$3:AB$23)),AB23)*100</f>
        <v>13.600000000000001</v>
      </c>
    </row>
    <row r="24" spans="1:29" x14ac:dyDescent="0.35">
      <c r="F24" s="2"/>
      <c r="G24" s="4"/>
      <c r="H24" s="4"/>
      <c r="J24" s="55"/>
      <c r="K24" s="3"/>
    </row>
    <row r="25" spans="1:29" x14ac:dyDescent="0.35">
      <c r="F25" s="2"/>
      <c r="G25" s="4"/>
      <c r="H25" s="4"/>
      <c r="J25" s="55"/>
      <c r="K25" s="3"/>
    </row>
    <row r="26" spans="1:29" x14ac:dyDescent="0.35">
      <c r="A26" t="s">
        <v>546</v>
      </c>
      <c r="F26" s="2"/>
      <c r="G26" s="4"/>
      <c r="H26" s="4"/>
      <c r="J26" s="55"/>
      <c r="K26" s="3"/>
    </row>
    <row r="27" spans="1:29" x14ac:dyDescent="0.35">
      <c r="A27" t="s">
        <v>547</v>
      </c>
      <c r="B27" t="s">
        <v>161</v>
      </c>
      <c r="C27" t="s">
        <v>548</v>
      </c>
      <c r="D27" t="str">
        <f>A27</f>
        <v>VGK</v>
      </c>
      <c r="F27" s="2" cm="1">
        <f t="array" ref="F27">_xll.FDS(D27,"JULIAN(FMA_DIV_YLD(NTMA,NOW,NOW,M,""PORTAGG"",""MEANR"").dates)")</f>
        <v>45379</v>
      </c>
      <c r="G27" s="4" cm="1">
        <f t="array" ref="G27">_xll.FDS(D27,"FG_PE(0)")</f>
        <v>13.143664905942</v>
      </c>
      <c r="H27" s="4" cm="1">
        <f t="array" ref="H27">_xll.FDS(D27,"FG_PE_NTM(0,,,90,0)")</f>
        <v>13.6681228708518</v>
      </c>
      <c r="I27" cm="1">
        <f t="array" ref="I27">_xll.FDS(D27,"FMA_DIV_YLD(NTMA,NOW,NOW,M,""PORTAGG"",""MEANR"")")</f>
        <v>3.4502095311884302</v>
      </c>
      <c r="J27" s="55" cm="1">
        <f t="array" ref="J27">_xll.FDS(D27,"FG_FCF_YIELD_NTM(0)")</f>
        <v>5.1994637073633898</v>
      </c>
      <c r="K27" s="3" cm="1">
        <f t="array" ref="K27">_xll.FDS(D27,"FMA_EVAL_EBITDA(NTMA,0,,,""PORTAGG"",""MEANR"")")</f>
        <v>9.0199692993410707</v>
      </c>
      <c r="L27" cm="1">
        <f t="array" ref="L27">_xll.FDS(D27,"FMA_EVAL_EBIT(LTMA,NOW,NOW,M,""PORTAGG"",""MEANR"")")</f>
        <v>13.261454115276299</v>
      </c>
    </row>
    <row r="28" spans="1:29" x14ac:dyDescent="0.35">
      <c r="A28" t="s">
        <v>6</v>
      </c>
      <c r="C28" t="s">
        <v>549</v>
      </c>
      <c r="D28" t="str">
        <f>A28</f>
        <v>VWO</v>
      </c>
      <c r="F28" s="2" cm="1">
        <f t="array" ref="F28">_xll.FDS(D28,"JULIAN(FMA_DIV_YLD(NTMA,NOW,NOW,M,""PORTAGG"",""MEANR"").dates)")</f>
        <v>45412</v>
      </c>
      <c r="G28" s="4" cm="1">
        <f t="array" ref="G28">_xll.FDS(D28,"FG_PE(0)")</f>
        <v>14.392985499858799</v>
      </c>
      <c r="H28" s="4" cm="1">
        <f t="array" ref="H28">_xll.FDS(D28,"FG_PE_NTM(0,,,90,0)")</f>
        <v>12.748010304047</v>
      </c>
      <c r="I28" cm="1">
        <f t="array" ref="I28">_xll.FDS(D28,"FMA_DIV_YLD(NTMA,NOW,NOW,M,""PORTAGG"",""MEANR"")")</f>
        <v>3.0624402074538999</v>
      </c>
      <c r="J28" s="55" cm="1">
        <f t="array" ref="J28">_xll.FDS(D28,"FG_FCF_YIELD_NTM(0)")</f>
        <v>5.35828969132921</v>
      </c>
      <c r="K28" s="3" cm="1">
        <f t="array" ref="K28">_xll.FDS(D28,"FMA_EVAL_EBITDA(NTMA,0,,,""PORTAGG"",""MEANR"")")</f>
        <v>8.9086555262049902</v>
      </c>
      <c r="L28" cm="1">
        <f t="array" ref="L28">_xll.FDS(D28,"FMA_EVAL_EBIT(LTMA,NOW,NOW,M,""PORTAGG"",""MEANR"")")</f>
        <v>14.3824455064173</v>
      </c>
    </row>
    <row r="29" spans="1:29" x14ac:dyDescent="0.35">
      <c r="F29" s="2"/>
      <c r="G29" s="4"/>
      <c r="H29" s="4"/>
      <c r="J29" s="55"/>
      <c r="K29" s="3"/>
    </row>
    <row r="30" spans="1:29" x14ac:dyDescent="0.35">
      <c r="B30" t="s">
        <v>800</v>
      </c>
      <c r="C30" t="s">
        <v>555</v>
      </c>
      <c r="D30" t="s">
        <v>801</v>
      </c>
      <c r="F30" s="2"/>
      <c r="G30" s="4"/>
      <c r="H30" s="4"/>
      <c r="J30" s="55"/>
      <c r="K30" s="3"/>
    </row>
    <row r="31" spans="1:29" x14ac:dyDescent="0.35">
      <c r="B31" t="s">
        <v>170</v>
      </c>
      <c r="C31" t="s">
        <v>733</v>
      </c>
      <c r="D31" cm="1">
        <f t="array" ref="D31">IFERROR(IFERROR(IFERROR(_xll.FDS(B31,"IMF_IFS_RCPI_Q(0)"),_xll.FDS(B31,"IMF_IFS_RCPI_Q(-1AM)")),_xll.FDS(B31,"IMF_IFS_RCPI_Q(-2AM)")),_xll.FDS(B31,"IMF_IFS_RCPI_Q(-3AM)"))</f>
        <v>3.2095159999999998</v>
      </c>
      <c r="E31" s="2"/>
    </row>
    <row r="41" spans="4:5" x14ac:dyDescent="0.35">
      <c r="D41" s="1"/>
      <c r="E41" s="1"/>
    </row>
    <row r="48" spans="4:5" x14ac:dyDescent="0.35">
      <c r="D48" s="1"/>
      <c r="E48" s="1"/>
    </row>
    <row r="53" spans="4:5" x14ac:dyDescent="0.35">
      <c r="D53" s="1"/>
      <c r="E53" s="1"/>
    </row>
    <row r="58" spans="4:5" x14ac:dyDescent="0.35">
      <c r="D58" s="1"/>
      <c r="E58" s="1"/>
    </row>
    <row r="59" spans="4:5" x14ac:dyDescent="0.35">
      <c r="D59" s="1"/>
      <c r="E59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9"/>
  <sheetViews>
    <sheetView workbookViewId="0">
      <selection activeCell="A3" sqref="A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536</v>
      </c>
      <c r="G2" s="25" t="s">
        <v>913</v>
      </c>
      <c r="H2" s="25" t="s">
        <v>381</v>
      </c>
      <c r="I2" s="25" t="s">
        <v>501</v>
      </c>
      <c r="L2" s="25" t="s">
        <v>537</v>
      </c>
      <c r="S2" s="5" t="s">
        <v>463</v>
      </c>
      <c r="T2" s="5" t="s">
        <v>462</v>
      </c>
      <c r="U2" t="s">
        <v>382</v>
      </c>
      <c r="V2" s="46"/>
      <c r="X2" t="s">
        <v>563</v>
      </c>
    </row>
    <row r="3" spans="1:24" x14ac:dyDescent="0.35">
      <c r="A3" t="s">
        <v>432</v>
      </c>
      <c r="B3" t="s">
        <v>104</v>
      </c>
      <c r="C3" t="s">
        <v>17</v>
      </c>
      <c r="D3" s="26" t="str" cm="1">
        <f t="array" ref="D3">_xll.FDSB(C3,"FG_YIELD_NAME")</f>
        <v>Treasury - China Benchmark Bond 10Y</v>
      </c>
      <c r="E3" s="26" cm="1">
        <f t="array" ref="E3">IFERROR(_xll.FDS(C3,"FG_YIELD(0,,,,""YTM"")"),$E$26)</f>
        <v>2.3176999999999999</v>
      </c>
      <c r="G3" s="26" cm="1">
        <f t="array" ref="G3">_xll.FDSB(C3,"PCTCHG(FG_YIELD(0,,,,""YTM""),FG_YIELD(-1AM,,,,""YTM""))")</f>
        <v>3.5565817000000002</v>
      </c>
      <c r="H3" s="26" cm="1">
        <f t="array" ref="H3">_xll.FDSB(C3,"PCTCHG(FG_YIELD(0,,,,""YTM""),FG_YIELD(-3AM,,,,""YTM""))")</f>
        <v>-3.9255555000000002</v>
      </c>
      <c r="I3" s="26"/>
      <c r="J3" s="26" t="str">
        <f>VLOOKUP(B3,mnemonics!$A$4:$D$73, 4, FALSE)</f>
        <v>REFCNRMB-FDS</v>
      </c>
      <c r="K3" s="26" t="str" cm="1">
        <f t="array" ref="K3">_xll.FDSB(J3,"PROPER_NAME(0,,,""SECURITY"",""NAME"")")</f>
        <v>China Loan Prime Rate (LPR) - 1 Year</v>
      </c>
      <c r="L3" s="26" cm="1">
        <f t="array" ref="L3">_xll.FDSB(J3,"FG_YIELD(NOW,,,0)")</f>
        <v>3.45</v>
      </c>
      <c r="M3" s="36" cm="1">
        <f t="array" ref="M3">_xll.FDSB(J3,"(SUBARRAY(NOT_NA(NO_REPEAT_F(FG_YIELD(now,-10AY,D))),0,1)-SUBARRAY(NOT_NA(NO_REPEAT_F(FG_YIELD(now,-10AY,D))),1,1))*100")</f>
        <v>-9.9999999999999591</v>
      </c>
      <c r="N3" s="38">
        <f t="shared" ref="N3:N23" si="0">M3*-1</f>
        <v>9.9999999999999591</v>
      </c>
      <c r="S3">
        <f t="shared" ref="S3" si="1">IF(M3&gt; 0, 0, 1)</f>
        <v>1</v>
      </c>
      <c r="T3">
        <f>IF(G3&lt;0, 1, 0)</f>
        <v>0</v>
      </c>
      <c r="U3">
        <f>IF(H3&lt;0, 1, 0)</f>
        <v>1</v>
      </c>
      <c r="V3" s="47">
        <f>SUMPRODUCT($S$1:$U$1,S3:U3)</f>
        <v>0.75</v>
      </c>
      <c r="X3">
        <f t="shared" ref="X3:X23" si="2">_xlfn.PERCENTRANK.EXC($V$3:$V$23,V3)*100</f>
        <v>72.7</v>
      </c>
    </row>
    <row r="4" spans="1:24" x14ac:dyDescent="0.35">
      <c r="A4" t="s">
        <v>27</v>
      </c>
      <c r="B4" t="s">
        <v>107</v>
      </c>
      <c r="C4" t="s">
        <v>108</v>
      </c>
      <c r="D4" s="26" t="str" cm="1">
        <f t="array" ref="D4">_xll.FDSB(C4,"FG_YIELD_NAME")</f>
        <v>Treasury - Chile Inflation-Indexed (TIPS) Bond 10Y</v>
      </c>
      <c r="E4" s="26" cm="1">
        <f t="array" ref="E4">IFERROR(_xll.FDS(C4,"FG_YIELD(0,,,,""YTM"")"),$E$26)</f>
        <v>2.5896884999999998</v>
      </c>
      <c r="G4" s="26" cm="1">
        <f t="array" ref="G4">_xll.FDSB(C4,"PCTCHG(FG_YIELD(0,,,,""YTM""),FG_YIELD(-1AM,,,,""YTM""))")</f>
        <v>-4.5047170000000003</v>
      </c>
      <c r="H4" s="26" cm="1">
        <f t="array" ref="H4">_xll.FDSB(C4,"PCTCHG(FG_YIELD(0,,,,""YTM""),FG_YIELD(-3AM,,,,""YTM""))")</f>
        <v>5.1226314999999998</v>
      </c>
      <c r="I4" s="26"/>
      <c r="J4" s="26" t="str">
        <f>VLOOKUP(B4,mnemonics!$A$4:$D$73, 4, FALSE)</f>
        <v>REFCLMPR-FDS</v>
      </c>
      <c r="K4" s="26" t="str" cm="1">
        <f t="array" ref="K4">_xll.FDSB(J4,"PROPER_NAME(0,,,""SECURITY"",""NAME"")")</f>
        <v>Chile Monetary Policy Rate</v>
      </c>
      <c r="L4" s="26" cm="1">
        <f t="array" ref="L4">_xll.FDSB(J4,"FG_YIELD(NOW,,,0)")</f>
        <v>6</v>
      </c>
      <c r="M4" s="36" cm="1">
        <f t="array" ref="M4">_xll.FDSB(J4,"(SUBARRAY(NOT_NA(NO_REPEAT_F(FG_YIELD(now,-10AY,D))),0,1)-SUBARRAY(NOT_NA(NO_REPEAT_F(FG_YIELD(now,-10AY,D))),1,1))*100")</f>
        <v>-50</v>
      </c>
      <c r="N4" s="38">
        <f t="shared" si="0"/>
        <v>50</v>
      </c>
      <c r="S4">
        <f t="shared" ref="S4:S23" si="3">IF(M4&gt; 0, 0, 1)</f>
        <v>1</v>
      </c>
      <c r="T4">
        <f t="shared" ref="T4:T23" si="4">IF(G4&lt;0, 1, 0)</f>
        <v>1</v>
      </c>
      <c r="U4">
        <f t="shared" ref="U4:U23" si="5">IF(H4&lt;0, 1, 0)</f>
        <v>0</v>
      </c>
      <c r="V4" s="47">
        <f t="shared" ref="V4:V23" si="6">SUMPRODUCT($S$1:$U$1,S4:U4)</f>
        <v>0.75</v>
      </c>
      <c r="X4">
        <f t="shared" si="2"/>
        <v>72.7</v>
      </c>
    </row>
    <row r="5" spans="1:24" x14ac:dyDescent="0.35">
      <c r="A5" t="s">
        <v>35</v>
      </c>
      <c r="B5" t="s">
        <v>124</v>
      </c>
      <c r="C5" t="s">
        <v>147</v>
      </c>
      <c r="D5" s="26" t="str" cm="1">
        <f t="array" ref="D5">_xll.FDSB(C5,"FG_YIELD_NAME")</f>
        <v>Treasury - Indonesia Benchmark Bond 10Y</v>
      </c>
      <c r="E5" s="26" cm="1">
        <f t="array" ref="E5">IFERROR(_xll.FDS(C5,"FG_YIELD(0,,,,""YTM"")"),$E$26)</f>
        <v>6.833361</v>
      </c>
      <c r="G5" s="26" cm="1">
        <f t="array" ref="G5">_xll.FDSB(C5,"PCTCHG(FG_YIELD(0,,,,""YTM""),FG_YIELD(-1AM,,,,""YTM""))")</f>
        <v>-3.1792959999999999</v>
      </c>
      <c r="H5" s="26" cm="1">
        <f t="array" ref="H5">_xll.FDSB(C5,"PCTCHG(FG_YIELD(0,,,,""YTM""),FG_YIELD(-3AM,,,,""YTM""))")</f>
        <v>4.3050876000000002</v>
      </c>
      <c r="I5" s="26"/>
      <c r="J5" s="26" t="str">
        <f>VLOOKUP(B5,mnemonics!$A$4:$D$73, 4, FALSE)</f>
        <v>REFIDRREPO-FDS</v>
      </c>
      <c r="K5" s="26" t="str" cm="1">
        <f t="array" ref="K5">_xll.FDSB(J5,"PROPER_NAME(0,,,""SECURITY"",""NAME"")")</f>
        <v>Indonesia BI (Reverse) Repo Rate - 7 Day</v>
      </c>
      <c r="L5" s="26" cm="1">
        <f t="array" ref="L5">_xll.FDSB(J5,"FG_YIELD(NOW,,,0)")</f>
        <v>6.25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S5">
        <f t="shared" si="3"/>
        <v>0</v>
      </c>
      <c r="T5">
        <f t="shared" si="4"/>
        <v>1</v>
      </c>
      <c r="U5">
        <f t="shared" si="5"/>
        <v>0</v>
      </c>
      <c r="V5" s="47">
        <f t="shared" si="6"/>
        <v>0.25</v>
      </c>
      <c r="X5">
        <f t="shared" si="2"/>
        <v>27.200000000000003</v>
      </c>
    </row>
    <row r="6" spans="1:24" x14ac:dyDescent="0.35">
      <c r="A6" t="s">
        <v>30</v>
      </c>
      <c r="B6" t="s">
        <v>117</v>
      </c>
      <c r="C6" t="s">
        <v>143</v>
      </c>
      <c r="D6" s="26" t="str" cm="1">
        <f t="array" ref="D6">_xll.FDSB(C6,"FG_YIELD_NAME")</f>
        <v>Philippines Benchmark Bond - 10 Year</v>
      </c>
      <c r="E6" s="26" cm="1">
        <f t="array" ref="E6">IFERROR(_xll.FDS(C6,"FG_YIELD(0,,,,""YTM"")"),$E$26)</f>
        <v>6.6642675000000002</v>
      </c>
      <c r="G6" s="26" cm="1">
        <f t="array" ref="G6">_xll.FDSB(C6,"PCTCHG(FG_YIELD(0,,,,""YTM""),FG_YIELD(-1AM,,,,""YTM""))")</f>
        <v>-3.8955299999999999</v>
      </c>
      <c r="H6" s="26" cm="1">
        <f t="array" ref="H6">_xll.FDSB(C6,"PCTCHG(FG_YIELD(0,,,,""YTM""),FG_YIELD(-3AM,,,,""YTM""))")</f>
        <v>6.7441196000000003</v>
      </c>
      <c r="I6" s="26"/>
      <c r="J6" s="26" t="str">
        <f>VLOOKUP(B6,mnemonics!$A$4:$D$73, 4, FALSE)</f>
        <v>REFPHRREPO-FDS</v>
      </c>
      <c r="K6" s="26" t="str" cm="1">
        <f t="array" ref="K6">_xll.FDSB(J6,"PROPER_NAME(0,,,""SECURITY"",""NAME"")")</f>
        <v>Philippines Reverse Repo Rate - Overnight</v>
      </c>
      <c r="L6" s="26" cm="1">
        <f t="array" ref="L6">_xll.FDSB(J6,"FG_YIELD(NOW,,,0)")</f>
        <v>6.5</v>
      </c>
      <c r="M6" s="36" cm="1">
        <f t="array" ref="M6">_xll.FDSB(J6,"(SUBARRAY(NOT_NA(NO_REPEAT_F(FG_YIELD(now,-10AY,D))),0,1)-SUBARRAY(NOT_NA(NO_REPEAT_F(FG_YIELD(now,-10AY,D))),1,1))*100")</f>
        <v>25</v>
      </c>
      <c r="N6" s="38">
        <f t="shared" si="0"/>
        <v>-25</v>
      </c>
      <c r="S6">
        <f t="shared" si="3"/>
        <v>0</v>
      </c>
      <c r="T6">
        <f t="shared" si="4"/>
        <v>1</v>
      </c>
      <c r="U6">
        <f t="shared" si="5"/>
        <v>0</v>
      </c>
      <c r="V6" s="47">
        <f t="shared" si="6"/>
        <v>0.25</v>
      </c>
      <c r="X6">
        <f t="shared" si="2"/>
        <v>27.200000000000003</v>
      </c>
    </row>
    <row r="7" spans="1:24" x14ac:dyDescent="0.35">
      <c r="A7" t="s">
        <v>23</v>
      </c>
      <c r="B7" t="s">
        <v>100</v>
      </c>
      <c r="C7" t="s">
        <v>129</v>
      </c>
      <c r="D7" s="26" t="str" cm="1">
        <f t="array" ref="D7">_xll.FDSB(C7,"FG_YIELD_NAME")</f>
        <v>Treasury - Poland Benchmark Bond 10Y</v>
      </c>
      <c r="E7" s="26" cm="1">
        <f t="array" ref="E7">IFERROR(_xll.FDS(C7,"FG_YIELD(0,,,,""YTM"")"),$E$26)</f>
        <v>5.7248999999999999</v>
      </c>
      <c r="G7" s="26" cm="1">
        <f t="array" ref="G7">_xll.FDSB(C7,"PCTCHG(FG_YIELD(0,,,,""YTM""),FG_YIELD(-1AM,,,,""YTM""))")</f>
        <v>-0.24221580000000001</v>
      </c>
      <c r="H7" s="26" cm="1">
        <f t="array" ref="H7">_xll.FDSB(C7,"PCTCHG(FG_YIELD(0,,,,""YTM""),FG_YIELD(-3AM,,,,""YTM""))")</f>
        <v>7.6291080000000004</v>
      </c>
      <c r="I7" s="26"/>
      <c r="J7" s="26" t="str">
        <f>VLOOKUP(B7,mnemonics!$A$4:$D$73, 4, FALSE)</f>
        <v>REFPL7D-FDS</v>
      </c>
      <c r="K7" s="26" t="str" cm="1">
        <f t="array" ref="K7">_xll.FDSB(J7,"PROPER_NAME(0,,,""SECURITY"",""NAME"")")</f>
        <v>Poland Reference Rate - 7 Day</v>
      </c>
      <c r="L7" s="26" cm="1">
        <f t="array" ref="L7">_xll.FDSB(J7,"FG_YIELD(NOW,,,0)")</f>
        <v>5.75</v>
      </c>
      <c r="M7" s="36" cm="1">
        <f t="array" ref="M7">_xll.FDSB(J7,"(SUBARRAY(NOT_NA(NO_REPEAT_F(FG_YIELD(now,-10AY,D))),0,1)-SUBARRAY(NOT_NA(NO_REPEAT_F(FG_YIELD(now,-10AY,D))),1,1))*100")</f>
        <v>-25</v>
      </c>
      <c r="N7" s="38">
        <f t="shared" si="0"/>
        <v>25</v>
      </c>
      <c r="S7">
        <f t="shared" si="3"/>
        <v>1</v>
      </c>
      <c r="T7">
        <f t="shared" si="4"/>
        <v>1</v>
      </c>
      <c r="U7">
        <f t="shared" si="5"/>
        <v>0</v>
      </c>
      <c r="V7" s="47">
        <f t="shared" si="6"/>
        <v>0.75</v>
      </c>
      <c r="X7">
        <f t="shared" si="2"/>
        <v>72.7</v>
      </c>
    </row>
    <row r="8" spans="1:24" x14ac:dyDescent="0.35">
      <c r="A8" t="s">
        <v>29</v>
      </c>
      <c r="B8" t="s">
        <v>112</v>
      </c>
      <c r="C8" t="s">
        <v>137</v>
      </c>
      <c r="D8" s="26" t="str" cm="1">
        <f t="array" ref="D8">_xll.FDSB(C8,"FG_YIELD_NAME")</f>
        <v>Treasury - Peru Benchmark Bond 10Y</v>
      </c>
      <c r="E8" s="26" cm="1">
        <f t="array" ref="E8">IFERROR(_xll.FDS(C8,"FG_YIELD(0,,,,""YTM"")"),$E$26)</f>
        <v>7.0888929999999997</v>
      </c>
      <c r="G8" s="26" cm="1">
        <f t="array" ref="G8">_xll.FDSB(C8,"PCTCHG(FG_YIELD(0,,,,""YTM""),FG_YIELD(-1AM,,,,""YTM""))")</f>
        <v>-2.5430860000000002</v>
      </c>
      <c r="H8" s="26" cm="1">
        <f t="array" ref="H8">_xll.FDSB(C8,"PCTCHG(FG_YIELD(0,,,,""YTM""),FG_YIELD(-3AM,,,,""YTM""))")</f>
        <v>4.3353333000000003</v>
      </c>
      <c r="I8" s="26"/>
      <c r="J8" s="26" t="str">
        <f>VLOOKUP(B8,mnemonics!$A$4:$D$73, 4, FALSE)</f>
        <v>REFPEMPR-FDS</v>
      </c>
      <c r="K8" s="26" t="str" cm="1">
        <f t="array" ref="K8">_xll.FDSB(J8,"PROPER_NAME(0,,,""SECURITY"",""NAME"")")</f>
        <v>Peru Policy Rate</v>
      </c>
      <c r="L8" s="26" cm="1">
        <f t="array" ref="L8">_xll.FDSB(J8,"FG_YIELD(NOW,,,0)")</f>
        <v>5.75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S8">
        <f t="shared" si="3"/>
        <v>1</v>
      </c>
      <c r="T8">
        <f t="shared" si="4"/>
        <v>1</v>
      </c>
      <c r="U8">
        <f t="shared" si="5"/>
        <v>0</v>
      </c>
      <c r="V8" s="47">
        <f t="shared" si="6"/>
        <v>0.75</v>
      </c>
      <c r="X8">
        <f t="shared" si="2"/>
        <v>72.7</v>
      </c>
    </row>
    <row r="9" spans="1:24" x14ac:dyDescent="0.35">
      <c r="A9" t="s">
        <v>33</v>
      </c>
      <c r="B9" t="s">
        <v>122</v>
      </c>
      <c r="C9" t="s">
        <v>145</v>
      </c>
      <c r="D9" s="26" t="str" cm="1">
        <f t="array" ref="D9">_xll.FDSB(C9,"FG_YIELD_NAME")</f>
        <v>Treasury - Malaysia Benchmark Bond 10Y</v>
      </c>
      <c r="E9" s="26" cm="1">
        <f t="array" ref="E9">IFERROR(_xll.FDS(C9,"FG_YIELD(0,,,,""YTM"")"),$E$26)</f>
        <v>3.88557</v>
      </c>
      <c r="G9" s="26" cm="1">
        <f t="array" ref="G9">_xll.FDSB(C9,"PCTCHG(FG_YIELD(0,,,,""YTM""),FG_YIELD(-1AM,,,,""YTM""))")</f>
        <v>-1.9645809000000001</v>
      </c>
      <c r="H9" s="26" cm="1">
        <f t="array" ref="H9">_xll.FDSB(C9,"PCTCHG(FG_YIELD(0,,,,""YTM""),FG_YIELD(-3AM,,,,""YTM""))")</f>
        <v>0.34202057000000002</v>
      </c>
      <c r="I9" s="26"/>
      <c r="J9" s="26" t="str">
        <f>VLOOKUP(B9,mnemonics!$A$4:$D$73, 4, FALSE)</f>
        <v>REFMYON-FDS</v>
      </c>
      <c r="K9" s="26" t="str" cm="1">
        <f t="array" ref="K9">_xll.FDSB(J9,"PROPER_NAME(0,,,""SECURITY"",""NAME"")")</f>
        <v>Malaysia Policy Rate - Overnight</v>
      </c>
      <c r="L9" s="26" cm="1">
        <f t="array" ref="L9">_xll.FDSB(J9,"FG_YIELD(NOW,,,0)")</f>
        <v>3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S9">
        <f t="shared" si="3"/>
        <v>0</v>
      </c>
      <c r="T9">
        <f t="shared" si="4"/>
        <v>1</v>
      </c>
      <c r="U9">
        <f t="shared" si="5"/>
        <v>0</v>
      </c>
      <c r="V9" s="47">
        <f t="shared" si="6"/>
        <v>0.25</v>
      </c>
      <c r="X9">
        <f t="shared" si="2"/>
        <v>27.200000000000003</v>
      </c>
    </row>
    <row r="10" spans="1:24" x14ac:dyDescent="0.35">
      <c r="A10" t="s">
        <v>24</v>
      </c>
      <c r="B10" t="s">
        <v>103</v>
      </c>
      <c r="C10" t="s">
        <v>131</v>
      </c>
      <c r="D10" s="26" t="str" cm="1">
        <f t="array" ref="D10">_xll.FDSB(C10,"FG_YIELD_NAME")</f>
        <v>Taiwan China Benchmark Bond - 10 Year</v>
      </c>
      <c r="E10" s="26" cm="1">
        <f t="array" ref="E10">IFERROR(_xll.FDS(C10,"FG_YIELD(0,,,,""YTM"")"),$E$26)</f>
        <v>1.6</v>
      </c>
      <c r="G10" s="26" cm="1">
        <f t="array" ref="G10">_xll.FDSB(C10,"PCTCHG(FG_YIELD(0,,,,""YTM""),FG_YIELD(-1AM,,,,""YTM""))")</f>
        <v>-4.0767360000000004</v>
      </c>
      <c r="H10" s="26" cm="1">
        <f t="array" ref="H10">_xll.FDSB(C10,"PCTCHG(FG_YIELD(0,,,,""YTM""),FG_YIELD(-3AM,,,,""YTM""))")</f>
        <v>30.879352999999998</v>
      </c>
      <c r="I10" s="26"/>
      <c r="J10" s="26" t="str">
        <f>VLOOKUP(B10,mnemonics!$A$4:$D$73, 4, FALSE)</f>
        <v>REFTWDISC-FDS</v>
      </c>
      <c r="K10" s="26" t="str" cm="1">
        <f t="array" ref="K10">_xll.FDSB(J10,"PROPER_NAME(0,,,""SECURITY"",""NAME"")")</f>
        <v>Taiwan China Discount Rate</v>
      </c>
      <c r="L10" s="26" cm="1">
        <f t="array" ref="L10">_xll.FDSB(J10,"FG_YIELD(NOW,,,0)")</f>
        <v>2</v>
      </c>
      <c r="M10" s="36" cm="1">
        <f t="array" ref="M10">_xll.FDSB(J10,"(SUBARRAY(NOT_NA(NO_REPEAT_F(FG_YIELD(now,-10AY,D))),0,1)-SUBARRAY(NOT_NA(NO_REPEAT_F(FG_YIELD(now,-10AY,D))),1,1))*100")</f>
        <v>12.5</v>
      </c>
      <c r="N10" s="38">
        <f t="shared" si="0"/>
        <v>-12.5</v>
      </c>
      <c r="S10">
        <f t="shared" si="3"/>
        <v>0</v>
      </c>
      <c r="T10">
        <f t="shared" si="4"/>
        <v>1</v>
      </c>
      <c r="U10">
        <f t="shared" si="5"/>
        <v>0</v>
      </c>
      <c r="V10" s="47">
        <f t="shared" si="6"/>
        <v>0.25</v>
      </c>
      <c r="X10">
        <f t="shared" si="2"/>
        <v>27.200000000000003</v>
      </c>
    </row>
    <row r="11" spans="1:24" x14ac:dyDescent="0.35">
      <c r="A11" t="s">
        <v>7</v>
      </c>
      <c r="B11" t="s">
        <v>121</v>
      </c>
      <c r="C11" t="s">
        <v>15</v>
      </c>
      <c r="D11" s="26" t="str" cm="1">
        <f t="array" ref="D11">_xll.FDSB(C11,"FG_YIELD_NAME")</f>
        <v>Treasury - Mexico Benchmark Bond 10Y</v>
      </c>
      <c r="E11" s="26" cm="1">
        <f t="array" ref="E11">IFERROR(_xll.FDS(C11,"FG_YIELD(0,,,,""YTM"")"),$E$26)</f>
        <v>9.7367000000000008</v>
      </c>
      <c r="G11" s="26" cm="1">
        <f t="array" ref="G11">_xll.FDSB(C11,"PCTCHG(FG_YIELD(0,,,,""YTM""),FG_YIELD(-1AM,,,,""YTM""))")</f>
        <v>-1.4783264</v>
      </c>
      <c r="H11" s="26" cm="1">
        <f t="array" ref="H11">_xll.FDSB(C11,"PCTCHG(FG_YIELD(0,,,,""YTM""),FG_YIELD(-3AM,,,,""YTM""))")</f>
        <v>5.9973054000000001</v>
      </c>
      <c r="I11" s="26"/>
      <c r="J11" s="26" t="str">
        <f>VLOOKUP(B11,mnemonics!$A$4:$D$73, 4, FALSE)</f>
        <v>REFMXTON-FDS</v>
      </c>
      <c r="K11" s="26" t="str" cm="1">
        <f t="array" ref="K11">_xll.FDSB(J11,"PROPER_NAME(0,,,""SECURITY"",""NAME"")")</f>
        <v>Mexico Target Rate - Overnight</v>
      </c>
      <c r="L11" s="26" cm="1">
        <f t="array" ref="L11">_xll.FDSB(J11,"FG_YIELD(NOW,,,0)")</f>
        <v>11</v>
      </c>
      <c r="M11" s="36" cm="1">
        <f t="array" ref="M11">_xll.FDSB(J11,"(SUBARRAY(NOT_NA(NO_REPEAT_F(FG_YIELD(now,-10AY,D))),0,1)-SUBARRAY(NOT_NA(NO_REPEAT_F(FG_YIELD(now,-10AY,D))),1,1))*100")</f>
        <v>-25</v>
      </c>
      <c r="N11" s="38">
        <f t="shared" si="0"/>
        <v>25</v>
      </c>
      <c r="S11">
        <f t="shared" si="3"/>
        <v>1</v>
      </c>
      <c r="T11">
        <f t="shared" si="4"/>
        <v>1</v>
      </c>
      <c r="U11">
        <f t="shared" si="5"/>
        <v>0</v>
      </c>
      <c r="V11" s="47">
        <f t="shared" si="6"/>
        <v>0.75</v>
      </c>
      <c r="X11">
        <f t="shared" si="2"/>
        <v>72.7</v>
      </c>
    </row>
    <row r="12" spans="1:24" x14ac:dyDescent="0.35">
      <c r="A12" t="s">
        <v>21</v>
      </c>
      <c r="B12" t="s">
        <v>101</v>
      </c>
      <c r="C12" t="s">
        <v>130</v>
      </c>
      <c r="D12" s="26" t="str" cm="1">
        <f t="array" ref="D12">_xll.FDSB(C12,"FG_YIELD_NAME")</f>
        <v>South Korea Benchmark Bond - 10 Year</v>
      </c>
      <c r="E12" s="26" cm="1">
        <f t="array" ref="E12">IFERROR(_xll.FDS(C12,"FG_YIELD(0,,,,""YTM"")"),$E$26)</f>
        <v>3.4672000000000001</v>
      </c>
      <c r="G12" s="26" cm="1">
        <f t="array" ref="G12">_xll.FDSB(C12,"PCTCHG(FG_YIELD(0,,,,""YTM""),FG_YIELD(-1AM,,,,""YTM""))")</f>
        <v>-4.6188510000000003</v>
      </c>
      <c r="H12" s="26" cm="1">
        <f t="array" ref="H12">_xll.FDSB(C12,"PCTCHG(FG_YIELD(0,,,,""YTM""),FG_YIELD(-3AM,,,,""YTM""))")</f>
        <v>-0.38212733999999998</v>
      </c>
      <c r="I12" s="26"/>
      <c r="J12" s="26" t="str">
        <f>VLOOKUP(B12,mnemonics!$A$4:$D$73, 4, FALSE)</f>
        <v>REFKRBASE-FDS</v>
      </c>
      <c r="K12" s="26" t="str" cm="1">
        <f t="array" ref="K12">_xll.FDSB(J12,"PROPER_NAME(0,,,""SECURITY"",""NAME"")")</f>
        <v>South Korea Base Rate</v>
      </c>
      <c r="L12" s="26" cm="1">
        <f t="array" ref="L12">_xll.FDSB(J12,"FG_YIELD(NOW,,,0)")</f>
        <v>3.5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S12">
        <f t="shared" si="3"/>
        <v>0</v>
      </c>
      <c r="T12">
        <f t="shared" si="4"/>
        <v>1</v>
      </c>
      <c r="U12">
        <f t="shared" si="5"/>
        <v>1</v>
      </c>
      <c r="V12" s="47">
        <f t="shared" si="6"/>
        <v>0.5</v>
      </c>
      <c r="X12">
        <f t="shared" si="2"/>
        <v>54.500000000000007</v>
      </c>
    </row>
    <row r="13" spans="1:24" x14ac:dyDescent="0.35">
      <c r="A13" t="s">
        <v>12</v>
      </c>
      <c r="B13" t="s">
        <v>127</v>
      </c>
      <c r="C13" t="s">
        <v>20</v>
      </c>
      <c r="D13" s="26" t="str" cm="1">
        <f t="array" ref="D13">_xll.FDSB(C13,"FG_YIELD_NAME")</f>
        <v>Treasury - Brazil Benchmark Bond 10Y</v>
      </c>
      <c r="E13" s="26" cm="1">
        <f t="array" ref="E13">IFERROR(_xll.FDS(C13,"FG_YIELD(0,,,,""YTM"")"),$E$26)</f>
        <v>11.854141</v>
      </c>
      <c r="G13" s="26" cm="1">
        <f t="array" ref="G13">_xll.FDSB(C13,"PCTCHG(FG_YIELD(0,,,,""YTM""),FG_YIELD(-1AM,,,,""YTM""))")</f>
        <v>1.3822771</v>
      </c>
      <c r="H13" s="26" cm="1">
        <f t="array" ref="H13">_xll.FDSB(C13,"PCTCHG(FG_YIELD(0,,,,""YTM""),FG_YIELD(-3AM,,,,""YTM""))")</f>
        <v>7.6993723000000003</v>
      </c>
      <c r="I13" s="26"/>
      <c r="J13" s="26" t="str">
        <f>VLOOKUP(B13,mnemonics!$A$4:$D$73, 4, FALSE)</f>
        <v>REFBRSELIC-FDS</v>
      </c>
      <c r="K13" s="26" t="str" cm="1">
        <f t="array" ref="K13">_xll.FDSB(J13,"PROPER_NAME(0,,,""SECURITY"",""NAME"")")</f>
        <v>Brazil Target Selic Rate</v>
      </c>
      <c r="L13" s="26" cm="1">
        <f t="array" ref="L13">_xll.FDSB(J13,"FG_YIELD(NOW,,,0)")</f>
        <v>10.5</v>
      </c>
      <c r="M13" s="36" cm="1">
        <f t="array" ref="M13">_xll.FDSB(J13,"(SUBARRAY(NOT_NA(NO_REPEAT_F(FG_YIELD(now,-10AY,D))),0,1)-SUBARRAY(NOT_NA(NO_REPEAT_F(FG_YIELD(now,-10AY,D))),1,1))*100")</f>
        <v>-25</v>
      </c>
      <c r="N13" s="38">
        <f t="shared" si="0"/>
        <v>25</v>
      </c>
      <c r="S13">
        <f t="shared" si="3"/>
        <v>1</v>
      </c>
      <c r="T13">
        <f t="shared" si="4"/>
        <v>0</v>
      </c>
      <c r="U13">
        <f t="shared" si="5"/>
        <v>0</v>
      </c>
      <c r="V13" s="47">
        <f t="shared" si="6"/>
        <v>0.5</v>
      </c>
      <c r="X13">
        <f t="shared" si="2"/>
        <v>54.500000000000007</v>
      </c>
    </row>
    <row r="14" spans="1:24" x14ac:dyDescent="0.35">
      <c r="A14" t="s">
        <v>22</v>
      </c>
      <c r="B14" t="s">
        <v>99</v>
      </c>
      <c r="C14" t="s">
        <v>128</v>
      </c>
      <c r="D14" s="26" t="str" cm="1">
        <f t="array" ref="D14">_xll.FDSB(C14,"FG_YIELD_NAME")</f>
        <v>South Africa Benchmark Bond - 10 Year</v>
      </c>
      <c r="E14" s="26" cm="1">
        <f t="array" ref="E14">IFERROR(_xll.FDS(C14,"FG_YIELD(0,,,,""YTM"")"),$E$26)</f>
        <v>11.966108</v>
      </c>
      <c r="G14" s="26" cm="1">
        <f t="array" ref="G14">_xll.FDSB(C14,"PCTCHG(FG_YIELD(0,,,,""YTM""),FG_YIELD(-1AM,,,,""YTM""))")</f>
        <v>-2.7038107</v>
      </c>
      <c r="H14" s="26" cm="1">
        <f t="array" ref="H14">_xll.FDSB(C14,"PCTCHG(FG_YIELD(0,,,,""YTM""),FG_YIELD(-3AM,,,,""YTM""))")</f>
        <v>2.0932852999999998</v>
      </c>
      <c r="I14" s="26"/>
      <c r="J14" s="26" t="str">
        <f>VLOOKUP(B14,mnemonics!$A$4:$D$73, 4, FALSE)</f>
        <v>REFZAREPO-FDS</v>
      </c>
      <c r="K14" s="26" t="str" cm="1">
        <f t="array" ref="K14">_xll.FDSB(J14,"PROPER_NAME(0,,,""SECURITY"",""NAME"")")</f>
        <v>South Africa Repo Rate</v>
      </c>
      <c r="L14" s="26" cm="1">
        <f t="array" ref="L14">_xll.FDSB(J14,"FG_YIELD(NOW,,,0)")</f>
        <v>8.25</v>
      </c>
      <c r="M14" s="36" cm="1">
        <f t="array" ref="M14">_xll.FDSB(J14,"(SUBARRAY(NOT_NA(NO_REPEAT_F(FG_YIELD(now,-10AY,D))),0,1)-SUBARRAY(NOT_NA(NO_REPEAT_F(FG_YIELD(now,-10AY,D))),1,1))*100")</f>
        <v>50</v>
      </c>
      <c r="N14" s="38">
        <f t="shared" si="0"/>
        <v>-50</v>
      </c>
      <c r="S14">
        <f t="shared" si="3"/>
        <v>0</v>
      </c>
      <c r="T14">
        <f t="shared" si="4"/>
        <v>1</v>
      </c>
      <c r="U14">
        <f t="shared" si="5"/>
        <v>0</v>
      </c>
      <c r="V14" s="47">
        <f t="shared" si="6"/>
        <v>0.25</v>
      </c>
      <c r="X14">
        <f t="shared" si="2"/>
        <v>27.200000000000003</v>
      </c>
    </row>
    <row r="15" spans="1:24" x14ac:dyDescent="0.35">
      <c r="A15" t="s">
        <v>28</v>
      </c>
      <c r="B15" t="s">
        <v>111</v>
      </c>
      <c r="C15" t="s">
        <v>136</v>
      </c>
      <c r="D15" s="26" t="str" cm="1">
        <f t="array" ref="D15">_xll.FDSB(C15,"FG_YIELD_NAME")</f>
        <v>Greece Benchmark Bond - 10 Year</v>
      </c>
      <c r="E15" s="26" cm="1">
        <f t="array" ref="E15">IFERROR(_xll.FDS(C15,"FG_YIELD(0,,,,""YTM"")"),$E$26)</f>
        <v>3.5920000000000001</v>
      </c>
      <c r="G15" s="26" cm="1">
        <f t="array" ref="G15">_xll.FDSB(C15,"PCTCHG(FG_YIELD(0,,,,""YTM""),FG_YIELD(-1AM,,,,""YTM""))")</f>
        <v>0.47552335000000001</v>
      </c>
      <c r="H15" s="26" cm="1">
        <f t="array" ref="H15">_xll.FDSB(C15,"PCTCHG(FG_YIELD(0,,,,""YTM""),FG_YIELD(-3AM,,,,""YTM""))")</f>
        <v>4.7535752999999996</v>
      </c>
      <c r="I15" s="26"/>
      <c r="J15" s="26" t="str">
        <f>VLOOKUP(B15,mnemonics!$A$4:$D$73,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4.5</v>
      </c>
      <c r="M15" s="36" cm="1">
        <f t="array" ref="M15">_xll.FDSB(J15,"(SUBARRAY(NOT_NA(NO_REPEAT_F(FG_YIELD(now,-10AY,D))),0,1)-SUBARRAY(NOT_NA(NO_REPEAT_F(FG_YIELD(now,-10AY,D))),1,1))*100")</f>
        <v>25</v>
      </c>
      <c r="N15" s="38">
        <f t="shared" si="0"/>
        <v>-25</v>
      </c>
      <c r="T15">
        <f t="shared" si="4"/>
        <v>0</v>
      </c>
      <c r="U15">
        <f t="shared" si="5"/>
        <v>0</v>
      </c>
      <c r="V15" s="47">
        <f t="shared" si="6"/>
        <v>0</v>
      </c>
      <c r="X15">
        <f t="shared" si="2"/>
        <v>4.5</v>
      </c>
    </row>
    <row r="16" spans="1:24" x14ac:dyDescent="0.35">
      <c r="A16" t="s">
        <v>32</v>
      </c>
      <c r="B16" t="s">
        <v>118</v>
      </c>
      <c r="C16" t="s">
        <v>18</v>
      </c>
      <c r="D16" s="26" t="str" cm="1">
        <f t="array" ref="D16">_xll.FDSB(C16,"FG_YIELD_NAME")</f>
        <v>India Benchmark Bond - 10 Year</v>
      </c>
      <c r="E16" s="26" cm="1">
        <f t="array" ref="E16">IFERROR(_xll.FDS(C16,"FG_YIELD(0,,,,""YTM"")"),$E$26)</f>
        <v>7.0374999999999996</v>
      </c>
      <c r="G16" s="26" cm="1">
        <f t="array" ref="G16">_xll.FDSB(C16,"PCTCHG(FG_YIELD(0,,,,""YTM""),FG_YIELD(-1AM,,,,""YTM""))")</f>
        <v>-1.8548205</v>
      </c>
      <c r="H16" s="26" cm="1">
        <f t="array" ref="H16">_xll.FDSB(C16,"PCTCHG(FG_YIELD(0,,,,""YTM""),FG_YIELD(-3AM,,,,""YTM""))")</f>
        <v>-0.60028280000000001</v>
      </c>
      <c r="I16" s="26"/>
      <c r="J16" s="26" t="str">
        <f>VLOOKUP(B16,mnemonics!$A$4:$D$73, 4, FALSE)</f>
        <v>REFINREPO-FDS</v>
      </c>
      <c r="K16" s="26" t="str" cm="1">
        <f t="array" ref="K16">_xll.FDSB(J16,"PROPER_NAME(0,,,""SECURITY"",""NAME"")")</f>
        <v>India Repo Rate</v>
      </c>
      <c r="L16" s="26" cm="1">
        <f t="array" ref="L16">_xll.FDSB(J16,"FG_YIELD(NOW,,,0)")</f>
        <v>6.5</v>
      </c>
      <c r="M16" s="36" cm="1">
        <f t="array" ref="M16">_xll.FDSB(J16,"(SUBARRAY(NOT_NA(NO_REPEAT_F(FG_YIELD(now,-10AY,D))),0,1)-SUBARRAY(NOT_NA(NO_REPEAT_F(FG_YIELD(now,-10AY,D))),1,1))*100")</f>
        <v>25</v>
      </c>
      <c r="N16" s="38">
        <f t="shared" si="0"/>
        <v>-25</v>
      </c>
      <c r="S16">
        <f t="shared" si="3"/>
        <v>0</v>
      </c>
      <c r="T16">
        <f t="shared" si="4"/>
        <v>1</v>
      </c>
      <c r="U16">
        <f t="shared" si="5"/>
        <v>1</v>
      </c>
      <c r="V16" s="47">
        <f t="shared" si="6"/>
        <v>0.5</v>
      </c>
      <c r="X16">
        <f t="shared" si="2"/>
        <v>54.500000000000007</v>
      </c>
    </row>
    <row r="17" spans="1:24" x14ac:dyDescent="0.35">
      <c r="A17" t="s">
        <v>26</v>
      </c>
      <c r="B17" t="s">
        <v>104</v>
      </c>
      <c r="C17" t="s">
        <v>17</v>
      </c>
      <c r="D17" s="26" t="str" cm="1">
        <f t="array" ref="D17">_xll.FDSB(C17,"FG_YIELD_NAME")</f>
        <v>Treasury - China Benchmark Bond 10Y</v>
      </c>
      <c r="E17" s="26" cm="1">
        <f t="array" ref="E17">IFERROR(_xll.FDS(C17,"FG_YIELD(0,,,,""YTM"")"),$E$26)</f>
        <v>2.3176999999999999</v>
      </c>
      <c r="G17" s="26" cm="1">
        <f t="array" ref="G17">_xll.FDSB(C17,"PCTCHG(FG_YIELD(0,,,,""YTM""),FG_YIELD(-1AM,,,,""YTM""))")</f>
        <v>3.5565817000000002</v>
      </c>
      <c r="H17" s="26" cm="1">
        <f t="array" ref="H17">_xll.FDSB(C17,"PCTCHG(FG_YIELD(0,,,,""YTM""),FG_YIELD(-3AM,,,,""YTM""))")</f>
        <v>-3.9255555000000002</v>
      </c>
      <c r="I17" s="26"/>
      <c r="J17" s="26" t="str">
        <f>VLOOKUP(B17,mnemonics!$A$4:$D$73, 4, FALSE)</f>
        <v>REFCNRMB-FDS</v>
      </c>
      <c r="K17" s="26" t="str" cm="1">
        <f t="array" ref="K17">_xll.FDSB(J17,"PROPER_NAME(0,,,""SECURITY"",""NAME"")")</f>
        <v>China Loan Prime Rate (LPR) - 1 Year</v>
      </c>
      <c r="L17" s="26" cm="1">
        <f t="array" ref="L17">_xll.FDSB(J17,"FG_YIELD(NOW,,,0)")</f>
        <v>3.45</v>
      </c>
      <c r="M17" s="36" cm="1">
        <f t="array" ref="M17">_xll.FDSB(J17,"(SUBARRAY(NOT_NA(NO_REPEAT_F(FG_YIELD(now,-10AY,D))),0,1)-SUBARRAY(NOT_NA(NO_REPEAT_F(FG_YIELD(now,-10AY,D))),1,1))*100")</f>
        <v>-9.9999999999999591</v>
      </c>
      <c r="N17" s="38">
        <f t="shared" si="0"/>
        <v>9.9999999999999591</v>
      </c>
      <c r="S17">
        <f t="shared" si="3"/>
        <v>1</v>
      </c>
      <c r="T17">
        <f t="shared" si="4"/>
        <v>0</v>
      </c>
      <c r="U17">
        <f t="shared" si="5"/>
        <v>1</v>
      </c>
      <c r="V17" s="47">
        <f t="shared" si="6"/>
        <v>0.75</v>
      </c>
      <c r="X17">
        <f t="shared" si="2"/>
        <v>72.7</v>
      </c>
    </row>
    <row r="18" spans="1:24" x14ac:dyDescent="0.35">
      <c r="A18" t="s">
        <v>31</v>
      </c>
      <c r="B18" t="s">
        <v>120</v>
      </c>
      <c r="C18" t="s">
        <v>144</v>
      </c>
      <c r="D18" s="26" t="str" cm="1">
        <f t="array" ref="D18">_xll.FDSB(C18,"FG_YIELD_NAME")</f>
        <v>Treasury - Qatar Benchmark Bond 10Y</v>
      </c>
      <c r="E18" s="26" cm="1">
        <f t="array" ref="E18">IFERROR(_xll.FDS(C18,"FG_YIELD(0,,,,""YTM"")"),$E$26)</f>
        <v>4.4767000000000001</v>
      </c>
      <c r="G18" s="26" t="str" cm="1">
        <f t="array" ref="G18">_xll.FDSB(C18,"PCTCHG(FG_YIELD(0,,,,""YTM""),FG_YIELD(-1AM,,,,""YTM""))")</f>
        <v/>
      </c>
      <c r="H18" s="26" t="str" cm="1">
        <f t="array" ref="H18">_xll.FDSB(C18,"PCTCHG(FG_YIELD(0,,,,""YTM""),FG_YIELD(-3AM,,,,""YTM""))")</f>
        <v/>
      </c>
      <c r="I18" s="26"/>
      <c r="J18" s="26" t="str">
        <f>VLOOKUP(B18,mnemonics!$A$4:$D$73, 4, FALSE)</f>
        <v>REFQALEND-FDS</v>
      </c>
      <c r="K18" s="26" t="str" cm="1">
        <f t="array" ref="K18">_xll.FDSB(J18,"PROPER_NAME(0,,,""SECURITY"",""NAME"")")</f>
        <v>Qatar Lending Rate - Overnight</v>
      </c>
      <c r="L18" s="26" cm="1">
        <f t="array" ref="L18">_xll.FDSB(J18,"FG_YIELD(NOW,,,0)")</f>
        <v>6.25</v>
      </c>
      <c r="M18" s="36" cm="1">
        <f t="array" ref="M18">_xll.FDSB(J18,"(SUBARRAY(NOT_NA(NO_REPEAT_F(FG_YIELD(now,-10AY,D))),0,1)-SUBARRAY(NOT_NA(NO_REPEAT_F(FG_YIELD(now,-10AY,D))),1,1))*100")</f>
        <v>25</v>
      </c>
      <c r="N18" s="38">
        <f t="shared" si="0"/>
        <v>-25</v>
      </c>
      <c r="S18">
        <f t="shared" si="3"/>
        <v>0</v>
      </c>
      <c r="T18">
        <f t="shared" si="4"/>
        <v>0</v>
      </c>
      <c r="U18">
        <f t="shared" si="5"/>
        <v>0</v>
      </c>
      <c r="V18" s="47">
        <f t="shared" si="6"/>
        <v>0</v>
      </c>
      <c r="X18">
        <f t="shared" si="2"/>
        <v>4.5</v>
      </c>
    </row>
    <row r="19" spans="1:24" x14ac:dyDescent="0.35">
      <c r="A19" t="s">
        <v>757</v>
      </c>
      <c r="B19" t="s">
        <v>220</v>
      </c>
      <c r="C19" t="s">
        <v>453</v>
      </c>
      <c r="D19" s="26" t="str" cm="1">
        <f t="array" ref="D19">_xll.FDSB(C19,"FG_YIELD_NAME")</f>
        <v>Thailand Benchmark Bond - 10 Year</v>
      </c>
      <c r="E19" s="26" cm="1">
        <f t="array" ref="E19">IFERROR(_xll.FDS(C19,"FG_YIELD(0,,,,""YTM"")"),$E$26)</f>
        <v>2.8286410000000002</v>
      </c>
      <c r="G19" s="26" cm="1">
        <f t="array" ref="G19">_xll.FDSB(C19,"PCTCHG(FG_YIELD(0,,,,""YTM""),FG_YIELD(-1AM,,,,""YTM""))")</f>
        <v>4.4618919999999997</v>
      </c>
      <c r="H19" s="26" cm="1">
        <f t="array" ref="H19">_xll.FDSB(C19,"PCTCHG(FG_YIELD(0,,,,""YTM""),FG_YIELD(-3AM,,,,""YTM""))")</f>
        <v>10.091692999999999</v>
      </c>
      <c r="I19" s="26"/>
      <c r="J19" s="26" t="str">
        <f>VLOOKUP(B19,mnemonics!$A$4:$D$73, 4, FALSE)</f>
        <v>REFTHREPO-FDS</v>
      </c>
      <c r="K19" s="26" t="str" cm="1">
        <f t="array" ref="K19">_xll.FDSB(J19,"PROPER_NAME(0,,,""SECURITY"",""NAME"")")</f>
        <v>Thailand Repo Rate - 1 Day</v>
      </c>
      <c r="L19" s="26" cm="1">
        <f t="array" ref="L19">_xll.FDSB(J19,"FG_YIELD(NOW,,,0)")</f>
        <v>2.5</v>
      </c>
      <c r="M19" s="36" cm="1">
        <f t="array" ref="M19">_xll.FDSB(J19,"(SUBARRAY(NOT_NA(NO_REPEAT_F(FG_YIELD(now,-10AY,D))),0,1)-SUBARRAY(NOT_NA(NO_REPEAT_F(FG_YIELD(now,-10AY,D))),1,1))*100")</f>
        <v>25</v>
      </c>
      <c r="N19" s="38">
        <f t="shared" si="0"/>
        <v>-25</v>
      </c>
      <c r="S19">
        <f t="shared" si="3"/>
        <v>0</v>
      </c>
      <c r="T19">
        <f t="shared" si="4"/>
        <v>0</v>
      </c>
      <c r="U19">
        <f t="shared" si="5"/>
        <v>0</v>
      </c>
      <c r="V19" s="47">
        <f t="shared" si="6"/>
        <v>0</v>
      </c>
      <c r="X19">
        <f t="shared" si="2"/>
        <v>4.5</v>
      </c>
    </row>
    <row r="20" spans="1:24" x14ac:dyDescent="0.35">
      <c r="A20" t="s">
        <v>25</v>
      </c>
      <c r="B20" t="s">
        <v>105</v>
      </c>
      <c r="C20" t="s">
        <v>132</v>
      </c>
      <c r="D20" s="26" t="str" cm="1">
        <f t="array" ref="D20">_xll.FDSB(C20,"FG_YIELD_NAME")</f>
        <v>Treasury - Turkey Benchmark Bond 7Y</v>
      </c>
      <c r="E20" s="26" cm="1">
        <f t="array" ref="E20">IFERROR(_xll.FDS(C20,"FG_YIELD(0,,,,""YTM"")"),$E$26)</f>
        <v>24.4331</v>
      </c>
      <c r="G20" s="26" cm="1">
        <f t="array" ref="G20">_xll.FDSB(C20,"PCTCHG(FG_YIELD(0,,,,""YTM""),FG_YIELD(-1AM,,,,""YTM""))")</f>
        <v>1.4186118000000001</v>
      </c>
      <c r="H20" s="26" cm="1">
        <f t="array" ref="H20">_xll.FDSB(C20,"PCTCHG(FG_YIELD(0,,,,""YTM""),FG_YIELD(-3AM,,,,""YTM""))")</f>
        <v>6.0671926000000003</v>
      </c>
      <c r="I20" s="26"/>
      <c r="J20" s="26" t="str">
        <f>VLOOKUP(B20,mnemonics!$A$4:$D$73, 4, FALSE)</f>
        <v>REFTR1WREPO-FDS</v>
      </c>
      <c r="K20" s="26" t="str" cm="1">
        <f t="array" ref="K20">_xll.FDSB(J20,"PROPER_NAME(0,,,""SECURITY"",""NAME"")")</f>
        <v>Turkey Repo Rate - 1 Week</v>
      </c>
      <c r="L20" s="26" cm="1">
        <f t="array" ref="L20">_xll.FDSB(J20,"FG_YIELD(NOW,,,0)")</f>
        <v>50</v>
      </c>
      <c r="M20" s="36" cm="1">
        <f t="array" ref="M20">_xll.FDSB(J20,"(SUBARRAY(NOT_NA(NO_REPEAT_F(FG_YIELD(now,-10AY,D))),0,1)-SUBARRAY(NOT_NA(NO_REPEAT_F(FG_YIELD(now,-10AY,D))),1,1))*100")</f>
        <v>500</v>
      </c>
      <c r="N20" s="38">
        <f t="shared" si="0"/>
        <v>-500</v>
      </c>
      <c r="S20">
        <f t="shared" si="3"/>
        <v>0</v>
      </c>
      <c r="T20">
        <f t="shared" si="4"/>
        <v>0</v>
      </c>
      <c r="U20">
        <f t="shared" si="5"/>
        <v>0</v>
      </c>
      <c r="V20" s="47">
        <f t="shared" si="6"/>
        <v>0</v>
      </c>
      <c r="X20">
        <f t="shared" si="2"/>
        <v>4.5</v>
      </c>
    </row>
    <row r="21" spans="1:24" x14ac:dyDescent="0.35">
      <c r="A21" t="s">
        <v>34</v>
      </c>
      <c r="B21" t="s">
        <v>123</v>
      </c>
      <c r="C21" t="s">
        <v>146</v>
      </c>
      <c r="D21" s="26" t="str" cm="1">
        <f t="array" ref="D21">_xll.FDSB(C21,"FG_YIELD_NAME")</f>
        <v>Treasury - United Arab Emirates USD Benchmark Bond 10Y</v>
      </c>
      <c r="E21" s="26" cm="1">
        <f t="array" ref="E21">IFERROR(_xll.FDS(C21,"FG_YIELD(0,,,,""YTM"")"),$E$26)</f>
        <v>4.9281230000000003</v>
      </c>
      <c r="G21" s="26" t="str" cm="1">
        <f t="array" ref="G21">_xll.FDSB(C21,"PCTCHG(FG_YIELD(0,,,,""YTM""),FG_YIELD(-1AM,,,,""YTM""))")</f>
        <v/>
      </c>
      <c r="H21" s="26" t="str" cm="1">
        <f t="array" ref="H21">_xll.FDSB(C21,"PCTCHG(FG_YIELD(0,,,,""YTM""),FG_YIELD(-3AM,,,,""YTM""))")</f>
        <v/>
      </c>
      <c r="I21" s="26"/>
      <c r="J21" s="26" t="str">
        <f>VLOOKUP(B21,mnemonics!$A$4:$D$73, 4, FALSE)</f>
        <v>REFAEREPO-FDS</v>
      </c>
      <c r="K21" s="26" t="str" cm="1">
        <f t="array" ref="K21">_xll.FDSB(J21,"PROPER_NAME(0,,,""SECURITY"",""NAME"")")</f>
        <v>United Arab Emirates Repo Rate</v>
      </c>
      <c r="L21" s="26" cm="1">
        <f t="array" ref="L21">_xll.FDSB(J21,"FG_YIELD(NOW,,,0)")</f>
        <v>5.4</v>
      </c>
      <c r="M21" s="36" cm="1">
        <f t="array" ref="M21">_xll.FDSB(J21,"(SUBARRAY(NOT_NA(NO_REPEAT_F(FG_YIELD(now,-10AY,D))),0,1)-SUBARRAY(NOT_NA(NO_REPEAT_F(FG_YIELD(now,-10AY,D))),1,1))*100")</f>
        <v>25</v>
      </c>
      <c r="N21" s="38">
        <f t="shared" si="0"/>
        <v>-25</v>
      </c>
      <c r="S21">
        <f t="shared" si="3"/>
        <v>0</v>
      </c>
      <c r="T21">
        <f t="shared" si="4"/>
        <v>0</v>
      </c>
      <c r="U21">
        <f t="shared" si="5"/>
        <v>0</v>
      </c>
      <c r="V21" s="47">
        <f t="shared" si="6"/>
        <v>0</v>
      </c>
      <c r="X21">
        <f t="shared" si="2"/>
        <v>4.5</v>
      </c>
    </row>
    <row r="22" spans="1:24" x14ac:dyDescent="0.35">
      <c r="A22" t="s">
        <v>37</v>
      </c>
      <c r="B22" t="s">
        <v>126</v>
      </c>
      <c r="C22" t="s">
        <v>149</v>
      </c>
      <c r="D22" s="26" t="str" cm="1">
        <f t="array" ref="D22">_xll.FDSB(C22,"FG_YIELD_NAME")</f>
        <v>Treasury - Vietnam Benchmark Bond 10Y</v>
      </c>
      <c r="E22" s="26" cm="1">
        <f t="array" ref="E22">IFERROR(_xll.FDS(C22,"FG_YIELD(0,,,,""YTM"")"),$E$26)</f>
        <v>2.8704779999999999</v>
      </c>
      <c r="G22" s="26" cm="1">
        <f t="array" ref="G22">_xll.FDSB(C22,"PCTCHG(FG_YIELD(0,,,,""YTM""),FG_YIELD(-1AM,,,,""YTM""))")</f>
        <v>3.5585148000000002</v>
      </c>
      <c r="H22" s="26" cm="1">
        <f t="array" ref="H22">_xll.FDSB(C22,"PCTCHG(FG_YIELD(0,,,,""YTM""),FG_YIELD(-3AM,,,,""YTM""))")</f>
        <v>28.866322</v>
      </c>
      <c r="I22" s="26"/>
      <c r="J22" s="26" t="str">
        <f>VLOOKUP(B22,mnemonics!$A$4:$D$73, 4, FALSE)</f>
        <v>REFVNDISC-FDS</v>
      </c>
      <c r="K22" s="26" t="str" cm="1">
        <f t="array" ref="K22">_xll.FDSB(J22,"PROPER_NAME(0,,,""SECURITY"",""NAME"")")</f>
        <v>Vietnam Discount Rate</v>
      </c>
      <c r="L22" s="26" cm="1">
        <f t="array" ref="L22">_xll.FDSB(J22,"FG_YIELD(NOW,,,0)")</f>
        <v>3</v>
      </c>
      <c r="M22" s="36" cm="1">
        <f t="array" ref="M22">_xll.FDSB(J22,"(SUBARRAY(NOT_NA(NO_REPEAT_F(FG_YIELD(now,-10AY,D))),0,1)-SUBARRAY(NOT_NA(NO_REPEAT_F(FG_YIELD(now,-10AY,D))),1,1))*100")</f>
        <v>-50</v>
      </c>
      <c r="N22" s="38">
        <f t="shared" si="0"/>
        <v>50</v>
      </c>
      <c r="S22">
        <f t="shared" si="3"/>
        <v>1</v>
      </c>
      <c r="T22">
        <f t="shared" si="4"/>
        <v>0</v>
      </c>
      <c r="U22">
        <f t="shared" si="5"/>
        <v>0</v>
      </c>
      <c r="V22" s="47">
        <f t="shared" si="6"/>
        <v>0.5</v>
      </c>
      <c r="X22">
        <f t="shared" si="2"/>
        <v>54.500000000000007</v>
      </c>
    </row>
    <row r="23" spans="1:24" x14ac:dyDescent="0.35">
      <c r="A23" t="s">
        <v>36</v>
      </c>
      <c r="B23" t="s">
        <v>125</v>
      </c>
      <c r="C23" t="s">
        <v>148</v>
      </c>
      <c r="D23" s="26" t="str" cm="1">
        <f t="array" ref="D23">_xll.FDSB(C23,"FG_YIELD_NAME")</f>
        <v>Treasury - SAUDI ARABIA Benchmark Bond 10Y</v>
      </c>
      <c r="E23" s="26" cm="1">
        <f t="array" ref="E23">IFERROR(_xll.FDS(C23,"FG_YIELD(0,,,,""YTM"")"),$E$26)</f>
        <v>5.2994839999999996</v>
      </c>
      <c r="G23" s="26" cm="1">
        <f t="array" ref="G23">_xll.FDSB(C23,"PCTCHG(FG_YIELD(0,,,,""YTM""),FG_YIELD(-1AM,,,,""YTM""))")</f>
        <v>-3.7025044</v>
      </c>
      <c r="H23" s="26" cm="1">
        <f t="array" ref="H23">_xll.FDSB(C23,"PCTCHG(FG_YIELD(0,,,,""YTM""),FG_YIELD(-3AM,,,,""YTM""))")</f>
        <v>0.73376209999999997</v>
      </c>
      <c r="I23" s="26"/>
      <c r="J23" s="26" t="str">
        <f>VLOOKUP(B23,mnemonics!$A$4:$D$73, 4, FALSE)</f>
        <v>REFSAREPO-FDS</v>
      </c>
      <c r="K23" s="26" t="str" cm="1">
        <f t="array" ref="K23">_xll.FDSB(J23,"PROPER_NAME(0,,,""SECURITY"",""NAME"")")</f>
        <v>Saudi Arabia Repo Rate</v>
      </c>
      <c r="L23" s="26" cm="1">
        <f t="array" ref="L23">_xll.FDSB(J23,"FG_YIELD(NOW,,,0)")</f>
        <v>6</v>
      </c>
      <c r="M23" s="36" cm="1">
        <f t="array" ref="M23">_xll.FDSB(J23,"(SUBARRAY(NOT_NA(NO_REPEAT_F(FG_YIELD(now,-10AY,D))),0,1)-SUBARRAY(NOT_NA(NO_REPEAT_F(FG_YIELD(now,-10AY,D))),1,1))*100")</f>
        <v>25</v>
      </c>
      <c r="N23" s="38">
        <f t="shared" si="0"/>
        <v>-25</v>
      </c>
      <c r="S23">
        <f t="shared" si="3"/>
        <v>0</v>
      </c>
      <c r="T23">
        <f t="shared" si="4"/>
        <v>1</v>
      </c>
      <c r="U23">
        <f t="shared" si="5"/>
        <v>0</v>
      </c>
      <c r="V23" s="47">
        <f t="shared" si="6"/>
        <v>0.25</v>
      </c>
      <c r="X23">
        <f t="shared" si="2"/>
        <v>27.200000000000003</v>
      </c>
    </row>
    <row r="24" spans="1:24" x14ac:dyDescent="0.35">
      <c r="D24" s="26"/>
      <c r="E24" s="26"/>
      <c r="G24" s="26"/>
      <c r="H24" s="26"/>
      <c r="J24" s="26"/>
      <c r="K24" s="26"/>
      <c r="L24" s="26"/>
      <c r="M24" s="36"/>
      <c r="N24" s="38"/>
      <c r="V24" s="52"/>
    </row>
    <row r="25" spans="1:24" x14ac:dyDescent="0.35">
      <c r="D25" s="26"/>
      <c r="E25" s="26"/>
      <c r="G25" s="26"/>
      <c r="H25" s="26"/>
      <c r="J25" s="26"/>
      <c r="K25" s="26"/>
      <c r="L25" s="26"/>
      <c r="M25" s="36"/>
      <c r="N25" s="38"/>
      <c r="V25" s="52"/>
    </row>
    <row r="26" spans="1:24" x14ac:dyDescent="0.35">
      <c r="A26" t="s">
        <v>1</v>
      </c>
      <c r="B26" t="s">
        <v>119</v>
      </c>
      <c r="C26" t="s">
        <v>14</v>
      </c>
      <c r="D26" s="26" t="str" cm="1">
        <f t="array" ref="D26">_xll.FDSB(C26,"FG_YIELD_NAME")</f>
        <v>US Benchmark Bond - 10 Year</v>
      </c>
      <c r="E26" s="26" cm="1">
        <f t="array" ref="E26">IFERROR(_xll.FDS(C26,"FG_YIELD(0,,,,""YTM"")"),E55)</f>
        <v>4.4767000000000001</v>
      </c>
      <c r="G26" s="26"/>
      <c r="H26" s="26"/>
      <c r="J26" s="26"/>
      <c r="K26" s="26"/>
      <c r="L26" s="26"/>
      <c r="M26" s="36"/>
      <c r="N26" s="38"/>
      <c r="V26" s="52"/>
    </row>
    <row r="27" spans="1:24" x14ac:dyDescent="0.35">
      <c r="D27" s="26"/>
      <c r="E27" s="26"/>
      <c r="G27" s="26"/>
      <c r="H27" s="26"/>
      <c r="J27" s="26"/>
      <c r="K27" s="26"/>
      <c r="L27" s="26"/>
      <c r="M27" s="36"/>
      <c r="N27" s="38"/>
      <c r="V27" s="52"/>
    </row>
    <row r="28" spans="1:24" x14ac:dyDescent="0.35">
      <c r="D28" s="26"/>
      <c r="E28" s="26"/>
      <c r="G28" s="26"/>
      <c r="H28" s="26"/>
      <c r="J28" s="26"/>
      <c r="K28" s="26"/>
      <c r="L28" s="26"/>
      <c r="M28" s="36"/>
      <c r="N28" s="38"/>
      <c r="V28" s="52"/>
    </row>
    <row r="29" spans="1:24" x14ac:dyDescent="0.35">
      <c r="D29" s="26"/>
      <c r="E29" s="26"/>
      <c r="G29" s="26"/>
      <c r="H29" s="26"/>
      <c r="J29" s="26"/>
      <c r="K29" s="26"/>
      <c r="L29" s="26"/>
      <c r="M29" s="36"/>
      <c r="N29" s="38"/>
      <c r="V29" s="52"/>
    </row>
    <row r="30" spans="1:24" x14ac:dyDescent="0.35">
      <c r="D30" s="26"/>
      <c r="E30" s="26"/>
      <c r="G30" s="26"/>
      <c r="H30" s="26"/>
      <c r="J30" s="26"/>
      <c r="K30" s="26"/>
      <c r="L30" s="26"/>
      <c r="M30" s="36"/>
      <c r="N30" s="38"/>
      <c r="V30" s="52"/>
    </row>
    <row r="35" spans="1:8" ht="18.5" x14ac:dyDescent="0.45">
      <c r="A35" s="34"/>
      <c r="B35" s="35"/>
      <c r="C35" s="35"/>
      <c r="D35" s="35"/>
      <c r="E35" s="35"/>
      <c r="F35" s="35"/>
      <c r="G35" s="35"/>
      <c r="H35" s="35"/>
    </row>
    <row r="42" spans="1:8" x14ac:dyDescent="0.35">
      <c r="C42" s="1"/>
      <c r="D42" s="1"/>
      <c r="E42" s="1"/>
      <c r="F42" s="1"/>
    </row>
    <row r="43" spans="1:8" x14ac:dyDescent="0.35">
      <c r="C43" s="1"/>
      <c r="D43" s="1"/>
      <c r="E43" s="1"/>
      <c r="F43" s="1"/>
    </row>
    <row r="44" spans="1:8" x14ac:dyDescent="0.35">
      <c r="C44" s="1"/>
      <c r="D44" s="1"/>
      <c r="E44" s="1"/>
      <c r="F44" s="1"/>
    </row>
    <row r="63" spans="3:6" x14ac:dyDescent="0.35">
      <c r="C63" s="1"/>
      <c r="D63" s="1"/>
      <c r="E63" s="1"/>
      <c r="F63" s="1"/>
    </row>
    <row r="79" spans="4:6" x14ac:dyDescent="0.35">
      <c r="D79" s="1"/>
      <c r="E79" s="1"/>
      <c r="F79" s="1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22"/>
  <sheetViews>
    <sheetView workbookViewId="0">
      <selection activeCell="K7" sqref="K7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2.1796875" bestFit="1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7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4" t="s">
        <v>542</v>
      </c>
      <c r="B1" s="74" t="s">
        <v>529</v>
      </c>
      <c r="C1" s="74" t="s">
        <v>530</v>
      </c>
      <c r="D1" s="74" t="s">
        <v>96</v>
      </c>
      <c r="E1" s="74" t="s">
        <v>97</v>
      </c>
      <c r="F1" s="74" t="s">
        <v>98</v>
      </c>
      <c r="G1" s="78" t="s">
        <v>380</v>
      </c>
      <c r="H1" s="78" t="s">
        <v>410</v>
      </c>
      <c r="I1" s="78" t="s">
        <v>540</v>
      </c>
      <c r="J1" s="78" t="s">
        <v>543</v>
      </c>
      <c r="K1" s="79" t="s">
        <v>748</v>
      </c>
      <c r="L1" s="78" t="s">
        <v>539</v>
      </c>
      <c r="M1" s="78" t="s">
        <v>551</v>
      </c>
      <c r="N1" s="74" t="s">
        <v>746</v>
      </c>
      <c r="O1" s="74" t="s">
        <v>747</v>
      </c>
      <c r="P1" s="74" t="s">
        <v>749</v>
      </c>
      <c r="Q1" s="74" t="s">
        <v>544</v>
      </c>
      <c r="R1" s="74" t="s">
        <v>545</v>
      </c>
      <c r="S1" s="74" t="s">
        <v>553</v>
      </c>
    </row>
    <row r="2" spans="1:19" x14ac:dyDescent="0.35">
      <c r="A2" t="s">
        <v>432</v>
      </c>
      <c r="B2" t="s">
        <v>432</v>
      </c>
      <c r="C2" t="s">
        <v>435</v>
      </c>
      <c r="D2" t="s">
        <v>104</v>
      </c>
      <c r="E2" t="s">
        <v>17</v>
      </c>
      <c r="F2" t="str" cm="1">
        <f t="array" ref="F2">_xll.FDS(E2,"FG_YIELD_NAME")</f>
        <v>Treasury - China Benchmark Bond 10Y</v>
      </c>
      <c r="G2">
        <f>VLOOKUP(A2,'LIQIDITY 2'!$A$3:$E$26,5,FALSE)</f>
        <v>2.3176999999999999</v>
      </c>
      <c r="H2" cm="1">
        <f t="array" ref="H2">_xll.FDS(B2,"FG_ROE(0)")</f>
        <v>9.7970997366007495</v>
      </c>
      <c r="I2">
        <f>HLOOKUP(B2,'Index ROE'!$B$1:$V$25,24,FALSE)</f>
        <v>13.110180178133749</v>
      </c>
      <c r="J2" cm="1">
        <f t="array" ref="J2">_xll.FDS(B2, "FMA_RBICS_REV_CURRENT(30, LOC, ""PORTAGG"")")</f>
        <v>20.195551459494901</v>
      </c>
      <c r="K2" s="77">
        <f>HLOOKUP(B2,'Index earnings'!$A$1:$V$26,26,FALSE)</f>
        <v>7.2158031213186868E-2</v>
      </c>
      <c r="L2">
        <f>HLOOKUP(B2,'Yearly returns'!$B$1:$V$128,126,FALSE)</f>
        <v>-29.64021</v>
      </c>
      <c r="M2">
        <f>I2-G2</f>
        <v>10.792480178133749</v>
      </c>
      <c r="N2" cm="1">
        <f t="array" ref="N2">_xlfn.PERCENTRANK.EXC(_xlfn._xlws.FILTER(M$2:M$22, ISNUMBER(M$2:M$22)),M2)*100</f>
        <v>90.9</v>
      </c>
      <c r="O2" cm="1">
        <f t="array" ref="O2">(1-_xlfn.PERCENTRANK.EXC(_xlfn._xlws.FILTER(J$2:J$22, ISNUMBER(J$2:J$22)),J2))*100</f>
        <v>86.4</v>
      </c>
      <c r="P2" cm="1">
        <f t="array" ref="P2">_xlfn.PERCENTRANK.EXC(_xlfn._xlws.FILTER(K$2:K$22, ISNUMBER(K$2:K$22)),K2)*100</f>
        <v>86.3</v>
      </c>
      <c r="Q2" cm="1">
        <f t="array" ref="Q2">_xlfn.PERCENTRANK.EXC(_xlfn._xlws.FILTER(L$2:L$22, ISNUMBER(L$2:L$22)),L2)*100</f>
        <v>90.9</v>
      </c>
      <c r="R2">
        <f>N2*Assumption!$F$64 + O2*Assumption!$F$61 + P2*Assumption!$F$62 + Q2*Assumption!$F$63</f>
        <v>88.625</v>
      </c>
      <c r="S2" cm="1">
        <f t="array" ref="S2">_xlfn.PERCENTRANK.EXC(_xlfn._xlws.FILTER(R$2:R$22, ISNUMBER(R$2:R$22)),R2)*100</f>
        <v>95.399999999999991</v>
      </c>
    </row>
    <row r="3" spans="1:19" x14ac:dyDescent="0.35">
      <c r="A3" t="s">
        <v>27</v>
      </c>
      <c r="B3" t="s">
        <v>27</v>
      </c>
      <c r="C3" t="s">
        <v>436</v>
      </c>
      <c r="D3" t="s">
        <v>107</v>
      </c>
      <c r="E3" t="s">
        <v>108</v>
      </c>
      <c r="F3" t="str" cm="1">
        <f t="array" ref="F3">_xll.FDS(E3,"FG_YIELD_NAME")</f>
        <v>Treasury - Chile Inflation-Indexed (TIPS) Bond 10Y</v>
      </c>
      <c r="G3">
        <f>VLOOKUP(A3,'LIQIDITY 2'!$A$3:$E$26,5,FALSE)</f>
        <v>2.5896884999999998</v>
      </c>
      <c r="H3" cm="1">
        <f t="array" ref="H3">_xll.FDS(B3,"FG_ROE(0)")</f>
        <v>10.1643372097379</v>
      </c>
      <c r="I3">
        <f>HLOOKUP(B3,'Index ROE'!$B$1:$V$25,24,FALSE)</f>
        <v>11.2778516938703</v>
      </c>
      <c r="J3" cm="1">
        <f t="array" ref="J3">_xll.FDS(B3, "FMA_RBICS_REV_CURRENT(30, LOC, ""PORTAGG"")")</f>
        <v>31.370078380528099</v>
      </c>
      <c r="K3" s="77">
        <f>HLOOKUP(B3,'Index earnings'!$A$1:$V$26,26,FALSE)</f>
        <v>3.8689699842754832E-2</v>
      </c>
      <c r="L3">
        <f>HLOOKUP(B3,'Yearly returns'!$B$1:$V$128,126,FALSE)</f>
        <v>-56.363472000000002</v>
      </c>
      <c r="M3">
        <f t="shared" ref="M3:M22" si="0">I3-G3</f>
        <v>8.6881631938703006</v>
      </c>
      <c r="N3" cm="1">
        <f t="array" ref="N3">_xlfn.PERCENTRANK.EXC(_xlfn._xlws.FILTER(M$2:M$22, ISNUMBER(M$2:M$22)),M3)*100</f>
        <v>68.100000000000009</v>
      </c>
      <c r="O3" cm="1">
        <f t="array" ref="O3">(1-_xlfn.PERCENTRANK.EXC(_xlfn._xlws.FILTER(J$2:J$22, ISNUMBER(J$2:J$22)),J3))*100</f>
        <v>50</v>
      </c>
      <c r="P3" cm="1">
        <f t="array" ref="P3">_xlfn.PERCENTRANK.EXC(_xlfn._xlws.FILTER(K$2:K$22, ISNUMBER(K$2:K$22)),K3)*100</f>
        <v>63.6</v>
      </c>
      <c r="Q3" cm="1">
        <f t="array" ref="Q3">_xlfn.PERCENTRANK.EXC(_xlfn._xlws.FILTER(L$2:L$22, ISNUMBER(L$2:L$22)),L3)*100</f>
        <v>4.5</v>
      </c>
      <c r="R3">
        <f>N3*Assumption!$F$64 + O3*Assumption!$F$61 + P3*Assumption!$F$62 + Q3*Assumption!$F$63</f>
        <v>46.550000000000004</v>
      </c>
      <c r="S3" cm="1">
        <f t="array" ref="S3">_xlfn.PERCENTRANK.EXC(_xlfn._xlws.FILTER(R$2:R$22, ISNUMBER(R$2:R$22)),R3)*100</f>
        <v>50</v>
      </c>
    </row>
    <row r="4" spans="1:19" x14ac:dyDescent="0.35">
      <c r="A4" t="s">
        <v>35</v>
      </c>
      <c r="B4" t="s">
        <v>35</v>
      </c>
      <c r="C4" t="s">
        <v>437</v>
      </c>
      <c r="D4" t="s">
        <v>124</v>
      </c>
      <c r="E4" t="s">
        <v>147</v>
      </c>
      <c r="F4" t="str" cm="1">
        <f t="array" ref="F4">_xll.FDS(E4,"FG_YIELD_NAME")</f>
        <v>Treasury - Indonesia Benchmark Bond 10Y</v>
      </c>
      <c r="G4">
        <f>VLOOKUP(A4,'LIQIDITY 2'!$A$3:$E$26,5,FALSE)</f>
        <v>6.833361</v>
      </c>
      <c r="H4" cm="1">
        <f t="array" ref="H4">_xll.FDS(B4,"FG_ROE(0)")</f>
        <v>12.095707622876001</v>
      </c>
      <c r="I4">
        <f>HLOOKUP(B4,'Index ROE'!$B$1:$V$25,24,FALSE)</f>
        <v>15.6575175090816</v>
      </c>
      <c r="J4" cm="1">
        <f t="array" ref="J4">_xll.FDS(B4, "FMA_RBICS_REV_CURRENT(30, LOC, ""PORTAGG"")")</f>
        <v>53.575995491493103</v>
      </c>
      <c r="K4" s="77">
        <f>HLOOKUP(B4,'Index earnings'!$A$1:$V$26,26,FALSE)</f>
        <v>4.293576021016543E-2</v>
      </c>
      <c r="L4">
        <f>HLOOKUP(B4,'Yearly returns'!$B$1:$V$128,126,FALSE)</f>
        <v>-52.699635000000001</v>
      </c>
      <c r="M4">
        <f t="shared" si="0"/>
        <v>8.8241565090816003</v>
      </c>
      <c r="N4" cm="1">
        <f t="array" ref="N4">_xlfn.PERCENTRANK.EXC(_xlfn._xlws.FILTER(M$2:M$22, ISNUMBER(M$2:M$22)),M4)*100</f>
        <v>72.7</v>
      </c>
      <c r="O4" cm="1">
        <f t="array" ref="O4">(1-_xlfn.PERCENTRANK.EXC(_xlfn._xlws.FILTER(J$2:J$22, ISNUMBER(J$2:J$22)),J4))*100</f>
        <v>18.200000000000006</v>
      </c>
      <c r="P4" cm="1">
        <f t="array" ref="P4">_xlfn.PERCENTRANK.EXC(_xlfn._xlws.FILTER(K$2:K$22, ISNUMBER(K$2:K$22)),K4)*100</f>
        <v>68.100000000000009</v>
      </c>
      <c r="Q4" cm="1">
        <f t="array" ref="Q4">_xlfn.PERCENTRANK.EXC(_xlfn._xlws.FILTER(L$2:L$22, ISNUMBER(L$2:L$22)),L4)*100</f>
        <v>18.099999999999998</v>
      </c>
      <c r="R4">
        <f>N4*Assumption!$F$64 + O4*Assumption!$F$61 + P4*Assumption!$F$62 + Q4*Assumption!$F$63</f>
        <v>44.274999999999999</v>
      </c>
      <c r="S4" cm="1">
        <f t="array" ref="S4">_xlfn.PERCENTRANK.EXC(_xlfn._xlws.FILTER(R$2:R$22, ISNUMBER(R$2:R$22)),R4)*100</f>
        <v>36.299999999999997</v>
      </c>
    </row>
    <row r="5" spans="1:19" x14ac:dyDescent="0.35">
      <c r="A5" t="s">
        <v>30</v>
      </c>
      <c r="B5" t="s">
        <v>30</v>
      </c>
      <c r="C5" t="s">
        <v>438</v>
      </c>
      <c r="D5" t="s">
        <v>117</v>
      </c>
      <c r="E5" t="s">
        <v>143</v>
      </c>
      <c r="F5" t="str" cm="1">
        <f t="array" ref="F5">_xll.FDS(E5,"FG_YIELD_NAME")</f>
        <v>Philippines Benchmark Bond - 10 Year</v>
      </c>
      <c r="G5">
        <f>VLOOKUP(A5,'LIQIDITY 2'!$A$3:$E$26,5,FALSE)</f>
        <v>6.6642675000000002</v>
      </c>
      <c r="H5" cm="1">
        <f t="array" ref="H5">_xll.FDS(B5,"FG_ROE(0)")</f>
        <v>12.5243875935</v>
      </c>
      <c r="I5">
        <f>HLOOKUP(B5,'Index ROE'!$B$1:$V$25,24,FALSE)</f>
        <v>12.530824852807651</v>
      </c>
      <c r="J5" cm="1">
        <f t="array" ref="J5">_xll.FDS(B5, "FMA_RBICS_REV_CURRENT(30, LOC, ""PORTAGG"")")</f>
        <v>43.359904831473898</v>
      </c>
      <c r="K5" s="77">
        <f>HLOOKUP(B5,'Index earnings'!$A$1:$V$26,26,FALSE)</f>
        <v>6.5968962435704714E-2</v>
      </c>
      <c r="L5">
        <f>HLOOKUP(B5,'Yearly returns'!$B$1:$V$128,126,FALSE)</f>
        <v>-41.637610000000002</v>
      </c>
      <c r="M5">
        <f t="shared" si="0"/>
        <v>5.8665573528076509</v>
      </c>
      <c r="N5" cm="1">
        <f t="array" ref="N5">_xlfn.PERCENTRANK.EXC(_xlfn._xlws.FILTER(M$2:M$22, ISNUMBER(M$2:M$22)),M5)*100</f>
        <v>36.299999999999997</v>
      </c>
      <c r="O5" cm="1">
        <f t="array" ref="O5">(1-_xlfn.PERCENTRANK.EXC(_xlfn._xlws.FILTER(J$2:J$22, ISNUMBER(J$2:J$22)),J5))*100</f>
        <v>31.899999999999995</v>
      </c>
      <c r="P5" cm="1">
        <f t="array" ref="P5">_xlfn.PERCENTRANK.EXC(_xlfn._xlws.FILTER(K$2:K$22, ISNUMBER(K$2:K$22)),K5)*100</f>
        <v>81.8</v>
      </c>
      <c r="Q5" cm="1">
        <f t="array" ref="Q5">_xlfn.PERCENTRANK.EXC(_xlfn._xlws.FILTER(L$2:L$22, ISNUMBER(L$2:L$22)),L5)*100</f>
        <v>50</v>
      </c>
      <c r="R5">
        <f>N5*Assumption!$F$64 + O5*Assumption!$F$61 + P5*Assumption!$F$62 + Q5*Assumption!$F$63</f>
        <v>50</v>
      </c>
      <c r="S5" cm="1">
        <f t="array" ref="S5">_xlfn.PERCENTRANK.EXC(_xlfn._xlws.FILTER(R$2:R$22, ISNUMBER(R$2:R$22)),R5)*100</f>
        <v>54.500000000000007</v>
      </c>
    </row>
    <row r="6" spans="1:19" x14ac:dyDescent="0.35">
      <c r="A6" t="s">
        <v>23</v>
      </c>
      <c r="B6" t="s">
        <v>23</v>
      </c>
      <c r="C6" t="s">
        <v>439</v>
      </c>
      <c r="D6" t="s">
        <v>100</v>
      </c>
      <c r="E6" t="s">
        <v>129</v>
      </c>
      <c r="F6" t="str" cm="1">
        <f t="array" ref="F6">_xll.FDS(E6,"FG_YIELD_NAME")</f>
        <v>Treasury - Poland Benchmark Bond 10Y</v>
      </c>
      <c r="G6">
        <f>VLOOKUP(A6,'LIQIDITY 2'!$A$3:$E$26,5,FALSE)</f>
        <v>5.7248999999999999</v>
      </c>
      <c r="H6" cm="1">
        <f t="array" ref="H6">_xll.FDS(B6,"FG_ROE(0)")</f>
        <v>15.9539198545929</v>
      </c>
      <c r="I6">
        <f>HLOOKUP(B6,'Index ROE'!$B$1:$V$25,24,FALSE)</f>
        <v>10.013481596831115</v>
      </c>
      <c r="J6" cm="1">
        <f t="array" ref="J6">_xll.FDS(B6, "FMA_RBICS_REV_CURRENT(30, LOC, ""PORTAGG"")")</f>
        <v>49.4297083760557</v>
      </c>
      <c r="K6" s="77">
        <f>HLOOKUP(B6,'Index earnings'!$A$1:$V$26,26,FALSE)</f>
        <v>3.6620331475524681E-2</v>
      </c>
      <c r="L6">
        <f>HLOOKUP(B6,'Yearly returns'!$B$1:$V$128,126,FALSE)</f>
        <v>-50.217154999999998</v>
      </c>
      <c r="M6">
        <f t="shared" si="0"/>
        <v>4.288581596831115</v>
      </c>
      <c r="N6" cm="1">
        <f t="array" ref="N6">_xlfn.PERCENTRANK.EXC(_xlfn._xlws.FILTER(M$2:M$22, ISNUMBER(M$2:M$22)),M6)*100</f>
        <v>22.7</v>
      </c>
      <c r="O6" cm="1">
        <f t="array" ref="O6">(1-_xlfn.PERCENTRANK.EXC(_xlfn._xlws.FILTER(J$2:J$22, ISNUMBER(J$2:J$22)),J6))*100</f>
        <v>22.799999999999997</v>
      </c>
      <c r="P6" cm="1">
        <f t="array" ref="P6">_xlfn.PERCENTRANK.EXC(_xlfn._xlws.FILTER(K$2:K$22, ISNUMBER(K$2:K$22)),K6)*100</f>
        <v>54.500000000000007</v>
      </c>
      <c r="Q6" cm="1">
        <f t="array" ref="Q6">_xlfn.PERCENTRANK.EXC(_xlfn._xlws.FILTER(L$2:L$22, ISNUMBER(L$2:L$22)),L6)*100</f>
        <v>27.200000000000003</v>
      </c>
      <c r="R6">
        <f>N6*Assumption!$F$64 + O6*Assumption!$F$61 + P6*Assumption!$F$62 + Q6*Assumption!$F$63</f>
        <v>31.8</v>
      </c>
      <c r="S6" cm="1">
        <f t="array" ref="S6">_xlfn.PERCENTRANK.EXC(_xlfn._xlws.FILTER(R$2:R$22, ISNUMBER(R$2:R$22)),R6)*100</f>
        <v>9</v>
      </c>
    </row>
    <row r="7" spans="1:19" x14ac:dyDescent="0.35">
      <c r="A7" t="s">
        <v>29</v>
      </c>
      <c r="B7" t="s">
        <v>29</v>
      </c>
      <c r="C7" t="s">
        <v>440</v>
      </c>
      <c r="D7" t="s">
        <v>112</v>
      </c>
      <c r="E7" t="s">
        <v>137</v>
      </c>
      <c r="F7" t="str" cm="1">
        <f t="array" ref="F7">_xll.FDS(E7,"FG_YIELD_NAME")</f>
        <v>Treasury - Peru Benchmark Bond 10Y</v>
      </c>
      <c r="G7">
        <f>VLOOKUP(A7,'LIQIDITY 2'!$A$3:$E$26,5,FALSE)</f>
        <v>7.0888929999999997</v>
      </c>
      <c r="H7" cm="1">
        <f t="array" ref="H7">_xll.FDS(B7,"FG_ROE(0)")</f>
        <v>9.3213374578468002</v>
      </c>
      <c r="I7">
        <f>HLOOKUP(B7,'Index ROE'!$B$1:$V$25,24,FALSE)</f>
        <v>12.9324474391171</v>
      </c>
      <c r="J7" cm="1">
        <f t="array" ref="J7">_xll.FDS(B7, "FMA_RBICS_REV_CURRENT(30, LOC, ""PORTAGG"")")</f>
        <v>24.307393617384299</v>
      </c>
      <c r="K7" s="77">
        <f>HLOOKUP(B7,'Index earnings'!$A$1:$V$26,26,FALSE)</f>
        <v>1.6222354113517135E-2</v>
      </c>
      <c r="L7">
        <f>HLOOKUP(B7,'Yearly returns'!$B$1:$V$128,126,FALSE)</f>
        <v>-44.580979999999997</v>
      </c>
      <c r="M7">
        <f t="shared" si="0"/>
        <v>5.8435544391171002</v>
      </c>
      <c r="N7" cm="1">
        <f t="array" ref="N7">_xlfn.PERCENTRANK.EXC(_xlfn._xlws.FILTER(M$2:M$22, ISNUMBER(M$2:M$22)),M7)*100</f>
        <v>31.8</v>
      </c>
      <c r="O7" cm="1">
        <f t="array" ref="O7">(1-_xlfn.PERCENTRANK.EXC(_xlfn._xlws.FILTER(J$2:J$22, ISNUMBER(J$2:J$22)),J7))*100</f>
        <v>68.199999999999989</v>
      </c>
      <c r="P7" cm="1">
        <f t="array" ref="P7">_xlfn.PERCENTRANK.EXC(_xlfn._xlws.FILTER(K$2:K$22, ISNUMBER(K$2:K$22)),K7)*100</f>
        <v>31.8</v>
      </c>
      <c r="Q7" cm="1">
        <f t="array" ref="Q7">_xlfn.PERCENTRANK.EXC(_xlfn._xlws.FILTER(L$2:L$22, ISNUMBER(L$2:L$22)),L7)*100</f>
        <v>40.9</v>
      </c>
      <c r="R7">
        <f>N7*Assumption!$F$64 + O7*Assumption!$F$61 + P7*Assumption!$F$62 + Q7*Assumption!$F$63</f>
        <v>43.174999999999997</v>
      </c>
      <c r="S7" cm="1">
        <f t="array" ref="S7">_xlfn.PERCENTRANK.EXC(_xlfn._xlws.FILTER(R$2:R$22, ISNUMBER(R$2:R$22)),R7)*100</f>
        <v>31.8</v>
      </c>
    </row>
    <row r="8" spans="1:19" x14ac:dyDescent="0.35">
      <c r="A8" t="s">
        <v>33</v>
      </c>
      <c r="B8" t="s">
        <v>33</v>
      </c>
      <c r="C8" t="s">
        <v>441</v>
      </c>
      <c r="D8" t="s">
        <v>122</v>
      </c>
      <c r="E8" t="s">
        <v>145</v>
      </c>
      <c r="F8" t="str" cm="1">
        <f t="array" ref="F8">_xll.FDS(E8,"FG_YIELD_NAME")</f>
        <v>Treasury - Malaysia Benchmark Bond 10Y</v>
      </c>
      <c r="G8">
        <f>VLOOKUP(A8,'LIQIDITY 2'!$A$3:$E$26,5,FALSE)</f>
        <v>3.88557</v>
      </c>
      <c r="H8" cm="1">
        <f t="array" ref="H8">_xll.FDS(B8,"FG_ROE(0)")</f>
        <v>7.9778235918649498</v>
      </c>
      <c r="I8">
        <f>HLOOKUP(B8,'Index ROE'!$B$1:$V$25,24,FALSE)</f>
        <v>11.93920849991995</v>
      </c>
      <c r="J8" cm="1">
        <f t="array" ref="J8">_xll.FDS(B8, "FMA_RBICS_REV_CURRENT(30, LOC, ""PORTAGG"")")</f>
        <v>39.854243257012797</v>
      </c>
      <c r="K8" s="77">
        <f>HLOOKUP(B8,'Index earnings'!$A$1:$V$26,26,FALSE)</f>
        <v>2.538209198075303E-2</v>
      </c>
      <c r="L8">
        <f>HLOOKUP(B8,'Yearly returns'!$B$1:$V$128,126,FALSE)</f>
        <v>-37.239806999999999</v>
      </c>
      <c r="M8">
        <f t="shared" si="0"/>
        <v>8.0536384999199502</v>
      </c>
      <c r="N8" cm="1">
        <f t="array" ref="N8">_xlfn.PERCENTRANK.EXC(_xlfn._xlws.FILTER(M$2:M$22, ISNUMBER(M$2:M$22)),M8)*100</f>
        <v>59</v>
      </c>
      <c r="O8" cm="1">
        <f t="array" ref="O8">(1-_xlfn.PERCENTRANK.EXC(_xlfn._xlws.FILTER(J$2:J$22, ISNUMBER(J$2:J$22)),J8))*100</f>
        <v>45.499999999999993</v>
      </c>
      <c r="P8" cm="1">
        <f t="array" ref="P8">_xlfn.PERCENTRANK.EXC(_xlfn._xlws.FILTER(K$2:K$22, ISNUMBER(K$2:K$22)),K8)*100</f>
        <v>50</v>
      </c>
      <c r="Q8" cm="1">
        <f t="array" ref="Q8">_xlfn.PERCENTRANK.EXC(_xlfn._xlws.FILTER(L$2:L$22, ISNUMBER(L$2:L$22)),L8)*100</f>
        <v>72.7</v>
      </c>
      <c r="R8">
        <f>N8*Assumption!$F$64 + O8*Assumption!$F$61 + P8*Assumption!$F$62 + Q8*Assumption!$F$63</f>
        <v>56.8</v>
      </c>
      <c r="S8" cm="1">
        <f t="array" ref="S8">_xlfn.PERCENTRANK.EXC(_xlfn._xlws.FILTER(R$2:R$22, ISNUMBER(R$2:R$22)),R8)*100</f>
        <v>68.100000000000009</v>
      </c>
    </row>
    <row r="9" spans="1:19" x14ac:dyDescent="0.35">
      <c r="A9" t="s">
        <v>24</v>
      </c>
      <c r="B9" t="s">
        <v>24</v>
      </c>
      <c r="C9" t="s">
        <v>40</v>
      </c>
      <c r="D9" t="s">
        <v>103</v>
      </c>
      <c r="E9" t="s">
        <v>131</v>
      </c>
      <c r="F9" t="str" cm="1">
        <f t="array" ref="F9">_xll.FDS(E9,"FG_YIELD_NAME")</f>
        <v>Taiwan China Benchmark Bond - 10 Year</v>
      </c>
      <c r="G9">
        <f>VLOOKUP(A9,'LIQIDITY 2'!$A$3:$E$26,5,FALSE)</f>
        <v>1.6</v>
      </c>
      <c r="H9" cm="1">
        <f t="array" ref="H9">_xll.FDS(B9,"FG_ROE(0)")</f>
        <v>10.2989706158129</v>
      </c>
      <c r="I9">
        <f>HLOOKUP(B9,'Index ROE'!$B$1:$V$25,24,FALSE)</f>
        <v>12.14902034365935</v>
      </c>
      <c r="J9" cm="1">
        <f t="array" ref="J9">_xll.FDS(B9, "FMA_RBICS_REV_CURRENT(30, LOC, ""PORTAGG"")")</f>
        <v>18.3096455592651</v>
      </c>
      <c r="K9" s="77">
        <f>HLOOKUP(B9,'Index earnings'!$A$1:$V$26,26,FALSE)</f>
        <v>3.7645355776196432E-2</v>
      </c>
      <c r="L9">
        <f>HLOOKUP(B9,'Yearly returns'!$B$1:$V$128,126,FALSE)</f>
        <v>-30.393135000000001</v>
      </c>
      <c r="M9">
        <f t="shared" si="0"/>
        <v>10.54902034365935</v>
      </c>
      <c r="N9" cm="1">
        <f t="array" ref="N9">_xlfn.PERCENTRANK.EXC(_xlfn._xlws.FILTER(M$2:M$22, ISNUMBER(M$2:M$22)),M9)*100</f>
        <v>81.8</v>
      </c>
      <c r="O9" cm="1">
        <f t="array" ref="O9">(1-_xlfn.PERCENTRANK.EXC(_xlfn._xlws.FILTER(J$2:J$22, ISNUMBER(J$2:J$22)),J9))*100</f>
        <v>91</v>
      </c>
      <c r="P9" cm="1">
        <f t="array" ref="P9">_xlfn.PERCENTRANK.EXC(_xlfn._xlws.FILTER(K$2:K$22, ISNUMBER(K$2:K$22)),K9)*100</f>
        <v>59</v>
      </c>
      <c r="Q9" cm="1">
        <f t="array" ref="Q9">_xlfn.PERCENTRANK.EXC(_xlfn._xlws.FILTER(L$2:L$22, ISNUMBER(L$2:L$22)),L9)*100</f>
        <v>86.3</v>
      </c>
      <c r="R9">
        <f>N9*Assumption!$F$64 + O9*Assumption!$F$61 + P9*Assumption!$F$62 + Q9*Assumption!$F$63</f>
        <v>79.525000000000006</v>
      </c>
      <c r="S9" cm="1">
        <f t="array" ref="S9">_xlfn.PERCENTRANK.EXC(_xlfn._xlws.FILTER(R$2:R$22, ISNUMBER(R$2:R$22)),R9)*100</f>
        <v>90.9</v>
      </c>
    </row>
    <row r="10" spans="1:19" x14ac:dyDescent="0.35">
      <c r="A10" t="s">
        <v>7</v>
      </c>
      <c r="B10" t="s">
        <v>7</v>
      </c>
      <c r="C10" t="s">
        <v>53</v>
      </c>
      <c r="D10" t="s">
        <v>121</v>
      </c>
      <c r="E10" t="s">
        <v>15</v>
      </c>
      <c r="F10" t="str" cm="1">
        <f t="array" ref="F10">_xll.FDS(E10,"FG_YIELD_NAME")</f>
        <v>Treasury - Mexico Benchmark Bond 10Y</v>
      </c>
      <c r="G10">
        <f>VLOOKUP(A10,'LIQIDITY 2'!$A$3:$E$26,5,FALSE)</f>
        <v>9.7367000000000008</v>
      </c>
      <c r="H10" cm="1">
        <f t="array" ref="H10">_xll.FDS(B10,"FG_ROE(0)")</f>
        <v>11.317880475932601</v>
      </c>
      <c r="I10">
        <f>HLOOKUP(B10,'Index ROE'!$B$1:$V$25,24,FALSE)</f>
        <v>12.78064669069385</v>
      </c>
      <c r="J10" cm="1">
        <f t="array" ref="J10">_xll.FDS(B10, "FMA_RBICS_REV_CURRENT(30, LOC, ""PORTAGG"")")</f>
        <v>28.2940362049637</v>
      </c>
      <c r="K10" s="77">
        <f>HLOOKUP(B10,'Index earnings'!$A$1:$V$26,26,FALSE)</f>
        <v>5.8038772053721877E-2</v>
      </c>
      <c r="L10">
        <f>HLOOKUP(B10,'Yearly returns'!$B$1:$V$128,126,FALSE)</f>
        <v>-41.163764999999998</v>
      </c>
      <c r="M10">
        <f t="shared" si="0"/>
        <v>3.0439466906938488</v>
      </c>
      <c r="N10" cm="1">
        <f t="array" ref="N10">_xlfn.PERCENTRANK.EXC(_xlfn._xlws.FILTER(M$2:M$22, ISNUMBER(M$2:M$22)),M10)*100</f>
        <v>18.099999999999998</v>
      </c>
      <c r="O10" cm="1">
        <f t="array" ref="O10">(1-_xlfn.PERCENTRANK.EXC(_xlfn._xlws.FILTER(J$2:J$22, ISNUMBER(J$2:J$22)),J10))*100</f>
        <v>59.099999999999994</v>
      </c>
      <c r="P10" cm="1">
        <f t="array" ref="P10">_xlfn.PERCENTRANK.EXC(_xlfn._xlws.FILTER(K$2:K$22, ISNUMBER(K$2:K$22)),K10)*100</f>
        <v>72.7</v>
      </c>
      <c r="Q10" cm="1">
        <f t="array" ref="Q10">_xlfn.PERCENTRANK.EXC(_xlfn._xlws.FILTER(L$2:L$22, ISNUMBER(L$2:L$22)),L10)*100</f>
        <v>54.500000000000007</v>
      </c>
      <c r="R10">
        <f>N10*Assumption!$F$64 + O10*Assumption!$F$61 + P10*Assumption!$F$62 + Q10*Assumption!$F$63</f>
        <v>51.099999999999994</v>
      </c>
      <c r="S10" cm="1">
        <f t="array" ref="S10">_xlfn.PERCENTRANK.EXC(_xlfn._xlws.FILTER(R$2:R$22, ISNUMBER(R$2:R$22)),R10)*100</f>
        <v>59</v>
      </c>
    </row>
    <row r="11" spans="1:19" x14ac:dyDescent="0.35">
      <c r="A11" t="s">
        <v>21</v>
      </c>
      <c r="B11" t="s">
        <v>21</v>
      </c>
      <c r="C11" t="s">
        <v>38</v>
      </c>
      <c r="D11" t="s">
        <v>101</v>
      </c>
      <c r="E11" t="s">
        <v>130</v>
      </c>
      <c r="F11" t="str" cm="1">
        <f t="array" ref="F11">_xll.FDS(E11,"FG_YIELD_NAME")</f>
        <v>South Korea Benchmark Bond - 10 Year</v>
      </c>
      <c r="G11">
        <f>VLOOKUP(A11,'LIQIDITY 2'!$A$3:$E$26,5,FALSE)</f>
        <v>3.4672000000000001</v>
      </c>
      <c r="H11" cm="1">
        <f t="array" ref="H11">_xll.FDS(B11,"FG_ROE(0)")</f>
        <v>6.2372139340038899</v>
      </c>
      <c r="I11">
        <f>HLOOKUP(B11,'Index ROE'!$B$1:$V$25,24,FALSE)</f>
        <v>10.67142731585205</v>
      </c>
      <c r="J11" cm="1">
        <f t="array" ref="J11">_xll.FDS(B11, "FMA_RBICS_REV_CURRENT(30, LOC, ""PORTAGG"")")</f>
        <v>14.7627270982914</v>
      </c>
      <c r="K11" s="77">
        <f>HLOOKUP(B11,'Index earnings'!$A$1:$V$26,26,FALSE)</f>
        <v>2.4574898584932559E-2</v>
      </c>
      <c r="L11">
        <f>HLOOKUP(B11,'Yearly returns'!$B$1:$V$128,126,FALSE)</f>
        <v>-38.473289999999999</v>
      </c>
      <c r="M11">
        <f t="shared" si="0"/>
        <v>7.2042273158520498</v>
      </c>
      <c r="N11" cm="1">
        <f t="array" ref="N11">_xlfn.PERCENTRANK.EXC(_xlfn._xlws.FILTER(M$2:M$22, ISNUMBER(M$2:M$22)),M11)*100</f>
        <v>50</v>
      </c>
      <c r="O11" cm="1">
        <f t="array" ref="O11">(1-_xlfn.PERCENTRANK.EXC(_xlfn._xlws.FILTER(J$2:J$22, ISNUMBER(J$2:J$22)),J11))*100</f>
        <v>95.5</v>
      </c>
      <c r="P11" cm="1">
        <f t="array" ref="P11">_xlfn.PERCENTRANK.EXC(_xlfn._xlws.FILTER(K$2:K$22, ISNUMBER(K$2:K$22)),K11)*100</f>
        <v>45.4</v>
      </c>
      <c r="Q11" cm="1">
        <f t="array" ref="Q11">_xlfn.PERCENTRANK.EXC(_xlfn._xlws.FILTER(L$2:L$22, ISNUMBER(L$2:L$22)),L11)*100</f>
        <v>63.6</v>
      </c>
      <c r="R11">
        <f>N11*Assumption!$F$64 + O11*Assumption!$F$61 + P11*Assumption!$F$62 + Q11*Assumption!$F$63</f>
        <v>63.625</v>
      </c>
      <c r="S11" cm="1">
        <f t="array" ref="S11">_xlfn.PERCENTRANK.EXC(_xlfn._xlws.FILTER(R$2:R$22, ISNUMBER(R$2:R$22)),R11)*100</f>
        <v>81.8</v>
      </c>
    </row>
    <row r="12" spans="1:19" x14ac:dyDescent="0.35">
      <c r="A12" t="s">
        <v>12</v>
      </c>
      <c r="B12" t="s">
        <v>12</v>
      </c>
      <c r="C12" t="s">
        <v>54</v>
      </c>
      <c r="D12" t="s">
        <v>127</v>
      </c>
      <c r="E12" t="s">
        <v>20</v>
      </c>
      <c r="F12" t="str" cm="1">
        <f t="array" ref="F12">_xll.FDS(E12,"FG_YIELD_NAME")</f>
        <v>Treasury - Brazil Benchmark Bond 10Y</v>
      </c>
      <c r="G12">
        <f>VLOOKUP(A12,'LIQIDITY 2'!$A$3:$E$26,5,FALSE)</f>
        <v>11.854141</v>
      </c>
      <c r="H12" cm="1">
        <f t="array" ref="H12">_xll.FDS(B12,"FG_ROE(0)")</f>
        <v>19.007970798524799</v>
      </c>
      <c r="I12">
        <f>HLOOKUP(B12,'Index ROE'!$B$1:$V$25,24,FALSE)</f>
        <v>14.78911439535835</v>
      </c>
      <c r="J12" cm="1">
        <f t="array" ref="J12">_xll.FDS(B12, "FMA_RBICS_REV_CURRENT(30, LOC, ""PORTAGG"")")</f>
        <v>26.411804348612399</v>
      </c>
      <c r="K12" s="77">
        <f>HLOOKUP(B12,'Index earnings'!$A$1:$V$26,26,FALSE)</f>
        <v>2.1296154873781781E-2</v>
      </c>
      <c r="L12">
        <f>HLOOKUP(B12,'Yearly returns'!$B$1:$V$128,126,FALSE)</f>
        <v>-53.172694999999997</v>
      </c>
      <c r="M12">
        <f t="shared" si="0"/>
        <v>2.9349733953583499</v>
      </c>
      <c r="N12" cm="1">
        <f t="array" ref="N12">_xlfn.PERCENTRANK.EXC(_xlfn._xlws.FILTER(M$2:M$22, ISNUMBER(M$2:M$22)),M12)*100</f>
        <v>13.600000000000001</v>
      </c>
      <c r="O12" cm="1">
        <f t="array" ref="O12">(1-_xlfn.PERCENTRANK.EXC(_xlfn._xlws.FILTER(J$2:J$22, ISNUMBER(J$2:J$22)),J12))*100</f>
        <v>63.7</v>
      </c>
      <c r="P12" cm="1">
        <f t="array" ref="P12">_xlfn.PERCENTRANK.EXC(_xlfn._xlws.FILTER(K$2:K$22, ISNUMBER(K$2:K$22)),K12)*100</f>
        <v>36.299999999999997</v>
      </c>
      <c r="Q12" cm="1">
        <f t="array" ref="Q12">_xlfn.PERCENTRANK.EXC(_xlfn._xlws.FILTER(L$2:L$22, ISNUMBER(L$2:L$22)),L12)*100</f>
        <v>13.600000000000001</v>
      </c>
      <c r="R12">
        <f>N12*Assumption!$F$64 + O12*Assumption!$F$61 + P12*Assumption!$F$62 + Q12*Assumption!$F$63</f>
        <v>31.800000000000004</v>
      </c>
      <c r="S12" cm="1">
        <f t="array" ref="S12">_xlfn.PERCENTRANK.EXC(_xlfn._xlws.FILTER(R$2:R$22, ISNUMBER(R$2:R$22)),R12)*100</f>
        <v>13.600000000000001</v>
      </c>
    </row>
    <row r="13" spans="1:19" x14ac:dyDescent="0.35">
      <c r="A13" t="s">
        <v>22</v>
      </c>
      <c r="B13" t="s">
        <v>22</v>
      </c>
      <c r="C13" t="s">
        <v>442</v>
      </c>
      <c r="D13" t="s">
        <v>99</v>
      </c>
      <c r="E13" t="s">
        <v>128</v>
      </c>
      <c r="F13" t="str" cm="1">
        <f t="array" ref="F13">_xll.FDS(E13,"FG_YIELD_NAME")</f>
        <v>South Africa Benchmark Bond - 10 Year</v>
      </c>
      <c r="G13">
        <f>VLOOKUP(A13,'LIQIDITY 2'!$A$3:$E$26,5,FALSE)</f>
        <v>11.966108</v>
      </c>
      <c r="H13" cm="1">
        <f t="array" ref="H13">_xll.FDS(B13,"FG_ROE(0)")</f>
        <v>14.888783186719101</v>
      </c>
      <c r="I13">
        <f>HLOOKUP(B13,'Index ROE'!$B$1:$V$25,24,FALSE)</f>
        <v>16.7616860731518</v>
      </c>
      <c r="J13" cm="1">
        <f t="array" ref="J13">_xll.FDS(B13, "FMA_RBICS_REV_CURRENT(30, LOC, ""PORTAGG"")")</f>
        <v>41.094410296770697</v>
      </c>
      <c r="K13" s="77">
        <f>HLOOKUP(B13,'Index earnings'!$A$1:$V$26,26,FALSE)</f>
        <v>2.384197868685578E-2</v>
      </c>
      <c r="L13">
        <f>HLOOKUP(B13,'Yearly returns'!$B$1:$V$128,126,FALSE)</f>
        <v>-46.048606999999997</v>
      </c>
      <c r="M13">
        <f t="shared" si="0"/>
        <v>4.7955780731518001</v>
      </c>
      <c r="N13" cm="1">
        <f t="array" ref="N13">_xlfn.PERCENTRANK.EXC(_xlfn._xlws.FILTER(M$2:M$22, ISNUMBER(M$2:M$22)),M13)*100</f>
        <v>27.200000000000003</v>
      </c>
      <c r="O13" cm="1">
        <f t="array" ref="O13">(1-_xlfn.PERCENTRANK.EXC(_xlfn._xlws.FILTER(J$2:J$22, ISNUMBER(J$2:J$22)),J13))*100</f>
        <v>41</v>
      </c>
      <c r="P13" cm="1">
        <f t="array" ref="P13">_xlfn.PERCENTRANK.EXC(_xlfn._xlws.FILTER(K$2:K$22, ISNUMBER(K$2:K$22)),K13)*100</f>
        <v>40.9</v>
      </c>
      <c r="Q13" cm="1">
        <f t="array" ref="Q13">_xlfn.PERCENTRANK.EXC(_xlfn._xlws.FILTER(L$2:L$22, ISNUMBER(L$2:L$22)),L13)*100</f>
        <v>31.8</v>
      </c>
      <c r="R13">
        <f>N13*Assumption!$F$64 + O13*Assumption!$F$61 + P13*Assumption!$F$62 + Q13*Assumption!$F$63</f>
        <v>35.225000000000001</v>
      </c>
      <c r="S13" cm="1">
        <f t="array" ref="S13">_xlfn.PERCENTRANK.EXC(_xlfn._xlws.FILTER(R$2:R$22, ISNUMBER(R$2:R$22)),R13)*100</f>
        <v>18.099999999999998</v>
      </c>
    </row>
    <row r="14" spans="1:19" x14ac:dyDescent="0.35">
      <c r="A14" t="s">
        <v>28</v>
      </c>
      <c r="B14" t="s">
        <v>28</v>
      </c>
      <c r="C14" t="s">
        <v>443</v>
      </c>
      <c r="D14" t="s">
        <v>111</v>
      </c>
      <c r="E14" t="s">
        <v>136</v>
      </c>
      <c r="F14" t="str" cm="1">
        <f t="array" ref="F14">_xll.FDS(E14,"FG_YIELD_NAME")</f>
        <v>Greece Benchmark Bond - 10 Year</v>
      </c>
      <c r="G14">
        <f>VLOOKUP(A14,'LIQIDITY 2'!$A$3:$E$26,5,FALSE)</f>
        <v>3.5920000000000001</v>
      </c>
      <c r="H14" cm="1">
        <f t="array" ref="H14">_xll.FDS(B14,"FG_ROE(0)")</f>
        <v>14.5558814909961</v>
      </c>
      <c r="I14">
        <f>HLOOKUP(B14,'Index ROE'!$B$1:$V$25,24,FALSE)</f>
        <v>5.4192242708958744</v>
      </c>
      <c r="J14" cm="1">
        <f t="array" ref="J14">_xll.FDS(B14, "FMA_RBICS_REV_CURRENT(30, LOC, ""PORTAGG"")")</f>
        <v>43.990079900143698</v>
      </c>
      <c r="K14" s="77">
        <f>HLOOKUP(B14,'Index earnings'!$A$1:$V$26,26,FALSE)</f>
        <v>-9.9977006807554725E-2</v>
      </c>
      <c r="L14">
        <f>HLOOKUP(B14,'Yearly returns'!$B$1:$V$128,126,FALSE)</f>
        <v>-54.621259999999999</v>
      </c>
      <c r="M14">
        <f t="shared" si="0"/>
        <v>1.8272242708958744</v>
      </c>
      <c r="N14" cm="1">
        <f t="array" ref="N14">_xlfn.PERCENTRANK.EXC(_xlfn._xlws.FILTER(M$2:M$22, ISNUMBER(M$2:M$22)),M14)*100</f>
        <v>9</v>
      </c>
      <c r="O14" cm="1">
        <f t="array" ref="O14">(1-_xlfn.PERCENTRANK.EXC(_xlfn._xlws.FILTER(J$2:J$22, ISNUMBER(J$2:J$22)),J14))*100</f>
        <v>27.3</v>
      </c>
      <c r="P14" cm="1">
        <f t="array" ref="P14">_xlfn.PERCENTRANK.EXC(_xlfn._xlws.FILTER(K$2:K$22, ISNUMBER(K$2:K$22)),K14)*100</f>
        <v>4.5</v>
      </c>
      <c r="Q14" cm="1">
        <f t="array" ref="Q14">_xlfn.PERCENTRANK.EXC(_xlfn._xlws.FILTER(L$2:L$22, ISNUMBER(L$2:L$22)),L14)*100</f>
        <v>9</v>
      </c>
      <c r="R14">
        <f>N14*Assumption!$F$64 + O14*Assumption!$F$61 + P14*Assumption!$F$62 + Q14*Assumption!$F$63</f>
        <v>12.45</v>
      </c>
      <c r="S14" cm="1">
        <f t="array" ref="S14">_xlfn.PERCENTRANK.EXC(_xlfn._xlws.FILTER(R$2:R$22, ISNUMBER(R$2:R$22)),R14)*100</f>
        <v>4.5</v>
      </c>
    </row>
    <row r="15" spans="1:19" x14ac:dyDescent="0.35">
      <c r="A15" t="s">
        <v>32</v>
      </c>
      <c r="B15" t="s">
        <v>32</v>
      </c>
      <c r="C15" t="s">
        <v>52</v>
      </c>
      <c r="D15" t="s">
        <v>118</v>
      </c>
      <c r="E15" t="s">
        <v>18</v>
      </c>
      <c r="F15" t="str" cm="1">
        <f t="array" ref="F15">_xll.FDS(E15,"FG_YIELD_NAME")</f>
        <v>India Benchmark Bond - 10 Year</v>
      </c>
      <c r="G15">
        <f>VLOOKUP(A15,'LIQIDITY 2'!$A$3:$E$26,5,FALSE)</f>
        <v>7.0374999999999996</v>
      </c>
      <c r="H15" cm="1">
        <f t="array" ref="H15">_xll.FDS(B15,"FG_ROE(0)")</f>
        <v>15.173166854442799</v>
      </c>
      <c r="I15">
        <f>HLOOKUP(B15,'Index ROE'!$B$1:$V$25,24,FALSE)</f>
        <v>15.463136340534799</v>
      </c>
      <c r="J15" cm="1">
        <f t="array" ref="J15">_xll.FDS(B15, "FMA_RBICS_REV_CURRENT(30, LOC, ""PORTAGG"")")</f>
        <v>30.319610172020699</v>
      </c>
      <c r="K15" s="77">
        <f>HLOOKUP(B15,'Index earnings'!$A$1:$V$26,26,FALSE)</f>
        <v>6.0150224907122407E-2</v>
      </c>
      <c r="L15">
        <f>HLOOKUP(B15,'Yearly returns'!$B$1:$V$128,126,FALSE)</f>
        <v>-40.292270000000002</v>
      </c>
      <c r="M15">
        <f t="shared" si="0"/>
        <v>8.4256363405347994</v>
      </c>
      <c r="N15" cm="1">
        <f t="array" ref="N15">_xlfn.PERCENTRANK.EXC(_xlfn._xlws.FILTER(M$2:M$22, ISNUMBER(M$2:M$22)),M15)*100</f>
        <v>63.6</v>
      </c>
      <c r="O15" cm="1">
        <f t="array" ref="O15">(1-_xlfn.PERCENTRANK.EXC(_xlfn._xlws.FILTER(J$2:J$22, ISNUMBER(J$2:J$22)),J15))*100</f>
        <v>54.6</v>
      </c>
      <c r="P15" cm="1">
        <f t="array" ref="P15">_xlfn.PERCENTRANK.EXC(_xlfn._xlws.FILTER(K$2:K$22, ISNUMBER(K$2:K$22)),K15)*100</f>
        <v>77.2</v>
      </c>
      <c r="Q15" cm="1">
        <f t="array" ref="Q15">_xlfn.PERCENTRANK.EXC(_xlfn._xlws.FILTER(L$2:L$22, ISNUMBER(L$2:L$22)),L15)*100</f>
        <v>59</v>
      </c>
      <c r="R15">
        <f>N15*Assumption!$F$64 + O15*Assumption!$F$61 + P15*Assumption!$F$62 + Q15*Assumption!$F$63</f>
        <v>63.6</v>
      </c>
      <c r="S15" cm="1">
        <f t="array" ref="S15">_xlfn.PERCENTRANK.EXC(_xlfn._xlws.FILTER(R$2:R$22, ISNUMBER(R$2:R$22)),R15)*100</f>
        <v>77.2</v>
      </c>
    </row>
    <row r="16" spans="1:19" x14ac:dyDescent="0.35">
      <c r="A16" t="s">
        <v>26</v>
      </c>
      <c r="B16" t="s">
        <v>26</v>
      </c>
      <c r="C16" t="s">
        <v>41</v>
      </c>
      <c r="D16" t="s">
        <v>104</v>
      </c>
      <c r="E16" t="s">
        <v>17</v>
      </c>
      <c r="F16" t="str" cm="1">
        <f t="array" ref="F16">_xll.FDS(E16,"FG_YIELD_NAME")</f>
        <v>Treasury - China Benchmark Bond 10Y</v>
      </c>
      <c r="G16">
        <f>VLOOKUP(A16,'LIQIDITY 2'!$A$3:$E$26,5,FALSE)</f>
        <v>2.3176999999999999</v>
      </c>
      <c r="H16" cm="1">
        <f t="array" ref="H16">_xll.FDS(B16,"FG_ROE(0)")</f>
        <v>10.6428124514744</v>
      </c>
      <c r="I16">
        <f>HLOOKUP(B16,'Index ROE'!$B$1:$V$25,24,FALSE)</f>
        <v>12.885451183707399</v>
      </c>
      <c r="J16" cm="1">
        <f t="array" ref="J16">_xll.FDS(B16, "FMA_RBICS_REV_CURRENT(30, LOC, ""PORTAGG"")")</f>
        <v>24.018920205800399</v>
      </c>
      <c r="K16" s="77">
        <f>HLOOKUP(B16,'Index earnings'!$A$1:$V$26,26,FALSE)</f>
        <v>7.2158031213186868E-2</v>
      </c>
      <c r="L16">
        <f>HLOOKUP(B16,'Yearly returns'!$B$1:$V$128,126,FALSE)</f>
        <v>-44.20966</v>
      </c>
      <c r="M16">
        <f t="shared" si="0"/>
        <v>10.567751183707399</v>
      </c>
      <c r="N16" cm="1">
        <f t="array" ref="N16">_xlfn.PERCENTRANK.EXC(_xlfn._xlws.FILTER(M$2:M$22, ISNUMBER(M$2:M$22)),M16)*100</f>
        <v>86.3</v>
      </c>
      <c r="O16" cm="1">
        <f t="array" ref="O16">(1-_xlfn.PERCENTRANK.EXC(_xlfn._xlws.FILTER(J$2:J$22, ISNUMBER(J$2:J$22)),J16))*100</f>
        <v>72.8</v>
      </c>
      <c r="P16" cm="1">
        <f t="array" ref="P16">_xlfn.PERCENTRANK.EXC(_xlfn._xlws.FILTER(K$2:K$22, ISNUMBER(K$2:K$22)),K16)*100</f>
        <v>86.3</v>
      </c>
      <c r="Q16" cm="1">
        <f t="array" ref="Q16">_xlfn.PERCENTRANK.EXC(_xlfn._xlws.FILTER(L$2:L$22, ISNUMBER(L$2:L$22)),L16)*100</f>
        <v>45.4</v>
      </c>
      <c r="R16">
        <f>N16*Assumption!$F$64 + O16*Assumption!$F$61 + P16*Assumption!$F$62 + Q16*Assumption!$F$63</f>
        <v>72.699999999999989</v>
      </c>
      <c r="S16" cm="1">
        <f t="array" ref="S16">_xlfn.PERCENTRANK.EXC(_xlfn._xlws.FILTER(R$2:R$22, ISNUMBER(R$2:R$22)),R16)*100</f>
        <v>86.3</v>
      </c>
    </row>
    <row r="17" spans="1:19" x14ac:dyDescent="0.35">
      <c r="A17" t="s">
        <v>1</v>
      </c>
      <c r="B17" t="s">
        <v>31</v>
      </c>
      <c r="C17" t="s">
        <v>444</v>
      </c>
      <c r="D17" t="s">
        <v>120</v>
      </c>
      <c r="E17" t="s">
        <v>144</v>
      </c>
      <c r="F17" t="str" cm="1">
        <f t="array" ref="F17">_xll.FDS(E17,"FG_YIELD_NAME")</f>
        <v>Treasury - Qatar Benchmark Bond 10Y</v>
      </c>
      <c r="G17">
        <f>VLOOKUP(A17,'LIQIDITY 2'!$A$3:$E$26,5,FALSE)</f>
        <v>4.4767000000000001</v>
      </c>
      <c r="H17" cm="1">
        <f t="array" ref="H17">_xll.FDS(B17,"FG_ROE(0)")</f>
        <v>11.0234017305319</v>
      </c>
      <c r="I17">
        <f>HLOOKUP(B17,'Index ROE'!$B$1:$V$25,24,FALSE)</f>
        <v>12.269166041116101</v>
      </c>
      <c r="J17" cm="1">
        <f t="array" ref="J17">_xll.FDS(B17, "FMA_RBICS_REV_CURRENT(30, LOC, ""PORTAGG"")")</f>
        <v>59.874326435956498</v>
      </c>
      <c r="K17" s="77">
        <f>HLOOKUP(B17,'Index earnings'!$A$1:$V$26,26,FALSE)</f>
        <v>8.8740466700483189E-3</v>
      </c>
      <c r="L17">
        <f>HLOOKUP(B17,'Yearly returns'!$B$1:$V$128,126,FALSE)</f>
        <v>-26.365058999999999</v>
      </c>
      <c r="M17">
        <f t="shared" si="0"/>
        <v>7.7924660411161009</v>
      </c>
      <c r="N17" cm="1">
        <f t="array" ref="N17">_xlfn.PERCENTRANK.EXC(_xlfn._xlws.FILTER(M$2:M$22, ISNUMBER(M$2:M$22)),M17)*100</f>
        <v>54.500000000000007</v>
      </c>
      <c r="O17" cm="1">
        <f t="array" ref="O17">(1-_xlfn.PERCENTRANK.EXC(_xlfn._xlws.FILTER(J$2:J$22, ISNUMBER(J$2:J$22)),J17))*100</f>
        <v>4.6000000000000041</v>
      </c>
      <c r="P17" cm="1">
        <f t="array" ref="P17">_xlfn.PERCENTRANK.EXC(_xlfn._xlws.FILTER(K$2:K$22, ISNUMBER(K$2:K$22)),K17)*100</f>
        <v>22.7</v>
      </c>
      <c r="Q17" cm="1">
        <f t="array" ref="Q17">_xlfn.PERCENTRANK.EXC(_xlfn._xlws.FILTER(L$2:L$22, ISNUMBER(L$2:L$22)),L17)*100</f>
        <v>95.399999999999991</v>
      </c>
      <c r="R17">
        <f>N17*Assumption!$F$64 + O17*Assumption!$F$61 + P17*Assumption!$F$62 + Q17*Assumption!$F$63</f>
        <v>44.3</v>
      </c>
      <c r="S17" cm="1">
        <f t="array" ref="S17">_xlfn.PERCENTRANK.EXC(_xlfn._xlws.FILTER(R$2:R$22, ISNUMBER(R$2:R$22)),R17)*100</f>
        <v>40.9</v>
      </c>
    </row>
    <row r="18" spans="1:19" x14ac:dyDescent="0.35">
      <c r="A18" t="s">
        <v>757</v>
      </c>
      <c r="B18" t="s">
        <v>757</v>
      </c>
      <c r="C18" t="s">
        <v>758</v>
      </c>
      <c r="D18" t="s">
        <v>220</v>
      </c>
      <c r="E18" t="s">
        <v>453</v>
      </c>
      <c r="F18" t="str" cm="1">
        <f t="array" ref="F18">_xll.FDS(E18,"FG_YIELD_NAME")</f>
        <v>Thailand Benchmark Bond - 10 Year</v>
      </c>
      <c r="G18">
        <f>VLOOKUP(A18,'LIQIDITY 2'!$A$3:$E$26,5,FALSE)</f>
        <v>2.8286410000000002</v>
      </c>
      <c r="H18" cm="1">
        <f t="array" ref="H18">_xll.FDS(B18,"FG_ROE(0)")</f>
        <v>7.5451013106632896</v>
      </c>
      <c r="I18">
        <f>HLOOKUP(B18,'Index ROE'!$B$1:$V$25,24,FALSE)</f>
        <v>13.0025654489041</v>
      </c>
      <c r="J18" cm="1">
        <f t="array" ref="J18">_xll.FDS(B18, "FMA_RBICS_REV_CURRENT(30, LOC, ""PORTAGG"")")</f>
        <v>23.908522014059699</v>
      </c>
      <c r="K18" s="77">
        <f>HLOOKUP(B18,'Index earnings'!$A$1:$V$26,26,FALSE)</f>
        <v>1.2617045604024435E-2</v>
      </c>
      <c r="L18">
        <f>HLOOKUP(B18,'Yearly returns'!$B$1:$V$128,126,FALSE)</f>
        <v>-37.771599999999999</v>
      </c>
      <c r="M18">
        <f t="shared" si="0"/>
        <v>10.173924448904099</v>
      </c>
      <c r="N18" cm="1">
        <f t="array" ref="N18">_xlfn.PERCENTRANK.EXC(_xlfn._xlws.FILTER(M$2:M$22, ISNUMBER(M$2:M$22)),M18)*100</f>
        <v>77.2</v>
      </c>
      <c r="O18" cm="1">
        <f t="array" ref="O18">(1-_xlfn.PERCENTRANK.EXC(_xlfn._xlws.FILTER(J$2:J$22, ISNUMBER(J$2:J$22)),J18))*100</f>
        <v>77.3</v>
      </c>
      <c r="P18" cm="1">
        <f t="array" ref="P18">_xlfn.PERCENTRANK.EXC(_xlfn._xlws.FILTER(K$2:K$22, ISNUMBER(K$2:K$22)),K18)*100</f>
        <v>27.200000000000003</v>
      </c>
      <c r="Q18" cm="1">
        <f t="array" ref="Q18">_xlfn.PERCENTRANK.EXC(_xlfn._xlws.FILTER(L$2:L$22, ISNUMBER(L$2:L$22)),L18)*100</f>
        <v>68.100000000000009</v>
      </c>
      <c r="R18">
        <f>N18*Assumption!$F$64 + O18*Assumption!$F$61 + P18*Assumption!$F$62 + Q18*Assumption!$F$63</f>
        <v>62.45</v>
      </c>
      <c r="S18" cm="1">
        <f t="array" ref="S18">_xlfn.PERCENTRANK.EXC(_xlfn._xlws.FILTER(R$2:R$22, ISNUMBER(R$2:R$22)),R18)*100</f>
        <v>72.7</v>
      </c>
    </row>
    <row r="19" spans="1:19" x14ac:dyDescent="0.35">
      <c r="A19" t="s">
        <v>25</v>
      </c>
      <c r="B19" t="s">
        <v>25</v>
      </c>
      <c r="C19" t="s">
        <v>446</v>
      </c>
      <c r="D19" t="s">
        <v>105</v>
      </c>
      <c r="E19" t="s">
        <v>132</v>
      </c>
      <c r="F19" t="str" cm="1">
        <f t="array" ref="F19">_xll.FDS(E19,"FG_YIELD_NAME")</f>
        <v>Treasury - Turkey Benchmark Bond 7Y</v>
      </c>
      <c r="G19">
        <f>VLOOKUP(A19,'LIQIDITY 2'!$A$3:$E$26,5,FALSE)</f>
        <v>24.4331</v>
      </c>
      <c r="H19" cm="1">
        <f t="array" ref="H19">_xll.FDS(B19,"FG_ROE(0)")</f>
        <v>21.4608202758989</v>
      </c>
      <c r="I19">
        <f>HLOOKUP(B19,'Index ROE'!$B$1:$V$25,24,FALSE)</f>
        <v>14.774119846351301</v>
      </c>
      <c r="J19" cm="1">
        <f t="array" ref="J19">_xll.FDS(B19, "FMA_RBICS_REV_CURRENT(30, LOC, ""PORTAGG"")")</f>
        <v>22.364093064142899</v>
      </c>
      <c r="K19" s="77">
        <f>HLOOKUP(B19,'Index earnings'!$A$1:$V$26,26,FALSE)</f>
        <v>8.2005715561249914E-2</v>
      </c>
      <c r="L19">
        <f>HLOOKUP(B19,'Yearly returns'!$B$1:$V$128,126,FALSE)</f>
        <v>-52.171641999999999</v>
      </c>
      <c r="M19">
        <f t="shared" si="0"/>
        <v>-9.6589801536486988</v>
      </c>
      <c r="N19" cm="1">
        <f t="array" ref="N19">_xlfn.PERCENTRANK.EXC(_xlfn._xlws.FILTER(M$2:M$22, ISNUMBER(M$2:M$22)),M19)*100</f>
        <v>4.5</v>
      </c>
      <c r="O19" cm="1">
        <f t="array" ref="O19">(1-_xlfn.PERCENTRANK.EXC(_xlfn._xlws.FILTER(J$2:J$22, ISNUMBER(J$2:J$22)),J19))*100</f>
        <v>81.899999999999991</v>
      </c>
      <c r="P19" cm="1">
        <f t="array" ref="P19">_xlfn.PERCENTRANK.EXC(_xlfn._xlws.FILTER(K$2:K$22, ISNUMBER(K$2:K$22)),K19)*100</f>
        <v>95.399999999999991</v>
      </c>
      <c r="Q19" cm="1">
        <f t="array" ref="Q19">_xlfn.PERCENTRANK.EXC(_xlfn._xlws.FILTER(L$2:L$22, ISNUMBER(L$2:L$22)),L19)*100</f>
        <v>22.7</v>
      </c>
      <c r="R19">
        <f>N19*Assumption!$F$64 + O19*Assumption!$F$61 + P19*Assumption!$F$62 + Q19*Assumption!$F$63</f>
        <v>51.124999999999993</v>
      </c>
      <c r="S19" cm="1">
        <f t="array" ref="S19">_xlfn.PERCENTRANK.EXC(_xlfn._xlws.FILTER(R$2:R$22, ISNUMBER(R$2:R$22)),R19)*100</f>
        <v>63.6</v>
      </c>
    </row>
    <row r="20" spans="1:19" x14ac:dyDescent="0.35">
      <c r="A20" t="s">
        <v>34</v>
      </c>
      <c r="B20" t="s">
        <v>34</v>
      </c>
      <c r="C20" t="s">
        <v>447</v>
      </c>
      <c r="D20" t="s">
        <v>123</v>
      </c>
      <c r="E20" t="s">
        <v>146</v>
      </c>
      <c r="F20" t="str" cm="1">
        <f t="array" ref="F20">_xll.FDS(E20,"FG_YIELD_NAME")</f>
        <v>Treasury - United Arab Emirates USD Benchmark Bond 10Y</v>
      </c>
      <c r="G20">
        <f>VLOOKUP(A20,'LIQIDITY 2'!$A$3:$E$26,5,FALSE)</f>
        <v>4.9281230000000003</v>
      </c>
      <c r="H20" cm="1">
        <f t="array" ref="H20">_xll.FDS(B20,"FG_ROE(0)")</f>
        <v>12.8880456831335</v>
      </c>
      <c r="I20">
        <f>HLOOKUP(B20,'Index ROE'!$B$1:$V$25,24,FALSE)</f>
        <v>11.156370494280349</v>
      </c>
      <c r="J20" cm="1">
        <f t="array" ref="J20">_xll.FDS(B20, "FMA_RBICS_REV_CURRENT(30, LOC, ""PORTAGG"")")</f>
        <v>58.405426057153697</v>
      </c>
      <c r="K20" s="77">
        <f>HLOOKUP(B20,'Index earnings'!$A$1:$V$26,26,FALSE)</f>
        <v>8.3481705833627906E-3</v>
      </c>
      <c r="L20">
        <f>HLOOKUP(B20,'Yearly returns'!$B$1:$V$128,126,FALSE)</f>
        <v>-36.972610000000003</v>
      </c>
      <c r="M20">
        <f t="shared" si="0"/>
        <v>6.2282474942803487</v>
      </c>
      <c r="N20" cm="1">
        <f t="array" ref="N20">_xlfn.PERCENTRANK.EXC(_xlfn._xlws.FILTER(M$2:M$22, ISNUMBER(M$2:M$22)),M20)*100</f>
        <v>40.9</v>
      </c>
      <c r="O20" cm="1">
        <f t="array" ref="O20">(1-_xlfn.PERCENTRANK.EXC(_xlfn._xlws.FILTER(J$2:J$22, ISNUMBER(J$2:J$22)),J20))*100</f>
        <v>9.0999999999999979</v>
      </c>
      <c r="P20" cm="1">
        <f t="array" ref="P20">_xlfn.PERCENTRANK.EXC(_xlfn._xlws.FILTER(K$2:K$22, ISNUMBER(K$2:K$22)),K20)*100</f>
        <v>18.099999999999998</v>
      </c>
      <c r="Q20" cm="1">
        <f t="array" ref="Q20">_xlfn.PERCENTRANK.EXC(_xlfn._xlws.FILTER(L$2:L$22, ISNUMBER(L$2:L$22)),L20)*100</f>
        <v>77.2</v>
      </c>
      <c r="R20">
        <f>N20*Assumption!$F$64 + O20*Assumption!$F$61 + P20*Assumption!$F$62 + Q20*Assumption!$F$63</f>
        <v>36.325000000000003</v>
      </c>
      <c r="S20" cm="1">
        <f t="array" ref="S20">_xlfn.PERCENTRANK.EXC(_xlfn._xlws.FILTER(R$2:R$22, ISNUMBER(R$2:R$22)),R20)*100</f>
        <v>22.7</v>
      </c>
    </row>
    <row r="21" spans="1:19" x14ac:dyDescent="0.35">
      <c r="A21" t="s">
        <v>37</v>
      </c>
      <c r="B21" t="s">
        <v>37</v>
      </c>
      <c r="C21" t="s">
        <v>448</v>
      </c>
      <c r="D21" t="s">
        <v>126</v>
      </c>
      <c r="E21" t="s">
        <v>149</v>
      </c>
      <c r="F21" t="str" cm="1">
        <f t="array" ref="F21">_xll.FDS(E21,"FG_YIELD_NAME")</f>
        <v>Treasury - Vietnam Benchmark Bond 10Y</v>
      </c>
      <c r="G21">
        <f>VLOOKUP(A21,'LIQIDITY 2'!$A$3:$E$26,5,FALSE)</f>
        <v>2.8704779999999999</v>
      </c>
      <c r="H21" cm="1">
        <f t="array" ref="H21">_xll.FDS(B21,"FG_ROE(0)")</f>
        <v>9.4880291744996903</v>
      </c>
      <c r="I21">
        <f>HLOOKUP(B21,'Index ROE'!$B$1:$V$25,24,FALSE)</f>
        <v>15.109726785561501</v>
      </c>
      <c r="J21" cm="1">
        <f t="array" ref="J21">_xll.FDS(B21, "FMA_RBICS_REV_CURRENT(30, LOC, ""PORTAGG"")")</f>
        <v>56.045046007421298</v>
      </c>
      <c r="K21" s="77">
        <f>HLOOKUP(B21,'Index earnings'!$A$1:$V$26,26,FALSE)</f>
        <v>-4.4922819308067519E-2</v>
      </c>
      <c r="L21">
        <f>HLOOKUP(B21,'Yearly returns'!$B$1:$V$128,126,FALSE)</f>
        <v>-45.643700000000003</v>
      </c>
      <c r="M21">
        <f t="shared" si="0"/>
        <v>12.2392487855615</v>
      </c>
      <c r="N21" cm="1">
        <f t="array" ref="N21">_xlfn.PERCENTRANK.EXC(_xlfn._xlws.FILTER(M$2:M$22, ISNUMBER(M$2:M$22)),M21)*100</f>
        <v>95.399999999999991</v>
      </c>
      <c r="O21" cm="1">
        <f t="array" ref="O21">(1-_xlfn.PERCENTRANK.EXC(_xlfn._xlws.FILTER(J$2:J$22, ISNUMBER(J$2:J$22)),J21))*100</f>
        <v>13.700000000000001</v>
      </c>
      <c r="P21" cm="1">
        <f t="array" ref="P21">_xlfn.PERCENTRANK.EXC(_xlfn._xlws.FILTER(K$2:K$22, ISNUMBER(K$2:K$22)),K21)*100</f>
        <v>9</v>
      </c>
      <c r="Q21" cm="1">
        <f t="array" ref="Q21">_xlfn.PERCENTRANK.EXC(_xlfn._xlws.FILTER(L$2:L$22, ISNUMBER(L$2:L$22)),L21)*100</f>
        <v>36.299999999999997</v>
      </c>
      <c r="R21">
        <f>N21*Assumption!$F$64 + O21*Assumption!$F$61 + P21*Assumption!$F$62 + Q21*Assumption!$F$63</f>
        <v>38.599999999999994</v>
      </c>
      <c r="S21" cm="1">
        <f t="array" ref="S21">_xlfn.PERCENTRANK.EXC(_xlfn._xlws.FILTER(R$2:R$22, ISNUMBER(R$2:R$22)),R21)*100</f>
        <v>27.200000000000003</v>
      </c>
    </row>
    <row r="22" spans="1:19" x14ac:dyDescent="0.35">
      <c r="A22" t="s">
        <v>36</v>
      </c>
      <c r="B22" t="s">
        <v>36</v>
      </c>
      <c r="C22" t="s">
        <v>449</v>
      </c>
      <c r="D22" t="s">
        <v>125</v>
      </c>
      <c r="E22" t="s">
        <v>148</v>
      </c>
      <c r="F22" t="str" cm="1">
        <f t="array" ref="F22">_xll.FDS(E22,"FG_YIELD_NAME")</f>
        <v>Treasury - SAUDI ARABIA Benchmark Bond 10Y</v>
      </c>
      <c r="G22">
        <f>VLOOKUP(A22,'LIQIDITY 2'!$A$3:$E$26,5,FALSE)</f>
        <v>5.2994839999999996</v>
      </c>
      <c r="H22" cm="1">
        <f t="array" ref="H22">_xll.FDS(B22,"FG_ROE(0)")</f>
        <v>10.6591004547012</v>
      </c>
      <c r="I22">
        <f>HLOOKUP(B22,'Index ROE'!$B$1:$V$25,24,FALSE)</f>
        <v>11.9967853551854</v>
      </c>
      <c r="J22" cm="1">
        <f t="array" ref="J22">_xll.FDS(B22, "FMA_RBICS_REV_CURRENT(30, LOC, ""PORTAGG"")")</f>
        <v>43.187260278784102</v>
      </c>
      <c r="K22" s="77">
        <f>HLOOKUP(B22,'Index earnings'!$A$1:$V$26,26,FALSE)</f>
        <v>-1.602793246050882E-2</v>
      </c>
      <c r="L22">
        <f>HLOOKUP(B22,'Yearly returns'!$B$1:$V$128,126,FALSE)</f>
        <v>-34.632786000000003</v>
      </c>
      <c r="M22">
        <f t="shared" si="0"/>
        <v>6.6973013551854006</v>
      </c>
      <c r="N22" cm="1">
        <f t="array" ref="N22">_xlfn.PERCENTRANK.EXC(_xlfn._xlws.FILTER(M$2:M$22, ISNUMBER(M$2:M$22)),M22)*100</f>
        <v>45.4</v>
      </c>
      <c r="O22" cm="1">
        <f t="array" ref="O22">(1-_xlfn.PERCENTRANK.EXC(_xlfn._xlws.FILTER(J$2:J$22, ISNUMBER(J$2:J$22)),J22))*100</f>
        <v>36.4</v>
      </c>
      <c r="P22" cm="1">
        <f t="array" ref="P22">_xlfn.PERCENTRANK.EXC(_xlfn._xlws.FILTER(K$2:K$22, ISNUMBER(K$2:K$22)),K22)*100</f>
        <v>13.600000000000001</v>
      </c>
      <c r="Q22" cm="1">
        <f t="array" ref="Q22">_xlfn.PERCENTRANK.EXC(_xlfn._xlws.FILTER(L$2:L$22, ISNUMBER(L$2:L$22)),L22)*100</f>
        <v>81.8</v>
      </c>
      <c r="R22">
        <f>N22*Assumption!$F$64 + O22*Assumption!$F$61 + P22*Assumption!$F$62 + Q22*Assumption!$F$63</f>
        <v>44.3</v>
      </c>
      <c r="S22" cm="1">
        <f t="array" ref="S22">_xlfn.PERCENTRANK.EXC(_xlfn._xlws.FILTER(R$2:R$22, ISNUMBER(R$2:R$22)),R22)*100</f>
        <v>40.9</v>
      </c>
    </row>
  </sheetData>
  <pageMargins left="0.7" right="0.7" top="0.75" bottom="0.75" header="0.3" footer="0.3"/>
  <ignoredErrors>
    <ignoredError sqref="O2:O22" formula="1"/>
    <ignoredError sqref="R17:S17" evalErro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69"/>
  <sheetViews>
    <sheetView zoomScaleNormal="100" workbookViewId="0">
      <pane xSplit="1" topLeftCell="B1" activePane="topRight" state="frozen"/>
      <selection pane="topRight" activeCell="E19" sqref="E19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34.1796875" bestFit="1" customWidth="1"/>
    <col min="12" max="12" width="17.453125" customWidth="1"/>
    <col min="13" max="13" width="20.1796875" customWidth="1"/>
    <col min="14" max="14" width="13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4.54296875" bestFit="1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51" t="s">
        <v>905</v>
      </c>
      <c r="E1" s="74" t="s">
        <v>906</v>
      </c>
      <c r="F1" s="74" t="s">
        <v>16</v>
      </c>
      <c r="G1" s="74" t="s">
        <v>66</v>
      </c>
      <c r="H1" s="74" t="s">
        <v>62</v>
      </c>
      <c r="I1" s="74" t="s">
        <v>69</v>
      </c>
      <c r="J1" s="74" t="s">
        <v>77</v>
      </c>
      <c r="K1" t="s">
        <v>68</v>
      </c>
      <c r="L1" t="s">
        <v>392</v>
      </c>
      <c r="M1" t="s">
        <v>393</v>
      </c>
      <c r="N1" t="s">
        <v>915</v>
      </c>
      <c r="O1" t="s">
        <v>4</v>
      </c>
      <c r="P1" t="s">
        <v>5</v>
      </c>
      <c r="Q1" t="s">
        <v>9</v>
      </c>
      <c r="R1" t="s">
        <v>512</v>
      </c>
      <c r="S1" t="s">
        <v>72</v>
      </c>
      <c r="T1" t="s">
        <v>517</v>
      </c>
      <c r="U1" t="s">
        <v>518</v>
      </c>
      <c r="V1" t="s">
        <v>513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394</v>
      </c>
      <c r="AD1" t="s">
        <v>395</v>
      </c>
      <c r="AE1" s="74" t="s">
        <v>907</v>
      </c>
      <c r="AF1" s="10" t="s">
        <v>780</v>
      </c>
      <c r="AG1" s="11" t="s">
        <v>916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3">
        <f>Assumption!F24</f>
        <v>0</v>
      </c>
      <c r="Z2" s="23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432</v>
      </c>
      <c r="B3" t="s">
        <v>435</v>
      </c>
      <c r="C3" t="s">
        <v>432</v>
      </c>
      <c r="D3" s="153">
        <f>VLOOKUP(C3,'Market Capitalisation'!$C$2:$G$31,5,FALSE)</f>
        <v>7678675</v>
      </c>
      <c r="E3" cm="1">
        <f t="array" ref="E3">_xll.FDS(C3,"FMA_COS_UP(""EPS"",""1M"",+1,NOW,,,""PORTAGG"",""MEANR"")")</f>
        <v>122</v>
      </c>
      <c r="F3" cm="1">
        <f t="array" ref="F3">_xll.FDS(C3,"FMA_COS_DOWN(""EPS"",""1M"",+1,NOW,,,""PORTAGG"",""MEANR"")")</f>
        <v>293</v>
      </c>
      <c r="G3" cm="1">
        <f t="array" ref="G3">_xll.FDS(A3,"SIZE(FG_CONSTITUENTS)")</f>
        <v>519</v>
      </c>
      <c r="H3" s="9">
        <f t="shared" ref="H3:H23" si="0">E3/$G3</f>
        <v>0.23506743737957611</v>
      </c>
      <c r="I3" s="9">
        <f t="shared" ref="I3:I23" si="1">F3/$G3</f>
        <v>0.56454720616570331</v>
      </c>
      <c r="J3" s="9">
        <f t="shared" ref="J3:J23" si="2">H3-I3</f>
        <v>-0.32947976878612717</v>
      </c>
      <c r="K3" s="5" cm="1">
        <f t="array" ref="K3">_xll.FDS(A3,"FMA_PCT_ABOVE_MAVG(200,0,,,,""PORTAGG"")")/100</f>
        <v>0.55491329479768803</v>
      </c>
      <c r="L3" s="41" cm="1">
        <f t="array" ref="L3">_xll.FDSB(A3,"PERCENT_CHANGE(FMA_EPS(+1,0,,,,""PORTAGG"",""MEAN""),FMA_EPS(+1,-1AM,,,,""PORTAGG"",""MEAN""))")</f>
        <v>-2.6945133205533098</v>
      </c>
      <c r="M3" s="41" cm="1">
        <f t="array" ref="M3">_xll.FDSB(A3,"PERCENT_CHANGE(FMA_EPS(+1,0,,,,""PORTAGG"",""MEAN""),FMA_EPS(+1,-3AM,,,,""PORTAGG"",""MEAN""))")</f>
        <v>-10.1380557773464</v>
      </c>
      <c r="N3" s="3" cm="1">
        <f t="array" ref="N3">_xll.FDS(C3,"FG_TOTAL_RETURNC(0,-1AM)")</f>
        <v>3.0748367000000001</v>
      </c>
      <c r="O3" s="3" cm="1">
        <f t="array" ref="O3">_xll.FDS(C3,"FG_TOTAL_RETURNC(0,-3AM)")</f>
        <v>2.9752730999999999</v>
      </c>
      <c r="P3" s="3" cm="1">
        <f t="array" ref="P3">_xll.FDS(C3,"FG_TOTAL_RETURNC(0,-6AM)")</f>
        <v>0.94761850000000003</v>
      </c>
      <c r="Q3" s="9" cm="1">
        <f t="array" ref="Q3">_xll.FDS(C3,"P_PRICE(0)/P_PRICE_HIGH_PR(0,,,,,,""PRICE"",""INTRA"",""52W"")")</f>
        <v>0.85334617000000001</v>
      </c>
      <c r="R3" s="9" cm="1">
        <f t="array" ref="R3">_xll.FDS(C3,"P_PRICE(0)/P_PRICE_low_PR(0,,,,,,""PRICE"",""INTRA"",""52W"")-1")</f>
        <v>0.15718626999999999</v>
      </c>
      <c r="S3" s="3" cm="1">
        <f t="array" ref="S3">_xll.FDS(C3,"FG_TOTAL_RETURNC(0,-12AM)")</f>
        <v>-8.8529529999999994</v>
      </c>
      <c r="T3" s="4" cm="1">
        <f t="array" ref="T3">_xlfn.PERCENTRANK.EXC(_xlfn._xlws.FILTER($R$3:$R$23, ISNUMBER($R$3:$R$23)),R3)*100</f>
        <v>40.9</v>
      </c>
      <c r="U3" s="4">
        <f t="shared" ref="U3:U23" si="3">100-T3</f>
        <v>59.1</v>
      </c>
      <c r="V3" s="4" cm="1">
        <f t="array" ref="V3">_xlfn.PERCENTRANK.EXC(_xlfn._xlws.FILTER($Q$3:$Q$23, ISNUMBER($Q$3:$Q$23)),Q3)*100</f>
        <v>9</v>
      </c>
      <c r="W3" s="4" cm="1">
        <f t="array" ref="W3">_xlfn.PERCENTRANK.EXC(_xlfn._xlws.FILTER($O$3:$O$23, ISNUMBER($O$3:$O$23)),O3)*100</f>
        <v>50</v>
      </c>
      <c r="X3" s="4" cm="1">
        <f t="array" ref="X3">_xlfn.PERCENTRANK.EXC(_xlfn._xlws.FILTER($P$3:$P$23, ISNUMBER($P$3:$P$23)),P3)*100</f>
        <v>31.8</v>
      </c>
      <c r="Y3" s="200" cm="1">
        <f t="array" ref="Y3">_xlfn.PERCENTRANK.EXC(_xlfn._xlws.FILTER($S$3:$S$23, ISNUMBER($S$3:$S$23)),S3)*100</f>
        <v>18.099999999999998</v>
      </c>
      <c r="Z3" s="4" cm="1">
        <f t="array" ref="Z3">_xlfn.PERCENTRANK.EXC(_xlfn._xlws.FILTER($K$3:$K$23, ISNUMBER($K$3:$K$23)),K3)*100</f>
        <v>36.299999999999997</v>
      </c>
      <c r="AA3" s="4" cm="1">
        <f t="array" ref="AA3">_xlfn.PERCENTRANK.EXC(_xlfn._xlws.FILTER($H$3:$H$23, ISNUMBER($H$3:$H$23)),H3)*100</f>
        <v>22.7</v>
      </c>
      <c r="AB3" s="4" cm="1">
        <f t="array" ref="AB3">_xlfn.PERCENTRANK.EXC(_xlfn._xlws.FILTER($J$3:$J$23, ISNUMBER($J$3:$J$23)),J3)*100</f>
        <v>9</v>
      </c>
      <c r="AC3" s="4">
        <f t="shared" ref="AC3:AC23" si="4">_xlfn.PERCENTRANK.EXC($L$3:$L$23,L3)*100</f>
        <v>9</v>
      </c>
      <c r="AD3" s="4">
        <f t="shared" ref="AD3:AD23" si="5">_xlfn.PERCENTRANK.EXC($M$3:$M$23,M3)*100</f>
        <v>4.5</v>
      </c>
      <c r="AE3" s="4">
        <f t="shared" ref="AE3:AE23" si="6">_xlfn.PERCENTRANK.EXC($D$3:$D$23,D3)*100</f>
        <v>90.9</v>
      </c>
      <c r="AF3" s="4">
        <f>'Economic Momentum'!Q4</f>
        <v>45.4</v>
      </c>
      <c r="AG3" s="4">
        <f ca="1">'Economic Momentum'!R4</f>
        <v>31.8</v>
      </c>
      <c r="AH3" s="4">
        <f t="shared" ref="AH3:AH23" ca="1" si="7">SUMPRODUCT($U$2:$AG$2,U3:AG3)</f>
        <v>28.14</v>
      </c>
      <c r="AJ3" s="3" cm="1">
        <f t="array" aca="1" ref="AJ3" ca="1">_xlfn.PERCENTRANK.EXC(_xlfn._xlws.FILTER($AH$3:$AH$23, ISNUMBER($AH$3:$AH$23)),AH3)*100</f>
        <v>31.8</v>
      </c>
      <c r="AK3">
        <f t="shared" ref="AK3:AK23" si="8">COUNTIF(V3:AB3,"&gt;70")</f>
        <v>0</v>
      </c>
      <c r="AM3" s="4"/>
    </row>
    <row r="4" spans="1:39" x14ac:dyDescent="0.35">
      <c r="A4" t="s">
        <v>27</v>
      </c>
      <c r="B4" t="s">
        <v>436</v>
      </c>
      <c r="C4" t="s">
        <v>27</v>
      </c>
      <c r="D4" s="153">
        <f>VLOOKUP(C4,'Market Capitalisation'!$C$2:$G$31,5,FALSE)</f>
        <v>152863.9</v>
      </c>
      <c r="E4" cm="1">
        <f t="array" ref="E4">_xll.FDS(C4,"FMA_COS_UP(""EPS"",""1M"",+1,NOW,,,""PORTAGG"",""MEANR"")")</f>
        <v>10</v>
      </c>
      <c r="F4" cm="1">
        <f t="array" ref="F4">_xll.FDS(C4,"FMA_COS_DOWN(""EPS"",""1M"",+1,NOW,,,""PORTAGG"",""MEANR"")")</f>
        <v>10</v>
      </c>
      <c r="G4" cm="1">
        <f t="array" ref="G4">_xll.FDS(A4,"SIZE(FG_CONSTITUENTS)")</f>
        <v>29</v>
      </c>
      <c r="H4" s="9">
        <f t="shared" si="0"/>
        <v>0.34482758620689657</v>
      </c>
      <c r="I4" s="9">
        <f t="shared" si="1"/>
        <v>0.34482758620689657</v>
      </c>
      <c r="J4" s="9">
        <f t="shared" si="2"/>
        <v>0</v>
      </c>
      <c r="K4" s="5" cm="1">
        <f t="array" ref="K4">_xll.FDS(A4,"FMA_PCT_ABOVE_MAVG(200,0,,,,""PORTAGG"")")/100</f>
        <v>0.75862068965517193</v>
      </c>
      <c r="L4" s="41" cm="1">
        <f t="array" ref="L4">_xll.FDSB(A4,"PERCENT_CHANGE(FMA_EPS(+1,0,,,,""PORTAGG"",""MEAN""),FMA_EPS(+1,-1AM,,,,""PORTAGG"",""MEAN""))")</f>
        <v>8.6621280179264897</v>
      </c>
      <c r="M4" s="41" cm="1">
        <f t="array" ref="M4">_xll.FDSB(A4,"PERCENT_CHANGE(FMA_EPS(+1,0,,,,""PORTAGG"",""MEAN""),FMA_EPS(+1,-3AM,,,,""PORTAGG"",""MEAN""))")</f>
        <v>5.6942839280319797</v>
      </c>
      <c r="N4" s="3" cm="1">
        <f t="array" ref="N4">_xll.FDS(C4,"FG_TOTAL_RETURNC(0,-1AM)")</f>
        <v>9.2209339999999997</v>
      </c>
      <c r="O4" s="3" cm="1">
        <f t="array" ref="O4">_xll.FDS(C4,"FG_TOTAL_RETURNC(0,-3AM)")</f>
        <v>15.479517</v>
      </c>
      <c r="P4" s="3" cm="1">
        <f t="array" ref="P4">_xll.FDS(C4,"FG_TOTAL_RETURNC(0,-6AM)")</f>
        <v>9.7171190000000003</v>
      </c>
      <c r="Q4" s="9" cm="1">
        <f t="array" ref="Q4">_xll.FDS(C4,"P_PRICE(0)/P_PRICE_HIGH_PR(0,,,,,,""PRICE"",""INTRA"",""52W"")")</f>
        <v>0.90517780000000003</v>
      </c>
      <c r="R4" s="9" cm="1">
        <f t="array" ref="R4">_xll.FDS(C4,"P_PRICE(0)/P_PRICE_low_PR(0,,,,,,""PRICE"",""INTRA"",""52W"")-1")</f>
        <v>0.22602451000000001</v>
      </c>
      <c r="S4" s="3" cm="1">
        <f t="array" ref="S4">_xll.FDS(C4,"FG_TOTAL_RETURNC(0,-12AM)")</f>
        <v>1.5075445000000001</v>
      </c>
      <c r="T4" s="4" cm="1">
        <f t="array" ref="T4">_xlfn.PERCENTRANK.EXC(_xlfn._xlws.FILTER($R$3:$R$23, ISNUMBER($R$3:$R$23)),R4)*100</f>
        <v>63.6</v>
      </c>
      <c r="U4" s="4">
        <f t="shared" si="3"/>
        <v>36.4</v>
      </c>
      <c r="V4" s="4" cm="1">
        <f t="array" ref="V4">_xlfn.PERCENTRANK.EXC(_xlfn._xlws.FILTER($Q$3:$Q$23, ISNUMBER($Q$3:$Q$23)),Q4)*100</f>
        <v>40.9</v>
      </c>
      <c r="W4" s="4" cm="1">
        <f t="array" ref="W4">_xlfn.PERCENTRANK.EXC(_xlfn._xlws.FILTER($O$3:$O$23, ISNUMBER($O$3:$O$23)),O4)*100</f>
        <v>90.9</v>
      </c>
      <c r="X4" s="4" cm="1">
        <f t="array" ref="X4">_xlfn.PERCENTRANK.EXC(_xlfn._xlws.FILTER($P$3:$P$23, ISNUMBER($P$3:$P$23)),P4)*100</f>
        <v>63.6</v>
      </c>
      <c r="Y4" s="200" cm="1">
        <f t="array" ref="Y4">_xlfn.PERCENTRANK.EXC(_xlfn._xlws.FILTER($S$3:$S$23, ISNUMBER($S$3:$S$23)),S4)*100</f>
        <v>31.8</v>
      </c>
      <c r="Z4" s="4" cm="1">
        <f t="array" ref="Z4">_xlfn.PERCENTRANK.EXC(_xlfn._xlws.FILTER($K$3:$K$23, ISNUMBER($K$3:$K$23)),K4)*100</f>
        <v>81.8</v>
      </c>
      <c r="AA4" s="4" cm="1">
        <f t="array" ref="AA4">_xlfn.PERCENTRANK.EXC(_xlfn._xlws.FILTER($H$3:$H$23, ISNUMBER($H$3:$H$23)),H4)*100</f>
        <v>54.500000000000007</v>
      </c>
      <c r="AB4" s="4" cm="1">
        <f t="array" ref="AB4">_xlfn.PERCENTRANK.EXC(_xlfn._xlws.FILTER($J$3:$J$23, ISNUMBER($J$3:$J$23)),J4)*100</f>
        <v>59</v>
      </c>
      <c r="AC4" s="4">
        <f t="shared" si="4"/>
        <v>95.399999999999991</v>
      </c>
      <c r="AD4" s="4">
        <f t="shared" si="5"/>
        <v>86.3</v>
      </c>
      <c r="AE4" s="4">
        <f t="shared" si="6"/>
        <v>22.7</v>
      </c>
      <c r="AF4" s="4">
        <f>'Economic Momentum'!Q5</f>
        <v>54.500000000000007</v>
      </c>
      <c r="AG4" s="4">
        <f ca="1">'Economic Momentum'!R5</f>
        <v>50</v>
      </c>
      <c r="AH4" s="4">
        <f t="shared" ca="1" si="7"/>
        <v>62.709999999999994</v>
      </c>
      <c r="AJ4" s="3" cm="1">
        <f t="array" aca="1" ref="AJ4" ca="1">_xlfn.PERCENTRANK.EXC(_xlfn._xlws.FILTER($AH$3:$AH$23, ISNUMBER($AH$3:$AH$23)),AH4)*100</f>
        <v>59</v>
      </c>
      <c r="AK4">
        <f t="shared" si="8"/>
        <v>2</v>
      </c>
      <c r="AM4" s="4"/>
    </row>
    <row r="5" spans="1:39" x14ac:dyDescent="0.35">
      <c r="A5" t="s">
        <v>35</v>
      </c>
      <c r="B5" t="s">
        <v>437</v>
      </c>
      <c r="C5" t="s">
        <v>35</v>
      </c>
      <c r="D5" s="153">
        <f>VLOOKUP(C5,'Market Capitalisation'!$C$2:$G$31,5,FALSE)</f>
        <v>677971.3</v>
      </c>
      <c r="E5" cm="1">
        <f t="array" ref="E5">_xll.FDS(C5,"FMA_COS_UP(""EPS"",""1M"",+1,NOW,,,""PORTAGG"",""MEANR"")")</f>
        <v>15</v>
      </c>
      <c r="F5" cm="1">
        <f t="array" ref="F5">_xll.FDS(C5,"FMA_COS_DOWN(""EPS"",""1M"",+1,NOW,,,""PORTAGG"",""MEANR"")")</f>
        <v>34</v>
      </c>
      <c r="G5" cm="1">
        <f t="array" ref="G5">_xll.FDS(A5,"SIZE(FG_CONSTITUENTS)")</f>
        <v>77</v>
      </c>
      <c r="H5" s="9">
        <f t="shared" si="0"/>
        <v>0.19480519480519481</v>
      </c>
      <c r="I5" s="9">
        <f t="shared" si="1"/>
        <v>0.44155844155844154</v>
      </c>
      <c r="J5" s="9">
        <f t="shared" si="2"/>
        <v>-0.24675324675324672</v>
      </c>
      <c r="K5" s="5" cm="1">
        <f t="array" ref="K5">_xll.FDS(A5,"FMA_PCT_ABOVE_MAVG(200,0,,,,""PORTAGG"")")/100</f>
        <v>0.28947368421052599</v>
      </c>
      <c r="L5" s="41" cm="1">
        <f t="array" ref="L5">_xll.FDSB(A5,"PERCENT_CHANGE(FMA_EPS(+1,0,,,,""PORTAGG"",""MEAN""),FMA_EPS(+1,-1AM,,,,""PORTAGG"",""MEAN""))")</f>
        <v>-0.64901807153394797</v>
      </c>
      <c r="M5" s="41" cm="1">
        <f t="array" ref="M5">_xll.FDSB(A5,"PERCENT_CHANGE(FMA_EPS(+1,0,,,,""PORTAGG"",""MEAN""),FMA_EPS(+1,-3AM,,,,""PORTAGG"",""MEAN""))")</f>
        <v>-0.818752994339081</v>
      </c>
      <c r="N5" s="3" cm="1">
        <f t="array" ref="N5">_xll.FDS(C5,"FG_TOTAL_RETURNC(0,-1AM)")</f>
        <v>-3.3633410000000001</v>
      </c>
      <c r="O5" s="3" cm="1">
        <f t="array" ref="O5">_xll.FDS(C5,"FG_TOTAL_RETURNC(0,-3AM)")</f>
        <v>-9.8939900000000005</v>
      </c>
      <c r="P5" s="3" cm="1">
        <f t="array" ref="P5">_xll.FDS(C5,"FG_TOTAL_RETURNC(0,-6AM)")</f>
        <v>-3.3149063999999999</v>
      </c>
      <c r="Q5" s="9" cm="1">
        <f t="array" ref="Q5">_xll.FDS(C5,"P_PRICE(0)/P_PRICE_HIGH_PR(0,,,,,,""PRICE"",""INTRA"",""52W"")")</f>
        <v>0.85534589999999999</v>
      </c>
      <c r="R5" s="9" cm="1">
        <f t="array" ref="R5">_xll.FDS(C5,"P_PRICE(0)/P_PRICE_low_PR(0,,,,,,""PRICE"",""INTRA"",""52W"")-1")</f>
        <v>2.2812724E-2</v>
      </c>
      <c r="S5" s="3" cm="1">
        <f t="array" ref="S5">_xll.FDS(C5,"FG_TOTAL_RETURNC(0,-12AM)")</f>
        <v>-11.764174000000001</v>
      </c>
      <c r="T5" s="4" cm="1">
        <f t="array" ref="T5">_xlfn.PERCENTRANK.EXC(_xlfn._xlws.FILTER($R$3:$R$23, ISNUMBER($R$3:$R$23)),R5)*100</f>
        <v>4.5</v>
      </c>
      <c r="U5" s="4">
        <f t="shared" si="3"/>
        <v>95.5</v>
      </c>
      <c r="V5" s="4" cm="1">
        <f t="array" ref="V5">_xlfn.PERCENTRANK.EXC(_xlfn._xlws.FILTER($Q$3:$Q$23, ISNUMBER($Q$3:$Q$23)),Q5)*100</f>
        <v>13.600000000000001</v>
      </c>
      <c r="W5" s="4" cm="1">
        <f t="array" ref="W5">_xlfn.PERCENTRANK.EXC(_xlfn._xlws.FILTER($O$3:$O$23, ISNUMBER($O$3:$O$23)),O5)*100</f>
        <v>4.5</v>
      </c>
      <c r="X5" s="4" cm="1">
        <f t="array" ref="X5">_xlfn.PERCENTRANK.EXC(_xlfn._xlws.FILTER($P$3:$P$23, ISNUMBER($P$3:$P$23)),P5)*100</f>
        <v>13.600000000000001</v>
      </c>
      <c r="Y5" s="200" cm="1">
        <f t="array" ref="Y5">_xlfn.PERCENTRANK.EXC(_xlfn._xlws.FILTER($S$3:$S$23, ISNUMBER($S$3:$S$23)),S5)*100</f>
        <v>4.5</v>
      </c>
      <c r="Z5" s="4" cm="1">
        <f t="array" ref="Z5">_xlfn.PERCENTRANK.EXC(_xlfn._xlws.FILTER($K$3:$K$23, ISNUMBER($K$3:$K$23)),K5)*100</f>
        <v>9</v>
      </c>
      <c r="AA5" s="4" cm="1">
        <f t="array" ref="AA5">_xlfn.PERCENTRANK.EXC(_xlfn._xlws.FILTER($H$3:$H$23, ISNUMBER($H$3:$H$23)),H5)*100</f>
        <v>13.600000000000001</v>
      </c>
      <c r="AB5" s="4" cm="1">
        <f t="array" ref="AB5">_xlfn.PERCENTRANK.EXC(_xlfn._xlws.FILTER($J$3:$J$23, ISNUMBER($J$3:$J$23)),J5)*100</f>
        <v>18.099999999999998</v>
      </c>
      <c r="AC5" s="4">
        <f t="shared" si="4"/>
        <v>13.600000000000001</v>
      </c>
      <c r="AD5" s="4">
        <f t="shared" si="5"/>
        <v>31.8</v>
      </c>
      <c r="AE5" s="4">
        <f t="shared" si="6"/>
        <v>59</v>
      </c>
      <c r="AF5" s="4">
        <f>'Economic Momentum'!Q6</f>
        <v>77.2</v>
      </c>
      <c r="AG5" s="4">
        <f ca="1">'Economic Momentum'!R6</f>
        <v>68.100000000000009</v>
      </c>
      <c r="AH5" s="4">
        <f t="shared" ca="1" si="7"/>
        <v>10.870000000000001</v>
      </c>
      <c r="AJ5" s="3" cm="1">
        <f t="array" aca="1" ref="AJ5" ca="1">_xlfn.PERCENTRANK.EXC(_xlfn._xlws.FILTER($AH$3:$AH$23, ISNUMBER($AH$3:$AH$23)),AH5)*100</f>
        <v>4.5</v>
      </c>
      <c r="AK5">
        <f t="shared" si="8"/>
        <v>0</v>
      </c>
      <c r="AM5" s="4"/>
    </row>
    <row r="6" spans="1:39" x14ac:dyDescent="0.35">
      <c r="A6" t="s">
        <v>30</v>
      </c>
      <c r="B6" t="s">
        <v>438</v>
      </c>
      <c r="C6" t="s">
        <v>30</v>
      </c>
      <c r="D6" s="153">
        <f>VLOOKUP(C6,'Market Capitalisation'!$C$2:$G$31,5,FALSE)</f>
        <v>207000.22</v>
      </c>
      <c r="E6" cm="1">
        <f t="array" ref="E6">_xll.FDS(C6,"FMA_COS_UP(""EPS"",""1M"",+1,NOW,,,""PORTAGG"",""MEANR"")")</f>
        <v>19</v>
      </c>
      <c r="F6" cm="1">
        <f t="array" ref="F6">_xll.FDS(C6,"FMA_COS_DOWN(""EPS"",""1M"",+1,NOW,,,""PORTAGG"",""MEANR"")")</f>
        <v>10</v>
      </c>
      <c r="G6" cm="1">
        <f t="array" ref="G6">_xll.FDS(A6,"SIZE(FG_CONSTITUENTS)")</f>
        <v>35</v>
      </c>
      <c r="H6" s="9">
        <f t="shared" si="0"/>
        <v>0.54285714285714282</v>
      </c>
      <c r="I6" s="9">
        <f t="shared" si="1"/>
        <v>0.2857142857142857</v>
      </c>
      <c r="J6" s="9">
        <f t="shared" si="2"/>
        <v>0.25714285714285712</v>
      </c>
      <c r="K6" s="5" cm="1">
        <f t="array" ref="K6">_xll.FDS(A6,"FMA_PCT_ABOVE_MAVG(200,0,,,,""PORTAGG"")")/100</f>
        <v>0.42857142857142899</v>
      </c>
      <c r="L6" s="41" cm="1">
        <f t="array" ref="L6">_xll.FDSB(A6,"PERCENT_CHANGE(FMA_EPS(+1,0,,,,""PORTAGG"",""MEAN""),FMA_EPS(+1,-1AM,,,,""PORTAGG"",""MEAN""))")</f>
        <v>3.7256772938878902</v>
      </c>
      <c r="M6" s="41" cm="1">
        <f t="array" ref="M6">_xll.FDSB(A6,"PERCENT_CHANGE(FMA_EPS(+1,0,,,,""PORTAGG"",""MEAN""),FMA_EPS(+1,-3AM,,,,""PORTAGG"",""MEAN""))")</f>
        <v>2.5221082811391899</v>
      </c>
      <c r="N6" s="3" cm="1">
        <f t="array" ref="N6">_xll.FDS(C6,"FG_TOTAL_RETURNC(0,-1AM)")</f>
        <v>0.79239607000000001</v>
      </c>
      <c r="O6" s="3" cm="1">
        <f t="array" ref="O6">_xll.FDS(C6,"FG_TOTAL_RETURNC(0,-3AM)")</f>
        <v>-8.6206859999999992</v>
      </c>
      <c r="P6" s="3" cm="1">
        <f t="array" ref="P6">_xll.FDS(C6,"FG_TOTAL_RETURNC(0,-6AM)")</f>
        <v>2.4726629999999998</v>
      </c>
      <c r="Q6" s="9" cm="1">
        <f t="array" ref="Q6">_xll.FDS(C6,"P_PRICE(0)/P_PRICE_HIGH_PR(0,,,,,,""PRICE"",""INTRA"",""52W"")")</f>
        <v>0.90630569999999999</v>
      </c>
      <c r="R6" s="9" cm="1">
        <f t="array" ref="R6">_xll.FDS(C6,"P_PRICE(0)/P_PRICE_low_PR(0,,,,,,""PRICE"",""INTRA"",""52W"")-1")</f>
        <v>9.8920110000000006E-2</v>
      </c>
      <c r="S6" s="3" cm="1">
        <f t="array" ref="S6">_xll.FDS(C6,"FG_TOTAL_RETURNC(0,-12AM)")</f>
        <v>-1.2965321999999999</v>
      </c>
      <c r="T6" s="4" cm="1">
        <f t="array" ref="T6">_xlfn.PERCENTRANK.EXC(_xlfn._xlws.FILTER($R$3:$R$23, ISNUMBER($R$3:$R$23)),R6)*100</f>
        <v>27.200000000000003</v>
      </c>
      <c r="U6" s="4">
        <f t="shared" si="3"/>
        <v>72.8</v>
      </c>
      <c r="V6" s="4" cm="1">
        <f t="array" ref="V6">_xlfn.PERCENTRANK.EXC(_xlfn._xlws.FILTER($Q$3:$Q$23, ISNUMBER($Q$3:$Q$23)),Q6)*100</f>
        <v>45.4</v>
      </c>
      <c r="W6" s="4" cm="1">
        <f t="array" ref="W6">_xlfn.PERCENTRANK.EXC(_xlfn._xlws.FILTER($O$3:$O$23, ISNUMBER($O$3:$O$23)),O6)*100</f>
        <v>9</v>
      </c>
      <c r="X6" s="4" cm="1">
        <f t="array" ref="X6">_xlfn.PERCENTRANK.EXC(_xlfn._xlws.FILTER($P$3:$P$23, ISNUMBER($P$3:$P$23)),P6)*100</f>
        <v>36.299999999999997</v>
      </c>
      <c r="Y6" s="200" cm="1">
        <f t="array" ref="Y6">_xlfn.PERCENTRANK.EXC(_xlfn._xlws.FILTER($S$3:$S$23, ISNUMBER($S$3:$S$23)),S6)*100</f>
        <v>22.7</v>
      </c>
      <c r="Z6" s="4" cm="1">
        <f t="array" ref="Z6">_xlfn.PERCENTRANK.EXC(_xlfn._xlws.FILTER($K$3:$K$23, ISNUMBER($K$3:$K$23)),K6)*100</f>
        <v>22.7</v>
      </c>
      <c r="AA6" s="4" cm="1">
        <f t="array" ref="AA6">_xlfn.PERCENTRANK.EXC(_xlfn._xlws.FILTER($H$3:$H$23, ISNUMBER($H$3:$H$23)),H6)*100</f>
        <v>90.9</v>
      </c>
      <c r="AB6" s="4" cm="1">
        <f t="array" ref="AB6">_xlfn.PERCENTRANK.EXC(_xlfn._xlws.FILTER($J$3:$J$23, ISNUMBER($J$3:$J$23)),J6)*100</f>
        <v>90.9</v>
      </c>
      <c r="AC6" s="4">
        <f t="shared" si="4"/>
        <v>81.8</v>
      </c>
      <c r="AD6" s="4">
        <f t="shared" si="5"/>
        <v>68.100000000000009</v>
      </c>
      <c r="AE6" s="4">
        <f t="shared" si="6"/>
        <v>27.200000000000003</v>
      </c>
      <c r="AF6" s="4">
        <f>'Economic Momentum'!Q7</f>
        <v>72.7</v>
      </c>
      <c r="AG6" s="4">
        <f ca="1">'Economic Momentum'!R7</f>
        <v>4.5</v>
      </c>
      <c r="AH6" s="4">
        <f t="shared" ca="1" si="7"/>
        <v>31.75</v>
      </c>
      <c r="AJ6" s="3" cm="1">
        <f t="array" aca="1" ref="AJ6" ca="1">_xlfn.PERCENTRANK.EXC(_xlfn._xlws.FILTER($AH$3:$AH$23, ISNUMBER($AH$3:$AH$23)),AH6)*100</f>
        <v>36.299999999999997</v>
      </c>
      <c r="AK6">
        <f t="shared" si="8"/>
        <v>2</v>
      </c>
      <c r="AM6" s="4"/>
    </row>
    <row r="7" spans="1:39" x14ac:dyDescent="0.35">
      <c r="A7" t="s">
        <v>23</v>
      </c>
      <c r="B7" t="s">
        <v>439</v>
      </c>
      <c r="C7" t="s">
        <v>23</v>
      </c>
      <c r="D7" s="153">
        <f>VLOOKUP(C7,'Market Capitalisation'!$C$2:$G$31,5,FALSE)</f>
        <v>213421.28</v>
      </c>
      <c r="E7" cm="1">
        <f t="array" ref="E7">_xll.FDS(C7,"FMA_COS_UP(""EPS"",""1M"",+1,NOW,,,""PORTAGG"",""MEANR"")")</f>
        <v>10</v>
      </c>
      <c r="F7" cm="1">
        <f t="array" ref="F7">_xll.FDS(C7,"FMA_COS_DOWN(""EPS"",""1M"",+1,NOW,,,""PORTAGG"",""MEANR"")")</f>
        <v>13</v>
      </c>
      <c r="G7" cm="1">
        <f t="array" ref="G7">_xll.FDS(A7,"SIZE(FG_CONSTITUENTS)")</f>
        <v>34</v>
      </c>
      <c r="H7" s="9">
        <f t="shared" si="0"/>
        <v>0.29411764705882354</v>
      </c>
      <c r="I7" s="9">
        <f t="shared" si="1"/>
        <v>0.38235294117647056</v>
      </c>
      <c r="J7" s="9">
        <f t="shared" si="2"/>
        <v>-8.8235294117647023E-2</v>
      </c>
      <c r="K7" s="5" cm="1">
        <f t="array" ref="K7">_xll.FDS(A7,"FMA_PCT_ABOVE_MAVG(200,0,,,,""PORTAGG"")")/100</f>
        <v>0.7575757575757579</v>
      </c>
      <c r="L7" s="41" cm="1">
        <f t="array" ref="L7">_xll.FDSB(A7,"PERCENT_CHANGE(FMA_EPS(+1,0,,,,""PORTAGG"",""MEAN""),FMA_EPS(+1,-1AM,,,,""PORTAGG"",""MEAN""))")</f>
        <v>0.82742633077337102</v>
      </c>
      <c r="M7" s="41" cm="1">
        <f t="array" ref="M7">_xll.FDSB(A7,"PERCENT_CHANGE(FMA_EPS(+1,0,,,,""PORTAGG"",""MEAN""),FMA_EPS(+1,-3AM,,,,""PORTAGG"",""MEAN""))")</f>
        <v>8.8731317004997994</v>
      </c>
      <c r="N7" s="3" cm="1">
        <f t="array" ref="N7">_xll.FDS(C7,"FG_TOTAL_RETURNC(0,-1AM)")</f>
        <v>5.1143527000000004</v>
      </c>
      <c r="O7" s="3" cm="1">
        <f t="array" ref="O7">_xll.FDS(C7,"FG_TOTAL_RETURNC(0,-3AM)")</f>
        <v>5.7298182999999998</v>
      </c>
      <c r="P7" s="3" cm="1">
        <f t="array" ref="P7">_xll.FDS(C7,"FG_TOTAL_RETURNC(0,-6AM)")</f>
        <v>19.462717000000001</v>
      </c>
      <c r="Q7" s="9" cm="1">
        <f t="array" ref="Q7">_xll.FDS(C7,"P_PRICE(0)/P_PRICE_HIGH_PR(0,,,,,,""PRICE"",""INTRA"",""52W"")")</f>
        <v>0.96895366999999999</v>
      </c>
      <c r="R7" s="9" cm="1">
        <f t="array" ref="R7">_xll.FDS(C7,"P_PRICE(0)/P_PRICE_low_PR(0,,,,,,""PRICE"",""INTRA"",""52W"")-1")</f>
        <v>0.53958594999999998</v>
      </c>
      <c r="S7" s="3" cm="1">
        <f t="array" ref="S7">_xll.FDS(C7,"FG_TOTAL_RETURNC(0,-12AM)")</f>
        <v>43.4343</v>
      </c>
      <c r="T7" s="4" cm="1">
        <f t="array" ref="T7">_xlfn.PERCENTRANK.EXC(_xlfn._xlws.FILTER($R$3:$R$23, ISNUMBER($R$3:$R$23)),R7)*100</f>
        <v>90.9</v>
      </c>
      <c r="U7" s="4">
        <f t="shared" si="3"/>
        <v>9.0999999999999943</v>
      </c>
      <c r="V7" s="4" cm="1">
        <f t="array" ref="V7">_xlfn.PERCENTRANK.EXC(_xlfn._xlws.FILTER($Q$3:$Q$23, ISNUMBER($Q$3:$Q$23)),Q7)*100</f>
        <v>77.2</v>
      </c>
      <c r="W7" s="4" cm="1">
        <f t="array" ref="W7">_xlfn.PERCENTRANK.EXC(_xlfn._xlws.FILTER($O$3:$O$23, ISNUMBER($O$3:$O$23)),O7)*100</f>
        <v>63.6</v>
      </c>
      <c r="X7" s="4" cm="1">
        <f t="array" ref="X7">_xlfn.PERCENTRANK.EXC(_xlfn._xlws.FILTER($P$3:$P$23, ISNUMBER($P$3:$P$23)),P7)*100</f>
        <v>86.3</v>
      </c>
      <c r="Y7" s="200" cm="1">
        <f t="array" ref="Y7">_xlfn.PERCENTRANK.EXC(_xlfn._xlws.FILTER($S$3:$S$23, ISNUMBER($S$3:$S$23)),S7)*100</f>
        <v>86.3</v>
      </c>
      <c r="Z7" s="4" cm="1">
        <f t="array" ref="Z7">_xlfn.PERCENTRANK.EXC(_xlfn._xlws.FILTER($K$3:$K$23, ISNUMBER($K$3:$K$23)),K7)*100</f>
        <v>77.2</v>
      </c>
      <c r="AA7" s="4" cm="1">
        <f t="array" ref="AA7">_xlfn.PERCENTRANK.EXC(_xlfn._xlws.FILTER($H$3:$H$23, ISNUMBER($H$3:$H$23)),H7)*100</f>
        <v>50</v>
      </c>
      <c r="AB7" s="4" cm="1">
        <f t="array" ref="AB7">_xlfn.PERCENTRANK.EXC(_xlfn._xlws.FILTER($J$3:$J$23, ISNUMBER($J$3:$J$23)),J7)*100</f>
        <v>40.9</v>
      </c>
      <c r="AC7" s="4">
        <f t="shared" si="4"/>
        <v>45.4</v>
      </c>
      <c r="AD7" s="4">
        <f t="shared" si="5"/>
        <v>90.9</v>
      </c>
      <c r="AE7" s="4">
        <f t="shared" si="6"/>
        <v>31.8</v>
      </c>
      <c r="AF7" s="4">
        <f>'Economic Momentum'!Q8</f>
        <v>4.5</v>
      </c>
      <c r="AG7" s="4">
        <f ca="1">'Economic Momentum'!R8</f>
        <v>45.4</v>
      </c>
      <c r="AH7" s="4">
        <f t="shared" ca="1" si="7"/>
        <v>75.849999999999994</v>
      </c>
      <c r="AJ7" s="3" cm="1">
        <f t="array" aca="1" ref="AJ7" ca="1">_xlfn.PERCENTRANK.EXC(_xlfn._xlws.FILTER($AH$3:$AH$23, ISNUMBER($AH$3:$AH$23)),AH7)*100</f>
        <v>72.7</v>
      </c>
      <c r="AK7">
        <f t="shared" si="8"/>
        <v>4</v>
      </c>
      <c r="AM7" s="4"/>
    </row>
    <row r="8" spans="1:39" x14ac:dyDescent="0.35">
      <c r="A8" t="s">
        <v>29</v>
      </c>
      <c r="B8" t="s">
        <v>440</v>
      </c>
      <c r="C8" t="s">
        <v>29</v>
      </c>
      <c r="D8" s="153">
        <f>VLOOKUP(C8,'Market Capitalisation'!$C$2:$G$31,5,FALSE)</f>
        <v>38030.86</v>
      </c>
      <c r="E8" cm="1">
        <f t="array" ref="E8">_xll.FDS(C8,"FMA_COS_UP(""EPS"",""1M"",+1,NOW,,,""PORTAGG"",""MEANR"")")</f>
        <v>11</v>
      </c>
      <c r="F8" cm="1">
        <f t="array" ref="F8">_xll.FDS(C8,"FMA_COS_DOWN(""EPS"",""1M"",+1,NOW,,,""PORTAGG"",""MEANR"")")</f>
        <v>5</v>
      </c>
      <c r="G8" cm="1">
        <f t="array" ref="G8">_xll.FDS(A8,"SIZE(FG_CONSTITUENTS)")</f>
        <v>26</v>
      </c>
      <c r="H8" s="9">
        <f t="shared" si="0"/>
        <v>0.42307692307692307</v>
      </c>
      <c r="I8" s="9">
        <f t="shared" si="1"/>
        <v>0.19230769230769232</v>
      </c>
      <c r="J8" s="9">
        <f t="shared" si="2"/>
        <v>0.23076923076923075</v>
      </c>
      <c r="K8" s="5" cm="1">
        <f t="array" ref="K8">_xll.FDS(A8,"FMA_PCT_ABOVE_MAVG(200,0,,,,""PORTAGG"")")/100</f>
        <v>0.84615384615384603</v>
      </c>
      <c r="L8" s="41" cm="1">
        <f t="array" ref="L8">_xll.FDSB(A8,"PERCENT_CHANGE(FMA_EPS(+1,0,,,,""PORTAGG"",""MEAN""),FMA_EPS(+1,-1AM,,,,""PORTAGG"",""MEAN""))")</f>
        <v>4.1151019566206197E-2</v>
      </c>
      <c r="M8" s="41" cm="1">
        <f t="array" ref="M8">_xll.FDSB(A8,"PERCENT_CHANGE(FMA_EPS(+1,0,,,,""PORTAGG"",""MEAN""),FMA_EPS(+1,-3AM,,,,""PORTAGG"",""MEAN""))")</f>
        <v>0.143110421212125</v>
      </c>
      <c r="N8" s="3" cm="1">
        <f t="array" ref="N8">_xll.FDS(C8,"FG_TOTAL_RETURNC(0,-1AM)")</f>
        <v>7.839048</v>
      </c>
      <c r="O8" s="3" cm="1">
        <f t="array" ref="O8">_xll.FDS(C8,"FG_TOTAL_RETURNC(0,-3AM)")</f>
        <v>21.655441</v>
      </c>
      <c r="P8" s="3" cm="1">
        <f t="array" ref="P8">_xll.FDS(C8,"FG_TOTAL_RETURNC(0,-6AM)")</f>
        <v>41.428649999999998</v>
      </c>
      <c r="Q8" s="9" cm="1">
        <f t="array" ref="Q8">_xll.FDS(C8,"P_PRICE(0)/P_PRICE_HIGH_PR(0,,,,,,""PRICE"",""INTRA"",""52W"")")</f>
        <v>0.95030020000000004</v>
      </c>
      <c r="R8" s="9" cm="1">
        <f t="array" ref="R8">_xll.FDS(C8,"P_PRICE(0)/P_PRICE_low_PR(0,,,,,,""PRICE"",""INTRA"",""52W"")-1")</f>
        <v>0.49684774999999998</v>
      </c>
      <c r="S8" s="3" cm="1">
        <f t="array" ref="S8">_xll.FDS(C8,"FG_TOTAL_RETURNC(0,-12AM)")</f>
        <v>48.779870000000003</v>
      </c>
      <c r="T8" s="4" cm="1">
        <f t="array" ref="T8">_xlfn.PERCENTRANK.EXC(_xlfn._xlws.FILTER($R$3:$R$23, ISNUMBER($R$3:$R$23)),R8)*100</f>
        <v>86.3</v>
      </c>
      <c r="U8" s="4">
        <f t="shared" si="3"/>
        <v>13.700000000000003</v>
      </c>
      <c r="V8" s="4" cm="1">
        <f t="array" ref="V8">_xlfn.PERCENTRANK.EXC(_xlfn._xlws.FILTER($Q$3:$Q$23, ISNUMBER($Q$3:$Q$23)),Q8)*100</f>
        <v>68.100000000000009</v>
      </c>
      <c r="W8" s="4" cm="1">
        <f t="array" ref="W8">_xlfn.PERCENTRANK.EXC(_xlfn._xlws.FILTER($O$3:$O$23, ISNUMBER($O$3:$O$23)),O8)*100</f>
        <v>95.399999999999991</v>
      </c>
      <c r="X8" s="4" cm="1">
        <f t="array" ref="X8">_xlfn.PERCENTRANK.EXC(_xlfn._xlws.FILTER($P$3:$P$23, ISNUMBER($P$3:$P$23)),P8)*100</f>
        <v>95.399999999999991</v>
      </c>
      <c r="Y8" s="200" cm="1">
        <f t="array" ref="Y8">_xlfn.PERCENTRANK.EXC(_xlfn._xlws.FILTER($S$3:$S$23, ISNUMBER($S$3:$S$23)),S8)*100</f>
        <v>90.9</v>
      </c>
      <c r="Z8" s="4" cm="1">
        <f t="array" ref="Z8">_xlfn.PERCENTRANK.EXC(_xlfn._xlws.FILTER($K$3:$K$23, ISNUMBER($K$3:$K$23)),K8)*100</f>
        <v>90.9</v>
      </c>
      <c r="AA8" s="4" cm="1">
        <f t="array" ref="AA8">_xlfn.PERCENTRANK.EXC(_xlfn._xlws.FILTER($H$3:$H$23, ISNUMBER($H$3:$H$23)),H8)*100</f>
        <v>68.100000000000009</v>
      </c>
      <c r="AB8" s="4" cm="1">
        <f t="array" ref="AB8">_xlfn.PERCENTRANK.EXC(_xlfn._xlws.FILTER($J$3:$J$23, ISNUMBER($J$3:$J$23)),J8)*100</f>
        <v>86.3</v>
      </c>
      <c r="AC8" s="4">
        <f t="shared" si="4"/>
        <v>22.7</v>
      </c>
      <c r="AD8" s="4">
        <f t="shared" si="5"/>
        <v>40.9</v>
      </c>
      <c r="AE8" s="4">
        <f t="shared" si="6"/>
        <v>9</v>
      </c>
      <c r="AF8" s="4">
        <f>'Economic Momentum'!Q9</f>
        <v>54.500000000000007</v>
      </c>
      <c r="AG8" s="4">
        <f ca="1">'Economic Momentum'!R9</f>
        <v>50</v>
      </c>
      <c r="AH8" s="4">
        <f t="shared" ca="1" si="7"/>
        <v>84.47999999999999</v>
      </c>
      <c r="AJ8" s="3" cm="1">
        <f t="array" aca="1" ref="AJ8" ca="1">_xlfn.PERCENTRANK.EXC(_xlfn._xlws.FILTER($AH$3:$AH$23, ISNUMBER($AH$3:$AH$23)),AH8)*100</f>
        <v>90.9</v>
      </c>
      <c r="AK8">
        <f t="shared" si="8"/>
        <v>5</v>
      </c>
      <c r="AM8" s="4"/>
    </row>
    <row r="9" spans="1:39" x14ac:dyDescent="0.35">
      <c r="A9" t="s">
        <v>33</v>
      </c>
      <c r="B9" t="s">
        <v>441</v>
      </c>
      <c r="C9" t="s">
        <v>33</v>
      </c>
      <c r="D9" s="153">
        <f>VLOOKUP(C9,'Market Capitalisation'!$C$2:$G$31,5,FALSE)</f>
        <v>403622.03</v>
      </c>
      <c r="E9" cm="1">
        <f t="array" ref="E9">_xll.FDS(C9,"FMA_COS_UP(""EPS"",""1M"",+1,NOW,,,""PORTAGG"",""MEANR"")")</f>
        <v>9</v>
      </c>
      <c r="F9" cm="1">
        <f t="array" ref="F9">_xll.FDS(C9,"FMA_COS_DOWN(""EPS"",""1M"",+1,NOW,,,""PORTAGG"",""MEANR"")")</f>
        <v>11</v>
      </c>
      <c r="G9" cm="1">
        <f t="array" ref="G9">_xll.FDS(A9,"SIZE(FG_CONSTITUENTS)")</f>
        <v>34</v>
      </c>
      <c r="H9" s="9">
        <f t="shared" si="0"/>
        <v>0.26470588235294118</v>
      </c>
      <c r="I9" s="9">
        <f t="shared" si="1"/>
        <v>0.3235294117647059</v>
      </c>
      <c r="J9" s="9">
        <f t="shared" si="2"/>
        <v>-5.8823529411764719E-2</v>
      </c>
      <c r="K9" s="5" cm="1">
        <f t="array" ref="K9">_xll.FDS(A9,"FMA_PCT_ABOVE_MAVG(200,0,,,,""PORTAGG"")")/100</f>
        <v>0.72727272727272707</v>
      </c>
      <c r="L9" s="41" cm="1">
        <f t="array" ref="L9">_xll.FDSB(A9,"PERCENT_CHANGE(FMA_EPS(+1,0,,,,""PORTAGG"",""MEAN""),FMA_EPS(+1,-1AM,,,,""PORTAGG"",""MEAN""))")</f>
        <v>1.98876890110644</v>
      </c>
      <c r="M9" s="41" cm="1">
        <f t="array" ref="M9">_xll.FDSB(A9,"PERCENT_CHANGE(FMA_EPS(+1,0,,,,""PORTAGG"",""MEAN""),FMA_EPS(+1,-3AM,,,,""PORTAGG"",""MEAN""))")</f>
        <v>3.2073629163568098</v>
      </c>
      <c r="N9" s="3" cm="1">
        <f t="array" ref="N9">_xll.FDS(C9,"FG_TOTAL_RETURNC(0,-1AM)")</f>
        <v>5.2201510000000004</v>
      </c>
      <c r="O9" s="3" cm="1">
        <f t="array" ref="O9">_xll.FDS(C9,"FG_TOTAL_RETURNC(0,-3AM)")</f>
        <v>6.9681644</v>
      </c>
      <c r="P9" s="3" cm="1">
        <f t="array" ref="P9">_xll.FDS(C9,"FG_TOTAL_RETURNC(0,-6AM)")</f>
        <v>11.114967</v>
      </c>
      <c r="Q9" s="9" cm="1">
        <f t="array" ref="Q9">_xll.FDS(C9,"P_PRICE(0)/P_PRICE_HIGH_PR(0,,,,,,""PRICE"",""INTRA"",""52W"")")</f>
        <v>0.98932993000000002</v>
      </c>
      <c r="R9" s="9" cm="1">
        <f t="array" ref="R9">_xll.FDS(C9,"P_PRICE(0)/P_PRICE_low_PR(0,,,,,,""PRICE"",""INTRA"",""52W"")-1")</f>
        <v>0.16834676000000001</v>
      </c>
      <c r="S9" s="3" cm="1">
        <f t="array" ref="S9">_xll.FDS(C9,"FG_TOTAL_RETURNC(0,-12AM)")</f>
        <v>13.929987000000001</v>
      </c>
      <c r="T9" s="4" cm="1">
        <f t="array" ref="T9">_xlfn.PERCENTRANK.EXC(_xlfn._xlws.FILTER($R$3:$R$23, ISNUMBER($R$3:$R$23)),R9)*100</f>
        <v>45.4</v>
      </c>
      <c r="U9" s="4">
        <f t="shared" si="3"/>
        <v>54.6</v>
      </c>
      <c r="V9" s="4" cm="1">
        <f t="array" ref="V9">_xlfn.PERCENTRANK.EXC(_xlfn._xlws.FILTER($Q$3:$Q$23, ISNUMBER($Q$3:$Q$23)),Q9)*100</f>
        <v>90.9</v>
      </c>
      <c r="W9" s="4" cm="1">
        <f t="array" ref="W9">_xlfn.PERCENTRANK.EXC(_xlfn._xlws.FILTER($O$3:$O$23, ISNUMBER($O$3:$O$23)),O9)*100</f>
        <v>68.100000000000009</v>
      </c>
      <c r="X9" s="4" cm="1">
        <f t="array" ref="X9">_xlfn.PERCENTRANK.EXC(_xlfn._xlws.FILTER($P$3:$P$23, ISNUMBER($P$3:$P$23)),P9)*100</f>
        <v>68.100000000000009</v>
      </c>
      <c r="Y9" s="200" cm="1">
        <f t="array" ref="Y9">_xlfn.PERCENTRANK.EXC(_xlfn._xlws.FILTER($S$3:$S$23, ISNUMBER($S$3:$S$23)),S9)*100</f>
        <v>63.6</v>
      </c>
      <c r="Z9" s="4" cm="1">
        <f t="array" ref="Z9">_xlfn.PERCENTRANK.EXC(_xlfn._xlws.FILTER($K$3:$K$23, ISNUMBER($K$3:$K$23)),K9)*100</f>
        <v>68.100000000000009</v>
      </c>
      <c r="AA9" s="4" cm="1">
        <f t="array" ref="AA9">_xlfn.PERCENTRANK.EXC(_xlfn._xlws.FILTER($H$3:$H$23, ISNUMBER($H$3:$H$23)),H9)*100</f>
        <v>31.8</v>
      </c>
      <c r="AB9" s="4" cm="1">
        <f t="array" ref="AB9">_xlfn.PERCENTRANK.EXC(_xlfn._xlws.FILTER($J$3:$J$23, ISNUMBER($J$3:$J$23)),J9)*100</f>
        <v>50</v>
      </c>
      <c r="AC9" s="4">
        <f t="shared" si="4"/>
        <v>63.6</v>
      </c>
      <c r="AD9" s="4">
        <f t="shared" si="5"/>
        <v>72.7</v>
      </c>
      <c r="AE9" s="4">
        <f t="shared" si="6"/>
        <v>40.9</v>
      </c>
      <c r="AF9" s="4">
        <f>'Economic Momentum'!Q10</f>
        <v>13.600000000000001</v>
      </c>
      <c r="AG9" s="4">
        <f ca="1">'Economic Momentum'!R10</f>
        <v>72.7</v>
      </c>
      <c r="AH9" s="4">
        <f t="shared" ca="1" si="7"/>
        <v>77.220000000000013</v>
      </c>
      <c r="AJ9" s="3" cm="1">
        <f t="array" aca="1" ref="AJ9" ca="1">_xlfn.PERCENTRANK.EXC(_xlfn._xlws.FILTER($AH$3:$AH$23, ISNUMBER($AH$3:$AH$23)),AH9)*100</f>
        <v>77.2</v>
      </c>
      <c r="AK9">
        <f t="shared" si="8"/>
        <v>1</v>
      </c>
      <c r="AM9" s="4"/>
    </row>
    <row r="10" spans="1:39" x14ac:dyDescent="0.35">
      <c r="A10" t="s">
        <v>24</v>
      </c>
      <c r="B10" t="s">
        <v>40</v>
      </c>
      <c r="C10" t="s">
        <v>24</v>
      </c>
      <c r="D10" s="153">
        <f>VLOOKUP(C10,'Market Capitalisation'!$C$2:$G$31,5,FALSE)</f>
        <v>2315017</v>
      </c>
      <c r="E10" cm="1">
        <f t="array" ref="E10">_xll.FDS(C10,"FMA_COS_UP(""EPS"",""1M"",+1,NOW,,,""PORTAGG"",""MEANR"")")</f>
        <v>44</v>
      </c>
      <c r="F10" cm="1">
        <f t="array" ref="F10">_xll.FDS(C10,"FMA_COS_DOWN(""EPS"",""1M"",+1,NOW,,,""PORTAGG"",""MEANR"")")</f>
        <v>35</v>
      </c>
      <c r="G10" cm="1">
        <f t="array" ref="G10">_xll.FDS(A10,"SIZE(FG_CONSTITUENTS)")</f>
        <v>91</v>
      </c>
      <c r="H10" s="9">
        <f t="shared" si="0"/>
        <v>0.48351648351648352</v>
      </c>
      <c r="I10" s="9">
        <f t="shared" si="1"/>
        <v>0.38461538461538464</v>
      </c>
      <c r="J10" s="9">
        <f t="shared" si="2"/>
        <v>9.8901098901098883E-2</v>
      </c>
      <c r="K10" s="5" cm="1">
        <f t="array" ref="K10">_xll.FDS(A10,"FMA_PCT_ABOVE_MAVG(200,0,,,,""PORTAGG"")")/100</f>
        <v>0.75555555555555598</v>
      </c>
      <c r="L10" s="41" cm="1">
        <f t="array" ref="L10">_xll.FDSB(A10,"PERCENT_CHANGE(FMA_EPS(+1,0,,,,""PORTAGG"",""MEAN""),FMA_EPS(+1,-1AM,,,,""PORTAGG"",""MEAN""))")</f>
        <v>1.1469364166729801</v>
      </c>
      <c r="M10" s="41" cm="1">
        <f t="array" ref="M10">_xll.FDSB(A10,"PERCENT_CHANGE(FMA_EPS(+1,0,,,,""PORTAGG"",""MEAN""),FMA_EPS(+1,-3AM,,,,""PORTAGG"",""MEAN""))")</f>
        <v>-1.8906077236172001</v>
      </c>
      <c r="N10" s="3" cm="1">
        <f t="array" ref="N10">_xll.FDS(C10,"FG_TOTAL_RETURNC(0,-1AM)")</f>
        <v>10.21378</v>
      </c>
      <c r="O10" s="3" cm="1">
        <f t="array" ref="O10">_xll.FDS(C10,"FG_TOTAL_RETURNC(0,-3AM)")</f>
        <v>9.9763029999999997</v>
      </c>
      <c r="P10" s="3" cm="1">
        <f t="array" ref="P10">_xll.FDS(C10,"FG_TOTAL_RETURNC(0,-6AM)")</f>
        <v>19.318604000000001</v>
      </c>
      <c r="Q10" s="9" cm="1">
        <f t="array" ref="Q10">_xll.FDS(C10,"P_PRICE(0)/P_PRICE_HIGH_PR(0,,,,,,""PRICE"",""INTRA"",""52W"")")</f>
        <v>0.98532819999999999</v>
      </c>
      <c r="R10" s="9" cm="1">
        <f t="array" ref="R10">_xll.FDS(C10,"P_PRICE(0)/P_PRICE_low_PR(0,,,,,,""PRICE"",""INTRA"",""52W"")-1")</f>
        <v>0.21163201000000001</v>
      </c>
      <c r="S10" s="3" cm="1">
        <f t="array" ref="S10">_xll.FDS(C10,"FG_TOTAL_RETURNC(0,-12AM)")</f>
        <v>27.998733999999999</v>
      </c>
      <c r="T10" s="4" cm="1">
        <f t="array" ref="T10">_xlfn.PERCENTRANK.EXC(_xlfn._xlws.FILTER($R$3:$R$23, ISNUMBER($R$3:$R$23)),R10)*100</f>
        <v>59</v>
      </c>
      <c r="U10" s="4">
        <f t="shared" si="3"/>
        <v>41</v>
      </c>
      <c r="V10" s="4" cm="1">
        <f t="array" ref="V10">_xlfn.PERCENTRANK.EXC(_xlfn._xlws.FILTER($Q$3:$Q$23, ISNUMBER($Q$3:$Q$23)),Q10)*100</f>
        <v>86.3</v>
      </c>
      <c r="W10" s="4" cm="1">
        <f t="array" ref="W10">_xlfn.PERCENTRANK.EXC(_xlfn._xlws.FILTER($O$3:$O$23, ISNUMBER($O$3:$O$23)),O10)*100</f>
        <v>72.7</v>
      </c>
      <c r="X10" s="4" cm="1">
        <f t="array" ref="X10">_xlfn.PERCENTRANK.EXC(_xlfn._xlws.FILTER($P$3:$P$23, ISNUMBER($P$3:$P$23)),P10)*100</f>
        <v>81.8</v>
      </c>
      <c r="Y10" s="200" cm="1">
        <f t="array" ref="Y10">_xlfn.PERCENTRANK.EXC(_xlfn._xlws.FILTER($S$3:$S$23, ISNUMBER($S$3:$S$23)),S10)*100</f>
        <v>77.2</v>
      </c>
      <c r="Z10" s="4" cm="1">
        <f t="array" ref="Z10">_xlfn.PERCENTRANK.EXC(_xlfn._xlws.FILTER($K$3:$K$23, ISNUMBER($K$3:$K$23)),K10)*100</f>
        <v>72.7</v>
      </c>
      <c r="AA10" s="4" cm="1">
        <f t="array" ref="AA10">_xlfn.PERCENTRANK.EXC(_xlfn._xlws.FILTER($H$3:$H$23, ISNUMBER($H$3:$H$23)),H10)*100</f>
        <v>81.8</v>
      </c>
      <c r="AB10" s="4" cm="1">
        <f t="array" ref="AB10">_xlfn.PERCENTRANK.EXC(_xlfn._xlws.FILTER($J$3:$J$23, ISNUMBER($J$3:$J$23)),J10)*100</f>
        <v>68.100000000000009</v>
      </c>
      <c r="AC10" s="4">
        <f t="shared" si="4"/>
        <v>54.500000000000007</v>
      </c>
      <c r="AD10" s="4">
        <f t="shared" si="5"/>
        <v>22.7</v>
      </c>
      <c r="AE10" s="4">
        <f t="shared" si="6"/>
        <v>77.2</v>
      </c>
      <c r="AF10" s="4">
        <f>'Economic Momentum'!Q11</f>
        <v>27.200000000000003</v>
      </c>
      <c r="AG10" s="4">
        <f ca="1">'Economic Momentum'!R11</f>
        <v>63.6</v>
      </c>
      <c r="AH10" s="4">
        <f t="shared" ca="1" si="7"/>
        <v>80.87</v>
      </c>
      <c r="AJ10" s="3" cm="1">
        <f t="array" aca="1" ref="AJ10" ca="1">_xlfn.PERCENTRANK.EXC(_xlfn._xlws.FILTER($AH$3:$AH$23, ISNUMBER($AH$3:$AH$23)),AH10)*100</f>
        <v>86.3</v>
      </c>
      <c r="AK10">
        <f t="shared" si="8"/>
        <v>6</v>
      </c>
      <c r="AM10" s="4"/>
    </row>
    <row r="11" spans="1:39" x14ac:dyDescent="0.35">
      <c r="A11" t="s">
        <v>7</v>
      </c>
      <c r="B11" t="s">
        <v>53</v>
      </c>
      <c r="C11" t="s">
        <v>7</v>
      </c>
      <c r="D11" s="153">
        <f>VLOOKUP(C11,'Market Capitalisation'!$C$2:$G$31,5,FALSE)</f>
        <v>527432.5</v>
      </c>
      <c r="E11" cm="1">
        <f t="array" ref="E11">_xll.FDS(C11,"FMA_COS_UP(""EPS"",""1M"",+1,NOW,,,""PORTAGG"",""MEANR"")")</f>
        <v>21</v>
      </c>
      <c r="F11" cm="1">
        <f t="array" ref="F11">_xll.FDS(C11,"FMA_COS_DOWN(""EPS"",""1M"",+1,NOW,,,""PORTAGG"",""MEANR"")")</f>
        <v>15</v>
      </c>
      <c r="G11" cm="1">
        <f t="array" ref="G11">_xll.FDS(A11,"SIZE(FG_CONSTITUENTS)")</f>
        <v>44</v>
      </c>
      <c r="H11" s="9">
        <f t="shared" si="0"/>
        <v>0.47727272727272729</v>
      </c>
      <c r="I11" s="9">
        <f t="shared" si="1"/>
        <v>0.34090909090909088</v>
      </c>
      <c r="J11" s="9">
        <f t="shared" si="2"/>
        <v>0.13636363636363641</v>
      </c>
      <c r="K11" s="5" cm="1">
        <f t="array" ref="K11">_xll.FDS(A11,"FMA_PCT_ABOVE_MAVG(200,0,,,,""PORTAGG"")")/100</f>
        <v>0.68181818181818199</v>
      </c>
      <c r="L11" s="41" cm="1">
        <f t="array" ref="L11">_xll.FDSB(A11,"PERCENT_CHANGE(FMA_EPS(+1,0,,,,""PORTAGG"",""MEAN""),FMA_EPS(+1,-1AM,,,,""PORTAGG"",""MEAN""))")</f>
        <v>2.3384687697259898</v>
      </c>
      <c r="M11" s="41" cm="1">
        <f t="array" ref="M11">_xll.FDSB(A11,"PERCENT_CHANGE(FMA_EPS(+1,0,,,,""PORTAGG"",""MEAN""),FMA_EPS(+1,-3AM,,,,""PORTAGG"",""MEAN""))")</f>
        <v>1.6383459752132501</v>
      </c>
      <c r="N11" s="3" cm="1">
        <f t="array" ref="N11">_xll.FDS(C11,"FG_TOTAL_RETURNC(0,-1AM)")</f>
        <v>-1.5032291E-2</v>
      </c>
      <c r="O11" s="3" cm="1">
        <f t="array" ref="O11">_xll.FDS(C11,"FG_TOTAL_RETURNC(0,-3AM)")</f>
        <v>-7.5149536000000003E-2</v>
      </c>
      <c r="P11" s="3" cm="1">
        <f t="array" ref="P11">_xll.FDS(C11,"FG_TOTAL_RETURNC(0,-6AM)")</f>
        <v>8.4085699999999992</v>
      </c>
      <c r="Q11" s="9" cm="1">
        <f t="array" ref="Q11">_xll.FDS(C11,"P_PRICE(0)/P_PRICE_HIGH_PR(0,,,,,,""PRICE"",""INTRA"",""52W"")")</f>
        <v>0.93475819999999998</v>
      </c>
      <c r="R11" s="9" cm="1">
        <f t="array" ref="R11">_xll.FDS(C11,"P_PRICE(0)/P_PRICE_low_PR(0,,,,,,""PRICE"",""INTRA"",""52W"")-1")</f>
        <v>0.26796913</v>
      </c>
      <c r="S11" s="3" cm="1">
        <f t="array" ref="S11">_xll.FDS(C11,"FG_TOTAL_RETURNC(0,-12AM)")</f>
        <v>15.479195000000001</v>
      </c>
      <c r="T11" s="4" cm="1">
        <f t="array" ref="T11">_xlfn.PERCENTRANK.EXC(_xlfn._xlws.FILTER($R$3:$R$23, ISNUMBER($R$3:$R$23)),R11)*100</f>
        <v>72.7</v>
      </c>
      <c r="U11" s="4">
        <f t="shared" si="3"/>
        <v>27.299999999999997</v>
      </c>
      <c r="V11" s="4" cm="1">
        <f t="array" ref="V11">_xlfn.PERCENTRANK.EXC(_xlfn._xlws.FILTER($Q$3:$Q$23, ISNUMBER($Q$3:$Q$23)),Q11)*100</f>
        <v>54.500000000000007</v>
      </c>
      <c r="W11" s="4" cm="1">
        <f t="array" ref="W11">_xlfn.PERCENTRANK.EXC(_xlfn._xlws.FILTER($O$3:$O$23, ISNUMBER($O$3:$O$23)),O11)*100</f>
        <v>45.4</v>
      </c>
      <c r="X11" s="4" cm="1">
        <f t="array" ref="X11">_xlfn.PERCENTRANK.EXC(_xlfn._xlws.FILTER($P$3:$P$23, ISNUMBER($P$3:$P$23)),P11)*100</f>
        <v>54.500000000000007</v>
      </c>
      <c r="Y11" s="200" cm="1">
        <f t="array" ref="Y11">_xlfn.PERCENTRANK.EXC(_xlfn._xlws.FILTER($S$3:$S$23, ISNUMBER($S$3:$S$23)),S11)*100</f>
        <v>68.100000000000009</v>
      </c>
      <c r="Z11" s="4" cm="1">
        <f t="array" ref="Z11">_xlfn.PERCENTRANK.EXC(_xlfn._xlws.FILTER($K$3:$K$23, ISNUMBER($K$3:$K$23)),K11)*100</f>
        <v>54.500000000000007</v>
      </c>
      <c r="AA11" s="4" cm="1">
        <f t="array" ref="AA11">_xlfn.PERCENTRANK.EXC(_xlfn._xlws.FILTER($H$3:$H$23, ISNUMBER($H$3:$H$23)),H11)*100</f>
        <v>77.2</v>
      </c>
      <c r="AB11" s="4" cm="1">
        <f t="array" ref="AB11">_xlfn.PERCENTRANK.EXC(_xlfn._xlws.FILTER($J$3:$J$23, ISNUMBER($J$3:$J$23)),J11)*100</f>
        <v>77.2</v>
      </c>
      <c r="AC11" s="4">
        <f t="shared" si="4"/>
        <v>72.7</v>
      </c>
      <c r="AD11" s="4">
        <f t="shared" si="5"/>
        <v>54.500000000000007</v>
      </c>
      <c r="AE11" s="4">
        <f t="shared" si="6"/>
        <v>54.500000000000007</v>
      </c>
      <c r="AF11" s="4">
        <f>'Economic Momentum'!Q12</f>
        <v>40.9</v>
      </c>
      <c r="AG11" s="4">
        <f ca="1">'Economic Momentum'!R12</f>
        <v>13.600000000000001</v>
      </c>
      <c r="AH11" s="4">
        <f t="shared" ca="1" si="7"/>
        <v>51.77</v>
      </c>
      <c r="AJ11" s="3" cm="1">
        <f t="array" aca="1" ref="AJ11" ca="1">_xlfn.PERCENTRANK.EXC(_xlfn._xlws.FILTER($AH$3:$AH$23, ISNUMBER($AH$3:$AH$23)),AH11)*100</f>
        <v>50</v>
      </c>
      <c r="AK11">
        <f t="shared" si="8"/>
        <v>2</v>
      </c>
      <c r="AM11" s="4"/>
    </row>
    <row r="12" spans="1:39" x14ac:dyDescent="0.35">
      <c r="A12" t="s">
        <v>21</v>
      </c>
      <c r="B12" t="s">
        <v>38</v>
      </c>
      <c r="C12" t="s">
        <v>21</v>
      </c>
      <c r="D12" s="153">
        <f>VLOOKUP(C12,'Market Capitalisation'!$C$2:$G$31,5,FALSE)</f>
        <v>1897331.5</v>
      </c>
      <c r="E12" cm="1">
        <f t="array" ref="E12">_xll.FDS(C12,"FMA_COS_UP(""EPS"",""1M"",+1,NOW,,,""PORTAGG"",""MEANR"")")</f>
        <v>52</v>
      </c>
      <c r="F12" cm="1">
        <f t="array" ref="F12">_xll.FDS(C12,"FMA_COS_DOWN(""EPS"",""1M"",+1,NOW,,,""PORTAGG"",""MEANR"")")</f>
        <v>39</v>
      </c>
      <c r="G12" cm="1">
        <f t="array" ref="G12">_xll.FDS(A12,"SIZE(FG_CONSTITUENTS)")</f>
        <v>101</v>
      </c>
      <c r="H12" s="9">
        <f t="shared" si="0"/>
        <v>0.51485148514851486</v>
      </c>
      <c r="I12" s="9">
        <f t="shared" si="1"/>
        <v>0.38613861386138615</v>
      </c>
      <c r="J12" s="9">
        <f t="shared" si="2"/>
        <v>0.12871287128712872</v>
      </c>
      <c r="K12" s="5" cm="1">
        <f t="array" ref="K12">_xll.FDS(A12,"FMA_PCT_ABOVE_MAVG(200,0,,,,""PORTAGG"")")/100</f>
        <v>0.57999999999999996</v>
      </c>
      <c r="L12" s="41" cm="1">
        <f t="array" ref="L12">_xll.FDSB(A12,"PERCENT_CHANGE(FMA_EPS(+1,0,,,,""PORTAGG"",""MEAN""),FMA_EPS(+1,-1AM,,,,""PORTAGG"",""MEAN""))")</f>
        <v>3.3855564812433001</v>
      </c>
      <c r="M12" s="41" cm="1">
        <f t="array" ref="M12">_xll.FDSB(A12,"PERCENT_CHANGE(FMA_EPS(+1,0,,,,""PORTAGG"",""MEAN""),FMA_EPS(+1,-3AM,,,,""PORTAGG"",""MEAN""))")</f>
        <v>1.2486775299426001</v>
      </c>
      <c r="N12" s="3" cm="1">
        <f t="array" ref="N12">_xll.FDS(C12,"FG_TOTAL_RETURNC(0,-1AM)")</f>
        <v>1.4129162</v>
      </c>
      <c r="O12" s="3" cm="1">
        <f t="array" ref="O12">_xll.FDS(C12,"FG_TOTAL_RETURNC(0,-3AM)")</f>
        <v>-1.9643961999999999</v>
      </c>
      <c r="P12" s="3" cm="1">
        <f t="array" ref="P12">_xll.FDS(C12,"FG_TOTAL_RETURNC(0,-6AM)")</f>
        <v>4.1979074000000001</v>
      </c>
      <c r="Q12" s="9" cm="1">
        <f t="array" ref="Q12">_xll.FDS(C12,"P_PRICE(0)/P_PRICE_HIGH_PR(0,,,,,,""PRICE"",""INTRA"",""52W"")")</f>
        <v>0.93665695000000004</v>
      </c>
      <c r="R12" s="9" cm="1">
        <f t="array" ref="R12">_xll.FDS(C12,"P_PRICE(0)/P_PRICE_low_PR(0,,,,,,""PRICE"",""INTRA"",""52W"")-1")</f>
        <v>0.17232512999999999</v>
      </c>
      <c r="S12" s="3" cm="1">
        <f t="array" ref="S12">_xll.FDS(C12,"FG_TOTAL_RETURNC(0,-12AM)")</f>
        <v>5.1337599999999997</v>
      </c>
      <c r="T12" s="4" cm="1">
        <f t="array" ref="T12">_xlfn.PERCENTRANK.EXC(_xlfn._xlws.FILTER($R$3:$R$23, ISNUMBER($R$3:$R$23)),R12)*100</f>
        <v>50</v>
      </c>
      <c r="U12" s="4">
        <f t="shared" si="3"/>
        <v>50</v>
      </c>
      <c r="V12" s="4" cm="1">
        <f t="array" ref="V12">_xlfn.PERCENTRANK.EXC(_xlfn._xlws.FILTER($Q$3:$Q$23, ISNUMBER($Q$3:$Q$23)),Q12)*100</f>
        <v>59</v>
      </c>
      <c r="W12" s="4" cm="1">
        <f t="array" ref="W12">_xlfn.PERCENTRANK.EXC(_xlfn._xlws.FILTER($O$3:$O$23, ISNUMBER($O$3:$O$23)),O12)*100</f>
        <v>36.299999999999997</v>
      </c>
      <c r="X12" s="4" cm="1">
        <f t="array" ref="X12">_xlfn.PERCENTRANK.EXC(_xlfn._xlws.FILTER($P$3:$P$23, ISNUMBER($P$3:$P$23)),P12)*100</f>
        <v>40.9</v>
      </c>
      <c r="Y12" s="200" cm="1">
        <f t="array" ref="Y12">_xlfn.PERCENTRANK.EXC(_xlfn._xlws.FILTER($S$3:$S$23, ISNUMBER($S$3:$S$23)),S12)*100</f>
        <v>45.4</v>
      </c>
      <c r="Z12" s="4" cm="1">
        <f t="array" ref="Z12">_xlfn.PERCENTRANK.EXC(_xlfn._xlws.FILTER($K$3:$K$23, ISNUMBER($K$3:$K$23)),K12)*100</f>
        <v>40.9</v>
      </c>
      <c r="AA12" s="4" cm="1">
        <f t="array" ref="AA12">_xlfn.PERCENTRANK.EXC(_xlfn._xlws.FILTER($H$3:$H$23, ISNUMBER($H$3:$H$23)),H12)*100</f>
        <v>86.3</v>
      </c>
      <c r="AB12" s="4" cm="1">
        <f t="array" ref="AB12">_xlfn.PERCENTRANK.EXC(_xlfn._xlws.FILTER($J$3:$J$23, ISNUMBER($J$3:$J$23)),J12)*100</f>
        <v>72.7</v>
      </c>
      <c r="AC12" s="4">
        <f t="shared" si="4"/>
        <v>77.2</v>
      </c>
      <c r="AD12" s="4">
        <f t="shared" si="5"/>
        <v>50</v>
      </c>
      <c r="AE12" s="4">
        <f t="shared" si="6"/>
        <v>72.7</v>
      </c>
      <c r="AF12" s="4">
        <f>'Economic Momentum'!Q13</f>
        <v>22.7</v>
      </c>
      <c r="AG12" s="4">
        <f ca="1">'Economic Momentum'!R13</f>
        <v>40.9</v>
      </c>
      <c r="AH12" s="4">
        <f t="shared" ca="1" si="7"/>
        <v>46.760000000000005</v>
      </c>
      <c r="AJ12" s="3" cm="1">
        <f t="array" aca="1" ref="AJ12" ca="1">_xlfn.PERCENTRANK.EXC(_xlfn._xlws.FILTER($AH$3:$AH$23, ISNUMBER($AH$3:$AH$23)),AH12)*100</f>
        <v>45.4</v>
      </c>
      <c r="AK12">
        <f t="shared" si="8"/>
        <v>2</v>
      </c>
      <c r="AM12" s="4"/>
    </row>
    <row r="13" spans="1:39" x14ac:dyDescent="0.35">
      <c r="A13" t="s">
        <v>12</v>
      </c>
      <c r="B13" t="s">
        <v>54</v>
      </c>
      <c r="C13" t="s">
        <v>12</v>
      </c>
      <c r="D13" s="153">
        <f>VLOOKUP(C13,'Market Capitalisation'!$C$2:$G$31,5,FALSE)</f>
        <v>718581.25</v>
      </c>
      <c r="E13" cm="1">
        <f t="array" ref="E13">_xll.FDS(C13,"FMA_COS_UP(""EPS"",""1M"",+1,NOW,,,""PORTAGG"",""MEANR"")")</f>
        <v>18</v>
      </c>
      <c r="F13" cm="1">
        <f t="array" ref="F13">_xll.FDS(C13,"FMA_COS_DOWN(""EPS"",""1M"",+1,NOW,,,""PORTAGG"",""MEANR"")")</f>
        <v>25</v>
      </c>
      <c r="G13" cm="1">
        <f t="array" ref="G13">_xll.FDS(A13,"SIZE(FG_CONSTITUENTS)")</f>
        <v>51</v>
      </c>
      <c r="H13" s="9">
        <f t="shared" si="0"/>
        <v>0.35294117647058826</v>
      </c>
      <c r="I13" s="9">
        <f t="shared" si="1"/>
        <v>0.49019607843137253</v>
      </c>
      <c r="J13" s="9">
        <f t="shared" si="2"/>
        <v>-0.13725490196078427</v>
      </c>
      <c r="K13" s="5" cm="1">
        <f t="array" ref="K13">_xll.FDS(A13,"FMA_PCT_ABOVE_MAVG(200,0,,,,""PORTAGG"")")/100</f>
        <v>0.44</v>
      </c>
      <c r="L13" s="41" cm="1">
        <f t="array" ref="L13">_xll.FDSB(A13,"PERCENT_CHANGE(FMA_EPS(+1,0,,,,""PORTAGG"",""MEAN""),FMA_EPS(+1,-1AM,,,,""PORTAGG"",""MEAN""))")</f>
        <v>1.99974897496411</v>
      </c>
      <c r="M13" s="41" cm="1">
        <f t="array" ref="M13">_xll.FDSB(A13,"PERCENT_CHANGE(FMA_EPS(+1,0,,,,""PORTAGG"",""MEAN""),FMA_EPS(+1,-3AM,,,,""PORTAGG"",""MEAN""))")</f>
        <v>0.195160619792762</v>
      </c>
      <c r="N13" s="3" cm="1">
        <f t="array" ref="N13">_xll.FDS(C13,"FG_TOTAL_RETURNC(0,-1AM)")</f>
        <v>-1.6688049</v>
      </c>
      <c r="O13" s="3" cm="1">
        <f t="array" ref="O13">_xll.FDS(C13,"FG_TOTAL_RETURNC(0,-3AM)")</f>
        <v>-7.4879227000000004</v>
      </c>
      <c r="P13" s="3" cm="1">
        <f t="array" ref="P13">_xll.FDS(C13,"FG_TOTAL_RETURNC(0,-6AM)")</f>
        <v>-5.9612629999999998</v>
      </c>
      <c r="Q13" s="9" cm="1">
        <f t="array" ref="Q13">_xll.FDS(C13,"P_PRICE(0)/P_PRICE_HIGH_PR(0,,,,,,""PRICE"",""INTRA"",""52W"")")</f>
        <v>0.85730267000000004</v>
      </c>
      <c r="R13" s="9" cm="1">
        <f t="array" ref="R13">_xll.FDS(C13,"P_PRICE(0)/P_PRICE_low_PR(0,,,,,,""PRICE"",""INTRA"",""52W"")-1")</f>
        <v>7.8303695000000006E-2</v>
      </c>
      <c r="S13" s="3" cm="1">
        <f t="array" ref="S13">_xll.FDS(C13,"FG_TOTAL_RETURNC(0,-12AM)")</f>
        <v>9.1134070000000005</v>
      </c>
      <c r="T13" s="4" cm="1">
        <f t="array" ref="T13">_xlfn.PERCENTRANK.EXC(_xlfn._xlws.FILTER($R$3:$R$23, ISNUMBER($R$3:$R$23)),R13)*100</f>
        <v>18.099999999999998</v>
      </c>
      <c r="U13" s="4">
        <f t="shared" si="3"/>
        <v>81.900000000000006</v>
      </c>
      <c r="V13" s="4" cm="1">
        <f t="array" ref="V13">_xlfn.PERCENTRANK.EXC(_xlfn._xlws.FILTER($Q$3:$Q$23, ISNUMBER($Q$3:$Q$23)),Q13)*100</f>
        <v>18.099999999999998</v>
      </c>
      <c r="W13" s="4" cm="1">
        <f t="array" ref="W13">_xlfn.PERCENTRANK.EXC(_xlfn._xlws.FILTER($O$3:$O$23, ISNUMBER($O$3:$O$23)),O13)*100</f>
        <v>18.099999999999998</v>
      </c>
      <c r="X13" s="4" cm="1">
        <f t="array" ref="X13">_xlfn.PERCENTRANK.EXC(_xlfn._xlws.FILTER($P$3:$P$23, ISNUMBER($P$3:$P$23)),P13)*100</f>
        <v>4.5</v>
      </c>
      <c r="Y13" s="200" cm="1">
        <f t="array" ref="Y13">_xlfn.PERCENTRANK.EXC(_xlfn._xlws.FILTER($S$3:$S$23, ISNUMBER($S$3:$S$23)),S13)*100</f>
        <v>50</v>
      </c>
      <c r="Z13" s="4" cm="1">
        <f t="array" ref="Z13">_xlfn.PERCENTRANK.EXC(_xlfn._xlws.FILTER($K$3:$K$23, ISNUMBER($K$3:$K$23)),K13)*100</f>
        <v>27.200000000000003</v>
      </c>
      <c r="AA13" s="4" cm="1">
        <f t="array" ref="AA13">_xlfn.PERCENTRANK.EXC(_xlfn._xlws.FILTER($H$3:$H$23, ISNUMBER($H$3:$H$23)),H13)*100</f>
        <v>59</v>
      </c>
      <c r="AB13" s="4" cm="1">
        <f t="array" ref="AB13">_xlfn.PERCENTRANK.EXC(_xlfn._xlws.FILTER($J$3:$J$23, ISNUMBER($J$3:$J$23)),J13)*100</f>
        <v>31.8</v>
      </c>
      <c r="AC13" s="4">
        <f t="shared" si="4"/>
        <v>68.100000000000009</v>
      </c>
      <c r="AD13" s="4">
        <f t="shared" si="5"/>
        <v>45.4</v>
      </c>
      <c r="AE13" s="4">
        <f t="shared" si="6"/>
        <v>63.6</v>
      </c>
      <c r="AF13" s="4">
        <f>'Economic Momentum'!Q14</f>
        <v>86.3</v>
      </c>
      <c r="AG13" s="4">
        <f ca="1">'Economic Momentum'!R14</f>
        <v>90.9</v>
      </c>
      <c r="AH13" s="4">
        <f t="shared" ca="1" si="7"/>
        <v>14.019999999999998</v>
      </c>
      <c r="AJ13" s="3" cm="1">
        <f t="array" aca="1" ref="AJ13" ca="1">_xlfn.PERCENTRANK.EXC(_xlfn._xlws.FILTER($AH$3:$AH$23, ISNUMBER($AH$3:$AH$23)),AH13)*100</f>
        <v>9</v>
      </c>
      <c r="AK13">
        <f t="shared" si="8"/>
        <v>0</v>
      </c>
      <c r="AM13" s="4"/>
    </row>
    <row r="14" spans="1:39" x14ac:dyDescent="0.35">
      <c r="A14" t="s">
        <v>22</v>
      </c>
      <c r="B14" t="s">
        <v>442</v>
      </c>
      <c r="C14" t="s">
        <v>22</v>
      </c>
      <c r="D14" s="153">
        <f>VLOOKUP(C14,'Market Capitalisation'!$C$2:$G$31,5,FALSE)</f>
        <v>317343.2</v>
      </c>
      <c r="E14" cm="1">
        <f t="array" ref="E14">_xll.FDS(C14,"FMA_COS_UP(""EPS"",""1M"",+1,NOW,,,""PORTAGG"",""MEANR"")")</f>
        <v>9</v>
      </c>
      <c r="F14" cm="1">
        <f t="array" ref="F14">_xll.FDS(C14,"FMA_COS_DOWN(""EPS"",""1M"",+1,NOW,,,""PORTAGG"",""MEANR"")")</f>
        <v>14</v>
      </c>
      <c r="G14" cm="1">
        <f t="array" ref="G14">_xll.FDS(A14,"SIZE(FG_CONSTITUENTS)")</f>
        <v>34</v>
      </c>
      <c r="H14" s="9">
        <f t="shared" si="0"/>
        <v>0.26470588235294118</v>
      </c>
      <c r="I14" s="9">
        <f t="shared" si="1"/>
        <v>0.41176470588235292</v>
      </c>
      <c r="J14" s="9">
        <f t="shared" si="2"/>
        <v>-0.14705882352941174</v>
      </c>
      <c r="K14" s="5" cm="1">
        <f t="array" ref="K14">_xll.FDS(A14,"FMA_PCT_ABOVE_MAVG(200,0,,,,""PORTAGG"")")/100</f>
        <v>0.69696969696969702</v>
      </c>
      <c r="L14" s="41" cm="1">
        <f t="array" ref="L14">_xll.FDSB(A14,"PERCENT_CHANGE(FMA_EPS(+1,0,,,,""PORTAGG"",""MEAN""),FMA_EPS(+1,-1AM,,,,""PORTAGG"",""MEAN""))")</f>
        <v>1.7553697881411501</v>
      </c>
      <c r="M14" s="41" cm="1">
        <f t="array" ref="M14">_xll.FDSB(A14,"PERCENT_CHANGE(FMA_EPS(+1,0,,,,""PORTAGG"",""MEAN""),FMA_EPS(+1,-3AM,,,,""PORTAGG"",""MEAN""))")</f>
        <v>5.5307567818098198</v>
      </c>
      <c r="N14" s="3" cm="1">
        <f t="array" ref="N14">_xll.FDS(C14,"FG_TOTAL_RETURNC(0,-1AM)")</f>
        <v>9.4232800000000001</v>
      </c>
      <c r="O14" s="3" cm="1">
        <f t="array" ref="O14">_xll.FDS(C14,"FG_TOTAL_RETURNC(0,-3AM)")</f>
        <v>11.577845</v>
      </c>
      <c r="P14" s="3" cm="1">
        <f t="array" ref="P14">_xll.FDS(C14,"FG_TOTAL_RETURNC(0,-6AM)")</f>
        <v>8.8551640000000003</v>
      </c>
      <c r="Q14" s="9" cm="1">
        <f t="array" ref="Q14">_xll.FDS(C14,"P_PRICE(0)/P_PRICE_HIGH_PR(0,,,,,,""PRICE"",""INTRA"",""52W"")")</f>
        <v>0.94391999999999998</v>
      </c>
      <c r="R14" s="9" cm="1">
        <f t="array" ref="R14">_xll.FDS(C14,"P_PRICE(0)/P_PRICE_low_PR(0,,,,,,""PRICE"",""INTRA"",""52W"")-1")</f>
        <v>0.18847883000000001</v>
      </c>
      <c r="S14" s="3" cm="1">
        <f t="array" ref="S14">_xll.FDS(C14,"FG_TOTAL_RETURNC(0,-12AM)")</f>
        <v>13.382864</v>
      </c>
      <c r="T14" s="4" cm="1">
        <f t="array" ref="T14">_xlfn.PERCENTRANK.EXC(_xlfn._xlws.FILTER($R$3:$R$23, ISNUMBER($R$3:$R$23)),R14)*100</f>
        <v>54.500000000000007</v>
      </c>
      <c r="U14" s="4">
        <f t="shared" si="3"/>
        <v>45.499999999999993</v>
      </c>
      <c r="V14" s="4" cm="1">
        <f t="array" ref="V14">_xlfn.PERCENTRANK.EXC(_xlfn._xlws.FILTER($Q$3:$Q$23, ISNUMBER($Q$3:$Q$23)),Q14)*100</f>
        <v>63.6</v>
      </c>
      <c r="W14" s="4" cm="1">
        <f t="array" ref="W14">_xlfn.PERCENTRANK.EXC(_xlfn._xlws.FILTER($O$3:$O$23, ISNUMBER($O$3:$O$23)),O14)*100</f>
        <v>77.2</v>
      </c>
      <c r="X14" s="4" cm="1">
        <f t="array" ref="X14">_xlfn.PERCENTRANK.EXC(_xlfn._xlws.FILTER($P$3:$P$23, ISNUMBER($P$3:$P$23)),P14)*100</f>
        <v>59</v>
      </c>
      <c r="Y14" s="200" cm="1">
        <f t="array" ref="Y14">_xlfn.PERCENTRANK.EXC(_xlfn._xlws.FILTER($S$3:$S$23, ISNUMBER($S$3:$S$23)),S14)*100</f>
        <v>59</v>
      </c>
      <c r="Z14" s="4" cm="1">
        <f t="array" ref="Z14">_xlfn.PERCENTRANK.EXC(_xlfn._xlws.FILTER($K$3:$K$23, ISNUMBER($K$3:$K$23)),K14)*100</f>
        <v>59</v>
      </c>
      <c r="AA14" s="4" cm="1">
        <f t="array" ref="AA14">_xlfn.PERCENTRANK.EXC(_xlfn._xlws.FILTER($H$3:$H$23, ISNUMBER($H$3:$H$23)),H14)*100</f>
        <v>31.8</v>
      </c>
      <c r="AB14" s="4" cm="1">
        <f t="array" ref="AB14">_xlfn.PERCENTRANK.EXC(_xlfn._xlws.FILTER($J$3:$J$23, ISNUMBER($J$3:$J$23)),J14)*100</f>
        <v>27.200000000000003</v>
      </c>
      <c r="AC14" s="4">
        <f t="shared" si="4"/>
        <v>59</v>
      </c>
      <c r="AD14" s="4">
        <f t="shared" si="5"/>
        <v>81.8</v>
      </c>
      <c r="AE14" s="4">
        <f t="shared" si="6"/>
        <v>36.299999999999997</v>
      </c>
      <c r="AF14" s="4">
        <f>'Economic Momentum'!Q15</f>
        <v>31.8</v>
      </c>
      <c r="AG14" s="4">
        <f ca="1">'Economic Momentum'!R15</f>
        <v>22.7</v>
      </c>
      <c r="AH14" s="4">
        <f t="shared" ca="1" si="7"/>
        <v>66.3</v>
      </c>
      <c r="AJ14" s="3" cm="1">
        <f t="array" aca="1" ref="AJ14" ca="1">_xlfn.PERCENTRANK.EXC(_xlfn._xlws.FILTER($AH$3:$AH$23, ISNUMBER($AH$3:$AH$23)),AH14)*100</f>
        <v>63.6</v>
      </c>
      <c r="AK14">
        <f t="shared" si="8"/>
        <v>1</v>
      </c>
      <c r="AM14" s="4"/>
    </row>
    <row r="15" spans="1:39" x14ac:dyDescent="0.35">
      <c r="A15" t="s">
        <v>28</v>
      </c>
      <c r="B15" t="s">
        <v>443</v>
      </c>
      <c r="C15" t="s">
        <v>28</v>
      </c>
      <c r="D15" s="153">
        <f>VLOOKUP(C15,'Market Capitalisation'!$C$2:$G$31,5,FALSE)</f>
        <v>84981.35</v>
      </c>
      <c r="E15" cm="1">
        <f t="array" ref="E15">_xll.FDS(C15,"FMA_COS_UP(""EPS"",""1M"",+1,NOW,,,""PORTAGG"",""MEANR"")")</f>
        <v>11</v>
      </c>
      <c r="F15" cm="1">
        <f t="array" ref="F15">_xll.FDS(C15,"FMA_COS_DOWN(""EPS"",""1M"",+1,NOW,,,""PORTAGG"",""MEANR"")")</f>
        <v>2</v>
      </c>
      <c r="G15" cm="1">
        <f t="array" ref="G15">_xll.FDS(A15,"SIZE(FG_CONSTITUENTS)")</f>
        <v>30</v>
      </c>
      <c r="H15" s="9">
        <f t="shared" si="0"/>
        <v>0.36666666666666664</v>
      </c>
      <c r="I15" s="9">
        <f t="shared" si="1"/>
        <v>6.6666666666666666E-2</v>
      </c>
      <c r="J15" s="9">
        <f t="shared" si="2"/>
        <v>0.3</v>
      </c>
      <c r="K15" s="5" cm="1">
        <f t="array" ref="K15">_xll.FDS(A15,"FMA_PCT_ABOVE_MAVG(200,0,,,,""PORTAGG"")")/100</f>
        <v>0.89285714285714302</v>
      </c>
      <c r="L15" s="41" cm="1">
        <f t="array" ref="L15">_xll.FDSB(A15,"PERCENT_CHANGE(FMA_EPS(+1,0,,,,""PORTAGG"",""MEAN""),FMA_EPS(+1,-1AM,,,,""PORTAGG"",""MEAN""))")</f>
        <v>4.4786892042031203</v>
      </c>
      <c r="M15" s="41" cm="1">
        <f t="array" ref="M15">_xll.FDSB(A15,"PERCENT_CHANGE(FMA_EPS(+1,0,,,,""PORTAGG"",""MEAN""),FMA_EPS(+1,-3AM,,,,""PORTAGG"",""MEAN""))")</f>
        <v>4.5395990133299904</v>
      </c>
      <c r="N15" s="3" cm="1">
        <f t="array" ref="N15">_xll.FDS(C15,"FG_TOTAL_RETURNC(0,-1AM)")</f>
        <v>2.5128007000000001</v>
      </c>
      <c r="O15" s="3" cm="1">
        <f t="array" ref="O15">_xll.FDS(C15,"FG_TOTAL_RETURNC(0,-3AM)")</f>
        <v>4.4753790000000002</v>
      </c>
      <c r="P15" s="3" cm="1">
        <f t="array" ref="P15">_xll.FDS(C15,"FG_TOTAL_RETURNC(0,-6AM)")</f>
        <v>16.498470000000001</v>
      </c>
      <c r="Q15" s="9" cm="1">
        <f t="array" ref="Q15">_xll.FDS(C15,"P_PRICE(0)/P_PRICE_HIGH_PR(0,,,,,,""PRICE"",""INTRA"",""52W"")")</f>
        <v>0.96265745000000003</v>
      </c>
      <c r="R15" s="9" cm="1">
        <f t="array" ref="R15">_xll.FDS(C15,"P_PRICE(0)/P_PRICE_low_PR(0,,,,,,""PRICE"",""INTRA"",""52W"")-1")</f>
        <v>0.37006401999999999</v>
      </c>
      <c r="S15" s="3" cm="1">
        <f t="array" ref="S15">_xll.FDS(C15,"FG_TOTAL_RETURNC(0,-12AM)")</f>
        <v>25.907229999999998</v>
      </c>
      <c r="T15" s="4" cm="1">
        <f t="array" ref="T15">_xlfn.PERCENTRANK.EXC(_xlfn._xlws.FILTER($R$3:$R$23, ISNUMBER($R$3:$R$23)),R15)*100</f>
        <v>81.8</v>
      </c>
      <c r="U15" s="4">
        <f t="shared" si="3"/>
        <v>18.200000000000003</v>
      </c>
      <c r="V15" s="4" cm="1">
        <f t="array" ref="V15">_xlfn.PERCENTRANK.EXC(_xlfn._xlws.FILTER($Q$3:$Q$23, ISNUMBER($Q$3:$Q$23)),Q15)*100</f>
        <v>72.7</v>
      </c>
      <c r="W15" s="4" cm="1">
        <f t="array" ref="W15">_xlfn.PERCENTRANK.EXC(_xlfn._xlws.FILTER($O$3:$O$23, ISNUMBER($O$3:$O$23)),O15)*100</f>
        <v>59</v>
      </c>
      <c r="X15" s="4" cm="1">
        <f t="array" ref="X15">_xlfn.PERCENTRANK.EXC(_xlfn._xlws.FILTER($P$3:$P$23, ISNUMBER($P$3:$P$23)),P15)*100</f>
        <v>72.7</v>
      </c>
      <c r="Y15" s="200" cm="1">
        <f t="array" ref="Y15">_xlfn.PERCENTRANK.EXC(_xlfn._xlws.FILTER($S$3:$S$23, ISNUMBER($S$3:$S$23)),S15)*100</f>
        <v>72.7</v>
      </c>
      <c r="Z15" s="4" cm="1">
        <f t="array" ref="Z15">_xlfn.PERCENTRANK.EXC(_xlfn._xlws.FILTER($K$3:$K$23, ISNUMBER($K$3:$K$23)),K15)*100</f>
        <v>95.399999999999991</v>
      </c>
      <c r="AA15" s="4" cm="1">
        <f t="array" ref="AA15">_xlfn.PERCENTRANK.EXC(_xlfn._xlws.FILTER($H$3:$H$23, ISNUMBER($H$3:$H$23)),H15)*100</f>
        <v>63.6</v>
      </c>
      <c r="AB15" s="4" cm="1">
        <f t="array" ref="AB15">_xlfn.PERCENTRANK.EXC(_xlfn._xlws.FILTER($J$3:$J$23, ISNUMBER($J$3:$J$23)),J15)*100</f>
        <v>95.399999999999991</v>
      </c>
      <c r="AC15" s="4">
        <f t="shared" si="4"/>
        <v>86.3</v>
      </c>
      <c r="AD15" s="4">
        <f t="shared" si="5"/>
        <v>77.2</v>
      </c>
      <c r="AE15" s="4">
        <f t="shared" si="6"/>
        <v>13.600000000000001</v>
      </c>
      <c r="AF15" s="4">
        <f>'Economic Momentum'!Q16</f>
        <v>81.8</v>
      </c>
      <c r="AG15" s="4">
        <f ca="1">'Economic Momentum'!R16</f>
        <v>95.399999999999991</v>
      </c>
      <c r="AH15" s="4">
        <f t="shared" ca="1" si="7"/>
        <v>68.59</v>
      </c>
      <c r="AJ15" s="3" cm="1">
        <f t="array" aca="1" ref="AJ15" ca="1">_xlfn.PERCENTRANK.EXC(_xlfn._xlws.FILTER($AH$3:$AH$23, ISNUMBER($AH$3:$AH$23)),AH15)*100</f>
        <v>68.100000000000009</v>
      </c>
      <c r="AK15">
        <f t="shared" si="8"/>
        <v>5</v>
      </c>
      <c r="AM15" s="4"/>
    </row>
    <row r="16" spans="1:39" x14ac:dyDescent="0.35">
      <c r="A16" t="s">
        <v>32</v>
      </c>
      <c r="B16" t="s">
        <v>52</v>
      </c>
      <c r="C16" t="s">
        <v>32</v>
      </c>
      <c r="D16" s="153">
        <f>VLOOKUP(C16,'Market Capitalisation'!$C$2:$G$31,5,FALSE)</f>
        <v>4966062</v>
      </c>
      <c r="E16" cm="1">
        <f t="array" ref="E16">_xll.FDS(C16,"FMA_COS_UP(""EPS"",""1M"",+1,NOW,,,""PORTAGG"",""MEANR"")")</f>
        <v>59</v>
      </c>
      <c r="F16" cm="1">
        <f t="array" ref="F16">_xll.FDS(C16,"FMA_COS_DOWN(""EPS"",""1M"",+1,NOW,,,""PORTAGG"",""MEANR"")")</f>
        <v>59</v>
      </c>
      <c r="G16" cm="1">
        <f t="array" ref="G16">_xll.FDS(A16,"SIZE(FG_CONSTITUENTS)")</f>
        <v>137</v>
      </c>
      <c r="H16" s="9">
        <f t="shared" si="0"/>
        <v>0.43065693430656932</v>
      </c>
      <c r="I16" s="9">
        <f t="shared" si="1"/>
        <v>0.43065693430656932</v>
      </c>
      <c r="J16" s="9">
        <f t="shared" si="2"/>
        <v>0</v>
      </c>
      <c r="K16" s="5" cm="1">
        <f t="array" ref="K16">_xll.FDS(A16,"FMA_PCT_ABOVE_MAVG(200,0,,,,""PORTAGG"")")/100</f>
        <v>0.79411764705882304</v>
      </c>
      <c r="L16" s="41" cm="1">
        <f t="array" ref="L16">_xll.FDSB(A16,"PERCENT_CHANGE(FMA_EPS(+1,0,,,,""PORTAGG"",""MEAN""),FMA_EPS(+1,-1AM,,,,""PORTAGG"",""MEAN""))")</f>
        <v>0.25520448139945201</v>
      </c>
      <c r="M16" s="41" cm="1">
        <f t="array" ref="M16">_xll.FDSB(A16,"PERCENT_CHANGE(FMA_EPS(+1,0,,,,""PORTAGG"",""MEAN""),FMA_EPS(+1,-3AM,,,,""PORTAGG"",""MEAN""))")</f>
        <v>-0.13832252928411801</v>
      </c>
      <c r="N16" s="3" cm="1">
        <f t="array" ref="N16">_xll.FDS(C16,"FG_TOTAL_RETURNC(0,-1AM)")</f>
        <v>3.4608840000000001</v>
      </c>
      <c r="O16" s="3" cm="1">
        <f t="array" ref="O16">_xll.FDS(C16,"FG_TOTAL_RETURNC(0,-3AM)")</f>
        <v>3.8803100000000001</v>
      </c>
      <c r="P16" s="3" cm="1">
        <f t="array" ref="P16">_xll.FDS(C16,"FG_TOTAL_RETURNC(0,-6AM)")</f>
        <v>19.022345999999999</v>
      </c>
      <c r="Q16" s="9" cm="1">
        <f t="array" ref="Q16">_xll.FDS(C16,"P_PRICE(0)/P_PRICE_HIGH_PR(0,,,,,,""PRICE"",""INTRA"",""52W"")")</f>
        <v>0.99519144999999998</v>
      </c>
      <c r="R16" s="9" cm="1">
        <f t="array" ref="R16">_xll.FDS(C16,"P_PRICE(0)/P_PRICE_low_PR(0,,,,,,""PRICE"",""INTRA"",""52W"")-1")</f>
        <v>0.30749607000000001</v>
      </c>
      <c r="S16" s="3" cm="1">
        <f t="array" ref="S16">_xll.FDS(C16,"FG_TOTAL_RETURNC(0,-12AM)")</f>
        <v>31.076550000000001</v>
      </c>
      <c r="T16" s="4" cm="1">
        <f t="array" ref="T16">_xlfn.PERCENTRANK.EXC(_xlfn._xlws.FILTER($R$3:$R$23, ISNUMBER($R$3:$R$23)),R16)*100</f>
        <v>77.2</v>
      </c>
      <c r="U16" s="4">
        <f t="shared" si="3"/>
        <v>22.799999999999997</v>
      </c>
      <c r="V16" s="4" cm="1">
        <f t="array" ref="V16">_xlfn.PERCENTRANK.EXC(_xlfn._xlws.FILTER($Q$3:$Q$23, ISNUMBER($Q$3:$Q$23)),Q16)*100</f>
        <v>95.399999999999991</v>
      </c>
      <c r="W16" s="4" cm="1">
        <f t="array" ref="W16">_xlfn.PERCENTRANK.EXC(_xlfn._xlws.FILTER($O$3:$O$23, ISNUMBER($O$3:$O$23)),O16)*100</f>
        <v>54.500000000000007</v>
      </c>
      <c r="X16" s="4" cm="1">
        <f t="array" ref="X16">_xlfn.PERCENTRANK.EXC(_xlfn._xlws.FILTER($P$3:$P$23, ISNUMBER($P$3:$P$23)),P16)*100</f>
        <v>77.2</v>
      </c>
      <c r="Y16" s="200" cm="1">
        <f t="array" ref="Y16">_xlfn.PERCENTRANK.EXC(_xlfn._xlws.FILTER($S$3:$S$23, ISNUMBER($S$3:$S$23)),S16)*100</f>
        <v>81.8</v>
      </c>
      <c r="Z16" s="4" cm="1">
        <f t="array" ref="Z16">_xlfn.PERCENTRANK.EXC(_xlfn._xlws.FILTER($K$3:$K$23, ISNUMBER($K$3:$K$23)),K16)*100</f>
        <v>86.3</v>
      </c>
      <c r="AA16" s="4" cm="1">
        <f t="array" ref="AA16">_xlfn.PERCENTRANK.EXC(_xlfn._xlws.FILTER($H$3:$H$23, ISNUMBER($H$3:$H$23)),H16)*100</f>
        <v>72.7</v>
      </c>
      <c r="AB16" s="4" cm="1">
        <f t="array" ref="AB16">_xlfn.PERCENTRANK.EXC(_xlfn._xlws.FILTER($J$3:$J$23, ISNUMBER($J$3:$J$23)),J16)*100</f>
        <v>59</v>
      </c>
      <c r="AC16" s="4">
        <f t="shared" si="4"/>
        <v>31.8</v>
      </c>
      <c r="AD16" s="4">
        <f t="shared" si="5"/>
        <v>36.299999999999997</v>
      </c>
      <c r="AE16" s="4">
        <f t="shared" si="6"/>
        <v>86.3</v>
      </c>
      <c r="AF16" s="4">
        <f>'Economic Momentum'!Q17</f>
        <v>95.399999999999991</v>
      </c>
      <c r="AG16" s="4">
        <f ca="1">'Economic Momentum'!R17</f>
        <v>81.8</v>
      </c>
      <c r="AH16" s="4">
        <f t="shared" ca="1" si="7"/>
        <v>77.67</v>
      </c>
      <c r="AJ16" s="3" cm="1">
        <f t="array" aca="1" ref="AJ16" ca="1">_xlfn.PERCENTRANK.EXC(_xlfn._xlws.FILTER($AH$3:$AH$23, ISNUMBER($AH$3:$AH$23)),AH16)*100</f>
        <v>81.8</v>
      </c>
      <c r="AK16">
        <f t="shared" si="8"/>
        <v>5</v>
      </c>
      <c r="AM16" s="4"/>
    </row>
    <row r="17" spans="1:39" x14ac:dyDescent="0.35">
      <c r="A17" t="s">
        <v>26</v>
      </c>
      <c r="B17" t="s">
        <v>41</v>
      </c>
      <c r="C17" t="s">
        <v>26</v>
      </c>
      <c r="D17" s="153">
        <f>VLOOKUP(C17,'Market Capitalisation'!$C$2:$G$31,5,FALSE)</f>
        <v>7678675</v>
      </c>
      <c r="E17" cm="1">
        <f t="array" ref="E17">_xll.FDS(C17,"FMA_COS_UP(""EPS"",""1M"",+1,NOW,,,""PORTAGG"",""MEANR"")")</f>
        <v>184</v>
      </c>
      <c r="F17" cm="1">
        <f t="array" ref="F17">_xll.FDS(C17,"FMA_COS_DOWN(""EPS"",""1M"",+1,NOW,,,""PORTAGG"",""MEANR"")")</f>
        <v>350</v>
      </c>
      <c r="G17" cm="1">
        <f t="array" ref="G17">_xll.FDS(A17,"SIZE(FG_CONSTITUENTS)")</f>
        <v>661</v>
      </c>
      <c r="H17" s="9">
        <f t="shared" si="0"/>
        <v>0.2783661119515885</v>
      </c>
      <c r="I17" s="9">
        <f t="shared" si="1"/>
        <v>0.529500756429652</v>
      </c>
      <c r="J17" s="9">
        <f t="shared" si="2"/>
        <v>-0.2511346444780635</v>
      </c>
      <c r="K17" s="5" cm="1">
        <f t="array" ref="K17">_xll.FDS(A17,"FMA_PCT_ABOVE_MAVG(200,0,,,,""PORTAGG"")")/100</f>
        <v>0.59878419452887499</v>
      </c>
      <c r="L17" s="41" cm="1">
        <f t="array" ref="L17">_xll.FDSB(A17,"PERCENT_CHANGE(FMA_EPS(+1,0,,,,""PORTAGG"",""MEAN""),FMA_EPS(+1,-1AM,,,,""PORTAGG"",""MEAN""))")</f>
        <v>9.8146492189720103E-2</v>
      </c>
      <c r="M17" s="41" cm="1">
        <f t="array" ref="M17">_xll.FDSB(A17,"PERCENT_CHANGE(FMA_EPS(+1,0,,,,""PORTAGG"",""MEAN""),FMA_EPS(+1,-3AM,,,,""PORTAGG"",""MEAN""))")</f>
        <v>-1.63165475188492</v>
      </c>
      <c r="N17" s="3" cm="1">
        <f t="array" ref="N17">_xll.FDS(C17,"FG_TOTAL_RETURNC(0,-1AM)")</f>
        <v>10.660767999999999</v>
      </c>
      <c r="O17" s="3" cm="1">
        <f t="array" ref="O17">_xll.FDS(C17,"FG_TOTAL_RETURNC(0,-3AM)")</f>
        <v>12.907266999999999</v>
      </c>
      <c r="P17" s="3" cm="1">
        <f t="array" ref="P17">_xll.FDS(C17,"FG_TOTAL_RETURNC(0,-6AM)")</f>
        <v>6.3554287</v>
      </c>
      <c r="Q17" s="9" cm="1">
        <f t="array" ref="Q17">_xll.FDS(C17,"P_PRICE(0)/P_PRICE_HIGH_PR(0,,,,,,""PRICE"",""INTRA"",""52W"")")</f>
        <v>0.90208250000000001</v>
      </c>
      <c r="R17" s="9" cm="1">
        <f t="array" ref="R17">_xll.FDS(C17,"P_PRICE(0)/P_PRICE_low_PR(0,,,,,,""PRICE"",""INTRA"",""52W"")-1")</f>
        <v>0.26616073000000001</v>
      </c>
      <c r="S17" s="3" cm="1">
        <f t="array" ref="S17">_xll.FDS(C17,"FG_TOTAL_RETURNC(0,-12AM)")</f>
        <v>2.2150517000000001</v>
      </c>
      <c r="T17" s="4" cm="1">
        <f t="array" ref="T17">_xlfn.PERCENTRANK.EXC(_xlfn._xlws.FILTER($R$3:$R$23, ISNUMBER($R$3:$R$23)),R17)*100</f>
        <v>68.100000000000009</v>
      </c>
      <c r="U17" s="4">
        <f t="shared" si="3"/>
        <v>31.899999999999991</v>
      </c>
      <c r="V17" s="4" cm="1">
        <f t="array" ref="V17">_xlfn.PERCENTRANK.EXC(_xlfn._xlws.FILTER($Q$3:$Q$23, ISNUMBER($Q$3:$Q$23)),Q17)*100</f>
        <v>36.299999999999997</v>
      </c>
      <c r="W17" s="4" cm="1">
        <f t="array" ref="W17">_xlfn.PERCENTRANK.EXC(_xlfn._xlws.FILTER($O$3:$O$23, ISNUMBER($O$3:$O$23)),O17)*100</f>
        <v>86.3</v>
      </c>
      <c r="X17" s="4" cm="1">
        <f t="array" ref="X17">_xlfn.PERCENTRANK.EXC(_xlfn._xlws.FILTER($P$3:$P$23, ISNUMBER($P$3:$P$23)),P17)*100</f>
        <v>50</v>
      </c>
      <c r="Y17" s="200" cm="1">
        <f t="array" ref="Y17">_xlfn.PERCENTRANK.EXC(_xlfn._xlws.FILTER($S$3:$S$23, ISNUMBER($S$3:$S$23)),S17)*100</f>
        <v>36.299999999999997</v>
      </c>
      <c r="Z17" s="4" cm="1">
        <f t="array" ref="Z17">_xlfn.PERCENTRANK.EXC(_xlfn._xlws.FILTER($K$3:$K$23, ISNUMBER($K$3:$K$23)),K17)*100</f>
        <v>45.4</v>
      </c>
      <c r="AA17" s="4" cm="1">
        <f t="array" ref="AA17">_xlfn.PERCENTRANK.EXC(_xlfn._xlws.FILTER($H$3:$H$23, ISNUMBER($H$3:$H$23)),H17)*100</f>
        <v>40.9</v>
      </c>
      <c r="AB17" s="4" cm="1">
        <f t="array" ref="AB17">_xlfn.PERCENTRANK.EXC(_xlfn._xlws.FILTER($J$3:$J$23, ISNUMBER($J$3:$J$23)),J17)*100</f>
        <v>13.600000000000001</v>
      </c>
      <c r="AC17" s="4">
        <f t="shared" si="4"/>
        <v>27.200000000000003</v>
      </c>
      <c r="AD17" s="4">
        <f t="shared" si="5"/>
        <v>27.200000000000003</v>
      </c>
      <c r="AE17" s="4">
        <f t="shared" si="6"/>
        <v>90.9</v>
      </c>
      <c r="AF17" s="4">
        <f>'Economic Momentum'!Q18</f>
        <v>45.4</v>
      </c>
      <c r="AG17" s="4">
        <f ca="1">'Economic Momentum'!R18</f>
        <v>31.8</v>
      </c>
      <c r="AH17" s="4">
        <f t="shared" ca="1" si="7"/>
        <v>55.41</v>
      </c>
      <c r="AJ17" s="3" cm="1">
        <f t="array" aca="1" ref="AJ17" ca="1">_xlfn.PERCENTRANK.EXC(_xlfn._xlws.FILTER($AH$3:$AH$23, ISNUMBER($AH$3:$AH$23)),AH17)*100</f>
        <v>54.500000000000007</v>
      </c>
      <c r="AK17">
        <f t="shared" si="8"/>
        <v>1</v>
      </c>
      <c r="AM17" s="4"/>
    </row>
    <row r="18" spans="1:39" x14ac:dyDescent="0.35">
      <c r="A18" t="s">
        <v>31</v>
      </c>
      <c r="B18" t="s">
        <v>444</v>
      </c>
      <c r="C18" t="s">
        <v>31</v>
      </c>
      <c r="D18" s="153">
        <f>VLOOKUP(C18,'Market Capitalisation'!$C$2:$G$31,5,FALSE)</f>
        <v>151261.67000000001</v>
      </c>
      <c r="E18" cm="1">
        <f t="array" ref="E18">_xll.FDS(C18,"FMA_COS_UP(""EPS"",""1M"",+1,NOW,,,""PORTAGG"",""MEANR"")")</f>
        <v>7</v>
      </c>
      <c r="F18" cm="1">
        <f t="array" ref="F18">_xll.FDS(C18,"FMA_COS_DOWN(""EPS"",""1M"",+1,NOW,,,""PORTAGG"",""MEANR"")")</f>
        <v>11</v>
      </c>
      <c r="G18" cm="1">
        <f t="array" ref="G18">_xll.FDS(A18,"SIZE(FG_CONSTITUENTS)")</f>
        <v>34</v>
      </c>
      <c r="H18" s="9">
        <f t="shared" si="0"/>
        <v>0.20588235294117646</v>
      </c>
      <c r="I18" s="9">
        <f t="shared" si="1"/>
        <v>0.3235294117647059</v>
      </c>
      <c r="J18" s="9">
        <f t="shared" si="2"/>
        <v>-0.11764705882352944</v>
      </c>
      <c r="K18" s="5" cm="1">
        <f t="array" ref="K18">_xll.FDS(A18,"FMA_PCT_ABOVE_MAVG(200,0,,,,""PORTAGG"")")/100</f>
        <v>0.32352941176470601</v>
      </c>
      <c r="L18" s="41" cm="1">
        <f t="array" ref="L18">_xll.FDSB(A18,"PERCENT_CHANGE(FMA_EPS(+1,0,,,,""PORTAGG"",""MEAN""),FMA_EPS(+1,-1AM,,,,""PORTAGG"",""MEAN""))")</f>
        <v>1.05054246873221</v>
      </c>
      <c r="M18" s="41" cm="1">
        <f t="array" ref="M18">_xll.FDSB(A18,"PERCENT_CHANGE(FMA_EPS(+1,0,,,,""PORTAGG"",""MEAN""),FMA_EPS(+1,-3AM,,,,""PORTAGG"",""MEAN""))")</f>
        <v>2.1720534432444301</v>
      </c>
      <c r="N18" s="3" cm="1">
        <f t="array" ref="N18">_xll.FDS(C18,"FG_TOTAL_RETURNC(0,-1AM)")</f>
        <v>-2.305472</v>
      </c>
      <c r="O18" s="3" cm="1">
        <f t="array" ref="O18">_xll.FDS(C18,"FG_TOTAL_RETURNC(0,-3AM)")</f>
        <v>-5.2543220000000002</v>
      </c>
      <c r="P18" s="3" cm="1">
        <f t="array" ref="P18">_xll.FDS(C18,"FG_TOTAL_RETURNC(0,-6AM)")</f>
        <v>-3.2534242</v>
      </c>
      <c r="Q18" s="9" cm="1">
        <f t="array" ref="Q18">_xll.FDS(C18,"P_PRICE(0)/P_PRICE_HIGH_PR(0,,,,,,""PRICE"",""INTRA"",""52W"")")</f>
        <v>0.87687534</v>
      </c>
      <c r="R18" s="9" cm="1">
        <f t="array" ref="R18">_xll.FDS(C18,"P_PRICE(0)/P_PRICE_low_PR(0,,,,,,""PRICE"",""INTRA"",""52W"")-1")</f>
        <v>8.2375530000000002E-2</v>
      </c>
      <c r="S18" s="3" cm="1">
        <f t="array" ref="S18">_xll.FDS(C18,"FG_TOTAL_RETURNC(0,-12AM)")</f>
        <v>-9.0104220000000002</v>
      </c>
      <c r="T18" s="4" cm="1">
        <f t="array" ref="T18">_xlfn.PERCENTRANK.EXC(_xlfn._xlws.FILTER($R$3:$R$23, ISNUMBER($R$3:$R$23)),R18)*100</f>
        <v>22.7</v>
      </c>
      <c r="U18" s="4">
        <f t="shared" si="3"/>
        <v>77.3</v>
      </c>
      <c r="V18" s="4" cm="1">
        <f t="array" ref="V18">_xlfn.PERCENTRANK.EXC(_xlfn._xlws.FILTER($Q$3:$Q$23, ISNUMBER($Q$3:$Q$23)),Q18)*100</f>
        <v>27.200000000000003</v>
      </c>
      <c r="W18" s="4" cm="1">
        <f t="array" ref="W18">_xlfn.PERCENTRANK.EXC(_xlfn._xlws.FILTER($O$3:$O$23, ISNUMBER($O$3:$O$23)),O18)*100</f>
        <v>22.7</v>
      </c>
      <c r="X18" s="4" cm="1">
        <f t="array" ref="X18">_xlfn.PERCENTRANK.EXC(_xlfn._xlws.FILTER($P$3:$P$23, ISNUMBER($P$3:$P$23)),P18)*100</f>
        <v>18.099999999999998</v>
      </c>
      <c r="Y18" s="200" cm="1">
        <f t="array" ref="Y18">_xlfn.PERCENTRANK.EXC(_xlfn._xlws.FILTER($S$3:$S$23, ISNUMBER($S$3:$S$23)),S18)*100</f>
        <v>13.600000000000001</v>
      </c>
      <c r="Z18" s="4" cm="1">
        <f t="array" ref="Z18">_xlfn.PERCENTRANK.EXC(_xlfn._xlws.FILTER($K$3:$K$23, ISNUMBER($K$3:$K$23)),K18)*100</f>
        <v>18.099999999999998</v>
      </c>
      <c r="AA18" s="4" cm="1">
        <f t="array" ref="AA18">_xlfn.PERCENTRANK.EXC(_xlfn._xlws.FILTER($H$3:$H$23, ISNUMBER($H$3:$H$23)),H18)*100</f>
        <v>18.099999999999998</v>
      </c>
      <c r="AB18" s="4" cm="1">
        <f t="array" ref="AB18">_xlfn.PERCENTRANK.EXC(_xlfn._xlws.FILTER($J$3:$J$23, ISNUMBER($J$3:$J$23)),J18)*100</f>
        <v>36.299999999999997</v>
      </c>
      <c r="AC18" s="4">
        <f t="shared" si="4"/>
        <v>50</v>
      </c>
      <c r="AD18" s="4">
        <f t="shared" si="5"/>
        <v>59</v>
      </c>
      <c r="AE18" s="4">
        <f t="shared" si="6"/>
        <v>18.099999999999998</v>
      </c>
      <c r="AF18" s="4">
        <f>'Economic Momentum'!Q19</f>
        <v>68.100000000000009</v>
      </c>
      <c r="AG18" s="4">
        <f ca="1">'Economic Momentum'!R19</f>
        <v>18.099999999999998</v>
      </c>
      <c r="AH18" s="4">
        <f t="shared" ca="1" si="7"/>
        <v>23.12</v>
      </c>
      <c r="AJ18" s="3" cm="1">
        <f t="array" aca="1" ref="AJ18" ca="1">_xlfn.PERCENTRANK.EXC(_xlfn._xlws.FILTER($AH$3:$AH$23, ISNUMBER($AH$3:$AH$23)),AH18)*100</f>
        <v>18.099999999999998</v>
      </c>
      <c r="AK18">
        <f t="shared" si="8"/>
        <v>0</v>
      </c>
      <c r="AM18" s="4"/>
    </row>
    <row r="19" spans="1:39" s="1" customFormat="1" x14ac:dyDescent="0.35">
      <c r="A19" s="1" t="s">
        <v>757</v>
      </c>
      <c r="B19" s="1" t="s">
        <v>758</v>
      </c>
      <c r="C19" s="1" t="s">
        <v>757</v>
      </c>
      <c r="D19" s="153">
        <f>VLOOKUP(C19,'Market Capitalisation'!$C$2:$G$31,5,FALSE)</f>
        <v>462556.19828656799</v>
      </c>
      <c r="E19" cm="1">
        <f t="array" ref="E19">_xll.FDS(C19,"FMA_COS_UP(""EPS"",""1M"",+1,NOW,,,""PORTAGG"",""MEANR"")")</f>
        <v>66</v>
      </c>
      <c r="F19" cm="1">
        <f t="array" ref="F19">_xll.FDS(C19,"FMA_COS_DOWN(""EPS"",""1M"",+1,NOW,,,""PORTAGG"",""MEANR"")")</f>
        <v>93</v>
      </c>
      <c r="G19" s="1" cm="1">
        <f t="array" ref="G19">_xll.FDS(A19,"SIZE(FG_CONSTITUENTS)")</f>
        <v>1</v>
      </c>
      <c r="H19" s="48">
        <f t="shared" si="0"/>
        <v>66</v>
      </c>
      <c r="I19" s="48">
        <f t="shared" si="1"/>
        <v>93</v>
      </c>
      <c r="J19" s="9">
        <f t="shared" si="2"/>
        <v>-27</v>
      </c>
      <c r="K19" s="6" cm="1">
        <f t="array" ref="K19">_xll.FDS(A19,"FMA_PCT_ABOVE_MAVG(200,0,,,,""PORTAGG"")")/100</f>
        <v>0.32282282282282304</v>
      </c>
      <c r="L19" s="41" cm="1">
        <f t="array" ref="L19">_xll.FDSB(A19,"PERCENT_CHANGE(FMA_EPS(+1,0,,,,""PORTAGG"",""MEAN""),FMA_EPS(+1,-1AM,,,,""PORTAGG"",""MEAN""))")</f>
        <v>-0.64395078719293097</v>
      </c>
      <c r="M19" s="41" cm="1">
        <f t="array" ref="M19">_xll.FDSB(A19,"PERCENT_CHANGE(FMA_EPS(+1,0,,,,""PORTAGG"",""MEAN""),FMA_EPS(+1,-3AM,,,,""PORTAGG"",""MEAN""))")</f>
        <v>-2.17280886375953</v>
      </c>
      <c r="N19" s="3" cm="1">
        <f t="array" ref="N19">_xll.FDS(C19,"FG_TOTAL_RETURNC(0,-1AM)")</f>
        <v>0.76466800000000001</v>
      </c>
      <c r="O19" s="54" cm="1">
        <f t="array" ref="O19">_xll.FDS(C19,"FG_TOTAL_RETURNC(0,-3AM)")</f>
        <v>-2.1671711999999999</v>
      </c>
      <c r="P19" s="54" cm="1">
        <f t="array" ref="P19">_xll.FDS(C19,"FG_TOTAL_RETURNC(0,-6AM)")</f>
        <v>-2.7562736999999999</v>
      </c>
      <c r="Q19" s="9" cm="1">
        <f t="array" ref="Q19">_xll.FDS(C19,"P_PRICE(0)/P_PRICE_HIGH_PR(0,,,,,,""PRICE"",""INTRA"",""52W"")")</f>
        <v>0.86603390000000002</v>
      </c>
      <c r="R19" s="9" cm="1">
        <f t="array" ref="R19">_xll.FDS(C19,"P_PRICE(0)/P_PRICE_low_PR(0,,,,,,""PRICE"",""INTRA"",""52W"")-1")</f>
        <v>2.8265595000000001E-2</v>
      </c>
      <c r="S19" s="3" cm="1">
        <f t="array" ref="S19">_xll.FDS(C19,"FG_TOTAL_RETURNC(0,-12AM)")</f>
        <v>-10.880613</v>
      </c>
      <c r="T19" s="4" cm="1">
        <f t="array" ref="T19">_xlfn.PERCENTRANK.EXC(_xlfn._xlws.FILTER($R$3:$R$23, ISNUMBER($R$3:$R$23)),R19)*100</f>
        <v>9</v>
      </c>
      <c r="U19" s="4">
        <f t="shared" si="3"/>
        <v>91</v>
      </c>
      <c r="V19" s="4" cm="1">
        <f t="array" ref="V19">_xlfn.PERCENTRANK.EXC(_xlfn._xlws.FILTER($Q$3:$Q$23, ISNUMBER($Q$3:$Q$23)),Q19)*100</f>
        <v>22.7</v>
      </c>
      <c r="W19" s="4" cm="1">
        <f t="array" ref="W19">_xlfn.PERCENTRANK.EXC(_xlfn._xlws.FILTER($O$3:$O$23, ISNUMBER($O$3:$O$23)),O19)*100</f>
        <v>31.8</v>
      </c>
      <c r="X19" s="4" cm="1">
        <f t="array" ref="X19">_xlfn.PERCENTRANK.EXC(_xlfn._xlws.FILTER($P$3:$P$23, ISNUMBER($P$3:$P$23)),P19)*100</f>
        <v>22.7</v>
      </c>
      <c r="Y19" s="200" cm="1">
        <f t="array" ref="Y19">_xlfn.PERCENTRANK.EXC(_xlfn._xlws.FILTER($S$3:$S$23, ISNUMBER($S$3:$S$23)),S19)*100</f>
        <v>9</v>
      </c>
      <c r="Z19" s="4" cm="1">
        <f t="array" ref="Z19">_xlfn.PERCENTRANK.EXC(_xlfn._xlws.FILTER($K$3:$K$23, ISNUMBER($K$3:$K$23)),K19)*100</f>
        <v>13.600000000000001</v>
      </c>
      <c r="AA19" s="4" cm="1">
        <f t="array" ref="AA19">_xlfn.PERCENTRANK.EXC(_xlfn._xlws.FILTER($H$3:$H$23, ISNUMBER($H$3:$H$23)),H19)*100</f>
        <v>95.399999999999991</v>
      </c>
      <c r="AB19" s="4" cm="1">
        <f t="array" ref="AB19">_xlfn.PERCENTRANK.EXC(_xlfn._xlws.FILTER($J$3:$J$23, ISNUMBER($J$3:$J$23)),J19)*100</f>
        <v>4.5</v>
      </c>
      <c r="AC19" s="4">
        <f t="shared" si="4"/>
        <v>18.099999999999998</v>
      </c>
      <c r="AD19" s="4">
        <f t="shared" si="5"/>
        <v>18.099999999999998</v>
      </c>
      <c r="AE19" s="4">
        <f t="shared" si="6"/>
        <v>50</v>
      </c>
      <c r="AF19" s="4">
        <f>'Economic Momentum'!Q20</f>
        <v>9</v>
      </c>
      <c r="AG19" s="4">
        <f ca="1">'Economic Momentum'!R20</f>
        <v>27.200000000000003</v>
      </c>
      <c r="AH19" s="4">
        <f t="shared" ca="1" si="7"/>
        <v>25.429999999999996</v>
      </c>
      <c r="AJ19" s="3" cm="1">
        <f t="array" aca="1" ref="AJ19" ca="1">_xlfn.PERCENTRANK.EXC(_xlfn._xlws.FILTER($AH$3:$AH$23, ISNUMBER($AH$3:$AH$23)),AH19)*100</f>
        <v>27.200000000000003</v>
      </c>
      <c r="AK19" s="1">
        <f t="shared" si="8"/>
        <v>1</v>
      </c>
      <c r="AM19" s="4"/>
    </row>
    <row r="20" spans="1:39" x14ac:dyDescent="0.35">
      <c r="A20" t="s">
        <v>25</v>
      </c>
      <c r="B20" t="s">
        <v>446</v>
      </c>
      <c r="C20" t="s">
        <v>25</v>
      </c>
      <c r="D20" s="153">
        <f>VLOOKUP(C20,'Market Capitalisation'!$C$2:$G$31,5,FALSE)</f>
        <v>433880.8</v>
      </c>
      <c r="E20" cm="1">
        <f t="array" ref="E20">_xll.FDS(C20,"FMA_COS_UP(""EPS"",""1M"",+1,NOW,,,""PORTAGG"",""MEANR"")")</f>
        <v>14</v>
      </c>
      <c r="F20" cm="1">
        <f t="array" ref="F20">_xll.FDS(C20,"FMA_COS_DOWN(""EPS"",""1M"",+1,NOW,,,""PORTAGG"",""MEANR"")")</f>
        <v>18</v>
      </c>
      <c r="G20" cm="1">
        <f t="array" ref="G20">_xll.FDS(A20,"SIZE(FG_CONSTITUENTS)")</f>
        <v>98</v>
      </c>
      <c r="H20" s="9">
        <f t="shared" si="0"/>
        <v>0.14285714285714285</v>
      </c>
      <c r="I20" s="9">
        <f t="shared" si="1"/>
        <v>0.18367346938775511</v>
      </c>
      <c r="J20" s="9">
        <f t="shared" si="2"/>
        <v>-4.0816326530612262E-2</v>
      </c>
      <c r="K20" s="5" cm="1">
        <f t="array" ref="K20">_xll.FDS(A20,"FMA_PCT_ABOVE_MAVG(200,0,,,,""PORTAGG"")")/100</f>
        <v>0.72043010752688208</v>
      </c>
      <c r="L20" s="41" cm="1">
        <f t="array" ref="L20">_xll.FDSB(A20,"PERCENT_CHANGE(FMA_EPS(+1,0,,,,""PORTAGG"",""MEAN""),FMA_EPS(+1,-1AM,,,,""PORTAGG"",""MEAN""))")</f>
        <v>0.44349940237860302</v>
      </c>
      <c r="M20" s="41" cm="1">
        <f t="array" ref="M20">_xll.FDSB(A20,"PERCENT_CHANGE(FMA_EPS(+1,0,,,,""PORTAGG"",""MEAN""),FMA_EPS(+1,-3AM,,,,""PORTAGG"",""MEAN""))")</f>
        <v>-7.5113917153143204</v>
      </c>
      <c r="N20" s="3" cm="1">
        <f t="array" ref="N20">_xll.FDS(C20,"FG_TOTAL_RETURNC(0,-1AM)")</f>
        <v>13.531876</v>
      </c>
      <c r="O20" s="3" cm="1">
        <f t="array" ref="O20">_xll.FDS(C20,"FG_TOTAL_RETURNC(0,-3AM)")</f>
        <v>12.883115</v>
      </c>
      <c r="P20" s="3" cm="1">
        <f t="array" ref="P20">_xll.FDS(C20,"FG_TOTAL_RETURNC(0,-6AM)")</f>
        <v>23.824822999999999</v>
      </c>
      <c r="Q20" s="9" cm="1">
        <f t="array" ref="Q20">_xll.FDS(C20,"P_PRICE(0)/P_PRICE_HIGH_PR(0,,,,,,""PRICE"",""INTRA"",""52W"")")</f>
        <v>0.97860840000000004</v>
      </c>
      <c r="R20" s="9" cm="1">
        <f t="array" ref="R20">_xll.FDS(C20,"P_PRICE(0)/P_PRICE_low_PR(0,,,,,,""PRICE"",""INTRA"",""52W"")-1")</f>
        <v>0.57406734999999998</v>
      </c>
      <c r="S20" s="3" cm="1">
        <f t="array" ref="S20">_xll.FDS(C20,"FG_TOTAL_RETURNC(0,-12AM)")</f>
        <v>55.717243000000003</v>
      </c>
      <c r="T20" s="4" cm="1">
        <f t="array" ref="T20">_xlfn.PERCENTRANK.EXC(_xlfn._xlws.FILTER($R$3:$R$23, ISNUMBER($R$3:$R$23)),R20)*100</f>
        <v>95.399999999999991</v>
      </c>
      <c r="U20" s="4">
        <f t="shared" si="3"/>
        <v>4.6000000000000085</v>
      </c>
      <c r="V20" s="4" cm="1">
        <f t="array" ref="V20">_xlfn.PERCENTRANK.EXC(_xlfn._xlws.FILTER($Q$3:$Q$23, ISNUMBER($Q$3:$Q$23)),Q20)*100</f>
        <v>81.8</v>
      </c>
      <c r="W20" s="4" cm="1">
        <f t="array" ref="W20">_xlfn.PERCENTRANK.EXC(_xlfn._xlws.FILTER($O$3:$O$23, ISNUMBER($O$3:$O$23)),O20)*100</f>
        <v>81.8</v>
      </c>
      <c r="X20" s="4" cm="1">
        <f t="array" ref="X20">_xlfn.PERCENTRANK.EXC(_xlfn._xlws.FILTER($P$3:$P$23, ISNUMBER($P$3:$P$23)),P20)*100</f>
        <v>90.9</v>
      </c>
      <c r="Y20" s="200" cm="1">
        <f t="array" ref="Y20">_xlfn.PERCENTRANK.EXC(_xlfn._xlws.FILTER($S$3:$S$23, ISNUMBER($S$3:$S$23)),S20)*100</f>
        <v>95.399999999999991</v>
      </c>
      <c r="Z20" s="4" cm="1">
        <f t="array" ref="Z20">_xlfn.PERCENTRANK.EXC(_xlfn._xlws.FILTER($K$3:$K$23, ISNUMBER($K$3:$K$23)),K20)*100</f>
        <v>63.6</v>
      </c>
      <c r="AA20" s="4" cm="1">
        <f t="array" ref="AA20">_xlfn.PERCENTRANK.EXC(_xlfn._xlws.FILTER($H$3:$H$23, ISNUMBER($H$3:$H$23)),H20)*100</f>
        <v>9</v>
      </c>
      <c r="AB20" s="4" cm="1">
        <f t="array" ref="AB20">_xlfn.PERCENTRANK.EXC(_xlfn._xlws.FILTER($J$3:$J$23, ISNUMBER($J$3:$J$23)),J20)*100</f>
        <v>54.500000000000007</v>
      </c>
      <c r="AC20" s="4">
        <f t="shared" si="4"/>
        <v>40.9</v>
      </c>
      <c r="AD20" s="4">
        <f t="shared" si="5"/>
        <v>9</v>
      </c>
      <c r="AE20" s="4">
        <f t="shared" si="6"/>
        <v>45.4</v>
      </c>
      <c r="AF20" s="4">
        <f>'Economic Momentum'!Q21</f>
        <v>18.099999999999998</v>
      </c>
      <c r="AG20" s="4">
        <f ca="1">'Economic Momentum'!R21</f>
        <v>86.3</v>
      </c>
      <c r="AH20" s="4">
        <f t="shared" ca="1" si="7"/>
        <v>84.53</v>
      </c>
      <c r="AJ20" s="3" cm="1">
        <f t="array" aca="1" ref="AJ20" ca="1">_xlfn.PERCENTRANK.EXC(_xlfn._xlws.FILTER($AH$3:$AH$23, ISNUMBER($AH$3:$AH$23)),AH20)*100</f>
        <v>95.399999999999991</v>
      </c>
      <c r="AK20">
        <f t="shared" si="8"/>
        <v>4</v>
      </c>
      <c r="AM20" s="4"/>
    </row>
    <row r="21" spans="1:39" x14ac:dyDescent="0.35">
      <c r="A21" t="s">
        <v>34</v>
      </c>
      <c r="B21" t="s">
        <v>447</v>
      </c>
      <c r="C21" t="s">
        <v>34</v>
      </c>
      <c r="D21" s="153">
        <f>VLOOKUP(C21,'Market Capitalisation'!$C$2:$G$31,5,FALSE)</f>
        <v>845751.25</v>
      </c>
      <c r="E21" cm="1">
        <f t="array" ref="E21">_xll.FDS(C21,"FMA_COS_UP(""EPS"",""1M"",+1,NOW,,,""PORTAGG"",""MEANR"")")</f>
        <v>12</v>
      </c>
      <c r="F21" cm="1">
        <f t="array" ref="F21">_xll.FDS(C21,"FMA_COS_DOWN(""EPS"",""1M"",+1,NOW,,,""PORTAGG"",""MEANR"")")</f>
        <v>5</v>
      </c>
      <c r="G21" cm="1">
        <f t="array" ref="G21">_xll.FDS(A21,"SIZE(FG_CONSTITUENTS)")</f>
        <v>42</v>
      </c>
      <c r="H21" s="9">
        <f t="shared" si="0"/>
        <v>0.2857142857142857</v>
      </c>
      <c r="I21" s="9">
        <f t="shared" si="1"/>
        <v>0.11904761904761904</v>
      </c>
      <c r="J21" s="9">
        <f t="shared" si="2"/>
        <v>0.16666666666666666</v>
      </c>
      <c r="K21" s="5" cm="1">
        <f t="array" ref="K21">_xll.FDS(A21,"FMA_PCT_ABOVE_MAVG(200,0,,,,""PORTAGG"")")/100</f>
        <v>0.27027027027027001</v>
      </c>
      <c r="L21" s="41" cm="1">
        <f t="array" ref="L21">_xll.FDSB(A21,"PERCENT_CHANGE(FMA_EPS(+1,0,,,,""PORTAGG"",""MEAN""),FMA_EPS(+1,-1AM,,,,""PORTAGG"",""MEAN""))")</f>
        <v>5.6729972085241904</v>
      </c>
      <c r="M21" s="41" cm="1">
        <f t="array" ref="M21">_xll.FDSB(A21,"PERCENT_CHANGE(FMA_EPS(+1,0,,,,""PORTAGG"",""MEAN""),FMA_EPS(+1,-3AM,,,,""PORTAGG"",""MEAN""))")</f>
        <v>13.683803114420099</v>
      </c>
      <c r="N21" s="3" cm="1">
        <f t="array" ref="N21">_xll.FDS(C21,"FG_TOTAL_RETURNC(0,-1AM)")</f>
        <v>-2.0293890999999999</v>
      </c>
      <c r="O21" s="3" cm="1">
        <f t="array" ref="O21">_xll.FDS(C21,"FG_TOTAL_RETURNC(0,-3AM)")</f>
        <v>-3.6476253999999999</v>
      </c>
      <c r="P21" s="3" cm="1">
        <f t="array" ref="P21">_xll.FDS(C21,"FG_TOTAL_RETURNC(0,-6AM)")</f>
        <v>-3.9438844</v>
      </c>
      <c r="Q21" s="9" cm="1">
        <f t="array" ref="Q21">_xll.FDS(C21,"P_PRICE(0)/P_PRICE_HIGH_PR(0,,,,,,""PRICE"",""INTRA"",""52W"")")</f>
        <v>0.89256113999999998</v>
      </c>
      <c r="R21" s="9" cm="1">
        <f t="array" ref="R21">_xll.FDS(C21,"P_PRICE(0)/P_PRICE_low_PR(0,,,,,,""PRICE"",""INTRA"",""52W"")-1")</f>
        <v>5.1840663000000002E-2</v>
      </c>
      <c r="S21" s="3" cm="1">
        <f t="array" ref="S21">_xll.FDS(C21,"FG_TOTAL_RETURNC(0,-12AM)")</f>
        <v>-0.92445016000000002</v>
      </c>
      <c r="T21" s="4" cm="1">
        <f t="array" ref="T21">_xlfn.PERCENTRANK.EXC(_xlfn._xlws.FILTER($R$3:$R$23, ISNUMBER($R$3:$R$23)),R21)*100</f>
        <v>13.600000000000001</v>
      </c>
      <c r="U21" s="4">
        <f t="shared" si="3"/>
        <v>86.4</v>
      </c>
      <c r="V21" s="4" cm="1">
        <f t="array" ref="V21">_xlfn.PERCENTRANK.EXC(_xlfn._xlws.FILTER($Q$3:$Q$23, ISNUMBER($Q$3:$Q$23)),Q21)*100</f>
        <v>31.8</v>
      </c>
      <c r="W21" s="4" cm="1">
        <f t="array" ref="W21">_xlfn.PERCENTRANK.EXC(_xlfn._xlws.FILTER($O$3:$O$23, ISNUMBER($O$3:$O$23)),O21)*100</f>
        <v>27.200000000000003</v>
      </c>
      <c r="X21" s="4" cm="1">
        <f t="array" ref="X21">_xlfn.PERCENTRANK.EXC(_xlfn._xlws.FILTER($P$3:$P$23, ISNUMBER($P$3:$P$23)),P21)*100</f>
        <v>9</v>
      </c>
      <c r="Y21" s="200" cm="1">
        <f t="array" ref="Y21">_xlfn.PERCENTRANK.EXC(_xlfn._xlws.FILTER($S$3:$S$23, ISNUMBER($S$3:$S$23)),S21)*100</f>
        <v>27.200000000000003</v>
      </c>
      <c r="Z21" s="4" cm="1">
        <f t="array" ref="Z21">_xlfn.PERCENTRANK.EXC(_xlfn._xlws.FILTER($K$3:$K$23, ISNUMBER($K$3:$K$23)),K21)*100</f>
        <v>4.5</v>
      </c>
      <c r="AA21" s="4" cm="1">
        <f t="array" ref="AA21">_xlfn.PERCENTRANK.EXC(_xlfn._xlws.FILTER($H$3:$H$23, ISNUMBER($H$3:$H$23)),H21)*100</f>
        <v>45.4</v>
      </c>
      <c r="AB21" s="4" cm="1">
        <f t="array" ref="AB21">_xlfn.PERCENTRANK.EXC(_xlfn._xlws.FILTER($J$3:$J$23, ISNUMBER($J$3:$J$23)),J21)*100</f>
        <v>81.8</v>
      </c>
      <c r="AC21" s="4">
        <f t="shared" si="4"/>
        <v>90.9</v>
      </c>
      <c r="AD21" s="4">
        <f t="shared" si="5"/>
        <v>95.399999999999991</v>
      </c>
      <c r="AE21" s="4">
        <f t="shared" si="6"/>
        <v>68.100000000000009</v>
      </c>
      <c r="AF21" s="4">
        <f>'Economic Momentum'!Q22</f>
        <v>54.500000000000007</v>
      </c>
      <c r="AG21" s="4">
        <f ca="1">'Economic Momentum'!R22</f>
        <v>50</v>
      </c>
      <c r="AH21" s="4">
        <f t="shared" ca="1" si="7"/>
        <v>23.580000000000002</v>
      </c>
      <c r="AJ21" s="3" cm="1">
        <f t="array" aca="1" ref="AJ21" ca="1">_xlfn.PERCENTRANK.EXC(_xlfn._xlws.FILTER($AH$3:$AH$23, ISNUMBER($AH$3:$AH$23)),AH21)*100</f>
        <v>22.7</v>
      </c>
      <c r="AK21">
        <f t="shared" si="8"/>
        <v>1</v>
      </c>
      <c r="AM21" s="4"/>
    </row>
    <row r="22" spans="1:39" x14ac:dyDescent="0.35">
      <c r="A22" t="s">
        <v>37</v>
      </c>
      <c r="B22" t="s">
        <v>448</v>
      </c>
      <c r="C22" t="s">
        <v>37</v>
      </c>
      <c r="D22" s="153">
        <f>VLOOKUP(C22,'Market Capitalisation'!$C$2:$G$31,5,FALSE)</f>
        <v>24179.748737999998</v>
      </c>
      <c r="E22" cm="1">
        <f t="array" ref="E22">_xll.FDS(C22,"FMA_COS_UP(""EPS"",""1M"",+1,NOW,,,""PORTAGG"",""MEANR"")")</f>
        <v>5</v>
      </c>
      <c r="F22" cm="1">
        <f t="array" ref="F22">_xll.FDS(C22,"FMA_COS_DOWN(""EPS"",""1M"",+1,NOW,,,""PORTAGG"",""MEANR"")")</f>
        <v>13</v>
      </c>
      <c r="G22" cm="1">
        <f t="array" ref="G22">_xll.FDS(A22,"SIZE(FG_CONSTITUENTS)")</f>
        <v>47</v>
      </c>
      <c r="H22" s="9">
        <f t="shared" si="0"/>
        <v>0.10638297872340426</v>
      </c>
      <c r="I22" s="9">
        <f t="shared" si="1"/>
        <v>0.27659574468085107</v>
      </c>
      <c r="J22" s="9">
        <f t="shared" si="2"/>
        <v>-0.17021276595744683</v>
      </c>
      <c r="K22" s="5" cm="1">
        <f t="array" ref="K22">_xll.FDS(A22,"FMA_PCT_ABOVE_MAVG(200,0,,,,""PORTAGG"")")/100</f>
        <v>0.65217391304347805</v>
      </c>
      <c r="L22" s="41" cm="1">
        <f t="array" ref="L22">_xll.FDSB(A22,"PERCENT_CHANGE(FMA_EPS(+1,0,,,,""PORTAGG"",""MEAN""),FMA_EPS(+1,-1AM,,,,""PORTAGG"",""MEAN""))")</f>
        <v>-3.46711688282093</v>
      </c>
      <c r="M22" s="41" cm="1">
        <f t="array" ref="M22">_xll.FDSB(A22,"PERCENT_CHANGE(FMA_EPS(+1,0,,,,""PORTAGG"",""MEAN""),FMA_EPS(+1,-3AM,,,,""PORTAGG"",""MEAN""))")</f>
        <v>-3.94889208313153</v>
      </c>
      <c r="N22" s="3" cm="1">
        <f t="array" ref="N22">_xll.FDS(C22,"FG_TOTAL_RETURNC(0,-1AM)")</f>
        <v>6.9109080000000001</v>
      </c>
      <c r="O22" s="3" cm="1">
        <f t="array" ref="O22">_xll.FDS(C22,"FG_TOTAL_RETURNC(0,-3AM)")</f>
        <v>-1.6845345</v>
      </c>
      <c r="P22" s="3" cm="1">
        <f t="array" ref="P22">_xll.FDS(C22,"FG_TOTAL_RETURNC(0,-6AM)")</f>
        <v>-8.4829329999999994E-2</v>
      </c>
      <c r="Q22" s="9" cm="1">
        <f t="array" ref="Q22">_xll.FDS(C22,"P_PRICE(0)/P_PRICE_HIGH_PR(0,,,,,,""PRICE"",""INTRA"",""52W"")")</f>
        <v>0.82070947000000005</v>
      </c>
      <c r="R22" s="9" cm="1">
        <f t="array" ref="R22">_xll.FDS(C22,"P_PRICE(0)/P_PRICE_low_PR(0,,,,,,""PRICE"",""INTRA"",""52W"")-1")</f>
        <v>0.11555171</v>
      </c>
      <c r="S22" s="3" cm="1">
        <f t="array" ref="S22">_xll.FDS(C22,"FG_TOTAL_RETURNC(0,-12AM)")</f>
        <v>9.7123740000000005</v>
      </c>
      <c r="T22" s="4" cm="1">
        <f t="array" ref="T22">_xlfn.PERCENTRANK.EXC(_xlfn._xlws.FILTER($R$3:$R$23, ISNUMBER($R$3:$R$23)),R22)*100</f>
        <v>31.8</v>
      </c>
      <c r="U22" s="4">
        <f t="shared" si="3"/>
        <v>68.2</v>
      </c>
      <c r="V22" s="4" cm="1">
        <f t="array" ref="V22">_xlfn.PERCENTRANK.EXC(_xlfn._xlws.FILTER($Q$3:$Q$23, ISNUMBER($Q$3:$Q$23)),Q22)*100</f>
        <v>4.5</v>
      </c>
      <c r="W22" s="4" cm="1">
        <f t="array" ref="W22">_xlfn.PERCENTRANK.EXC(_xlfn._xlws.FILTER($O$3:$O$23, ISNUMBER($O$3:$O$23)),O22)*100</f>
        <v>40.9</v>
      </c>
      <c r="X22" s="4" cm="1">
        <f t="array" ref="X22">_xlfn.PERCENTRANK.EXC(_xlfn._xlws.FILTER($P$3:$P$23, ISNUMBER($P$3:$P$23)),P22)*100</f>
        <v>27.200000000000003</v>
      </c>
      <c r="Y22" s="200" cm="1">
        <f t="array" ref="Y22">_xlfn.PERCENTRANK.EXC(_xlfn._xlws.FILTER($S$3:$S$23, ISNUMBER($S$3:$S$23)),S22)*100</f>
        <v>54.500000000000007</v>
      </c>
      <c r="Z22" s="4" cm="1">
        <f t="array" ref="Z22">_xlfn.PERCENTRANK.EXC(_xlfn._xlws.FILTER($K$3:$K$23, ISNUMBER($K$3:$K$23)),K22)*100</f>
        <v>50</v>
      </c>
      <c r="AA22" s="4" cm="1">
        <f t="array" ref="AA22">_xlfn.PERCENTRANK.EXC(_xlfn._xlws.FILTER($H$3:$H$23, ISNUMBER($H$3:$H$23)),H22)*100</f>
        <v>4.5</v>
      </c>
      <c r="AB22" s="4" cm="1">
        <f t="array" ref="AB22">_xlfn.PERCENTRANK.EXC(_xlfn._xlws.FILTER($J$3:$J$23, ISNUMBER($J$3:$J$23)),J22)*100</f>
        <v>22.7</v>
      </c>
      <c r="AC22" s="4">
        <f t="shared" si="4"/>
        <v>4.5</v>
      </c>
      <c r="AD22" s="4">
        <f t="shared" si="5"/>
        <v>13.600000000000001</v>
      </c>
      <c r="AE22" s="4">
        <f t="shared" si="6"/>
        <v>4.5</v>
      </c>
      <c r="AF22" s="4">
        <f>'Economic Momentum'!Q23</f>
        <v>36.299999999999997</v>
      </c>
      <c r="AG22" s="4">
        <f ca="1">'Economic Momentum'!R23</f>
        <v>77.2</v>
      </c>
      <c r="AH22" s="4">
        <f t="shared" ca="1" si="7"/>
        <v>22.23</v>
      </c>
      <c r="AJ22" s="3" cm="1">
        <f t="array" aca="1" ref="AJ22" ca="1">_xlfn.PERCENTRANK.EXC(_xlfn._xlws.FILTER($AH$3:$AH$23, ISNUMBER($AH$3:$AH$23)),AH22)*100</f>
        <v>13.600000000000001</v>
      </c>
      <c r="AK22">
        <f t="shared" si="8"/>
        <v>0</v>
      </c>
      <c r="AM22" s="4"/>
    </row>
    <row r="23" spans="1:39" x14ac:dyDescent="0.35">
      <c r="A23" t="s">
        <v>36</v>
      </c>
      <c r="B23" t="s">
        <v>449</v>
      </c>
      <c r="C23" t="s">
        <v>36</v>
      </c>
      <c r="D23" s="153">
        <f>VLOOKUP(C23,'Market Capitalisation'!$C$2:$G$31,5,FALSE)</f>
        <v>2840998.5</v>
      </c>
      <c r="E23" cm="1">
        <f t="array" ref="E23">_xll.FDS(C23,"FMA_COS_UP(""EPS"",""1M"",+1,NOW,,,""PORTAGG"",""MEANR"")")</f>
        <v>30</v>
      </c>
      <c r="F23" cm="1">
        <f t="array" ref="F23">_xll.FDS(C23,"FMA_COS_DOWN(""EPS"",""1M"",+1,NOW,,,""PORTAGG"",""MEANR"")")</f>
        <v>38</v>
      </c>
      <c r="G23" cm="1">
        <f t="array" ref="G23">_xll.FDS(A23,"SIZE(FG_CONSTITUENTS)")</f>
        <v>122</v>
      </c>
      <c r="H23" s="9">
        <f t="shared" si="0"/>
        <v>0.24590163934426229</v>
      </c>
      <c r="I23" s="9">
        <f t="shared" si="1"/>
        <v>0.31147540983606559</v>
      </c>
      <c r="J23" s="9">
        <f t="shared" si="2"/>
        <v>-6.5573770491803296E-2</v>
      </c>
      <c r="K23" s="5" cm="1">
        <f t="array" ref="K23">_xll.FDS(A23,"FMA_PCT_ABOVE_MAVG(200,0,,,,""PORTAGG"")")/100</f>
        <v>0.54166666666666696</v>
      </c>
      <c r="L23" s="41" cm="1">
        <f t="array" ref="L23">_xll.FDSB(A23,"PERCENT_CHANGE(FMA_EPS(+1,0,,,,""PORTAGG"",""MEAN""),FMA_EPS(+1,-1AM,,,,""PORTAGG"",""MEAN""))")</f>
        <v>0.313857812687594</v>
      </c>
      <c r="M23" s="41" cm="1">
        <f t="array" ref="M23">_xll.FDSB(A23,"PERCENT_CHANGE(FMA_EPS(+1,0,,,,""PORTAGG"",""MEAN""),FMA_EPS(+1,-3AM,,,,""PORTAGG"",""MEAN""))")</f>
        <v>2.4699061926982702</v>
      </c>
      <c r="N23" s="3" cm="1">
        <f t="array" ref="N23">_xll.FDS(C23,"FG_TOTAL_RETURNC(0,-1AM)")</f>
        <v>-4.8454046000000002</v>
      </c>
      <c r="O23" s="3" cm="1">
        <f t="array" ref="O23">_xll.FDS(C23,"FG_TOTAL_RETURNC(0,-3AM)")</f>
        <v>-7.9874989999999997</v>
      </c>
      <c r="P23" s="3" cm="1">
        <f t="array" ref="P23">_xll.FDS(C23,"FG_TOTAL_RETURNC(0,-6AM)")</f>
        <v>5.5771350000000002</v>
      </c>
      <c r="Q23" s="9" cm="1">
        <f t="array" ref="Q23">_xll.FDS(C23,"P_PRICE(0)/P_PRICE_HIGH_PR(0,,,,,,""PRICE"",""INTRA"",""52W"")")</f>
        <v>0.91451380000000004</v>
      </c>
      <c r="R23" s="9" cm="1">
        <f t="array" ref="R23">_xll.FDS(C23,"P_PRICE(0)/P_PRICE_low_PR(0,,,,,,""PRICE"",""INTRA"",""52W"")-1")</f>
        <v>0.13891196</v>
      </c>
      <c r="S23" s="3" cm="1">
        <f t="array" ref="S23">_xll.FDS(C23,"FG_TOTAL_RETURNC(0,-12AM)")</f>
        <v>3.4082294000000002</v>
      </c>
      <c r="T23" s="4" cm="1">
        <f t="array" ref="T23">_xlfn.PERCENTRANK.EXC(_xlfn._xlws.FILTER($R$3:$R$23, ISNUMBER($R$3:$R$23)),R23)*100</f>
        <v>36.299999999999997</v>
      </c>
      <c r="U23" s="4">
        <f t="shared" si="3"/>
        <v>63.7</v>
      </c>
      <c r="V23" s="4" cm="1">
        <f t="array" ref="V23">_xlfn.PERCENTRANK.EXC(_xlfn._xlws.FILTER($Q$3:$Q$23, ISNUMBER($Q$3:$Q$23)),Q23)*100</f>
        <v>50</v>
      </c>
      <c r="W23" s="4" cm="1">
        <f t="array" ref="W23">_xlfn.PERCENTRANK.EXC(_xlfn._xlws.FILTER($O$3:$O$23, ISNUMBER($O$3:$O$23)),O23)*100</f>
        <v>13.600000000000001</v>
      </c>
      <c r="X23" s="4" cm="1">
        <f t="array" ref="X23">_xlfn.PERCENTRANK.EXC(_xlfn._xlws.FILTER($P$3:$P$23, ISNUMBER($P$3:$P$23)),P23)*100</f>
        <v>45.4</v>
      </c>
      <c r="Y23" s="200" cm="1">
        <f t="array" ref="Y23">_xlfn.PERCENTRANK.EXC(_xlfn._xlws.FILTER($S$3:$S$23, ISNUMBER($S$3:$S$23)),S23)*100</f>
        <v>40.9</v>
      </c>
      <c r="Z23" s="4" cm="1">
        <f t="array" ref="Z23">_xlfn.PERCENTRANK.EXC(_xlfn._xlws.FILTER($K$3:$K$23, ISNUMBER($K$3:$K$23)),K23)*100</f>
        <v>31.8</v>
      </c>
      <c r="AA23" s="4" cm="1">
        <f t="array" ref="AA23">_xlfn.PERCENTRANK.EXC(_xlfn._xlws.FILTER($H$3:$H$23, ISNUMBER($H$3:$H$23)),H23)*100</f>
        <v>27.200000000000003</v>
      </c>
      <c r="AB23" s="4" cm="1">
        <f t="array" ref="AB23">_xlfn.PERCENTRANK.EXC(_xlfn._xlws.FILTER($J$3:$J$23, ISNUMBER($J$3:$J$23)),J23)*100</f>
        <v>45.4</v>
      </c>
      <c r="AC23" s="4">
        <f t="shared" si="4"/>
        <v>36.299999999999997</v>
      </c>
      <c r="AD23" s="4">
        <f t="shared" si="5"/>
        <v>63.6</v>
      </c>
      <c r="AE23" s="4">
        <f t="shared" si="6"/>
        <v>81.8</v>
      </c>
      <c r="AF23" s="4">
        <f>'Economic Momentum'!Q24</f>
        <v>90.9</v>
      </c>
      <c r="AG23" s="4">
        <f ca="1">'Economic Momentum'!R24</f>
        <v>9</v>
      </c>
      <c r="AH23" s="4">
        <f t="shared" ca="1" si="7"/>
        <v>37.699999999999996</v>
      </c>
      <c r="AJ23" s="3" cm="1">
        <f t="array" aca="1" ref="AJ23" ca="1">_xlfn.PERCENTRANK.EXC(_xlfn._xlws.FILTER($AH$3:$AH$23, ISNUMBER($AH$3:$AH$23)),AH23)*100</f>
        <v>40.9</v>
      </c>
      <c r="AK23">
        <f t="shared" si="8"/>
        <v>0</v>
      </c>
      <c r="AM23" s="4"/>
    </row>
    <row r="24" spans="1:39" x14ac:dyDescent="0.35">
      <c r="H24" s="9"/>
      <c r="I24" s="9"/>
      <c r="J24" s="9"/>
      <c r="K24" s="5"/>
      <c r="L24" s="41"/>
      <c r="M24" s="41"/>
      <c r="O24" s="3"/>
      <c r="P24" s="3"/>
      <c r="Q24" s="9"/>
      <c r="V24" s="4"/>
      <c r="W24" s="4"/>
      <c r="X24" s="4"/>
      <c r="Z24" s="4"/>
      <c r="AA24" s="4"/>
      <c r="AB24" s="4"/>
      <c r="AC24" s="4"/>
      <c r="AD24" s="4"/>
      <c r="AE24" s="4"/>
      <c r="AF24" s="4"/>
      <c r="AG24" s="4"/>
      <c r="AH24" s="4"/>
      <c r="AJ24" s="4"/>
    </row>
    <row r="25" spans="1:39" x14ac:dyDescent="0.35">
      <c r="H25" s="9"/>
      <c r="I25" s="9"/>
      <c r="J25" s="9"/>
      <c r="K25" s="5"/>
      <c r="L25" s="41"/>
      <c r="M25" s="41"/>
      <c r="O25" s="3"/>
      <c r="P25" s="3"/>
      <c r="Q25" s="9"/>
      <c r="V25" s="4"/>
      <c r="W25" s="4"/>
      <c r="X25" s="4"/>
      <c r="Z25" s="4"/>
      <c r="AA25" s="4"/>
      <c r="AB25" s="4"/>
      <c r="AC25" s="4"/>
      <c r="AD25" s="4"/>
      <c r="AE25" s="4"/>
      <c r="AF25" s="4"/>
      <c r="AG25" s="4"/>
      <c r="AH25" s="4"/>
      <c r="AJ25" s="4"/>
    </row>
    <row r="26" spans="1:39" x14ac:dyDescent="0.35">
      <c r="H26" s="9"/>
      <c r="I26" s="9"/>
      <c r="J26" s="9"/>
      <c r="K26" s="5"/>
      <c r="L26" s="41"/>
      <c r="M26" s="41"/>
      <c r="O26" s="3"/>
      <c r="P26" s="3"/>
      <c r="Q26" s="9"/>
      <c r="V26" s="4"/>
      <c r="W26" s="4"/>
      <c r="X26" s="4"/>
      <c r="Z26" s="4"/>
      <c r="AA26" s="4"/>
      <c r="AB26" s="4"/>
      <c r="AC26" s="4"/>
      <c r="AD26" s="4"/>
      <c r="AE26" s="4"/>
      <c r="AF26" s="4"/>
      <c r="AG26" s="4"/>
      <c r="AH26" s="4"/>
      <c r="AJ26" s="4"/>
    </row>
    <row r="27" spans="1:39" x14ac:dyDescent="0.35">
      <c r="H27" s="9"/>
      <c r="I27" s="9"/>
      <c r="J27" s="9"/>
      <c r="K27" s="5"/>
      <c r="L27" s="41"/>
      <c r="M27" s="41"/>
      <c r="O27" s="3"/>
      <c r="Q27" s="9"/>
      <c r="R27" s="9"/>
      <c r="V27" s="4"/>
      <c r="W27" s="4"/>
      <c r="X27" s="4"/>
      <c r="Z27" s="4"/>
      <c r="AA27" s="4"/>
      <c r="AB27" s="4"/>
      <c r="AC27" s="4"/>
      <c r="AD27" s="4"/>
      <c r="AE27" s="4"/>
      <c r="AF27" s="4"/>
      <c r="AG27" s="4"/>
      <c r="AH27" s="4"/>
      <c r="AJ27" s="4"/>
    </row>
    <row r="28" spans="1:39" x14ac:dyDescent="0.35">
      <c r="H28" s="9"/>
      <c r="I28" s="9"/>
      <c r="J28" s="9"/>
      <c r="K28" s="5"/>
      <c r="L28" s="41"/>
      <c r="M28" s="41"/>
      <c r="O28" s="3"/>
      <c r="Q28" s="9"/>
      <c r="R28" s="9"/>
      <c r="V28" s="4"/>
      <c r="W28" s="4"/>
      <c r="X28" s="4"/>
      <c r="Z28" s="4"/>
      <c r="AA28" s="4"/>
      <c r="AB28" s="4"/>
      <c r="AC28" s="4"/>
      <c r="AD28" s="4"/>
      <c r="AE28" s="4"/>
      <c r="AF28" s="4"/>
      <c r="AG28" s="4"/>
      <c r="AH28" s="4"/>
      <c r="AJ28" s="4"/>
    </row>
    <row r="29" spans="1:39" x14ac:dyDescent="0.35">
      <c r="A29" s="1" t="s">
        <v>803</v>
      </c>
      <c r="H29" s="9"/>
      <c r="I29" s="9"/>
      <c r="J29" s="9"/>
      <c r="K29" s="5"/>
      <c r="L29" s="41"/>
      <c r="M29" s="41"/>
      <c r="O29" s="3"/>
      <c r="Q29" s="9"/>
      <c r="R29" s="9"/>
      <c r="V29" s="4"/>
      <c r="W29" s="4"/>
      <c r="X29" s="4"/>
      <c r="Z29" s="4"/>
      <c r="AA29" s="4"/>
      <c r="AB29" s="4"/>
      <c r="AC29" s="4"/>
      <c r="AD29" s="4"/>
      <c r="AE29" s="4"/>
      <c r="AF29" s="4"/>
      <c r="AG29" s="4"/>
      <c r="AH29" s="4"/>
      <c r="AJ29" s="4"/>
    </row>
    <row r="30" spans="1:39" x14ac:dyDescent="0.35">
      <c r="A30" t="s">
        <v>547</v>
      </c>
      <c r="B30" t="s">
        <v>227</v>
      </c>
      <c r="C30" t="str">
        <f>A30</f>
        <v>VGK</v>
      </c>
      <c r="E30" cm="1">
        <f t="array" ref="E30">_xll.FDS(C30,"FMA_COS_UP(""EPS"",""1M"",+1,NOW,,,""PORTAGG"",""MEANR"")")</f>
        <v>428</v>
      </c>
      <c r="F30" cm="1">
        <f t="array" ref="F30">_xll.FDS(C30,"FMA_COS_DOWN(""EPS"",""1M"",+1,NOW,,,""PORTAGG"",""MEANR"")")</f>
        <v>545</v>
      </c>
      <c r="G30" cm="1">
        <f t="array" ref="G30">_xll.FDS(A30,"SIZE(FG_CONSTITUENTS)")</f>
        <v>1281</v>
      </c>
      <c r="H30" s="9">
        <f>E30/$G30</f>
        <v>0.33411397345823574</v>
      </c>
      <c r="I30" s="9">
        <f>F30/$G30</f>
        <v>0.42544886807181886</v>
      </c>
      <c r="J30" s="9">
        <f t="shared" ref="J30" si="9">H30-I30</f>
        <v>-9.1334894613583129E-2</v>
      </c>
      <c r="K30" s="5" cm="1">
        <f t="array" ref="K30">_xll.FDS(A30,"FMA_PCT_ABOVE_MAVG(200,0,,,,""PORTAGG"")")/100</f>
        <v>0.69236883942766303</v>
      </c>
      <c r="L30" s="41" cm="1">
        <f t="array" ref="L30">_xll.FDSB(A30,"PERCENT_CHANGE(FMA_EPS(+1,0,,,,""PORTAGG"",""MEAN""),FMA_EPS(+1,-1AM,,,,""PORTAGG"",""MEAN""))")</f>
        <v>0</v>
      </c>
      <c r="M30" s="41" cm="1">
        <f t="array" ref="M30">_xll.FDSB(A30,"PERCENT_CHANGE(FMA_EPS(+1,0,,,,""PORTAGG"",""MEAN""),FMA_EPS(+1,-3AM,,,,""PORTAGG"",""MEAN""))")</f>
        <v>-1.55746566433551</v>
      </c>
      <c r="O30" s="3" cm="1">
        <f t="array" ref="O30">_xll.FDS(C30,"FG_TOTAL_RETURNC(0,-3AM)")</f>
        <v>6.2373640000000004</v>
      </c>
      <c r="P30" s="3" cm="1">
        <f t="array" ref="P30">_xll.FDS(C30,"FG_TOTAL_RETURNC(0,-6AM)")</f>
        <v>14.826751</v>
      </c>
      <c r="Q30" s="9" cm="1">
        <f t="array" ref="Q30">_xll.FDS(C30,"P_PRICE(0)/P_PRICE_HIGH_PR(0,,,,,,""PRICE"",""INTRA"",""52W"")")</f>
        <v>0.98392840000000004</v>
      </c>
      <c r="R30" s="9" cm="1">
        <f t="array" ref="R30">_xll.FDS(C30,"P_PRICE(0)/P_PRICE_low_PR(0,,,,,,""PRICE"",""INTRA"",""52W"")-1")</f>
        <v>0.25644742999999998</v>
      </c>
      <c r="W30" s="4"/>
      <c r="X30" s="4"/>
      <c r="Y30" s="200"/>
      <c r="AA30" s="4"/>
      <c r="AB30" s="4"/>
      <c r="AC30" s="4"/>
      <c r="AD30" s="4"/>
      <c r="AE30" s="4"/>
      <c r="AF30" s="4"/>
      <c r="AG30" s="4"/>
      <c r="AH30" s="4"/>
      <c r="AI30" s="4"/>
      <c r="AK30" s="4"/>
    </row>
    <row r="31" spans="1:39" x14ac:dyDescent="0.35">
      <c r="A31" t="s">
        <v>6</v>
      </c>
      <c r="B31" t="s">
        <v>762</v>
      </c>
      <c r="C31" t="str">
        <f>A31</f>
        <v>VWO</v>
      </c>
      <c r="E31" cm="1">
        <f t="array" ref="E31">_xll.FDS(C31,"FMA_COS_UP(""EPS"",""1M"",+1,NOW,,,""PORTAGG"",""MEANR"")")</f>
        <v>857</v>
      </c>
      <c r="F31" cm="1">
        <f t="array" ref="F31">_xll.FDS(C31,"FMA_COS_DOWN(""EPS"",""1M"",+1,NOW,,,""PORTAGG"",""MEANR"")")</f>
        <v>1619</v>
      </c>
      <c r="G31" cm="1">
        <f t="array" ref="G31">_xll.FDS(A31,"SIZE(FG_CONSTITUENTS)")</f>
        <v>4781</v>
      </c>
      <c r="H31" s="9">
        <f>E31/$G31</f>
        <v>0.17925120267726416</v>
      </c>
      <c r="I31" s="9">
        <f>F31/$G31</f>
        <v>0.33863208533779543</v>
      </c>
      <c r="J31" s="9">
        <f t="shared" ref="J31" si="10">H31-I31</f>
        <v>-0.15938088266053127</v>
      </c>
      <c r="K31" s="5" cm="1">
        <f t="array" ref="K31">_xll.FDS(A31,"FMA_PCT_ABOVE_MAVG(200,0,,,,""PORTAGG"")")/100</f>
        <v>0.46861564918314697</v>
      </c>
      <c r="L31" s="41" cm="1">
        <f t="array" ref="L31">_xll.FDSB(A31,"PERCENT_CHANGE(FMA_EPS(+1,0,,,,""PORTAGG"",""MEAN""),FMA_EPS(+1,-1AM,,,,""PORTAGG"",""MEAN""))")</f>
        <v>-2.30795789317252</v>
      </c>
      <c r="M31" s="41" cm="1">
        <f t="array" ref="M31">_xll.FDSB(A31,"PERCENT_CHANGE(FMA_EPS(+1,0,,,,""PORTAGG"",""MEAN""),FMA_EPS(+1,-3AM,,,,""PORTAGG"",""MEAN""))")</f>
        <v>-4.1747504082280704</v>
      </c>
      <c r="O31" s="3" cm="1">
        <f t="array" ref="O31">_xll.FDS(C31,"FG_TOTAL_RETURNC(0,-3AM)")</f>
        <v>6.0624719999999996</v>
      </c>
      <c r="P31" s="3" cm="1">
        <f t="array" ref="P31">_xll.FDS(C31,"FG_TOTAL_RETURNC(0,-6AM)")</f>
        <v>11.316050000000001</v>
      </c>
      <c r="Q31" s="9" cm="1">
        <f t="array" ref="Q31">_xll.FDS(C31,"P_PRICE(0)/P_PRICE_HIGH_PR(0,,,,,,""PRICE"",""INTRA"",""52W"")")</f>
        <v>0.97985363000000003</v>
      </c>
      <c r="R31" s="9" cm="1">
        <f t="array" ref="R31">_xll.FDS(C31,"P_PRICE(0)/P_PRICE_low_PR(0,,,,,,""PRICE"",""INTRA"",""52W"")-1")</f>
        <v>0.17634486999999999</v>
      </c>
    </row>
    <row r="32" spans="1:39" x14ac:dyDescent="0.35">
      <c r="A32" t="s">
        <v>804</v>
      </c>
      <c r="B32" t="s">
        <v>805</v>
      </c>
      <c r="C32" t="str">
        <f t="shared" ref="C32" si="11">A32</f>
        <v>URTH</v>
      </c>
      <c r="E32" cm="1">
        <f t="array" ref="E32">_xll.FDS(C32,"FMA_COS_UP(""EPS"",""1M"",+1,NOW,,,""PORTAGG"",""MEANR"")")</f>
        <v>743</v>
      </c>
      <c r="F32" cm="1">
        <f t="array" ref="F32">_xll.FDS(C32,"FMA_COS_DOWN(""EPS"",""1M"",+1,NOW,,,""PORTAGG"",""MEANR"")")</f>
        <v>537</v>
      </c>
      <c r="G32" cm="1">
        <f t="array" ref="G32">_xll.FDS(A32,"SIZE(FG_CONSTITUENTS)")</f>
        <v>1467</v>
      </c>
      <c r="H32" s="9">
        <f t="shared" ref="H32" si="12">E32/$G32</f>
        <v>0.50647580095432854</v>
      </c>
      <c r="I32" s="9">
        <f t="shared" ref="I32" si="13">F32/$G32</f>
        <v>0.36605316973415131</v>
      </c>
      <c r="J32" s="9">
        <f t="shared" ref="J32" si="14">H32-I32</f>
        <v>0.14042263122017723</v>
      </c>
      <c r="K32" s="5" cm="1">
        <f t="array" ref="K32">_xll.FDS(A32,"FMA_PCT_ABOVE_MAVG(200,0,,,,""PORTAGG"")")/100</f>
        <v>0.75701574264202609</v>
      </c>
      <c r="L32" s="41" cm="1">
        <f t="array" ref="L32">_xll.FDSB(A32,"PERCENT_CHANGE(FMA_EPS(+1,0,,,,""PORTAGG"",""MEAN""),FMA_EPS(+1,-1AM,,,,""PORTAGG"",""MEAN""))")</f>
        <v>0.93242351992124095</v>
      </c>
      <c r="M32" s="41" cm="1">
        <f t="array" ref="M32">_xll.FDSB(A32,"PERCENT_CHANGE(FMA_EPS(+1,0,,,,""PORTAGG"",""MEAN""),FMA_EPS(+1,-3AM,,,,""PORTAGG"",""MEAN""))")</f>
        <v>0.35101944366633397</v>
      </c>
      <c r="O32" s="3" cm="1">
        <f t="array" ref="O32">_xll.FDS(C32,"FG_TOTAL_RETURNC(0,-3AM)")</f>
        <v>3.5416484000000001</v>
      </c>
      <c r="P32" s="3" cm="1">
        <f t="array" ref="P32">_xll.FDS(C32,"FG_TOTAL_RETURNC(0,-6AM)")</f>
        <v>15.154992999999999</v>
      </c>
      <c r="Q32" s="9" cm="1">
        <f t="array" ref="Q32">_xll.FDS(C32,"P_PRICE(0)/P_PRICE_HIGH_PR(0,,,,,,""PRICE"",""INTRA"",""52W"")")</f>
        <v>0.98575310000000005</v>
      </c>
      <c r="R32" s="9" cm="1">
        <f t="array" ref="R32">_xll.FDS(C32,"P_PRICE(0)/P_PRICE_low_PR(0,,,,,,""PRICE"",""INTRA"",""52W"")-1")</f>
        <v>0.26678299999999999</v>
      </c>
    </row>
    <row r="33" spans="1:18" x14ac:dyDescent="0.35">
      <c r="A33" t="s">
        <v>46</v>
      </c>
      <c r="B33" t="s">
        <v>842</v>
      </c>
      <c r="C33" t="str">
        <f t="shared" ref="C33:C34" si="15">A33</f>
        <v>EWJ</v>
      </c>
      <c r="E33" cm="1">
        <f t="array" ref="E33">_xll.FDS(C33,"FMA_COS_UP(""EPS"",""1M"",+1,NOW,,,""PORTAGG"",""MEANR"")")</f>
        <v>122</v>
      </c>
      <c r="F33" cm="1">
        <f t="array" ref="F33">_xll.FDS(C33,"FMA_COS_DOWN(""EPS"",""1M"",+1,NOW,,,""PORTAGG"",""MEANR"")")</f>
        <v>84</v>
      </c>
      <c r="G33" cm="1">
        <f t="array" ref="G33">_xll.FDS(A33,"SIZE(FG_CONSTITUENTS)")</f>
        <v>218</v>
      </c>
      <c r="H33" s="9">
        <f t="shared" ref="H33:H34" si="16">E33/$G33</f>
        <v>0.55963302752293576</v>
      </c>
      <c r="I33" s="9">
        <f t="shared" ref="I33:I34" si="17">F33/$G33</f>
        <v>0.38532110091743121</v>
      </c>
      <c r="J33" s="9">
        <f t="shared" ref="J33:J34" si="18">H33-I33</f>
        <v>0.17431192660550454</v>
      </c>
      <c r="K33" s="5" cm="1">
        <f t="array" ref="K33">_xll.FDS(A33,"FMA_PCT_ABOVE_MAVG(200,0,,,,""PORTAGG"")")/100</f>
        <v>0.71100917431192701</v>
      </c>
      <c r="L33" s="41" cm="1">
        <f t="array" ref="L33">_xll.FDSB(A33,"PERCENT_CHANGE(FMA_EPS(+1,0,,,,""PORTAGG"",""MEAN""),FMA_EPS(+1,-1AM,,,,""PORTAGG"",""MEAN""))")</f>
        <v>-0.895452222924776</v>
      </c>
      <c r="M33" s="41" cm="1">
        <f t="array" ref="M33">_xll.FDSB(A33,"PERCENT_CHANGE(FMA_EPS(+1,0,,,,""PORTAGG"",""MEAN""),FMA_EPS(+1,-3AM,,,,""PORTAGG"",""MEAN""))")</f>
        <v>-2.1481984138058801</v>
      </c>
      <c r="O33" s="3" cm="1">
        <f t="array" ref="O33">_xll.FDS(C33,"FG_TOTAL_RETURNC(0,-3AM)")</f>
        <v>-1.869297</v>
      </c>
      <c r="P33" s="3" cm="1">
        <f t="array" ref="P33">_xll.FDS(C33,"FG_TOTAL_RETURNC(0,-6AM)")</f>
        <v>9.8968030000000002</v>
      </c>
      <c r="Q33" s="9" cm="1">
        <f t="array" ref="Q33">_xll.FDS(C33,"P_PRICE(0)/P_PRICE_HIGH_PR(0,,,,,,""PRICE"",""INTRA"",""52W"")")</f>
        <v>0.93970719999999996</v>
      </c>
      <c r="R33" s="9" cm="1">
        <f t="array" ref="R33">_xll.FDS(C33,"P_PRICE(0)/P_PRICE_low_PR(0,,,,,,""PRICE"",""INTRA"",""52W"")-1")</f>
        <v>0.18391609</v>
      </c>
    </row>
    <row r="34" spans="1:18" x14ac:dyDescent="0.35">
      <c r="A34" t="s">
        <v>1</v>
      </c>
      <c r="B34" t="s">
        <v>119</v>
      </c>
      <c r="C34" t="str">
        <f t="shared" si="15"/>
        <v>SPY</v>
      </c>
      <c r="E34" cm="1">
        <f t="array" ref="E34">_xll.FDS(C34,"FMA_COS_UP(""EPS"",""1M"",+1,NOW,,,""PORTAGG"",""MEANR"")")</f>
        <v>271</v>
      </c>
      <c r="F34" cm="1">
        <f t="array" ref="F34">_xll.FDS(C34,"FMA_COS_DOWN(""EPS"",""1M"",+1,NOW,,,""PORTAGG"",""MEANR"")")</f>
        <v>175</v>
      </c>
      <c r="G34" cm="1">
        <f t="array" ref="G34">_xll.FDS(A34,"SIZE(FG_CONSTITUENTS)")</f>
        <v>504</v>
      </c>
      <c r="H34" s="9">
        <f t="shared" si="16"/>
        <v>0.53769841269841268</v>
      </c>
      <c r="I34" s="9">
        <f t="shared" si="17"/>
        <v>0.34722222222222221</v>
      </c>
      <c r="J34" s="9">
        <f t="shared" si="18"/>
        <v>0.19047619047619047</v>
      </c>
      <c r="K34" s="5" cm="1">
        <f t="array" ref="K34">_xll.FDS(A34,"FMA_PCT_ABOVE_MAVG(200,0,,,,""PORTAGG"")")/100</f>
        <v>0.77644710578842291</v>
      </c>
      <c r="L34" s="41" cm="1">
        <f t="array" ref="L34">_xll.FDSB(A34,"PERCENT_CHANGE(FMA_EPS(+1,0,,,,""PORTAGG"",""MEAN""),FMA_EPS(+1,-1AM,,,,""PORTAGG"",""MEAN""))")</f>
        <v>0.65002708340034498</v>
      </c>
      <c r="M34" s="41" cm="1">
        <f t="array" ref="M34">_xll.FDSB(A34,"PERCENT_CHANGE(FMA_EPS(+1,0,,,,""PORTAGG"",""MEAN""),FMA_EPS(+1,-3AM,,,,""PORTAGG"",""MEAN""))")</f>
        <v>0.21222486774573601</v>
      </c>
      <c r="O34" s="3" cm="1">
        <f t="array" ref="O34">_xll.FDS(C34,"FG_TOTAL_RETURNC(0,-3AM)")</f>
        <v>3.8900017999999998</v>
      </c>
      <c r="P34" s="3" cm="1">
        <f t="array" ref="P34">_xll.FDS(C34,"FG_TOTAL_RETURNC(0,-6AM)")</f>
        <v>16.423045999999999</v>
      </c>
      <c r="Q34" s="9" cm="1">
        <f t="array" ref="Q34">_xll.FDS(C34,"P_PRICE(0)/P_PRICE_HIGH_PR(0,,,,,,""PRICE"",""INTRA"",""52W"")")</f>
        <v>0.98666220000000004</v>
      </c>
      <c r="R34" s="9" cm="1">
        <f t="array" ref="R34">_xll.FDS(C34,"P_PRICE(0)/P_PRICE_low_PR(0,,,,,,""PRICE"",""INTRA"",""52W"")-1")</f>
        <v>0.28530586000000002</v>
      </c>
    </row>
    <row r="35" spans="1:18" x14ac:dyDescent="0.35">
      <c r="Q35" s="9"/>
      <c r="R35" s="9"/>
    </row>
    <row r="36" spans="1:18" x14ac:dyDescent="0.35">
      <c r="Q36" s="9"/>
      <c r="R36" s="9"/>
    </row>
    <row r="37" spans="1:18" x14ac:dyDescent="0.35">
      <c r="Q37" s="9"/>
      <c r="R37" s="9"/>
    </row>
    <row r="38" spans="1:18" ht="15" customHeight="1" x14ac:dyDescent="0.35">
      <c r="E38" s="43"/>
      <c r="F38" s="43"/>
      <c r="Q38" s="9"/>
      <c r="R38" s="9"/>
    </row>
    <row r="39" spans="1:18" ht="15" customHeight="1" x14ac:dyDescent="0.35">
      <c r="E39" s="43"/>
      <c r="F39" s="43"/>
      <c r="Q39" s="9"/>
      <c r="R39" s="9"/>
    </row>
    <row r="40" spans="1:18" ht="15" customHeight="1" x14ac:dyDescent="0.35">
      <c r="E40" s="43"/>
      <c r="F40" s="43"/>
      <c r="Q40" s="9"/>
      <c r="R40" s="9"/>
    </row>
    <row r="41" spans="1:18" ht="15" customHeight="1" x14ac:dyDescent="0.35">
      <c r="C41" s="1"/>
      <c r="D41" s="1"/>
      <c r="E41" s="43"/>
      <c r="F41" s="43"/>
      <c r="Q41" s="9"/>
      <c r="R41" s="9"/>
    </row>
    <row r="42" spans="1:18" ht="15" customHeight="1" x14ac:dyDescent="0.35">
      <c r="E42" s="43"/>
      <c r="F42" s="43"/>
      <c r="Q42" s="9"/>
      <c r="R42" s="9"/>
    </row>
    <row r="43" spans="1:18" ht="15" customHeight="1" x14ac:dyDescent="0.35">
      <c r="E43" s="43"/>
      <c r="F43" s="43"/>
      <c r="Q43" s="9"/>
      <c r="R43" s="9"/>
    </row>
    <row r="44" spans="1:18" ht="15" customHeight="1" x14ac:dyDescent="0.35">
      <c r="E44" s="43"/>
      <c r="F44" s="43"/>
      <c r="Q44" s="9"/>
      <c r="R44" s="9"/>
    </row>
    <row r="45" spans="1:18" ht="15" customHeight="1" x14ac:dyDescent="0.35">
      <c r="E45" s="43"/>
      <c r="F45" s="43"/>
      <c r="P45" s="1"/>
      <c r="Q45" s="9"/>
      <c r="R45" s="9"/>
    </row>
    <row r="46" spans="1:18" ht="15" customHeight="1" x14ac:dyDescent="0.35">
      <c r="E46" s="43"/>
      <c r="F46" s="43"/>
      <c r="Q46" s="9"/>
      <c r="R46" s="9"/>
    </row>
    <row r="47" spans="1:18" ht="15" customHeight="1" x14ac:dyDescent="0.35">
      <c r="E47" s="43"/>
      <c r="F47" s="43"/>
      <c r="Q47" s="9"/>
      <c r="R47" s="9"/>
    </row>
    <row r="48" spans="1:18" ht="15" customHeight="1" x14ac:dyDescent="0.35">
      <c r="C48" s="1"/>
      <c r="D48" s="1"/>
      <c r="E48" s="43"/>
      <c r="F48" s="43"/>
      <c r="Q48" s="9"/>
      <c r="R48" s="9"/>
    </row>
    <row r="49" spans="3:18" ht="15" customHeight="1" x14ac:dyDescent="0.35">
      <c r="E49" s="43"/>
      <c r="F49" s="43"/>
      <c r="Q49" s="9"/>
      <c r="R49" s="9"/>
    </row>
    <row r="50" spans="3:18" ht="15" customHeight="1" x14ac:dyDescent="0.35">
      <c r="E50" s="43"/>
      <c r="F50" s="43"/>
      <c r="Q50" s="9"/>
      <c r="R50" s="9"/>
    </row>
    <row r="51" spans="3:18" ht="15" customHeight="1" x14ac:dyDescent="0.35">
      <c r="E51" s="43"/>
      <c r="F51" s="43"/>
      <c r="Q51" s="9"/>
      <c r="R51" s="9"/>
    </row>
    <row r="52" spans="3:18" ht="15" customHeight="1" x14ac:dyDescent="0.35">
      <c r="E52" s="43"/>
      <c r="F52" s="43"/>
      <c r="Q52" s="9"/>
      <c r="R52" s="9"/>
    </row>
    <row r="53" spans="3:18" ht="15" customHeight="1" x14ac:dyDescent="0.35">
      <c r="C53" s="1"/>
      <c r="D53" s="1"/>
      <c r="E53" s="43"/>
      <c r="F53" s="43"/>
      <c r="Q53" s="9"/>
      <c r="R53" s="9"/>
    </row>
    <row r="54" spans="3:18" ht="15" customHeight="1" x14ac:dyDescent="0.35">
      <c r="E54" s="43"/>
      <c r="F54" s="43"/>
      <c r="Q54" s="9"/>
      <c r="R54" s="9"/>
    </row>
    <row r="55" spans="3:18" ht="15" customHeight="1" x14ac:dyDescent="0.35">
      <c r="E55" s="43"/>
      <c r="F55" s="43"/>
      <c r="Q55" s="9"/>
      <c r="R55" s="9"/>
    </row>
    <row r="56" spans="3:18" ht="15" customHeight="1" x14ac:dyDescent="0.35">
      <c r="E56" s="43"/>
      <c r="F56" s="43"/>
      <c r="Q56" s="9"/>
      <c r="R56" s="9"/>
    </row>
    <row r="57" spans="3:18" ht="15" customHeight="1" x14ac:dyDescent="0.35">
      <c r="E57" s="43"/>
      <c r="F57" s="43"/>
      <c r="Q57" s="9"/>
      <c r="R57" s="9"/>
    </row>
    <row r="58" spans="3:18" ht="15" customHeight="1" x14ac:dyDescent="0.35">
      <c r="C58" s="1"/>
      <c r="D58" s="1"/>
      <c r="E58" s="43"/>
      <c r="F58" s="43"/>
      <c r="Q58" s="9"/>
      <c r="R58" s="9"/>
    </row>
    <row r="59" spans="3:18" ht="15" customHeight="1" x14ac:dyDescent="0.35">
      <c r="C59" s="1"/>
      <c r="D59" s="1"/>
      <c r="E59" s="43"/>
      <c r="F59" s="43"/>
    </row>
    <row r="60" spans="3:18" ht="15" customHeight="1" x14ac:dyDescent="0.35">
      <c r="E60" s="43"/>
      <c r="F60" s="43"/>
    </row>
    <row r="61" spans="3:18" ht="15" customHeight="1" x14ac:dyDescent="0.35">
      <c r="E61" s="43"/>
      <c r="F61" s="43"/>
    </row>
    <row r="62" spans="3:18" ht="15" customHeight="1" x14ac:dyDescent="0.35">
      <c r="E62" s="44"/>
      <c r="F62" s="44"/>
      <c r="G62" s="1"/>
    </row>
    <row r="63" spans="3:18" ht="15" customHeight="1" x14ac:dyDescent="0.35">
      <c r="E63" s="43"/>
      <c r="F63" s="43"/>
    </row>
    <row r="64" spans="3:18" ht="15" customHeight="1" x14ac:dyDescent="0.35">
      <c r="E64" s="43"/>
      <c r="F64" s="43"/>
    </row>
    <row r="65" spans="5:7" ht="15" customHeight="1" x14ac:dyDescent="0.35">
      <c r="E65" s="43"/>
      <c r="F65" s="43"/>
    </row>
    <row r="66" spans="5:7" ht="15" customHeight="1" x14ac:dyDescent="0.35">
      <c r="E66" s="43"/>
      <c r="F66" s="43"/>
    </row>
    <row r="67" spans="5:7" ht="15" customHeight="1" x14ac:dyDescent="0.35">
      <c r="E67" s="43"/>
      <c r="F67" s="43"/>
    </row>
    <row r="68" spans="5:7" ht="15" customHeight="1" x14ac:dyDescent="0.35">
      <c r="E68" s="43"/>
      <c r="F68" s="43"/>
    </row>
    <row r="69" spans="5:7" ht="15" customHeight="1" x14ac:dyDescent="0.35">
      <c r="E69" s="43"/>
      <c r="F69" s="43"/>
    </row>
    <row r="70" spans="5:7" ht="15" customHeight="1" x14ac:dyDescent="0.35">
      <c r="E70" s="44"/>
      <c r="F70" s="44"/>
      <c r="G70" s="1"/>
    </row>
    <row r="71" spans="5:7" ht="15" customHeight="1" x14ac:dyDescent="0.35">
      <c r="E71" s="43"/>
      <c r="F71" s="43"/>
    </row>
    <row r="72" spans="5:7" ht="15" customHeight="1" x14ac:dyDescent="0.35">
      <c r="E72" s="43"/>
      <c r="F72" s="43"/>
    </row>
    <row r="73" spans="5:7" ht="15" customHeight="1" x14ac:dyDescent="0.35">
      <c r="E73" s="43"/>
      <c r="F73" s="43"/>
    </row>
    <row r="74" spans="5:7" ht="15" customHeight="1" x14ac:dyDescent="0.35">
      <c r="E74" s="43"/>
      <c r="F74" s="43"/>
    </row>
    <row r="75" spans="5:7" ht="15" customHeight="1" x14ac:dyDescent="0.35">
      <c r="E75" s="43"/>
      <c r="F75" s="43"/>
    </row>
    <row r="76" spans="5:7" ht="15" customHeight="1" x14ac:dyDescent="0.35">
      <c r="E76" s="43"/>
      <c r="F76" s="43"/>
    </row>
    <row r="77" spans="5:7" x14ac:dyDescent="0.35">
      <c r="F77" s="4"/>
    </row>
    <row r="78" spans="5:7" x14ac:dyDescent="0.35">
      <c r="F78" s="4"/>
    </row>
    <row r="79" spans="5:7" x14ac:dyDescent="0.35">
      <c r="F79" s="4"/>
    </row>
    <row r="80" spans="5:7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  <row r="258" spans="6:6" x14ac:dyDescent="0.35">
      <c r="F258" s="4"/>
    </row>
    <row r="259" spans="6:6" x14ac:dyDescent="0.35">
      <c r="F259" s="4"/>
    </row>
    <row r="260" spans="6:6" x14ac:dyDescent="0.35">
      <c r="F260" s="4"/>
    </row>
    <row r="261" spans="6:6" x14ac:dyDescent="0.35">
      <c r="F261" s="4"/>
    </row>
    <row r="262" spans="6:6" x14ac:dyDescent="0.35">
      <c r="F262" s="4"/>
    </row>
    <row r="263" spans="6:6" x14ac:dyDescent="0.35">
      <c r="F263" s="4"/>
    </row>
    <row r="264" spans="6:6" x14ac:dyDescent="0.35">
      <c r="F264" s="4"/>
    </row>
    <row r="265" spans="6:6" x14ac:dyDescent="0.35">
      <c r="F265" s="4"/>
    </row>
    <row r="266" spans="6:6" x14ac:dyDescent="0.35">
      <c r="F266" s="4"/>
    </row>
    <row r="267" spans="6:6" x14ac:dyDescent="0.35">
      <c r="F267" s="4"/>
    </row>
    <row r="268" spans="6:6" x14ac:dyDescent="0.35">
      <c r="F268" s="4"/>
    </row>
    <row r="269" spans="6:6" x14ac:dyDescent="0.35">
      <c r="F269" s="4"/>
    </row>
  </sheetData>
  <sortState xmlns:xlrd2="http://schemas.microsoft.com/office/spreadsheetml/2017/richdata2" ref="E42:F80">
    <sortCondition descending="1" ref="F42:F8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32"/>
  <sheetViews>
    <sheetView topLeftCell="D1" workbookViewId="0">
      <selection activeCell="I4" sqref="I4"/>
    </sheetView>
  </sheetViews>
  <sheetFormatPr defaultRowHeight="14.5" x14ac:dyDescent="0.35"/>
  <cols>
    <col min="3" max="3" width="45.54296875" bestFit="1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bestFit="1" customWidth="1"/>
    <col min="11" max="11" width="13.453125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534</v>
      </c>
      <c r="M1" t="s">
        <v>533</v>
      </c>
      <c r="N1" s="51" t="s">
        <v>407</v>
      </c>
      <c r="P1" s="51" t="s">
        <v>406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404</v>
      </c>
      <c r="E3" s="46" t="s">
        <v>89</v>
      </c>
      <c r="H3" t="s">
        <v>405</v>
      </c>
      <c r="I3" t="s">
        <v>94</v>
      </c>
      <c r="J3" s="1"/>
      <c r="P3" t="s">
        <v>917</v>
      </c>
      <c r="R3" t="s">
        <v>918</v>
      </c>
    </row>
    <row r="4" spans="2:18" x14ac:dyDescent="0.35">
      <c r="B4" t="s">
        <v>432</v>
      </c>
      <c r="C4" t="s">
        <v>435</v>
      </c>
      <c r="D4" s="9">
        <f>HLOOKUP(B4,'Monthly Returns'!$A$1:$AC$134, 127, FALSE)</f>
        <v>-0.14603752</v>
      </c>
      <c r="E4" s="9">
        <f>HLOOKUP(B4,'Monthly Returns'!$A$1:$AC$134, 132, FALSE)</f>
        <v>0.15789473684210525</v>
      </c>
      <c r="H4" s="9">
        <f>HLOOKUP(B4,'Yearly returns'!$B$1:$V$140, 133, FALSE)</f>
        <v>0.35714285714285715</v>
      </c>
      <c r="I4" s="9">
        <f>HLOOKUP(B4,'Yearly returns'!$B$1:$V$140, 138, FALSE)</f>
        <v>0.36399999999999999</v>
      </c>
      <c r="L4" s="47">
        <f t="shared" ref="L4:L24" si="0">(1-PERCENTRANK($E$4:$E$24,E4))*100</f>
        <v>65</v>
      </c>
      <c r="M4" s="47">
        <f t="shared" ref="M4:M24" si="1">(1-PERCENTRANK($H$4:$H$24,H4))*100</f>
        <v>19.999999999999996</v>
      </c>
      <c r="N4" s="47">
        <f t="shared" ref="N4:N24" si="2">(1-PERCENTRANK($I$4:$I$24,I4))*100</f>
        <v>80</v>
      </c>
      <c r="P4">
        <f>L4*Assumption!$E$53 + M4*Assumption!$F$53 + N4*Assumption!$G$53</f>
        <v>61.25</v>
      </c>
      <c r="R4" cm="1">
        <f t="array" ref="R4">_xlfn.PERCENTRANK.EXC(_xlfn._xlws.FILTER(P$4:P$24, ISNUMBER(P$4:P$24)),P4)*100</f>
        <v>68.100000000000009</v>
      </c>
    </row>
    <row r="5" spans="2:18" x14ac:dyDescent="0.35">
      <c r="B5" t="s">
        <v>27</v>
      </c>
      <c r="C5" t="s">
        <v>436</v>
      </c>
      <c r="D5" s="9">
        <f>HLOOKUP(B5,'Monthly Returns'!$A$1:$AC$134, 127, FALSE)</f>
        <v>-0.39814506999999999</v>
      </c>
      <c r="E5" s="9">
        <f>HLOOKUP(B5,'Monthly Returns'!$A$1:$AC$134, 132, FALSE)</f>
        <v>0.23966942148760331</v>
      </c>
      <c r="H5" s="9">
        <f>HLOOKUP(B5,'Yearly returns'!$B$1:$V$140, 133, FALSE)</f>
        <v>0.38016528925619836</v>
      </c>
      <c r="I5" s="9">
        <f>HLOOKUP(B5,'Yearly returns'!$B$1:$V$140, 138, FALSE)</f>
        <v>0.58099999999999996</v>
      </c>
      <c r="L5" s="47">
        <f t="shared" si="0"/>
        <v>25</v>
      </c>
      <c r="M5" s="47">
        <f t="shared" si="1"/>
        <v>9.9999999999999982</v>
      </c>
      <c r="N5" s="47">
        <f t="shared" si="2"/>
        <v>50</v>
      </c>
      <c r="P5">
        <f>L5*Assumption!$E$53 + M5*Assumption!$F$53 + N5*Assumption!$G$53</f>
        <v>33.75</v>
      </c>
      <c r="R5" cm="1">
        <f t="array" ref="R5">_xlfn.PERCENTRANK.EXC(_xlfn._xlws.FILTER(P$4:P$24, ISNUMBER(P$4:P$24)),P5)*100</f>
        <v>22.7</v>
      </c>
    </row>
    <row r="6" spans="2:18" x14ac:dyDescent="0.35">
      <c r="B6" t="s">
        <v>35</v>
      </c>
      <c r="C6" t="s">
        <v>437</v>
      </c>
      <c r="D6" s="9">
        <f>HLOOKUP(B6,'Monthly Returns'!$A$1:$AC$134, 127, FALSE)</f>
        <v>-0.50187893000000006</v>
      </c>
      <c r="E6" s="9">
        <f>HLOOKUP(B6,'Monthly Returns'!$A$1:$AC$134, 132, FALSE)</f>
        <v>0.14049586776859505</v>
      </c>
      <c r="H6" s="9">
        <f>HLOOKUP(B6,'Yearly returns'!$B$1:$V$140, 133, FALSE)</f>
        <v>0.2231404958677686</v>
      </c>
      <c r="I6" s="9">
        <f>HLOOKUP(B6,'Yearly returns'!$B$1:$V$140, 138, FALSE)</f>
        <v>0.188</v>
      </c>
      <c r="L6" s="47">
        <f t="shared" si="0"/>
        <v>70</v>
      </c>
      <c r="M6" s="47">
        <f t="shared" si="1"/>
        <v>80</v>
      </c>
      <c r="N6" s="47">
        <f t="shared" si="2"/>
        <v>100</v>
      </c>
      <c r="P6">
        <f>L6*Assumption!$E$53 + M6*Assumption!$F$53 + N6*Assumption!$G$53</f>
        <v>87.5</v>
      </c>
      <c r="R6" cm="1">
        <f t="array" ref="R6">_xlfn.PERCENTRANK.EXC(_xlfn._xlws.FILTER(P$4:P$24, ISNUMBER(P$4:P$24)),P6)*100</f>
        <v>90.9</v>
      </c>
    </row>
    <row r="7" spans="2:18" x14ac:dyDescent="0.35">
      <c r="B7" t="s">
        <v>30</v>
      </c>
      <c r="C7" t="s">
        <v>438</v>
      </c>
      <c r="D7" s="9">
        <f>HLOOKUP(B7,'Monthly Returns'!$A$1:$AC$134, 127, FALSE)</f>
        <v>-0.37875003999999995</v>
      </c>
      <c r="E7" s="9">
        <f>HLOOKUP(B7,'Monthly Returns'!$A$1:$AC$134, 132, FALSE)</f>
        <v>0.16528925619834711</v>
      </c>
      <c r="H7" s="9">
        <f>HLOOKUP(B7,'Yearly returns'!$B$1:$V$140, 133, FALSE)</f>
        <v>0.26446280991735538</v>
      </c>
      <c r="I7" s="9">
        <f>HLOOKUP(B7,'Yearly returns'!$B$1:$V$140, 138, FALSE)</f>
        <v>0.47499999999999998</v>
      </c>
      <c r="L7" s="47">
        <f t="shared" si="0"/>
        <v>60</v>
      </c>
      <c r="M7" s="47">
        <f t="shared" si="1"/>
        <v>65</v>
      </c>
      <c r="N7" s="47">
        <f t="shared" si="2"/>
        <v>75</v>
      </c>
      <c r="P7">
        <f>L7*Assumption!$E$53 + M7*Assumption!$F$53 + N7*Assumption!$G$53</f>
        <v>68.75</v>
      </c>
      <c r="R7" cm="1">
        <f t="array" ref="R7">_xlfn.PERCENTRANK.EXC(_xlfn._xlws.FILTER(P$4:P$24, ISNUMBER(P$4:P$24)),P7)*100</f>
        <v>81.8</v>
      </c>
    </row>
    <row r="8" spans="2:18" x14ac:dyDescent="0.35">
      <c r="B8" t="s">
        <v>23</v>
      </c>
      <c r="C8" t="s">
        <v>439</v>
      </c>
      <c r="D8" s="9">
        <f>HLOOKUP(B8,'Monthly Returns'!$A$1:$AC$134, 127, FALSE)</f>
        <v>-0.36085630000000002</v>
      </c>
      <c r="E8" s="9">
        <f>HLOOKUP(B8,'Monthly Returns'!$A$1:$AC$134, 132, FALSE)</f>
        <v>0.23966942148760331</v>
      </c>
      <c r="H8" s="9">
        <f>HLOOKUP(B8,'Yearly returns'!$B$1:$V$140, 133, FALSE)</f>
        <v>0.43801652892561982</v>
      </c>
      <c r="I8" s="9">
        <f>HLOOKUP(B8,'Yearly returns'!$B$1:$V$140, 138, FALSE)</f>
        <v>0.84399999999999997</v>
      </c>
      <c r="L8" s="47">
        <f t="shared" si="0"/>
        <v>25</v>
      </c>
      <c r="M8" s="47">
        <f t="shared" si="1"/>
        <v>0</v>
      </c>
      <c r="N8" s="47">
        <f t="shared" si="2"/>
        <v>15.000000000000002</v>
      </c>
      <c r="P8">
        <f>L8*Assumption!$E$53 + M8*Assumption!$F$53 + N8*Assumption!$G$53</f>
        <v>13.75</v>
      </c>
      <c r="R8" cm="1">
        <f t="array" ref="R8">_xlfn.PERCENTRANK.EXC(_xlfn._xlws.FILTER(P$4:P$24, ISNUMBER(P$4:P$24)),P8)*100</f>
        <v>9</v>
      </c>
    </row>
    <row r="9" spans="2:18" s="1" customFormat="1" x14ac:dyDescent="0.35">
      <c r="B9" s="1" t="s">
        <v>29</v>
      </c>
      <c r="C9" t="s">
        <v>440</v>
      </c>
      <c r="D9" s="9">
        <f>HLOOKUP(B9,'Monthly Returns'!$A$1:$AC$134, 127, FALSE)</f>
        <v>-0.38835982999999996</v>
      </c>
      <c r="E9" s="9">
        <f>HLOOKUP(B9,'Monthly Returns'!$A$1:$AC$134, 132, FALSE)</f>
        <v>0.20661157024793389</v>
      </c>
      <c r="H9" s="9">
        <f>HLOOKUP(B9,'Yearly returns'!$B$1:$V$140, 133, FALSE)</f>
        <v>0.23140495867768596</v>
      </c>
      <c r="I9" s="9">
        <f>HLOOKUP(B9,'Yearly returns'!$B$1:$V$140, 138, FALSE)</f>
        <v>0.94199999999999995</v>
      </c>
      <c r="L9" s="47">
        <f t="shared" si="0"/>
        <v>40</v>
      </c>
      <c r="M9" s="49">
        <f t="shared" si="1"/>
        <v>75</v>
      </c>
      <c r="N9" s="47">
        <f t="shared" si="2"/>
        <v>0</v>
      </c>
      <c r="P9">
        <f>L9*Assumption!$E$53 + M9*Assumption!$F$53 + N9*Assumption!$G$53</f>
        <v>28.75</v>
      </c>
      <c r="R9" cm="1">
        <f t="array" ref="R9">_xlfn.PERCENTRANK.EXC(_xlfn._xlws.FILTER(P$4:P$24, ISNUMBER(P$4:P$24)),P9)*100</f>
        <v>18.099999999999998</v>
      </c>
    </row>
    <row r="10" spans="2:18" x14ac:dyDescent="0.35">
      <c r="B10" t="s">
        <v>33</v>
      </c>
      <c r="C10" t="s">
        <v>441</v>
      </c>
      <c r="D10" s="9">
        <f>HLOOKUP(B10,'Monthly Returns'!$A$1:$AC$134, 127, FALSE)</f>
        <v>-0.23556059000000001</v>
      </c>
      <c r="E10" s="9">
        <f>HLOOKUP(B10,'Monthly Returns'!$A$1:$AC$134, 132, FALSE)</f>
        <v>0.12396694214876033</v>
      </c>
      <c r="H10" s="9">
        <f>HLOOKUP(B10,'Yearly returns'!$B$1:$V$140, 133, FALSE)</f>
        <v>0.256198347107438</v>
      </c>
      <c r="I10" s="9">
        <f>HLOOKUP(B10,'Yearly returns'!$B$1:$V$140, 138, FALSE)</f>
        <v>0.90100000000000002</v>
      </c>
      <c r="L10" s="47">
        <f t="shared" si="0"/>
        <v>90</v>
      </c>
      <c r="M10" s="47">
        <f t="shared" si="1"/>
        <v>70</v>
      </c>
      <c r="N10" s="47">
        <f t="shared" si="2"/>
        <v>9.9999999999999982</v>
      </c>
      <c r="P10">
        <f>L10*Assumption!$E$53 + M10*Assumption!$F$53 + N10*Assumption!$G$53</f>
        <v>45</v>
      </c>
      <c r="R10" cm="1">
        <f t="array" ref="R10">_xlfn.PERCENTRANK.EXC(_xlfn._xlws.FILTER(P$4:P$24, ISNUMBER(P$4:P$24)),P10)*100</f>
        <v>40.9</v>
      </c>
    </row>
    <row r="11" spans="2:18" x14ac:dyDescent="0.35">
      <c r="B11" t="s">
        <v>24</v>
      </c>
      <c r="C11" t="s">
        <v>40</v>
      </c>
      <c r="D11" s="9">
        <f>HLOOKUP(B11,'Monthly Returns'!$A$1:$AC$134, 127, FALSE)</f>
        <v>-0.22066330000000001</v>
      </c>
      <c r="E11" s="9">
        <f>HLOOKUP(B11,'Monthly Returns'!$A$1:$AC$134, 132, FALSE)</f>
        <v>9.9173553719008267E-2</v>
      </c>
      <c r="H11" s="9">
        <f>HLOOKUP(B11,'Yearly returns'!$B$1:$V$140, 133, FALSE)</f>
        <v>0.17355371900826447</v>
      </c>
      <c r="I11" s="9">
        <f>HLOOKUP(B11,'Yearly returns'!$B$1:$V$140, 138, FALSE)</f>
        <v>0.81899999999999995</v>
      </c>
      <c r="L11" s="47">
        <f t="shared" si="0"/>
        <v>95</v>
      </c>
      <c r="M11" s="47">
        <f t="shared" si="1"/>
        <v>90</v>
      </c>
      <c r="N11" s="47">
        <f t="shared" si="2"/>
        <v>25</v>
      </c>
      <c r="P11">
        <f>L11*Assumption!$E$53 + M11*Assumption!$F$53 + N11*Assumption!$G$53</f>
        <v>58.75</v>
      </c>
      <c r="R11" cm="1">
        <f t="array" ref="R11">_xlfn.PERCENTRANK.EXC(_xlfn._xlws.FILTER(P$4:P$24, ISNUMBER(P$4:P$24)),P11)*100</f>
        <v>63.6</v>
      </c>
    </row>
    <row r="12" spans="2:18" x14ac:dyDescent="0.35">
      <c r="B12" t="s">
        <v>7</v>
      </c>
      <c r="C12" t="s">
        <v>53</v>
      </c>
      <c r="D12" s="9">
        <f>HLOOKUP(B12,'Monthly Returns'!$A$1:$AC$134, 127, FALSE)</f>
        <v>-0.46105988000000003</v>
      </c>
      <c r="E12" s="9">
        <f>HLOOKUP(B12,'Monthly Returns'!$A$1:$AC$134, 132, FALSE)</f>
        <v>0.18181818181818182</v>
      </c>
      <c r="H12" s="9">
        <f>HLOOKUP(B12,'Yearly returns'!$B$1:$V$140, 133, FALSE)</f>
        <v>0.26446280991735538</v>
      </c>
      <c r="I12" s="9">
        <f>HLOOKUP(B12,'Yearly returns'!$B$1:$V$140, 138, FALSE)</f>
        <v>0.73699999999999999</v>
      </c>
      <c r="L12" s="47">
        <f t="shared" si="0"/>
        <v>50</v>
      </c>
      <c r="M12" s="47">
        <f t="shared" si="1"/>
        <v>65</v>
      </c>
      <c r="N12" s="47">
        <f t="shared" si="2"/>
        <v>35</v>
      </c>
      <c r="P12">
        <f>L12*Assumption!$E$53 + M12*Assumption!$F$53 + N12*Assumption!$G$53</f>
        <v>46.25</v>
      </c>
      <c r="R12" cm="1">
        <f t="array" ref="R12">_xlfn.PERCENTRANK.EXC(_xlfn._xlws.FILTER(P$4:P$24, ISNUMBER(P$4:P$24)),P12)*100</f>
        <v>45.4</v>
      </c>
    </row>
    <row r="13" spans="2:18" x14ac:dyDescent="0.35">
      <c r="B13" t="s">
        <v>21</v>
      </c>
      <c r="C13" t="s">
        <v>38</v>
      </c>
      <c r="D13" s="9">
        <f>HLOOKUP(B13,'Monthly Returns'!$A$1:$AC$134, 127, FALSE)</f>
        <v>-0.33236248000000002</v>
      </c>
      <c r="E13" s="9">
        <f>HLOOKUP(B13,'Monthly Returns'!$A$1:$AC$134, 132, FALSE)</f>
        <v>0.19834710743801653</v>
      </c>
      <c r="H13" s="9">
        <f>HLOOKUP(B13,'Yearly returns'!$B$1:$V$140, 133, FALSE)</f>
        <v>0.30578512396694213</v>
      </c>
      <c r="I13" s="9">
        <f>HLOOKUP(B13,'Yearly returns'!$B$1:$V$140, 138, FALSE)</f>
        <v>0.56499999999999995</v>
      </c>
      <c r="L13" s="47">
        <f t="shared" si="0"/>
        <v>44.999999999999993</v>
      </c>
      <c r="M13" s="47">
        <f t="shared" si="1"/>
        <v>40</v>
      </c>
      <c r="N13" s="47">
        <f t="shared" si="2"/>
        <v>55.000000000000007</v>
      </c>
      <c r="P13">
        <f>L13*Assumption!$E$53 + M13*Assumption!$F$53 + N13*Assumption!$G$53</f>
        <v>48.75</v>
      </c>
      <c r="R13" cm="1">
        <f t="array" ref="R13">_xlfn.PERCENTRANK.EXC(_xlfn._xlws.FILTER(P$4:P$24, ISNUMBER(P$4:P$24)),P13)*100</f>
        <v>50</v>
      </c>
    </row>
    <row r="14" spans="2:18" x14ac:dyDescent="0.35">
      <c r="B14" t="s">
        <v>12</v>
      </c>
      <c r="C14" t="s">
        <v>54</v>
      </c>
      <c r="D14" s="9">
        <f>HLOOKUP(B14,'Monthly Returns'!$A$1:$AC$134, 127, FALSE)</f>
        <v>-0.50965614000000004</v>
      </c>
      <c r="E14" s="9">
        <f>HLOOKUP(B14,'Monthly Returns'!$A$1:$AC$134, 132, FALSE)</f>
        <v>0.24793388429752067</v>
      </c>
      <c r="H14" s="9">
        <f>HLOOKUP(B14,'Yearly returns'!$B$1:$V$140, 133, FALSE)</f>
        <v>0.31404958677685951</v>
      </c>
      <c r="I14" s="9">
        <f>HLOOKUP(B14,'Yearly returns'!$B$1:$V$140, 138, FALSE)</f>
        <v>0.54</v>
      </c>
      <c r="L14" s="47">
        <f t="shared" si="0"/>
        <v>9.9999999999999982</v>
      </c>
      <c r="M14" s="47">
        <f t="shared" si="1"/>
        <v>30.000000000000004</v>
      </c>
      <c r="N14" s="47">
        <f t="shared" si="2"/>
        <v>60</v>
      </c>
      <c r="P14">
        <f>L14*Assumption!$E$53 + M14*Assumption!$F$53 + N14*Assumption!$G$53</f>
        <v>40</v>
      </c>
      <c r="R14" cm="1">
        <f t="array" ref="R14">_xlfn.PERCENTRANK.EXC(_xlfn._xlws.FILTER(P$4:P$24, ISNUMBER(P$4:P$24)),P14)*100</f>
        <v>31.8</v>
      </c>
    </row>
    <row r="15" spans="2:18" x14ac:dyDescent="0.35">
      <c r="B15" t="s">
        <v>22</v>
      </c>
      <c r="C15" t="s">
        <v>442</v>
      </c>
      <c r="D15" s="9">
        <f>HLOOKUP(B15,'Monthly Returns'!$A$1:$AC$134, 127, FALSE)</f>
        <v>-0.46292240000000001</v>
      </c>
      <c r="E15" s="9">
        <f>HLOOKUP(B15,'Monthly Returns'!$A$1:$AC$134, 132, FALSE)</f>
        <v>0.20661157024793389</v>
      </c>
      <c r="H15" s="9">
        <f>HLOOKUP(B15,'Yearly returns'!$B$1:$V$140, 133, FALSE)</f>
        <v>0.28099173553719009</v>
      </c>
      <c r="I15" s="9">
        <f>HLOOKUP(B15,'Yearly returns'!$B$1:$V$140, 138, FALSE)</f>
        <v>0.754</v>
      </c>
      <c r="L15" s="47">
        <f t="shared" si="0"/>
        <v>40</v>
      </c>
      <c r="M15" s="47">
        <f t="shared" si="1"/>
        <v>50</v>
      </c>
      <c r="N15" s="47">
        <f t="shared" si="2"/>
        <v>30.000000000000004</v>
      </c>
      <c r="P15">
        <f>L15*Assumption!$E$53 + M15*Assumption!$F$53 + N15*Assumption!$G$53</f>
        <v>37.5</v>
      </c>
      <c r="R15" cm="1">
        <f t="array" ref="R15">_xlfn.PERCENTRANK.EXC(_xlfn._xlws.FILTER(P$4:P$24, ISNUMBER(P$4:P$24)),P15)*100</f>
        <v>27.200000000000003</v>
      </c>
    </row>
    <row r="16" spans="2:18" x14ac:dyDescent="0.35">
      <c r="B16" t="s">
        <v>28</v>
      </c>
      <c r="C16" t="s">
        <v>443</v>
      </c>
      <c r="D16" s="9">
        <f>HLOOKUP(B16,'Monthly Returns'!$A$1:$AC$134, 127, FALSE)</f>
        <v>-0.44961239999999997</v>
      </c>
      <c r="E16" s="9">
        <f>HLOOKUP(B16,'Monthly Returns'!$A$1:$AC$134, 132, FALSE)</f>
        <v>0.2975206611570248</v>
      </c>
      <c r="H16" s="9">
        <f>HLOOKUP(B16,'Yearly returns'!$B$1:$V$140, 133, FALSE)</f>
        <v>0.42975206611570249</v>
      </c>
      <c r="I16" s="9">
        <f>HLOOKUP(B16,'Yearly returns'!$B$1:$V$140, 138, FALSE)</f>
        <v>0.70399999999999996</v>
      </c>
      <c r="L16" s="47">
        <f t="shared" si="0"/>
        <v>0</v>
      </c>
      <c r="M16" s="47">
        <f t="shared" si="1"/>
        <v>5.0000000000000044</v>
      </c>
      <c r="N16" s="47">
        <f t="shared" si="2"/>
        <v>44.999999999999993</v>
      </c>
      <c r="P16">
        <f>L16*Assumption!$E$53 + M16*Assumption!$F$53 + N16*Assumption!$G$53</f>
        <v>23.749999999999996</v>
      </c>
      <c r="R16" cm="1">
        <f t="array" ref="R16">_xlfn.PERCENTRANK.EXC(_xlfn._xlws.FILTER(P$4:P$24, ISNUMBER(P$4:P$24)),P16)*100</f>
        <v>13.600000000000001</v>
      </c>
    </row>
    <row r="17" spans="2:18" x14ac:dyDescent="0.35">
      <c r="B17" t="s">
        <v>32</v>
      </c>
      <c r="C17" t="s">
        <v>52</v>
      </c>
      <c r="D17" s="9">
        <f>HLOOKUP(B17,'Monthly Returns'!$A$1:$AC$134, 127, FALSE)</f>
        <v>-0.41125785999999998</v>
      </c>
      <c r="E17" s="9">
        <f>HLOOKUP(B17,'Monthly Returns'!$A$1:$AC$134, 132, FALSE)</f>
        <v>0.12396694214876033</v>
      </c>
      <c r="H17" s="9">
        <f>HLOOKUP(B17,'Yearly returns'!$B$1:$V$140, 133, FALSE)</f>
        <v>0.14049586776859505</v>
      </c>
      <c r="I17" s="9">
        <f>HLOOKUP(B17,'Yearly returns'!$B$1:$V$140, 138, FALSE)</f>
        <v>0.83599999999999997</v>
      </c>
      <c r="L17" s="47">
        <f t="shared" si="0"/>
        <v>90</v>
      </c>
      <c r="M17" s="47">
        <f t="shared" si="1"/>
        <v>95</v>
      </c>
      <c r="N17" s="47">
        <f t="shared" si="2"/>
        <v>19.999999999999996</v>
      </c>
      <c r="P17">
        <f>L17*Assumption!$E$53 + M17*Assumption!$F$53 + N17*Assumption!$G$53</f>
        <v>56.25</v>
      </c>
      <c r="R17" cm="1">
        <f t="array" ref="R17">_xlfn.PERCENTRANK.EXC(_xlfn._xlws.FILTER(P$4:P$24, ISNUMBER(P$4:P$24)),P17)*100</f>
        <v>59</v>
      </c>
    </row>
    <row r="18" spans="2:18" x14ac:dyDescent="0.35">
      <c r="B18" t="s">
        <v>26</v>
      </c>
      <c r="C18" t="s">
        <v>41</v>
      </c>
      <c r="D18" s="9">
        <f>HLOOKUP(B18,'Monthly Returns'!$A$1:$AC$134, 127, FALSE)</f>
        <v>-0.1792878</v>
      </c>
      <c r="E18" s="9">
        <f>HLOOKUP(B18,'Monthly Returns'!$A$1:$AC$134, 132, FALSE)</f>
        <v>0.23966942148760331</v>
      </c>
      <c r="H18" s="9">
        <f>HLOOKUP(B18,'Yearly returns'!$B$1:$V$140, 133, FALSE)</f>
        <v>0.31404958677685951</v>
      </c>
      <c r="I18" s="9">
        <f>HLOOKUP(B18,'Yearly returns'!$B$1:$V$140, 138, FALSE)</f>
        <v>0.5</v>
      </c>
      <c r="L18" s="47">
        <f t="shared" si="0"/>
        <v>25</v>
      </c>
      <c r="M18" s="47">
        <f t="shared" si="1"/>
        <v>30.000000000000004</v>
      </c>
      <c r="N18" s="47">
        <f t="shared" si="2"/>
        <v>70</v>
      </c>
      <c r="P18">
        <f>L18*Assumption!$E$53 + M18*Assumption!$F$53 + N18*Assumption!$G$53</f>
        <v>48.75</v>
      </c>
      <c r="R18" cm="1">
        <f t="array" ref="R18">_xlfn.PERCENTRANK.EXC(_xlfn._xlws.FILTER(P$4:P$24, ISNUMBER(P$4:P$24)),P18)*100</f>
        <v>50</v>
      </c>
    </row>
    <row r="19" spans="2:18" x14ac:dyDescent="0.35">
      <c r="B19" t="s">
        <v>31</v>
      </c>
      <c r="C19" t="s">
        <v>444</v>
      </c>
      <c r="D19" s="9">
        <f>HLOOKUP(B19,'Monthly Returns'!$A$1:$AC$134, 127, FALSE)</f>
        <v>-0.13694495000000001</v>
      </c>
      <c r="E19" s="9">
        <f>HLOOKUP(B19,'Monthly Returns'!$A$1:$AC$134, 132, FALSE)</f>
        <v>0.21666666666666667</v>
      </c>
      <c r="H19" s="9">
        <f>HLOOKUP(B19,'Yearly returns'!$B$1:$V$140, 133, FALSE)</f>
        <v>0.26605504587155965</v>
      </c>
      <c r="I19" s="9">
        <f>HLOOKUP(B19,'Yearly returns'!$B$1:$V$140, 138, FALSE)</f>
        <v>0.3</v>
      </c>
      <c r="L19" s="47">
        <f t="shared" si="0"/>
        <v>30.000000000000004</v>
      </c>
      <c r="M19" s="47">
        <f t="shared" si="1"/>
        <v>55.000000000000007</v>
      </c>
      <c r="N19" s="47">
        <f t="shared" si="2"/>
        <v>90</v>
      </c>
      <c r="P19">
        <f>L19*Assumption!$E$53 + M19*Assumption!$F$53 + N19*Assumption!$G$53</f>
        <v>66.25</v>
      </c>
      <c r="R19" cm="1">
        <f t="array" ref="R19">_xlfn.PERCENTRANK.EXC(_xlfn._xlws.FILTER(P$4:P$24, ISNUMBER(P$4:P$24)),P19)*100</f>
        <v>77.2</v>
      </c>
    </row>
    <row r="20" spans="2:18" x14ac:dyDescent="0.35">
      <c r="B20" t="s">
        <v>757</v>
      </c>
      <c r="C20" s="1" t="s">
        <v>758</v>
      </c>
      <c r="D20" s="9">
        <f>HLOOKUP(B20,'Monthly Returns'!$A$1:$AC$134, 127, FALSE)</f>
        <v>-0.31478373999999998</v>
      </c>
      <c r="E20" s="9">
        <f>HLOOKUP(B20,'Monthly Returns'!$A$1:$AC$134, 132, FALSE)</f>
        <v>4.9586776859504134E-2</v>
      </c>
      <c r="H20" s="9">
        <f>HLOOKUP(B20,'Yearly returns'!$B$1:$V$140, 133, FALSE)</f>
        <v>0.21487603305785125</v>
      </c>
      <c r="I20" s="9">
        <f>HLOOKUP(B20,'Yearly returns'!$B$1:$V$140, 138, FALSE)</f>
        <v>0.20399999999999999</v>
      </c>
      <c r="L20" s="47">
        <f t="shared" si="0"/>
        <v>100</v>
      </c>
      <c r="M20" s="47">
        <f t="shared" si="1"/>
        <v>85</v>
      </c>
      <c r="N20" s="47">
        <f t="shared" si="2"/>
        <v>95</v>
      </c>
      <c r="P20">
        <f>L20*Assumption!$E$53 + M20*Assumption!$F$53 + N20*Assumption!$G$53</f>
        <v>93.75</v>
      </c>
      <c r="R20" cm="1">
        <f t="array" ref="R20">_xlfn.PERCENTRANK.EXC(_xlfn._xlws.FILTER(P$4:P$24, ISNUMBER(P$4:P$24)),P20)*100</f>
        <v>95.399999999999991</v>
      </c>
    </row>
    <row r="21" spans="2:18" x14ac:dyDescent="0.35">
      <c r="B21" t="s">
        <v>25</v>
      </c>
      <c r="C21" t="s">
        <v>446</v>
      </c>
      <c r="D21" s="9">
        <f>HLOOKUP(B21,'Monthly Returns'!$A$1:$AC$134, 127, FALSE)</f>
        <v>-0.32238804000000004</v>
      </c>
      <c r="E21" s="9">
        <f>HLOOKUP(B21,'Monthly Returns'!$A$1:$AC$134, 132, FALSE)</f>
        <v>0.28925619834710742</v>
      </c>
      <c r="H21" s="9">
        <f>HLOOKUP(B21,'Yearly returns'!$B$1:$V$140, 133, FALSE)</f>
        <v>0.37190082644628097</v>
      </c>
      <c r="I21" s="9">
        <f>HLOOKUP(B21,'Yearly returns'!$B$1:$V$140, 138, FALSE)</f>
        <v>0.92600000000000005</v>
      </c>
      <c r="L21" s="47">
        <f t="shared" si="0"/>
        <v>5.0000000000000044</v>
      </c>
      <c r="M21" s="47">
        <f t="shared" si="1"/>
        <v>15.000000000000002</v>
      </c>
      <c r="N21" s="47">
        <f t="shared" si="2"/>
        <v>5.0000000000000044</v>
      </c>
      <c r="P21">
        <f>L21*Assumption!$E$53 + M21*Assumption!$F$53 + N21*Assumption!$G$53</f>
        <v>7.5000000000000036</v>
      </c>
      <c r="R21" cm="1">
        <f t="array" ref="R21">_xlfn.PERCENTRANK.EXC(_xlfn._xlws.FILTER(P$4:P$24, ISNUMBER(P$4:P$24)),P21)*100</f>
        <v>4.5</v>
      </c>
    </row>
    <row r="22" spans="2:18" x14ac:dyDescent="0.35">
      <c r="B22" t="s">
        <v>34</v>
      </c>
      <c r="C22" t="s">
        <v>447</v>
      </c>
      <c r="D22" s="9">
        <f>HLOOKUP(B22,'Monthly Returns'!$A$1:$AC$134, 127, FALSE)</f>
        <v>-0.31877253999999999</v>
      </c>
      <c r="E22" s="9">
        <f>HLOOKUP(B22,'Monthly Returns'!$A$1:$AC$134, 132, FALSE)</f>
        <v>0.13333333333333333</v>
      </c>
      <c r="H22" s="9">
        <f>HLOOKUP(B22,'Yearly returns'!$B$1:$V$140, 133, FALSE)</f>
        <v>0.28440366972477066</v>
      </c>
      <c r="I22" s="9">
        <f>HLOOKUP(B22,'Yearly returns'!$B$1:$V$140, 138, FALSE)</f>
        <v>0.52700000000000002</v>
      </c>
      <c r="L22" s="47">
        <f t="shared" si="0"/>
        <v>80</v>
      </c>
      <c r="M22" s="47">
        <f t="shared" si="1"/>
        <v>44.999999999999993</v>
      </c>
      <c r="N22" s="47">
        <f t="shared" si="2"/>
        <v>65</v>
      </c>
      <c r="P22">
        <f>L22*Assumption!$E$53 + M22*Assumption!$F$53 + N22*Assumption!$G$53</f>
        <v>63.75</v>
      </c>
      <c r="R22" cm="1">
        <f t="array" ref="R22">_xlfn.PERCENTRANK.EXC(_xlfn._xlws.FILTER(P$4:P$24, ISNUMBER(P$4:P$24)),P22)*100</f>
        <v>72.7</v>
      </c>
    </row>
    <row r="23" spans="2:18" x14ac:dyDescent="0.35">
      <c r="B23" t="s">
        <v>37</v>
      </c>
      <c r="C23" t="s">
        <v>448</v>
      </c>
      <c r="D23" s="9">
        <f>HLOOKUP(B23,'Monthly Returns'!$A$1:$AC$134, 127, FALSE)</f>
        <v>-0.35160427</v>
      </c>
      <c r="E23" s="9">
        <f>HLOOKUP(B23,'Monthly Returns'!$A$1:$AC$134, 132, FALSE)</f>
        <v>0.17355371900826447</v>
      </c>
      <c r="H23" s="9">
        <f>HLOOKUP(B23,'Yearly returns'!$B$1:$V$140, 133, FALSE)</f>
        <v>0.30578512396694213</v>
      </c>
      <c r="I23" s="9">
        <f>HLOOKUP(B23,'Yearly returns'!$B$1:$V$140, 138, FALSE)</f>
        <v>0.72099999999999997</v>
      </c>
      <c r="L23" s="47">
        <f t="shared" si="0"/>
        <v>55.000000000000007</v>
      </c>
      <c r="M23" s="47">
        <f t="shared" si="1"/>
        <v>40</v>
      </c>
      <c r="N23" s="47">
        <f t="shared" si="2"/>
        <v>40</v>
      </c>
      <c r="P23">
        <f>L23*Assumption!$E$53 + M23*Assumption!$F$53 + N23*Assumption!$G$53</f>
        <v>43.75</v>
      </c>
      <c r="R23" cm="1">
        <f t="array" ref="R23">_xlfn.PERCENTRANK.EXC(_xlfn._xlws.FILTER(P$4:P$24, ISNUMBER(P$4:P$24)),P23)*100</f>
        <v>36.299999999999997</v>
      </c>
    </row>
    <row r="24" spans="2:18" x14ac:dyDescent="0.35">
      <c r="B24" t="s">
        <v>36</v>
      </c>
      <c r="C24" t="s">
        <v>449</v>
      </c>
      <c r="D24" s="9">
        <f>HLOOKUP(B24,'Monthly Returns'!$A$1:$AC$134, 127, FALSE)</f>
        <v>-0.28310340000000001</v>
      </c>
      <c r="E24" s="9">
        <f>HLOOKUP(B24,'Monthly Returns'!$A$1:$AC$134, 132, FALSE)</f>
        <v>0.13461538461538461</v>
      </c>
      <c r="H24" s="9">
        <f>HLOOKUP(B24,'Yearly returns'!$B$1:$V$140, 133, FALSE)</f>
        <v>0.12903225806451613</v>
      </c>
      <c r="I24" s="9">
        <f>HLOOKUP(B24,'Yearly returns'!$B$1:$V$140, 138, FALSE)</f>
        <v>0.308</v>
      </c>
      <c r="L24" s="47">
        <f t="shared" si="0"/>
        <v>75</v>
      </c>
      <c r="M24" s="47">
        <f t="shared" si="1"/>
        <v>100</v>
      </c>
      <c r="N24" s="47">
        <f t="shared" si="2"/>
        <v>85</v>
      </c>
      <c r="P24">
        <f>L24*Assumption!$E$53 + M24*Assumption!$F$53 + N24*Assumption!$G$53</f>
        <v>86.25</v>
      </c>
      <c r="R24" cm="1">
        <f t="array" ref="R24">_xlfn.PERCENTRANK.EXC(_xlfn._xlws.FILTER(P$4:P$24, ISNUMBER(P$4:P$24)),P24)*100</f>
        <v>86.3</v>
      </c>
    </row>
    <row r="25" spans="2:18" x14ac:dyDescent="0.35">
      <c r="D25" s="9"/>
    </row>
    <row r="26" spans="2:18" x14ac:dyDescent="0.35">
      <c r="D26" s="9"/>
    </row>
    <row r="27" spans="2:18" x14ac:dyDescent="0.35">
      <c r="D27" s="9"/>
    </row>
    <row r="28" spans="2:18" x14ac:dyDescent="0.35">
      <c r="D28" s="9"/>
    </row>
    <row r="29" spans="2:18" x14ac:dyDescent="0.35">
      <c r="D29" s="9"/>
    </row>
    <row r="30" spans="2:18" x14ac:dyDescent="0.35">
      <c r="D30" s="9"/>
    </row>
    <row r="31" spans="2:18" x14ac:dyDescent="0.35">
      <c r="D31" s="9"/>
    </row>
    <row r="32" spans="2:18" x14ac:dyDescent="0.35">
      <c r="D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30"/>
  <sheetViews>
    <sheetView zoomScale="85" zoomScaleNormal="85" workbookViewId="0">
      <selection activeCell="A27" sqref="A27"/>
    </sheetView>
  </sheetViews>
  <sheetFormatPr defaultRowHeight="14.5" x14ac:dyDescent="0.35"/>
  <cols>
    <col min="1" max="1" width="15.1796875" bestFit="1" customWidth="1"/>
    <col min="2" max="2" width="34.453125" bestFit="1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K2" t="s">
        <v>807</v>
      </c>
      <c r="L2" s="5">
        <v>0.95</v>
      </c>
    </row>
    <row r="3" spans="1:22" x14ac:dyDescent="0.35">
      <c r="H3"/>
      <c r="I3"/>
      <c r="J3"/>
      <c r="K3" t="s">
        <v>808</v>
      </c>
      <c r="L3" s="5">
        <v>0.05</v>
      </c>
    </row>
    <row r="4" spans="1:22" x14ac:dyDescent="0.35">
      <c r="A4" t="s">
        <v>847</v>
      </c>
      <c r="B4" t="s">
        <v>530</v>
      </c>
      <c r="C4" t="s">
        <v>846</v>
      </c>
      <c r="D4" t="s">
        <v>555</v>
      </c>
      <c r="F4" t="s">
        <v>809</v>
      </c>
      <c r="G4" s="114" t="s">
        <v>844</v>
      </c>
      <c r="H4" s="114" t="s">
        <v>843</v>
      </c>
      <c r="I4" s="114" t="s">
        <v>863</v>
      </c>
      <c r="J4" s="114" t="s">
        <v>845</v>
      </c>
      <c r="S4" s="114" t="s">
        <v>844</v>
      </c>
      <c r="T4" s="114" t="s">
        <v>843</v>
      </c>
      <c r="U4" s="114" t="s">
        <v>863</v>
      </c>
      <c r="V4" s="114" t="s">
        <v>845</v>
      </c>
    </row>
    <row r="5" spans="1:22" x14ac:dyDescent="0.35">
      <c r="A5" t="s">
        <v>177</v>
      </c>
      <c r="B5" t="s">
        <v>435</v>
      </c>
      <c r="C5" t="s">
        <v>432</v>
      </c>
      <c r="D5" t="s">
        <v>615</v>
      </c>
      <c r="E5" s="3" t="s">
        <v>432</v>
      </c>
      <c r="F5" s="9">
        <f>HLOOKUP(E5,'Monthly Returns'!$A$1:$AE$136,134,FALSE)</f>
        <v>0.70799999999999996</v>
      </c>
      <c r="G5" s="7" cm="1">
        <f t="array" ref="G5">_xll.FDSZ(C5,"FG_PRICE(0)")</f>
        <v>26.65</v>
      </c>
      <c r="H5" s="7" cm="1">
        <f t="array" ref="H5">_xll.FDSZ(C5,"FG_PRICE_MAVG(0,,,,30)")</f>
        <v>26.697866000000001</v>
      </c>
      <c r="I5" s="7" cm="1">
        <f t="array" ref="I5">_xll.FDSZ(C5,"FG_PRICE_MAVG(0,,,,60)")</f>
        <v>26.508120000000002</v>
      </c>
      <c r="J5" s="7" cm="1">
        <f t="array" ref="J5">_xll.FDSZ(C5,"FG_PRICE_MAVG(0,,,,200)")</f>
        <v>26.680916</v>
      </c>
      <c r="L5">
        <f>IF($G5&gt;H5, 1, 0)</f>
        <v>0</v>
      </c>
      <c r="M5">
        <f t="shared" ref="M5:N5" si="0">IF($G5&gt;I5, 1, 0)</f>
        <v>1</v>
      </c>
      <c r="N5">
        <f t="shared" si="0"/>
        <v>0</v>
      </c>
      <c r="P5">
        <f>SUM(L5:N5)</f>
        <v>1</v>
      </c>
      <c r="R5" t="s">
        <v>864</v>
      </c>
      <c r="S5" s="7" cm="1">
        <f t="array" ref="S5">_xll.FDSZ($R5,"FG_PRICE(0)")</f>
        <v>255.66892999999999</v>
      </c>
      <c r="T5" s="7" cm="1">
        <f t="array" ref="T5">_xll.FDSZ($R5,"FG_PRICE(0)")</f>
        <v>255.66892999999999</v>
      </c>
      <c r="U5" s="7" cm="1">
        <f t="array" ref="U5">_xll.FDSZ($R5,"FG_PRICE(0)")</f>
        <v>255.66892999999999</v>
      </c>
      <c r="V5" s="7" cm="1">
        <f t="array" ref="V5">_xll.FDSZ($R5,"FG_PRICE(0)")</f>
        <v>255.66892999999999</v>
      </c>
    </row>
    <row r="6" spans="1:22" x14ac:dyDescent="0.35">
      <c r="A6" t="s">
        <v>294</v>
      </c>
      <c r="B6" t="s">
        <v>436</v>
      </c>
      <c r="C6" t="s">
        <v>27</v>
      </c>
      <c r="D6" t="s">
        <v>614</v>
      </c>
      <c r="E6" s="3" t="s">
        <v>27</v>
      </c>
      <c r="F6" s="9">
        <f>HLOOKUP(E6,'Monthly Returns'!$A$1:$AE$136,134,FALSE)</f>
        <v>0.90900000000000003</v>
      </c>
      <c r="G6" s="152" cm="1">
        <f t="array" ref="G6">_xll.FDSZ(C6,"FG_PRICE(0)")</f>
        <v>29.02</v>
      </c>
      <c r="H6" s="152" cm="1">
        <f t="array" ref="H6">_xll.FDSZ(C6,"FG_PRICE_MAVG(0,,,,30)")</f>
        <v>27.484999999999999</v>
      </c>
      <c r="I6" s="152" cm="1">
        <f t="array" ref="I6">_xll.FDSZ(C6,"FG_PRICE_MAVG(0,,,,60)")</f>
        <v>27.044333000000002</v>
      </c>
      <c r="J6" s="152" cm="1">
        <f t="array" ref="J6">_xll.FDSZ(C6,"FG_PRICE_MAVG(0,,,,200)")</f>
        <v>26.548220000000001</v>
      </c>
      <c r="L6">
        <f t="shared" ref="L6:L25" si="1">IF($G6&gt;H6, 1, 0)</f>
        <v>1</v>
      </c>
      <c r="M6">
        <f t="shared" ref="M6:M25" si="2">IF($G6&gt;I6, 1, 0)</f>
        <v>1</v>
      </c>
      <c r="N6">
        <f t="shared" ref="N6:N25" si="3">IF($G6&gt;J6, 1, 0)</f>
        <v>1</v>
      </c>
      <c r="P6">
        <f t="shared" ref="P6:P25" si="4">SUM(L6:N6)</f>
        <v>3</v>
      </c>
      <c r="R6" t="s">
        <v>865</v>
      </c>
      <c r="S6" s="7" cm="1">
        <f t="array" ref="S6">_xll.FDSZ($R6,"FG_PRICE(0)")</f>
        <v>219.11297999999999</v>
      </c>
      <c r="T6" s="7" cm="1">
        <f t="array" ref="T6">_xll.FDSZ($R6,"FG_PRICE(0)")</f>
        <v>219.11297999999999</v>
      </c>
      <c r="U6" s="7" cm="1">
        <f t="array" ref="U6">_xll.FDSZ($R6,"FG_PRICE(0)")</f>
        <v>219.11297999999999</v>
      </c>
      <c r="V6" s="7" cm="1">
        <f t="array" ref="V6">_xll.FDSZ($R6,"FG_PRICE(0)")</f>
        <v>219.11297999999999</v>
      </c>
    </row>
    <row r="7" spans="1:22" x14ac:dyDescent="0.35">
      <c r="A7" t="s">
        <v>187</v>
      </c>
      <c r="B7" t="s">
        <v>437</v>
      </c>
      <c r="C7" t="s">
        <v>35</v>
      </c>
      <c r="D7" t="s">
        <v>651</v>
      </c>
      <c r="E7" s="3" t="s">
        <v>35</v>
      </c>
      <c r="F7" s="9">
        <f>HLOOKUP(E7,'Monthly Returns'!$A$1:$AE$136,134,FALSE)</f>
        <v>0.20399999999999999</v>
      </c>
      <c r="G7" s="152" cm="1">
        <f t="array" ref="G7">_xll.FDSZ(C7,"FG_PRICE(0)")</f>
        <v>20.399999999999999</v>
      </c>
      <c r="H7" s="152" cm="1">
        <f t="array" ref="H7">_xll.FDSZ(C7,"FG_PRICE_MAVG(0,,,,30)")</f>
        <v>20.792000000000002</v>
      </c>
      <c r="I7" s="152" cm="1">
        <f t="array" ref="I7">_xll.FDSZ(C7,"FG_PRICE_MAVG(0,,,,60)")</f>
        <v>21.630500000000001</v>
      </c>
      <c r="J7" s="152" cm="1">
        <f t="array" ref="J7">_xll.FDSZ(C7,"FG_PRICE_MAVG(0,,,,200)")</f>
        <v>21.954699999999999</v>
      </c>
      <c r="L7">
        <f t="shared" si="1"/>
        <v>0</v>
      </c>
      <c r="M7">
        <f t="shared" si="2"/>
        <v>0</v>
      </c>
      <c r="N7">
        <f t="shared" si="3"/>
        <v>0</v>
      </c>
      <c r="P7">
        <f t="shared" si="4"/>
        <v>0</v>
      </c>
      <c r="R7" t="s">
        <v>866</v>
      </c>
      <c r="S7" s="7" cm="1">
        <f t="array" ref="S7">_xll.FDSZ($R7,"FG_PRICE(0)")</f>
        <v>1143.5573999999999</v>
      </c>
      <c r="T7" s="7" cm="1">
        <f t="array" ref="T7">_xll.FDSZ($R7,"FG_PRICE(0)")</f>
        <v>1143.5573999999999</v>
      </c>
      <c r="U7" s="7" cm="1">
        <f t="array" ref="U7">_xll.FDSZ($R7,"FG_PRICE(0)")</f>
        <v>1143.5573999999999</v>
      </c>
      <c r="V7" s="7" cm="1">
        <f t="array" ref="V7">_xll.FDSZ($R7,"FG_PRICE(0)")</f>
        <v>1143.5573999999999</v>
      </c>
    </row>
    <row r="8" spans="1:22" x14ac:dyDescent="0.35">
      <c r="A8" t="s">
        <v>205</v>
      </c>
      <c r="B8" t="s">
        <v>438</v>
      </c>
      <c r="C8" t="s">
        <v>30</v>
      </c>
      <c r="D8" t="s">
        <v>699</v>
      </c>
      <c r="E8" s="3" t="s">
        <v>30</v>
      </c>
      <c r="F8" s="9">
        <f>HLOOKUP(E8,'Monthly Returns'!$A$1:$AE$136,134,FALSE)</f>
        <v>0.58099999999999996</v>
      </c>
      <c r="G8" s="152" cm="1">
        <f t="array" ref="G8">_xll.FDSZ(C8,"FG_PRICE(0)")</f>
        <v>25.44</v>
      </c>
      <c r="H8" s="152" cm="1">
        <f t="array" ref="H8">_xll.FDSZ(C8,"FG_PRICE_MAVG(0,,,,30)")</f>
        <v>25.572666000000002</v>
      </c>
      <c r="I8" s="152" cm="1">
        <f t="array" ref="I8">_xll.FDSZ(C8,"FG_PRICE_MAVG(0,,,,60)")</f>
        <v>26.470167</v>
      </c>
      <c r="J8" s="152" cm="1">
        <f t="array" ref="J8">_xll.FDSZ(C8,"FG_PRICE_MAVG(0,,,,200)")</f>
        <v>25.67962</v>
      </c>
      <c r="L8">
        <f t="shared" si="1"/>
        <v>0</v>
      </c>
      <c r="M8">
        <f t="shared" si="2"/>
        <v>0</v>
      </c>
      <c r="N8">
        <f t="shared" si="3"/>
        <v>0</v>
      </c>
      <c r="P8">
        <f t="shared" si="4"/>
        <v>0</v>
      </c>
      <c r="R8" t="s">
        <v>867</v>
      </c>
      <c r="S8" s="7" cm="1">
        <f t="array" ref="S8">_xll.FDSZ($R8,"FG_PRICE(0)")</f>
        <v>313.99185</v>
      </c>
      <c r="T8" s="7" cm="1">
        <f t="array" ref="T8">_xll.FDSZ($R8,"FG_PRICE(0)")</f>
        <v>313.99185</v>
      </c>
      <c r="U8" s="7" cm="1">
        <f t="array" ref="U8">_xll.FDSZ($R8,"FG_PRICE(0)")</f>
        <v>313.99185</v>
      </c>
      <c r="V8" s="7" cm="1">
        <f t="array" ref="V8">_xll.FDSZ($R8,"FG_PRICE(0)")</f>
        <v>313.99185</v>
      </c>
    </row>
    <row r="9" spans="1:22" x14ac:dyDescent="0.35">
      <c r="A9" t="s">
        <v>257</v>
      </c>
      <c r="B9" t="s">
        <v>439</v>
      </c>
      <c r="C9" t="s">
        <v>23</v>
      </c>
      <c r="D9" t="s">
        <v>700</v>
      </c>
      <c r="E9" s="3" t="s">
        <v>23</v>
      </c>
      <c r="F9" s="9">
        <f>HLOOKUP(E9,'Monthly Returns'!$A$1:$AE$136,134,FALSE)</f>
        <v>0.745</v>
      </c>
      <c r="G9" s="152" cm="1">
        <f t="array" ref="G9">_xll.FDSZ(C9,"FG_PRICE(0)")</f>
        <v>25.28</v>
      </c>
      <c r="H9" s="152" cm="1">
        <f t="array" ref="H9">_xll.FDSZ(C9,"FG_PRICE_MAVG(0,,,,30)")</f>
        <v>24.378</v>
      </c>
      <c r="I9" s="152" cm="1">
        <f t="array" ref="I9">_xll.FDSZ(C9,"FG_PRICE_MAVG(0,,,,60)")</f>
        <v>23.927</v>
      </c>
      <c r="J9" s="152" cm="1">
        <f t="array" ref="J9">_xll.FDSZ(C9,"FG_PRICE_MAVG(0,,,,200)")</f>
        <v>21.528700000000001</v>
      </c>
      <c r="L9">
        <f t="shared" si="1"/>
        <v>1</v>
      </c>
      <c r="M9">
        <f t="shared" si="2"/>
        <v>1</v>
      </c>
      <c r="N9">
        <f t="shared" si="3"/>
        <v>1</v>
      </c>
      <c r="P9">
        <f t="shared" si="4"/>
        <v>3</v>
      </c>
      <c r="R9" t="s">
        <v>868</v>
      </c>
      <c r="S9" s="7" cm="1">
        <f t="array" ref="S9">_xll.FDSZ($R9,"FG_PRICE(0)")</f>
        <v>222.35672</v>
      </c>
      <c r="T9" s="7" cm="1">
        <f t="array" ref="T9">_xll.FDSZ($R9,"FG_PRICE(0)")</f>
        <v>222.35672</v>
      </c>
      <c r="U9" s="7" cm="1">
        <f t="array" ref="U9">_xll.FDSZ($R9,"FG_PRICE(0)")</f>
        <v>222.35672</v>
      </c>
      <c r="V9" s="7" cm="1">
        <f t="array" ref="V9">_xll.FDSZ($R9,"FG_PRICE(0)")</f>
        <v>222.35672</v>
      </c>
    </row>
    <row r="10" spans="1:22" x14ac:dyDescent="0.35">
      <c r="A10" t="s">
        <v>304</v>
      </c>
      <c r="B10" t="s">
        <v>440</v>
      </c>
      <c r="C10" t="s">
        <v>29</v>
      </c>
      <c r="D10" t="s">
        <v>698</v>
      </c>
      <c r="E10" s="3" t="s">
        <v>29</v>
      </c>
      <c r="F10" s="9">
        <f>HLOOKUP(E10,'Monthly Returns'!$A$1:$AE$136,134,FALSE)</f>
        <v>0.84399999999999997</v>
      </c>
      <c r="G10" s="152" cm="1">
        <f t="array" ref="G10">_xll.FDSZ(C10,"FG_PRICE(0)")</f>
        <v>42.734999999999999</v>
      </c>
      <c r="H10" s="152" cm="1">
        <f t="array" ref="H10">_xll.FDSZ(C10,"FG_PRICE_MAVG(0,,,,30)")</f>
        <v>41.508159999999997</v>
      </c>
      <c r="I10" s="152" cm="1">
        <f t="array" ref="I10">_xll.FDSZ(C10,"FG_PRICE_MAVG(0,,,,60)")</f>
        <v>39.982264999999998</v>
      </c>
      <c r="J10" s="152" cm="1">
        <f t="array" ref="J10">_xll.FDSZ(C10,"FG_PRICE_MAVG(0,,,,200)")</f>
        <v>34.243445999999999</v>
      </c>
      <c r="L10">
        <f t="shared" si="1"/>
        <v>1</v>
      </c>
      <c r="M10">
        <f t="shared" si="2"/>
        <v>1</v>
      </c>
      <c r="N10">
        <f t="shared" si="3"/>
        <v>1</v>
      </c>
      <c r="P10">
        <f t="shared" si="4"/>
        <v>3</v>
      </c>
      <c r="R10" t="s">
        <v>869</v>
      </c>
      <c r="S10" s="7" cm="1">
        <f t="array" ref="S10">_xll.FDSZ($R10,"FG_PRICE(0)")</f>
        <v>832.88292999999999</v>
      </c>
      <c r="T10" s="7" cm="1">
        <f t="array" ref="T10">_xll.FDSZ($R10,"FG_PRICE(0)")</f>
        <v>832.88292999999999</v>
      </c>
      <c r="U10" s="7" cm="1">
        <f t="array" ref="U10">_xll.FDSZ($R10,"FG_PRICE(0)")</f>
        <v>832.88292999999999</v>
      </c>
      <c r="V10" s="7" cm="1">
        <f t="array" ref="V10">_xll.FDSZ($R10,"FG_PRICE(0)")</f>
        <v>832.88292999999999</v>
      </c>
    </row>
    <row r="11" spans="1:22" x14ac:dyDescent="0.35">
      <c r="A11" t="s">
        <v>194</v>
      </c>
      <c r="B11" t="s">
        <v>441</v>
      </c>
      <c r="C11" t="s">
        <v>33</v>
      </c>
      <c r="D11" t="s">
        <v>673</v>
      </c>
      <c r="E11" s="3" t="s">
        <v>33</v>
      </c>
      <c r="F11" s="9">
        <f>HLOOKUP(E11,'Monthly Returns'!$A$1:$AE$136,134,FALSE)</f>
        <v>0.89300000000000002</v>
      </c>
      <c r="G11" s="152" cm="1">
        <f t="array" ref="G11">_xll.FDSZ(C11,"FG_PRICE(0)")</f>
        <v>23.18</v>
      </c>
      <c r="H11" s="152" cm="1">
        <f t="array" ref="H11">_xll.FDSZ(C11,"FG_PRICE_MAVG(0,,,,30)")</f>
        <v>22.482334000000002</v>
      </c>
      <c r="I11" s="152" cm="1">
        <f t="array" ref="I11">_xll.FDSZ(C11,"FG_PRICE_MAVG(0,,,,60)")</f>
        <v>22.182500000000001</v>
      </c>
      <c r="J11" s="152" cm="1">
        <f t="array" ref="J11">_xll.FDSZ(C11,"FG_PRICE_MAVG(0,,,,200)")</f>
        <v>21.422049999999999</v>
      </c>
      <c r="L11">
        <f t="shared" si="1"/>
        <v>1</v>
      </c>
      <c r="M11">
        <f t="shared" si="2"/>
        <v>1</v>
      </c>
      <c r="N11">
        <f t="shared" si="3"/>
        <v>1</v>
      </c>
      <c r="P11">
        <f t="shared" si="4"/>
        <v>3</v>
      </c>
      <c r="R11" t="s">
        <v>870</v>
      </c>
      <c r="S11" s="7" cm="1">
        <f t="array" ref="S11">_xll.FDSZ($R11,"FG_PRICE(0)")</f>
        <v>255.79094000000001</v>
      </c>
      <c r="T11" s="7" cm="1">
        <f t="array" ref="T11">_xll.FDSZ($R11,"FG_PRICE(0)")</f>
        <v>255.79094000000001</v>
      </c>
      <c r="U11" s="7" cm="1">
        <f t="array" ref="U11">_xll.FDSZ($R11,"FG_PRICE(0)")</f>
        <v>255.79094000000001</v>
      </c>
      <c r="V11" s="7" cm="1">
        <f t="array" ref="V11">_xll.FDSZ($R11,"FG_PRICE(0)")</f>
        <v>255.79094000000001</v>
      </c>
    </row>
    <row r="12" spans="1:22" x14ac:dyDescent="0.35">
      <c r="A12" t="s">
        <v>217</v>
      </c>
      <c r="B12" t="s">
        <v>40</v>
      </c>
      <c r="C12" t="s">
        <v>24</v>
      </c>
      <c r="D12" t="s">
        <v>720</v>
      </c>
      <c r="E12" s="3" t="s">
        <v>24</v>
      </c>
      <c r="F12" s="9">
        <f>HLOOKUP(E12,'Monthly Returns'!$A$1:$AE$136,134,FALSE)</f>
        <v>0.95</v>
      </c>
      <c r="G12" s="152" cm="1">
        <f t="array" ref="G12">_xll.FDSZ(C12,"FG_PRICE(0)")</f>
        <v>51.04</v>
      </c>
      <c r="H12" s="152" cm="1">
        <f t="array" ref="H12">_xll.FDSZ(C12,"FG_PRICE_MAVG(0,,,,30)")</f>
        <v>48.466999999999999</v>
      </c>
      <c r="I12" s="152" cm="1">
        <f t="array" ref="I12">_xll.FDSZ(C12,"FG_PRICE_MAVG(0,,,,60)")</f>
        <v>48.469833000000001</v>
      </c>
      <c r="J12" s="152" cm="1">
        <f t="array" ref="J12">_xll.FDSZ(C12,"FG_PRICE_MAVG(0,,,,200)")</f>
        <v>46.5824</v>
      </c>
      <c r="L12">
        <f t="shared" si="1"/>
        <v>1</v>
      </c>
      <c r="M12">
        <f t="shared" si="2"/>
        <v>1</v>
      </c>
      <c r="N12">
        <f t="shared" si="3"/>
        <v>1</v>
      </c>
      <c r="P12">
        <f t="shared" si="4"/>
        <v>3</v>
      </c>
      <c r="R12" t="s">
        <v>871</v>
      </c>
      <c r="S12" s="7" cm="1">
        <f t="array" ref="S12">_xll.FDSZ($R12,"FG_PRICE(0)")</f>
        <v>361.29477000000003</v>
      </c>
      <c r="T12" s="7" cm="1">
        <f t="array" ref="T12">_xll.FDSZ($R12,"FG_PRICE(0)")</f>
        <v>361.29477000000003</v>
      </c>
      <c r="U12" s="7" cm="1">
        <f t="array" ref="U12">_xll.FDSZ($R12,"FG_PRICE(0)")</f>
        <v>361.29477000000003</v>
      </c>
      <c r="V12" s="7" cm="1">
        <f t="array" ref="V12">_xll.FDSZ($R12,"FG_PRICE(0)")</f>
        <v>361.29477000000003</v>
      </c>
    </row>
    <row r="13" spans="1:22" x14ac:dyDescent="0.35">
      <c r="A13" t="s">
        <v>301</v>
      </c>
      <c r="B13" t="s">
        <v>53</v>
      </c>
      <c r="C13" t="s">
        <v>7</v>
      </c>
      <c r="D13" t="s">
        <v>678</v>
      </c>
      <c r="E13" s="3" t="s">
        <v>7</v>
      </c>
      <c r="F13" s="9">
        <f>HLOOKUP(E13,'Monthly Returns'!$A$1:$AE$136,134,FALSE)</f>
        <v>0.41799999999999998</v>
      </c>
      <c r="G13" s="152" cm="1">
        <f t="array" ref="G13">_xll.FDSZ(C13,"FG_PRICE(0)")</f>
        <v>66.48</v>
      </c>
      <c r="H13" s="152" cm="1">
        <f t="array" ref="H13">_xll.FDSZ(C13,"FG_PRICE_MAVG(0,,,,30)")</f>
        <v>66.89367</v>
      </c>
      <c r="I13" s="152" cm="1">
        <f t="array" ref="I13">_xll.FDSZ(C13,"FG_PRICE_MAVG(0,,,,60)")</f>
        <v>67.225499999999997</v>
      </c>
      <c r="J13" s="152" cm="1">
        <f t="array" ref="J13">_xll.FDSZ(C13,"FG_PRICE_MAVG(0,,,,200)")</f>
        <v>63.749200000000002</v>
      </c>
      <c r="L13">
        <f t="shared" si="1"/>
        <v>0</v>
      </c>
      <c r="M13">
        <f t="shared" si="2"/>
        <v>0</v>
      </c>
      <c r="N13">
        <f t="shared" si="3"/>
        <v>1</v>
      </c>
      <c r="P13">
        <f t="shared" si="4"/>
        <v>1</v>
      </c>
      <c r="R13" t="s">
        <v>872</v>
      </c>
      <c r="S13" s="7" cm="1">
        <f t="array" ref="S13">_xll.FDSZ($R13,"FG_PRICE(0)")</f>
        <v>527.84929999999997</v>
      </c>
      <c r="T13" s="7" cm="1">
        <f t="array" ref="T13">_xll.FDSZ($R13,"FG_PRICE(0)")</f>
        <v>527.84929999999997</v>
      </c>
      <c r="U13" s="7" cm="1">
        <f t="array" ref="U13">_xll.FDSZ($R13,"FG_PRICE(0)")</f>
        <v>527.84929999999997</v>
      </c>
      <c r="V13" s="7" cm="1">
        <f t="array" ref="V13">_xll.FDSZ($R13,"FG_PRICE(0)")</f>
        <v>527.84929999999997</v>
      </c>
    </row>
    <row r="14" spans="1:22" x14ac:dyDescent="0.35">
      <c r="A14" t="s">
        <v>210</v>
      </c>
      <c r="B14" t="s">
        <v>38</v>
      </c>
      <c r="C14" t="s">
        <v>21</v>
      </c>
      <c r="D14" t="s">
        <v>660</v>
      </c>
      <c r="E14" s="3" t="s">
        <v>21</v>
      </c>
      <c r="F14" s="9">
        <f>HLOOKUP(E14,'Monthly Returns'!$A$1:$AE$136,134,FALSE)</f>
        <v>0.55700000000000005</v>
      </c>
      <c r="G14" s="152" cm="1">
        <f t="array" ref="G14">_xll.FDSZ(C14,"FG_PRICE(0)")</f>
        <v>63.88</v>
      </c>
      <c r="H14" s="152" cm="1">
        <f t="array" ref="H14">_xll.FDSZ(C14,"FG_PRICE_MAVG(0,,,,30)")</f>
        <v>64.004670000000004</v>
      </c>
      <c r="I14" s="152" cm="1">
        <f t="array" ref="I14">_xll.FDSZ(C14,"FG_PRICE_MAVG(0,,,,60)")</f>
        <v>65.060670000000002</v>
      </c>
      <c r="J14" s="152" cm="1">
        <f t="array" ref="J14">_xll.FDSZ(C14,"FG_PRICE_MAVG(0,,,,200)")</f>
        <v>62.505749999999999</v>
      </c>
      <c r="L14">
        <f t="shared" si="1"/>
        <v>0</v>
      </c>
      <c r="M14">
        <f t="shared" si="2"/>
        <v>0</v>
      </c>
      <c r="N14">
        <f t="shared" si="3"/>
        <v>1</v>
      </c>
      <c r="P14">
        <f t="shared" si="4"/>
        <v>1</v>
      </c>
      <c r="R14" t="s">
        <v>873</v>
      </c>
      <c r="S14" s="7" cm="1">
        <f t="array" ref="S14">_xll.FDSZ($R14,"FG_PRICE(0)")</f>
        <v>470.14987000000002</v>
      </c>
      <c r="T14" s="7" cm="1">
        <f t="array" ref="T14">_xll.FDSZ($R14,"FG_PRICE(0)")</f>
        <v>470.14987000000002</v>
      </c>
      <c r="U14" s="7" cm="1">
        <f t="array" ref="U14">_xll.FDSZ($R14,"FG_PRICE(0)")</f>
        <v>470.14987000000002</v>
      </c>
      <c r="V14" s="7" cm="1">
        <f t="array" ref="V14">_xll.FDSZ($R14,"FG_PRICE(0)")</f>
        <v>470.14987000000002</v>
      </c>
    </row>
    <row r="15" spans="1:22" x14ac:dyDescent="0.35">
      <c r="A15" t="s">
        <v>291</v>
      </c>
      <c r="B15" t="s">
        <v>54</v>
      </c>
      <c r="C15" t="s">
        <v>12</v>
      </c>
      <c r="D15" t="s">
        <v>603</v>
      </c>
      <c r="E15" s="3" t="s">
        <v>12</v>
      </c>
      <c r="F15" s="9">
        <f>HLOOKUP(E15,'Monthly Returns'!$A$1:$AE$136,134,FALSE)</f>
        <v>0.45900000000000002</v>
      </c>
      <c r="G15" s="152" cm="1">
        <f t="array" ref="G15">_xll.FDSZ(C15,"FG_PRICE(0)")</f>
        <v>30.64</v>
      </c>
      <c r="H15" s="152" cm="1">
        <f t="array" ref="H15">_xll.FDSZ(C15,"FG_PRICE_MAVG(0,,,,30)")</f>
        <v>31.361999999999998</v>
      </c>
      <c r="I15" s="152" cm="1">
        <f t="array" ref="I15">_xll.FDSZ(C15,"FG_PRICE_MAVG(0,,,,60)")</f>
        <v>31.893000000000001</v>
      </c>
      <c r="J15" s="152" cm="1">
        <f t="array" ref="J15">_xll.FDSZ(C15,"FG_PRICE_MAVG(0,,,,200)")</f>
        <v>32.217950000000002</v>
      </c>
      <c r="L15">
        <f t="shared" si="1"/>
        <v>0</v>
      </c>
      <c r="M15">
        <f t="shared" si="2"/>
        <v>0</v>
      </c>
      <c r="N15">
        <f t="shared" si="3"/>
        <v>0</v>
      </c>
      <c r="P15">
        <f t="shared" si="4"/>
        <v>0</v>
      </c>
      <c r="R15" t="s">
        <v>874</v>
      </c>
      <c r="S15" s="7" cm="1">
        <f t="array" ref="S15">_xll.FDSZ($R15,"FG_PRICE(0)")</f>
        <v>199.24701999999999</v>
      </c>
      <c r="T15" s="7" cm="1">
        <f t="array" ref="T15">_xll.FDSZ($R15,"FG_PRICE(0)")</f>
        <v>199.24701999999999</v>
      </c>
      <c r="U15" s="7" cm="1">
        <f t="array" ref="U15">_xll.FDSZ($R15,"FG_PRICE(0)")</f>
        <v>199.24701999999999</v>
      </c>
      <c r="V15" s="7" cm="1">
        <f t="array" ref="V15">_xll.FDSZ($R15,"FG_PRICE(0)")</f>
        <v>199.24701999999999</v>
      </c>
    </row>
    <row r="16" spans="1:22" x14ac:dyDescent="0.35">
      <c r="A16" t="s">
        <v>366</v>
      </c>
      <c r="B16" t="s">
        <v>442</v>
      </c>
      <c r="C16" t="s">
        <v>22</v>
      </c>
      <c r="D16" t="s">
        <v>713</v>
      </c>
      <c r="E16" s="3" t="s">
        <v>22</v>
      </c>
      <c r="F16" s="9">
        <f>HLOOKUP(E16,'Monthly Returns'!$A$1:$AE$136,134,FALSE)</f>
        <v>0.877</v>
      </c>
      <c r="G16" s="152" cm="1">
        <f t="array" ref="G16">_xll.FDSZ(C16,"FG_PRICE(0)")</f>
        <v>42.5</v>
      </c>
      <c r="H16" s="152" cm="1">
        <f t="array" ref="H16">_xll.FDSZ(C16,"FG_PRICE_MAVG(0,,,,30)")</f>
        <v>41.078000000000003</v>
      </c>
      <c r="I16" s="152" cm="1">
        <f t="array" ref="I16">_xll.FDSZ(C16,"FG_PRICE_MAVG(0,,,,60)")</f>
        <v>40.024666000000003</v>
      </c>
      <c r="J16" s="152" cm="1">
        <f t="array" ref="J16">_xll.FDSZ(C16,"FG_PRICE_MAVG(0,,,,200)")</f>
        <v>39.358449999999998</v>
      </c>
      <c r="L16">
        <f t="shared" si="1"/>
        <v>1</v>
      </c>
      <c r="M16">
        <f t="shared" si="2"/>
        <v>1</v>
      </c>
      <c r="N16">
        <f t="shared" si="3"/>
        <v>1</v>
      </c>
      <c r="P16">
        <f t="shared" si="4"/>
        <v>3</v>
      </c>
      <c r="R16" t="s">
        <v>875</v>
      </c>
      <c r="S16" s="7" cm="1">
        <f t="array" ref="S16">_xll.FDSZ($R16,"FG_PRICE(0)")</f>
        <v>325.78930000000003</v>
      </c>
      <c r="T16" s="7" cm="1">
        <f t="array" ref="T16">_xll.FDSZ($R16,"FG_PRICE(0)")</f>
        <v>325.78930000000003</v>
      </c>
      <c r="U16" s="7" cm="1">
        <f t="array" ref="U16">_xll.FDSZ($R16,"FG_PRICE(0)")</f>
        <v>325.78930000000003</v>
      </c>
      <c r="V16" s="7" cm="1">
        <f t="array" ref="V16">_xll.FDSZ($R16,"FG_PRICE(0)")</f>
        <v>325.78930000000003</v>
      </c>
    </row>
    <row r="17" spans="1:22" x14ac:dyDescent="0.35">
      <c r="A17" t="s">
        <v>498</v>
      </c>
      <c r="B17" t="s">
        <v>443</v>
      </c>
      <c r="C17" t="s">
        <v>28</v>
      </c>
      <c r="D17" t="s">
        <v>640</v>
      </c>
      <c r="E17" s="3" t="s">
        <v>28</v>
      </c>
      <c r="F17" s="9">
        <f>HLOOKUP(E17,'Monthly Returns'!$A$1:$AE$136,134,FALSE)</f>
        <v>0.58099999999999996</v>
      </c>
      <c r="G17" s="152" cm="1">
        <f t="array" ref="G17">_xll.FDSZ(C17,"FG_PRICE(0)")</f>
        <v>42.02</v>
      </c>
      <c r="H17" s="152" cm="1">
        <f t="array" ref="H17">_xll.FDSZ(C17,"FG_PRICE_MAVG(0,,,,30)")</f>
        <v>40.978831999999997</v>
      </c>
      <c r="I17" s="152" cm="1">
        <f t="array" ref="I17">_xll.FDSZ(C17,"FG_PRICE_MAVG(0,,,,60)")</f>
        <v>40.594917000000002</v>
      </c>
      <c r="J17" s="152" cm="1">
        <f t="array" ref="J17">_xll.FDSZ(C17,"FG_PRICE_MAVG(0,,,,200)")</f>
        <v>37.766235000000002</v>
      </c>
      <c r="L17">
        <f t="shared" si="1"/>
        <v>1</v>
      </c>
      <c r="M17">
        <f t="shared" si="2"/>
        <v>1</v>
      </c>
      <c r="N17">
        <f t="shared" si="3"/>
        <v>1</v>
      </c>
      <c r="P17">
        <f t="shared" si="4"/>
        <v>3</v>
      </c>
      <c r="R17" t="s">
        <v>876</v>
      </c>
      <c r="S17" s="7" cm="1">
        <f t="array" ref="S17">_xll.FDSZ($R17,"FG_PRICE(0)")</f>
        <v>9.9094514999999994</v>
      </c>
      <c r="T17" s="7" cm="1">
        <f t="array" ref="T17">_xll.FDSZ($R17,"FG_PRICE(0)")</f>
        <v>9.9094514999999994</v>
      </c>
      <c r="U17" s="7" cm="1">
        <f t="array" ref="U17">_xll.FDSZ($R17,"FG_PRICE(0)")</f>
        <v>9.9094514999999994</v>
      </c>
      <c r="V17" s="7" cm="1">
        <f t="array" ref="V17">_xll.FDSZ($R17,"FG_PRICE(0)")</f>
        <v>9.9094514999999994</v>
      </c>
    </row>
    <row r="18" spans="1:22" x14ac:dyDescent="0.35">
      <c r="A18" t="s">
        <v>184</v>
      </c>
      <c r="B18" t="s">
        <v>52</v>
      </c>
      <c r="C18" t="s">
        <v>32</v>
      </c>
      <c r="D18" t="s">
        <v>650</v>
      </c>
      <c r="E18" s="3" t="s">
        <v>32</v>
      </c>
      <c r="F18" s="9">
        <f>HLOOKUP(E18,'Monthly Returns'!$A$1:$AE$136,134,FALSE)</f>
        <v>0.68799999999999994</v>
      </c>
      <c r="G18" s="152" cm="1">
        <f t="array" ref="G18">_xll.FDSZ(C18,"FG_PRICE(0)")</f>
        <v>53.81</v>
      </c>
      <c r="H18" s="152" cm="1">
        <f t="array" ref="H18">_xll.FDSZ(C18,"FG_PRICE_MAVG(0,,,,30)")</f>
        <v>52.177999999999997</v>
      </c>
      <c r="I18" s="152" cm="1">
        <f t="array" ref="I18">_xll.FDSZ(C18,"FG_PRICE_MAVG(0,,,,60)")</f>
        <v>51.798999999999999</v>
      </c>
      <c r="J18" s="152" cm="1">
        <f t="array" ref="J18">_xll.FDSZ(C18,"FG_PRICE_MAVG(0,,,,200)")</f>
        <v>48.063675000000003</v>
      </c>
      <c r="L18">
        <f t="shared" si="1"/>
        <v>1</v>
      </c>
      <c r="M18">
        <f t="shared" si="2"/>
        <v>1</v>
      </c>
      <c r="N18">
        <f t="shared" si="3"/>
        <v>1</v>
      </c>
      <c r="P18">
        <f t="shared" si="4"/>
        <v>3</v>
      </c>
      <c r="R18" t="s">
        <v>877</v>
      </c>
      <c r="S18" s="7" cm="1">
        <f t="array" ref="S18">_xll.FDSZ($R18,"FG_PRICE(0)")</f>
        <v>1366.9381000000001</v>
      </c>
      <c r="T18" s="7" cm="1">
        <f t="array" ref="T18">_xll.FDSZ($R18,"FG_PRICE(0)")</f>
        <v>1366.9381000000001</v>
      </c>
      <c r="U18" s="7" cm="1">
        <f t="array" ref="U18">_xll.FDSZ($R18,"FG_PRICE(0)")</f>
        <v>1366.9381000000001</v>
      </c>
      <c r="V18" s="7" cm="1">
        <f t="array" ref="V18">_xll.FDSZ($R18,"FG_PRICE(0)")</f>
        <v>1366.9381000000001</v>
      </c>
    </row>
    <row r="19" spans="1:22" x14ac:dyDescent="0.35">
      <c r="A19" t="s">
        <v>177</v>
      </c>
      <c r="B19" t="s">
        <v>41</v>
      </c>
      <c r="C19" t="s">
        <v>26</v>
      </c>
      <c r="D19" t="s">
        <v>615</v>
      </c>
      <c r="E19" s="3" t="s">
        <v>26</v>
      </c>
      <c r="F19" s="9">
        <f>HLOOKUP(E19,'Monthly Returns'!$A$1:$AE$136,134,FALSE)</f>
        <v>0.93400000000000005</v>
      </c>
      <c r="G19" s="152" cm="1">
        <f t="array" ref="G19">_xll.FDSZ(C19,"FG_PRICE(0)")</f>
        <v>45.05</v>
      </c>
      <c r="H19" s="152" cm="1">
        <f t="array" ref="H19">_xll.FDSZ(C19,"FG_PRICE_MAVG(0,,,,30)")</f>
        <v>43.263331999999998</v>
      </c>
      <c r="I19" s="152" cm="1">
        <f t="array" ref="I19">_xll.FDSZ(C19,"FG_PRICE_MAVG(0,,,,60)")</f>
        <v>41.562829999999998</v>
      </c>
      <c r="J19" s="152" cm="1">
        <f t="array" ref="J19">_xll.FDSZ(C19,"FG_PRICE_MAVG(0,,,,200)")</f>
        <v>41.587949999999999</v>
      </c>
      <c r="L19">
        <f t="shared" si="1"/>
        <v>1</v>
      </c>
      <c r="M19">
        <f t="shared" si="2"/>
        <v>1</v>
      </c>
      <c r="N19">
        <f t="shared" si="3"/>
        <v>1</v>
      </c>
      <c r="P19">
        <f t="shared" si="4"/>
        <v>3</v>
      </c>
      <c r="R19" t="s">
        <v>864</v>
      </c>
      <c r="S19" s="7" cm="1">
        <f t="array" ref="S19">_xll.FDSZ($R19,"FG_PRICE(0)")</f>
        <v>255.66892999999999</v>
      </c>
      <c r="T19" s="7" cm="1">
        <f t="array" ref="T19">_xll.FDSZ($R19,"FG_PRICE(0)")</f>
        <v>255.66892999999999</v>
      </c>
      <c r="U19" s="7" cm="1">
        <f t="array" ref="U19">_xll.FDSZ($R19,"FG_PRICE(0)")</f>
        <v>255.66892999999999</v>
      </c>
      <c r="V19" s="7" cm="1">
        <f t="array" ref="V19">_xll.FDSZ($R19,"FG_PRICE(0)")</f>
        <v>255.66892999999999</v>
      </c>
    </row>
    <row r="20" spans="1:22" x14ac:dyDescent="0.35">
      <c r="A20" t="s">
        <v>360</v>
      </c>
      <c r="B20" t="s">
        <v>444</v>
      </c>
      <c r="C20" t="s">
        <v>31</v>
      </c>
      <c r="D20" t="s">
        <v>702</v>
      </c>
      <c r="E20" s="3" t="s">
        <v>31</v>
      </c>
      <c r="F20" s="9">
        <f>HLOOKUP(E20,'Monthly Returns'!$A$1:$AE$136,134,FALSE)</f>
        <v>0.32200000000000001</v>
      </c>
      <c r="G20" s="152" cm="1">
        <f t="array" ref="G20">_xll.FDSZ(C20,"FG_PRICE(0)")</f>
        <v>16.95</v>
      </c>
      <c r="H20" s="152" cm="1">
        <f t="array" ref="H20">_xll.FDSZ(C20,"FG_PRICE_MAVG(0,,,,30)")</f>
        <v>17.273665999999999</v>
      </c>
      <c r="I20" s="152" cm="1">
        <f t="array" ref="I20">_xll.FDSZ(C20,"FG_PRICE_MAVG(0,,,,60)")</f>
        <v>17.539283999999999</v>
      </c>
      <c r="J20" s="152" cm="1">
        <f t="array" ref="J20">_xll.FDSZ(C20,"FG_PRICE_MAVG(0,,,,200)")</f>
        <v>17.505398</v>
      </c>
      <c r="L20">
        <f t="shared" si="1"/>
        <v>0</v>
      </c>
      <c r="M20">
        <f t="shared" si="2"/>
        <v>0</v>
      </c>
      <c r="N20">
        <f t="shared" si="3"/>
        <v>0</v>
      </c>
      <c r="P20">
        <f t="shared" si="4"/>
        <v>0</v>
      </c>
      <c r="R20" t="s">
        <v>878</v>
      </c>
      <c r="S20" s="7" cm="1">
        <f t="array" ref="S20">_xll.FDSZ($R20,"FG_PRICE(0)")</f>
        <v>97.157875000000004</v>
      </c>
      <c r="T20" s="7" cm="1">
        <f t="array" ref="T20">_xll.FDSZ($R20,"FG_PRICE(0)")</f>
        <v>97.157875000000004</v>
      </c>
      <c r="U20" s="7" cm="1">
        <f t="array" ref="U20">_xll.FDSZ($R20,"FG_PRICE(0)")</f>
        <v>97.157875000000004</v>
      </c>
      <c r="V20" s="7" cm="1">
        <f t="array" ref="V20">_xll.FDSZ($R20,"FG_PRICE(0)")</f>
        <v>97.157875000000004</v>
      </c>
    </row>
    <row r="21" spans="1:22" x14ac:dyDescent="0.35">
      <c r="A21" t="s">
        <v>221</v>
      </c>
      <c r="B21" t="s">
        <v>758</v>
      </c>
      <c r="C21" t="s">
        <v>757</v>
      </c>
      <c r="D21" t="s">
        <v>723</v>
      </c>
      <c r="E21" s="3" t="s">
        <v>757</v>
      </c>
      <c r="F21" s="9">
        <f>HLOOKUP(E21,'Monthly Returns'!$A$1:$AE$136,134,FALSE)</f>
        <v>0.63100000000000001</v>
      </c>
      <c r="G21" s="152" cm="1">
        <f t="array" ref="G21">_xll.FDSZ(C21,"FG_PRICE(0)")</f>
        <v>1367.84</v>
      </c>
      <c r="H21" s="152" cm="1">
        <f t="array" ref="H21">_xll.FDSZ(C21,"FG_PRICE_MAVG(0,,,,30)")</f>
        <v>1371.1469999999999</v>
      </c>
      <c r="I21" s="152" cm="1">
        <f t="array" ref="I21">_xll.FDSZ(C21,"FG_PRICE_MAVG(0,,,,60)")</f>
        <v>1375.7979</v>
      </c>
      <c r="J21" s="152" cm="1">
        <f t="array" ref="J21">_xll.FDSZ(C21,"FG_PRICE_MAVG(0,,,,200)")</f>
        <v>1423.8056999999999</v>
      </c>
      <c r="L21">
        <f t="shared" si="1"/>
        <v>0</v>
      </c>
      <c r="M21">
        <f t="shared" si="2"/>
        <v>0</v>
      </c>
      <c r="N21">
        <f t="shared" si="3"/>
        <v>0</v>
      </c>
      <c r="P21">
        <f t="shared" si="4"/>
        <v>0</v>
      </c>
      <c r="R21" t="s">
        <v>757</v>
      </c>
      <c r="S21" s="7" cm="1">
        <f t="array" ref="S21">_xll.FDSZ($R21,"FG_PRICE(0)")</f>
        <v>1367.84</v>
      </c>
      <c r="T21" s="7" cm="1">
        <f t="array" ref="T21">_xll.FDSZ($R21,"FG_PRICE(0)")</f>
        <v>1367.84</v>
      </c>
      <c r="U21" s="7" cm="1">
        <f t="array" ref="U21">_xll.FDSZ($R21,"FG_PRICE(0)")</f>
        <v>1367.84</v>
      </c>
      <c r="V21" s="7" cm="1">
        <f t="array" ref="V21">_xll.FDSZ($R21,"FG_PRICE(0)")</f>
        <v>1367.84</v>
      </c>
    </row>
    <row r="22" spans="1:22" x14ac:dyDescent="0.35">
      <c r="A22" t="s">
        <v>279</v>
      </c>
      <c r="B22" t="s">
        <v>446</v>
      </c>
      <c r="C22" t="s">
        <v>25</v>
      </c>
      <c r="D22" t="s">
        <v>727</v>
      </c>
      <c r="E22" s="3" t="s">
        <v>25</v>
      </c>
      <c r="F22" s="9">
        <f>HLOOKUP(E22,'Monthly Returns'!$A$1:$AE$136,134,FALSE)</f>
        <v>0.93400000000000005</v>
      </c>
      <c r="G22" s="152" cm="1">
        <f t="array" ref="G22">_xll.FDSZ(C22,"FG_PRICE(0)")</f>
        <v>43.46</v>
      </c>
      <c r="H22" s="152" cm="1">
        <f t="array" ref="H22">_xll.FDSZ(C22,"FG_PRICE_MAVG(0,,,,30)")</f>
        <v>40.511166000000003</v>
      </c>
      <c r="I22" s="152" cm="1">
        <f t="array" ref="I22">_xll.FDSZ(C22,"FG_PRICE_MAVG(0,,,,60)")</f>
        <v>38.46275</v>
      </c>
      <c r="J22" s="152" cm="1">
        <f t="array" ref="J22">_xll.FDSZ(C22,"FG_PRICE_MAVG(0,,,,200)")</f>
        <v>36.675750000000001</v>
      </c>
      <c r="L22">
        <f t="shared" si="1"/>
        <v>1</v>
      </c>
      <c r="M22">
        <f t="shared" si="2"/>
        <v>1</v>
      </c>
      <c r="N22">
        <f t="shared" si="3"/>
        <v>1</v>
      </c>
      <c r="P22">
        <f t="shared" si="4"/>
        <v>3</v>
      </c>
      <c r="R22" t="s">
        <v>879</v>
      </c>
      <c r="S22" s="7" cm="1">
        <f t="array" ref="S22">_xll.FDSZ($R22,"FG_PRICE(0)")</f>
        <v>266.82947000000001</v>
      </c>
      <c r="T22" s="7" cm="1">
        <f t="array" ref="T22">_xll.FDSZ($R22,"FG_PRICE(0)")</f>
        <v>266.82947000000001</v>
      </c>
      <c r="U22" s="7" cm="1">
        <f t="array" ref="U22">_xll.FDSZ($R22,"FG_PRICE(0)")</f>
        <v>266.82947000000001</v>
      </c>
      <c r="V22" s="7" cm="1">
        <f t="array" ref="V22">_xll.FDSZ($R22,"FG_PRICE(0)")</f>
        <v>266.82947000000001</v>
      </c>
    </row>
    <row r="23" spans="1:22" x14ac:dyDescent="0.35">
      <c r="A23" t="s">
        <v>373</v>
      </c>
      <c r="B23" t="s">
        <v>447</v>
      </c>
      <c r="C23" t="s">
        <v>34</v>
      </c>
      <c r="D23" t="s">
        <v>731</v>
      </c>
      <c r="E23" s="3" t="s">
        <v>34</v>
      </c>
      <c r="F23" s="9">
        <f>HLOOKUP(E23,'Monthly Returns'!$A$1:$AE$136,134,FALSE)</f>
        <v>0.28899999999999998</v>
      </c>
      <c r="G23" s="152" cm="1">
        <f t="array" ref="G23">_xll.FDSZ(C23,"FG_PRICE(0)")</f>
        <v>14</v>
      </c>
      <c r="H23" s="152" cm="1">
        <f t="array" ref="H23">_xll.FDSZ(C23,"FG_PRICE_MAVG(0,,,,30)")</f>
        <v>14.44383</v>
      </c>
      <c r="I23" s="152" cm="1">
        <f t="array" ref="I23">_xll.FDSZ(C23,"FG_PRICE_MAVG(0,,,,60)")</f>
        <v>14.598462</v>
      </c>
      <c r="J23" s="152" cm="1">
        <f t="array" ref="J23">_xll.FDSZ(C23,"FG_PRICE_MAVG(0,,,,200)")</f>
        <v>14.742216000000001</v>
      </c>
      <c r="L23">
        <f t="shared" si="1"/>
        <v>0</v>
      </c>
      <c r="M23">
        <f t="shared" si="2"/>
        <v>0</v>
      </c>
      <c r="N23">
        <f t="shared" si="3"/>
        <v>0</v>
      </c>
      <c r="P23">
        <f t="shared" si="4"/>
        <v>0</v>
      </c>
      <c r="R23" t="s">
        <v>880</v>
      </c>
      <c r="S23" s="7" cm="1">
        <f t="array" ref="S23">_xll.FDSZ($R23,"FG_PRICE(0)")</f>
        <v>138.20006000000001</v>
      </c>
      <c r="T23" s="7" cm="1">
        <f t="array" ref="T23">_xll.FDSZ($R23,"FG_PRICE(0)")</f>
        <v>138.20006000000001</v>
      </c>
      <c r="U23" s="7" cm="1">
        <f t="array" ref="U23">_xll.FDSZ($R23,"FG_PRICE(0)")</f>
        <v>138.20006000000001</v>
      </c>
      <c r="V23" s="7" cm="1">
        <f t="array" ref="V23">_xll.FDSZ($R23,"FG_PRICE(0)")</f>
        <v>138.20006000000001</v>
      </c>
    </row>
    <row r="24" spans="1:22" x14ac:dyDescent="0.35">
      <c r="A24" t="s">
        <v>224</v>
      </c>
      <c r="B24" t="s">
        <v>448</v>
      </c>
      <c r="C24" t="s">
        <v>37</v>
      </c>
      <c r="D24" t="s">
        <v>736</v>
      </c>
      <c r="E24" s="3" t="s">
        <v>37</v>
      </c>
      <c r="F24" s="9">
        <f>HLOOKUP(E24,'Monthly Returns'!$A$1:$AE$136,134,FALSE)</f>
        <v>0.877</v>
      </c>
      <c r="G24" s="152" cm="1">
        <f t="array" ref="G24">_xll.FDSZ(C24,"FG_PRICE(0)")</f>
        <v>12.84</v>
      </c>
      <c r="H24" s="152" cm="1">
        <f t="array" ref="H24">_xll.FDSZ(C24,"FG_PRICE_MAVG(0,,,,30)")</f>
        <v>12.5045</v>
      </c>
      <c r="I24" s="152" cm="1">
        <f t="array" ref="I24">_xll.FDSZ(C24,"FG_PRICE_MAVG(0,,,,60)")</f>
        <v>13.020917000000001</v>
      </c>
      <c r="J24" s="152" cm="1">
        <f t="array" ref="J24">_xll.FDSZ(C24,"FG_PRICE_MAVG(0,,,,200)")</f>
        <v>13.34055</v>
      </c>
      <c r="L24">
        <f t="shared" si="1"/>
        <v>1</v>
      </c>
      <c r="M24">
        <f t="shared" si="2"/>
        <v>0</v>
      </c>
      <c r="N24">
        <f t="shared" si="3"/>
        <v>0</v>
      </c>
      <c r="P24">
        <f t="shared" si="4"/>
        <v>1</v>
      </c>
      <c r="R24" t="s">
        <v>881</v>
      </c>
      <c r="S24" s="7" cm="1">
        <f t="array" ref="S24">_xll.FDSZ($R24,"FG_PRICE(0)")</f>
        <v>384.13515361999998</v>
      </c>
      <c r="T24" s="7" cm="1">
        <f t="array" ref="T24">_xll.FDSZ($R24,"FG_PRICE(0)")</f>
        <v>384.13515361999998</v>
      </c>
      <c r="U24" s="7" cm="1">
        <f t="array" ref="U24">_xll.FDSZ($R24,"FG_PRICE(0)")</f>
        <v>384.13515361999998</v>
      </c>
      <c r="V24" s="7" cm="1">
        <f t="array" ref="V24">_xll.FDSZ($R24,"FG_PRICE(0)")</f>
        <v>384.13515361999998</v>
      </c>
    </row>
    <row r="25" spans="1:22" x14ac:dyDescent="0.35">
      <c r="A25" t="s">
        <v>363</v>
      </c>
      <c r="B25" t="s">
        <v>449</v>
      </c>
      <c r="C25" t="s">
        <v>36</v>
      </c>
      <c r="D25" t="s">
        <v>706</v>
      </c>
      <c r="E25" s="3" t="s">
        <v>36</v>
      </c>
      <c r="F25" s="9">
        <f>HLOOKUP(E25,'Monthly Returns'!$A$1:$AE$136,134,FALSE)</f>
        <v>0.152</v>
      </c>
      <c r="G25" s="152" cm="1">
        <f t="array" ref="G25">_xll.FDSZ(C25,"FG_PRICE(0)")</f>
        <v>41.24</v>
      </c>
      <c r="H25" s="152" cm="1">
        <f t="array" ref="H25">_xll.FDSZ(C25,"FG_PRICE_MAVG(0,,,,30)")</f>
        <v>42.923000000000002</v>
      </c>
      <c r="I25" s="152" cm="1">
        <f t="array" ref="I25">_xll.FDSZ(C25,"FG_PRICE_MAVG(0,,,,60)")</f>
        <v>43.683999999999997</v>
      </c>
      <c r="J25" s="152" cm="1">
        <f t="array" ref="J25">_xll.FDSZ(C25,"FG_PRICE_MAVG(0,,,,200)")</f>
        <v>41.511049999999997</v>
      </c>
      <c r="L25">
        <f t="shared" si="1"/>
        <v>0</v>
      </c>
      <c r="M25">
        <f t="shared" si="2"/>
        <v>0</v>
      </c>
      <c r="N25">
        <f t="shared" si="3"/>
        <v>0</v>
      </c>
      <c r="P25">
        <f t="shared" si="4"/>
        <v>0</v>
      </c>
      <c r="R25" t="s">
        <v>882</v>
      </c>
      <c r="S25" s="7" cm="1">
        <f t="array" ref="S25">_xll.FDSZ($R25,"FG_PRICE(0)")</f>
        <v>50.58567</v>
      </c>
      <c r="T25" s="7" cm="1">
        <f t="array" ref="T25">_xll.FDSZ($R25,"FG_PRICE(0)")</f>
        <v>50.58567</v>
      </c>
      <c r="U25" s="7" cm="1">
        <f t="array" ref="U25">_xll.FDSZ($R25,"FG_PRICE(0)")</f>
        <v>50.58567</v>
      </c>
      <c r="V25" s="7" cm="1">
        <f t="array" ref="V25">_xll.FDSZ($R25,"FG_PRICE(0)")</f>
        <v>50.58567</v>
      </c>
    </row>
    <row r="27" spans="1:22" x14ac:dyDescent="0.35">
      <c r="K27" s="119" t="s">
        <v>908</v>
      </c>
      <c r="L27" s="119">
        <f>SUM(L5:L25)</f>
        <v>11</v>
      </c>
      <c r="M27" s="119">
        <f>SUM(M5:M25)</f>
        <v>11</v>
      </c>
      <c r="N27" s="119">
        <f>SUM(N5:N25)</f>
        <v>12</v>
      </c>
    </row>
    <row r="28" spans="1:22" x14ac:dyDescent="0.35">
      <c r="K28" s="119" t="s">
        <v>86</v>
      </c>
      <c r="L28" s="119">
        <f>COUNT(L5:L25)</f>
        <v>21</v>
      </c>
      <c r="M28" s="119">
        <f>COUNT(M5:M25)</f>
        <v>21</v>
      </c>
      <c r="N28" s="119">
        <f>COUNT(N5:N25)</f>
        <v>21</v>
      </c>
    </row>
    <row r="29" spans="1:22" x14ac:dyDescent="0.35">
      <c r="K29" s="119"/>
      <c r="L29" s="119"/>
      <c r="M29" s="119"/>
      <c r="N29" s="119"/>
    </row>
    <row r="30" spans="1:22" x14ac:dyDescent="0.35">
      <c r="K30" s="119" t="s">
        <v>88</v>
      </c>
      <c r="L30" s="178">
        <f>L27/L28</f>
        <v>0.52380952380952384</v>
      </c>
      <c r="M30" s="178">
        <f t="shared" ref="M30:N30" si="5">M27/M28</f>
        <v>0.52380952380952384</v>
      </c>
      <c r="N30" s="178">
        <f t="shared" si="5"/>
        <v>0.5714285714285714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workbookViewId="0">
      <selection activeCell="K14" sqref="K14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810</v>
      </c>
      <c r="C2" t="s">
        <v>811</v>
      </c>
      <c r="D2" t="s">
        <v>812</v>
      </c>
      <c r="E2" t="s">
        <v>813</v>
      </c>
      <c r="F2" t="s">
        <v>814</v>
      </c>
      <c r="G2" t="s">
        <v>815</v>
      </c>
      <c r="H2" t="s">
        <v>816</v>
      </c>
      <c r="I2" t="s">
        <v>817</v>
      </c>
      <c r="J2" t="s">
        <v>818</v>
      </c>
      <c r="S2" t="s">
        <v>819</v>
      </c>
    </row>
    <row r="3" spans="1:20" x14ac:dyDescent="0.35">
      <c r="A3" t="s">
        <v>820</v>
      </c>
      <c r="B3" t="s">
        <v>821</v>
      </c>
      <c r="C3" cm="1">
        <f t="array" ref="C3">_xll.FDS($A3,"FG_PRICE(0)")</f>
        <v>117.53</v>
      </c>
      <c r="D3" cm="1">
        <f t="array" ref="D3">_xll.FDS($A3,"FG_PRICE_MAVG(0,,,,30)")</f>
        <v>113.52433000000001</v>
      </c>
      <c r="E3" s="47" cm="1">
        <f t="array" ref="E3">_xll.FDS($A3,"FG_PRICE_CHANGE(0,-1AM)")</f>
        <v>8.0636263332107401</v>
      </c>
      <c r="F3" s="47" cm="1">
        <f t="array" ref="F3">_xll.FDS($A3,"FG_PRICE_CHANGE(0,-3AM)")</f>
        <v>-7.34726054394954</v>
      </c>
      <c r="G3" s="47" cm="1">
        <f t="array" ref="G3">_xll.FDS($A3,"FG_PRICE_CHANGE(0,-6AM)")</f>
        <v>-9.4808995686999396</v>
      </c>
      <c r="H3" s="47" cm="1">
        <f t="array" ref="H3">_xll.FDS($A3,"FG_PRICE_CHANGE(0,-1AY)")</f>
        <v>10.3153745072273</v>
      </c>
      <c r="I3" s="47" cm="1">
        <f t="array" ref="I3">_xll.FDS($A3,"FG_PRICE(0)/MAX(FG_PRICE(0,-1AY))")</f>
        <v>0.81527469478357395</v>
      </c>
      <c r="J3" cm="1">
        <f t="array" ref="J3">_xll.FDS($A3,"MAX(FG_PRICE(0,-5AY))")</f>
        <v>219.77</v>
      </c>
      <c r="P3" t="s">
        <v>432</v>
      </c>
      <c r="Q3" t="s">
        <v>435</v>
      </c>
      <c r="R3" t="s">
        <v>432</v>
      </c>
      <c r="S3">
        <f>IF(E3&lt;$C$19, -1, IF(E3&gt;$C$20,1,0))</f>
        <v>0</v>
      </c>
      <c r="T3">
        <f>S3</f>
        <v>0</v>
      </c>
    </row>
    <row r="4" spans="1:20" x14ac:dyDescent="0.35">
      <c r="A4" t="s">
        <v>822</v>
      </c>
      <c r="B4" t="s">
        <v>823</v>
      </c>
      <c r="C4" cm="1">
        <f t="array" ref="C4">_xll.FDS($A4,"FG_PRICE(0)")</f>
        <v>4.8164999999999996</v>
      </c>
      <c r="D4" cm="1">
        <f t="array" ref="D4">_xll.FDS($A4,"FG_PRICE_MAVG(0,,,,30)")</f>
        <v>4.6452665</v>
      </c>
      <c r="E4" s="47" cm="1">
        <f t="array" ref="E4">_xll.FDS($A4,"FG_PRICE_CHANGE(0,-1AM)")</f>
        <v>7.2597706268789501</v>
      </c>
      <c r="F4" s="47" cm="1">
        <f t="array" ref="F4">_xll.FDS($A4,"FG_PRICE_CHANGE(0,-3AM)")</f>
        <v>24.0726429675425</v>
      </c>
      <c r="G4" s="47" cm="1">
        <f t="array" ref="G4">_xll.FDS($A4,"FG_PRICE_CHANGE(0,-6AM)")</f>
        <v>27.877339705296698</v>
      </c>
      <c r="H4" s="47" cm="1">
        <f t="array" ref="H4">_xll.FDS($A4,"FG_PRICE_CHANGE(0,-1AY)")</f>
        <v>32.266922971303003</v>
      </c>
      <c r="I4" s="47" cm="1">
        <f t="array" ref="I4">_xll.FDS($A4,"FG_PRICE(0)/MAX(FG_PRICE(0,-1AY))")</f>
        <v>0.94090642703653005</v>
      </c>
      <c r="J4" cm="1">
        <f t="array" ref="J4">_xll.FDS($A4,"MAX(FG_PRICE(0,-5AY))")</f>
        <v>5.1189999999999998</v>
      </c>
      <c r="P4" t="s">
        <v>27</v>
      </c>
      <c r="Q4" t="s">
        <v>436</v>
      </c>
      <c r="R4" t="s">
        <v>27</v>
      </c>
      <c r="S4">
        <f>IF(E4&lt;$C$19, -1, IF(E4&gt;$C$20,1,0))</f>
        <v>0</v>
      </c>
      <c r="T4">
        <f t="shared" ref="T4:T5" si="0">S4</f>
        <v>0</v>
      </c>
    </row>
    <row r="5" spans="1:20" x14ac:dyDescent="0.35">
      <c r="A5" t="s">
        <v>824</v>
      </c>
      <c r="B5" t="s">
        <v>461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10.744228040758401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437</v>
      </c>
      <c r="R5" t="s">
        <v>35</v>
      </c>
      <c r="S5">
        <f>IF(E9&lt;$C$19, -1, IF(E9&gt;$C$20,1,0))</f>
        <v>0</v>
      </c>
      <c r="T5">
        <f t="shared" si="0"/>
        <v>0</v>
      </c>
    </row>
    <row r="6" spans="1:20" x14ac:dyDescent="0.35">
      <c r="A6" t="s">
        <v>825</v>
      </c>
      <c r="B6" t="s">
        <v>826</v>
      </c>
      <c r="C6" cm="1">
        <f t="array" ref="C6">_xll.FDS($A6,"FG_PRICE(0)")</f>
        <v>6.98</v>
      </c>
      <c r="D6" cm="1">
        <f t="array" ref="D6">_xll.FDS($A6,"FG_PRICE_MAVG(0,,,,30)")</f>
        <v>6.1364163999999999</v>
      </c>
      <c r="E6" s="47" cm="1">
        <f t="array" ref="E6">_xll.FDS($A6,"FG_PRICE_CHANGE(0,-1AM)")</f>
        <v>19.316239316239301</v>
      </c>
      <c r="F6" s="47" cm="1">
        <f t="array" ref="F6">_xll.FDS($A6,"FG_PRICE_CHANGE(0,-3AM)")</f>
        <v>21.708805579773301</v>
      </c>
      <c r="G6" s="47" cm="1">
        <f t="array" ref="G6">_xll.FDS($A6,"FG_PRICE_CHANGE(0,-6AM)")</f>
        <v>25.5960413855151</v>
      </c>
      <c r="H6" s="47" cm="1">
        <f t="array" ref="H6">_xll.FDS($A6,"FG_PRICE_CHANGE(0,-1AY)")</f>
        <v>12.1735636801928</v>
      </c>
      <c r="I6" s="47" cm="1">
        <f t="array" ref="I6">_xll.FDS($A6,"FG_PRICE(0)/MAX(FG_PRICE(0,-1AY))")</f>
        <v>0.91811903978954301</v>
      </c>
      <c r="J6" cm="1">
        <f t="array" ref="J6">_xll.FDS($A6,"MAX(FG_PRICE(0,-5AY))")</f>
        <v>14.2525</v>
      </c>
      <c r="P6" t="s">
        <v>30</v>
      </c>
      <c r="Q6" t="s">
        <v>438</v>
      </c>
      <c r="R6" t="s">
        <v>30</v>
      </c>
    </row>
    <row r="7" spans="1:20" x14ac:dyDescent="0.35">
      <c r="A7" t="s">
        <v>827</v>
      </c>
      <c r="B7" t="s">
        <v>828</v>
      </c>
      <c r="C7" cm="1">
        <f t="array" ref="C7">_xll.FDS($A7,"FG_PRICE(0)")</f>
        <v>3853</v>
      </c>
      <c r="D7" cm="1">
        <f t="array" ref="D7">_xll.FDS($A7,"FG_PRICE_MAVG(0,,,,30)")</f>
        <v>3975.1333</v>
      </c>
      <c r="E7" s="47" cm="1">
        <f t="array" ref="E7">_xll.FDS($A7,"FG_PRICE_CHANGE(0,-1AM)")</f>
        <v>-5.4014240117849299</v>
      </c>
      <c r="F7" s="47" cm="1">
        <f t="array" ref="F7">_xll.FDS($A7,"FG_PRICE_CHANGE(0,-3AM)")</f>
        <v>-2.9226505416981601</v>
      </c>
      <c r="G7" s="47" cm="1">
        <f t="array" ref="G7">_xll.FDS($A7,"FG_PRICE_CHANGE(0,-6AM)")</f>
        <v>5.19345624513168E-2</v>
      </c>
      <c r="H7" s="47" cm="1">
        <f t="array" ref="H7">_xll.FDS($A7,"FG_PRICE_CHANGE(0,-1AY)")</f>
        <v>8.5046465784286198</v>
      </c>
      <c r="I7" s="47" cm="1">
        <f t="array" ref="I7">_xll.FDS($A7,"FG_PRICE(0)/MAX(FG_PRICE(0,-1AY))")</f>
        <v>0.84145009827473205</v>
      </c>
      <c r="J7" cm="1">
        <f t="array" ref="J7">_xll.FDS($A7,"MAX(FG_PRICE(0,-5AY))")</f>
        <v>8163</v>
      </c>
      <c r="P7" t="s">
        <v>23</v>
      </c>
      <c r="Q7" t="s">
        <v>439</v>
      </c>
      <c r="R7" t="s">
        <v>23</v>
      </c>
    </row>
    <row r="8" spans="1:20" x14ac:dyDescent="0.35">
      <c r="A8" t="s">
        <v>829</v>
      </c>
      <c r="B8" t="s">
        <v>830</v>
      </c>
      <c r="C8" cm="1">
        <f t="array" ref="C8">_xll.FDS($A8,"FG_PRICE(0)")</f>
        <v>1043</v>
      </c>
      <c r="D8" cm="1">
        <f t="array" ref="D8">_xll.FDS($A8,"FG_PRICE_MAVG(0,,,,30)")</f>
        <v>982.26666</v>
      </c>
      <c r="E8" s="47" cm="1">
        <f t="array" ref="E8">_xll.FDS($A8,"FG_PRICE_CHANGE(0,-1AM)")</f>
        <v>14.615384615384601</v>
      </c>
      <c r="F8" s="47" cm="1">
        <f t="array" ref="F8">_xll.FDS($A8,"FG_PRICE_CHANGE(0,-3AM)")</f>
        <v>14.741474147414699</v>
      </c>
      <c r="G8" s="47" cm="1">
        <f t="array" ref="G8">_xll.FDS($A8,"FG_PRICE_CHANGE(0,-6AM)")</f>
        <v>11.0756123535676</v>
      </c>
      <c r="H8" s="47" cm="1">
        <f t="array" ref="H8">_xll.FDS($A8,"FG_PRICE_CHANGE(0,-1AY)")</f>
        <v>-2.7052238805970199</v>
      </c>
      <c r="I8" s="47" cm="1">
        <f t="array" ref="I8">_xll.FDS($A8,"FG_PRICE(0)/MAX(FG_PRICE(0,-1AY))")</f>
        <v>0.97294776119403004</v>
      </c>
      <c r="J8" cm="1">
        <f t="array" ref="J8">_xll.FDS($A8,"MAX(FG_PRICE(0,-5AY))")</f>
        <v>1272.5899999999999</v>
      </c>
      <c r="P8" t="s">
        <v>29</v>
      </c>
      <c r="Q8" t="s">
        <v>440</v>
      </c>
      <c r="R8" t="s">
        <v>29</v>
      </c>
    </row>
    <row r="9" spans="1:20" x14ac:dyDescent="0.35">
      <c r="A9" t="s">
        <v>831</v>
      </c>
      <c r="B9" t="s">
        <v>832</v>
      </c>
      <c r="C9" cm="1">
        <f t="array" ref="C9">_xll.FDS($A9,"FG_PRICE(0)")</f>
        <v>19800</v>
      </c>
      <c r="D9" cm="1">
        <f t="array" ref="D9">_xll.FDS($A9,"FG_PRICE_MAVG(0,,,,30)")</f>
        <v>19003.333999999999</v>
      </c>
      <c r="E9" s="47" cm="1">
        <f t="array" ref="E9">_xll.FDS($A9,"FG_PRICE_CHANGE(0,-1AM)")</f>
        <v>5.4032472717593798</v>
      </c>
      <c r="F9" s="47" cm="1">
        <f t="array" ref="F9">_xll.FDS($A9,"FG_PRICE_CHANGE(0,-3AM)")</f>
        <v>15.2502910360885</v>
      </c>
      <c r="G9" s="47" cm="1">
        <f t="array" ref="G9">_xll.FDS($A9,"FG_PRICE_CHANGE(0,-6AM)")</f>
        <v>20.5112598904443</v>
      </c>
      <c r="H9" s="47" cm="1">
        <f t="array" ref="H9">_xll.FDS($A9,"FG_PRICE_CHANGE(0,-1AY)")</f>
        <v>-4.6242774566474001</v>
      </c>
      <c r="I9" s="47" cm="1">
        <f t="array" ref="I9">_xll.FDS($A9,"FG_PRICE(0)/MAX(FG_PRICE(0,-1AY))")</f>
        <v>0.85566119273984398</v>
      </c>
      <c r="J9" cm="1">
        <f t="array" ref="J9">_xll.FDS($A9,"MAX(FG_PRICE(0,-5AY))")</f>
        <v>48241</v>
      </c>
      <c r="P9" t="s">
        <v>33</v>
      </c>
      <c r="Q9" t="s">
        <v>441</v>
      </c>
      <c r="R9" t="s">
        <v>33</v>
      </c>
      <c r="S9">
        <f>IF(E7&lt;$C$19, -1, IF(E7&gt;$C$20,1,0))</f>
        <v>-1</v>
      </c>
      <c r="T9">
        <f t="shared" ref="T9" si="1">S9</f>
        <v>-1</v>
      </c>
    </row>
    <row r="10" spans="1:20" x14ac:dyDescent="0.35">
      <c r="A10" t="s">
        <v>833</v>
      </c>
      <c r="B10" t="s">
        <v>834</v>
      </c>
      <c r="C10" cm="1">
        <f t="array" ref="C10">_xll.FDS($A10,"FG_PRICE(0)")</f>
        <v>1000</v>
      </c>
      <c r="D10" cm="1">
        <f t="array" ref="D10">_xll.FDS($A10,"FG_PRICE_MAVG(0,,,,30)")</f>
        <v>1002.43335</v>
      </c>
      <c r="E10" s="47" cm="1">
        <f t="array" ref="E10">_xll.FDS($A10,"FG_PRICE_CHANGE(0,-1AM)")</f>
        <v>-0.99009900990099098</v>
      </c>
      <c r="F10" s="47" cm="1">
        <f t="array" ref="F10">_xll.FDS($A10,"FG_PRICE_CHANGE(0,-3AM)")</f>
        <v>1.5228426395939001</v>
      </c>
      <c r="G10" s="47" cm="1">
        <f t="array" ref="G10">_xll.FDS($A10,"FG_PRICE_CHANGE(0,-6AM)")</f>
        <v>-7.4074074074074101</v>
      </c>
      <c r="H10" s="47" cm="1">
        <f t="array" ref="H10">_xll.FDS($A10,"FG_PRICE_CHANGE(0,-1AY)")</f>
        <v>-31.9727891156463</v>
      </c>
      <c r="I10" s="47" cm="1">
        <f t="array" ref="I10">_xll.FDS($A10,"FG_PRICE(0)/MAX(FG_PRICE(0,-1AY))")</f>
        <v>0.68027210884353695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835</v>
      </c>
      <c r="C11" cm="1">
        <f t="array" ref="C11">_xll.FDS($A11,"FG_PRICE(0)")</f>
        <v>539.70000000000005</v>
      </c>
      <c r="D11" cm="1">
        <f t="array" ref="D11">_xll.FDS($A11,"FG_PRICE_MAVG(0,,,,30)")</f>
        <v>565.85</v>
      </c>
      <c r="E11" s="47" cm="1">
        <f t="array" ref="E11">_xll.FDS($A11,"FG_PRICE_CHANGE(0,-1AM)")</f>
        <v>-5.8443824145149996</v>
      </c>
      <c r="F11" s="47" cm="1">
        <f t="array" ref="F11">_xll.FDS($A11,"FG_PRICE_CHANGE(0,-3AM)")</f>
        <v>-11.828132658062399</v>
      </c>
      <c r="G11" s="47" cm="1">
        <f t="array" ref="G11">_xll.FDS($A11,"FG_PRICE_CHANGE(0,-6AM)")</f>
        <v>-27.1561614252936</v>
      </c>
      <c r="H11" s="47" cm="1">
        <f t="array" ref="H11">_xll.FDS($A11,"FG_PRICE_CHANGE(0,-1AY)")</f>
        <v>-24.348191757779599</v>
      </c>
      <c r="I11" s="47" cm="1">
        <f t="array" ref="I11">_xll.FDS($A11,"FG_PRICE(0)/MAX(FG_PRICE(0,-1AY))")</f>
        <v>0.70696882368352099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836</v>
      </c>
      <c r="B12" t="s">
        <v>837</v>
      </c>
      <c r="C12" cm="1">
        <f t="array" ref="C12">_xll.FDS($A12,"FG_PRICE(0)")</f>
        <v>0.96178805999999994</v>
      </c>
      <c r="D12" cm="1">
        <f t="array" ref="D12">_xll.FDS($A12,"FG_PRICE_MAVG(0,,,,30)")</f>
        <v>0.96784996999999995</v>
      </c>
      <c r="E12" s="47" cm="1">
        <f t="array" ref="E12">_xll.FDS($A12,"FG_PRICE_CHANGE(0,-1AM)")</f>
        <v>-0.81799870634870997</v>
      </c>
      <c r="F12" s="47" cm="1">
        <f t="array" ref="F12">_xll.FDS($A12,"FG_PRICE_CHANGE(0,-3AM)")</f>
        <v>-0.96103790990390603</v>
      </c>
      <c r="G12" s="47" cm="1">
        <f t="array" ref="G12">_xll.FDS($A12,"FG_PRICE_CHANGE(0,-6AM)")</f>
        <v>-6.3521124442918104</v>
      </c>
      <c r="H12" s="47" cm="1">
        <f t="array" ref="H12">_xll.FDS($A12,"FG_PRICE_CHANGE(0,-1AY)")</f>
        <v>-7.0347696017901402</v>
      </c>
      <c r="I12" s="47" cm="1">
        <f t="array" ref="I12">_xll.FDS($A12,"FG_PRICE(0)/MAX(FG_PRICE(0,-1AY))")</f>
        <v>0.92479621153846103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-1, IF(E3&gt;$C$20,1,0))</f>
        <v>0</v>
      </c>
      <c r="T13">
        <f t="shared" ref="T13:T23" si="2">S13</f>
        <v>0</v>
      </c>
    </row>
    <row r="14" spans="1:20" x14ac:dyDescent="0.35">
      <c r="P14" t="s">
        <v>22</v>
      </c>
      <c r="Q14" t="s">
        <v>442</v>
      </c>
      <c r="R14" t="s">
        <v>22</v>
      </c>
      <c r="S14" t="str">
        <f>IF(E8&lt;$C$19, -1, "")</f>
        <v/>
      </c>
      <c r="T14" t="str">
        <f t="shared" si="2"/>
        <v/>
      </c>
    </row>
    <row r="15" spans="1:20" x14ac:dyDescent="0.35">
      <c r="P15" t="s">
        <v>28</v>
      </c>
      <c r="Q15" t="s">
        <v>443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-1, IF(E5&gt;$C$20,1,0))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444</v>
      </c>
      <c r="R18" t="s">
        <v>31</v>
      </c>
    </row>
    <row r="19" spans="2:20" x14ac:dyDescent="0.35">
      <c r="B19" t="s">
        <v>839</v>
      </c>
      <c r="C19" s="56">
        <v>-5</v>
      </c>
      <c r="P19" s="1" t="s">
        <v>757</v>
      </c>
      <c r="Q19" s="1" t="s">
        <v>758</v>
      </c>
      <c r="R19" s="1" t="s">
        <v>757</v>
      </c>
    </row>
    <row r="20" spans="2:20" x14ac:dyDescent="0.35">
      <c r="B20" t="s">
        <v>840</v>
      </c>
      <c r="C20" s="56">
        <v>10</v>
      </c>
      <c r="P20" t="s">
        <v>25</v>
      </c>
      <c r="Q20" t="s">
        <v>446</v>
      </c>
      <c r="R20" t="s">
        <v>25</v>
      </c>
    </row>
    <row r="21" spans="2:20" x14ac:dyDescent="0.35">
      <c r="P21" t="s">
        <v>34</v>
      </c>
      <c r="Q21" t="s">
        <v>447</v>
      </c>
      <c r="R21" t="s">
        <v>34</v>
      </c>
      <c r="S21" s="1"/>
    </row>
    <row r="22" spans="2:20" x14ac:dyDescent="0.35">
      <c r="P22" t="s">
        <v>37</v>
      </c>
      <c r="Q22" t="s">
        <v>448</v>
      </c>
      <c r="R22" t="s">
        <v>37</v>
      </c>
    </row>
    <row r="23" spans="2:20" x14ac:dyDescent="0.35">
      <c r="P23" t="s">
        <v>36</v>
      </c>
      <c r="Q23" t="s">
        <v>449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433</v>
      </c>
      <c r="Q24" t="s">
        <v>450</v>
      </c>
      <c r="R24" t="s">
        <v>433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451</v>
      </c>
      <c r="R30" t="s">
        <v>48</v>
      </c>
    </row>
    <row r="31" spans="2:20" x14ac:dyDescent="0.35">
      <c r="P31" t="s">
        <v>51</v>
      </c>
      <c r="Q31" t="s">
        <v>452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AK127"/>
  <sheetViews>
    <sheetView workbookViewId="0">
      <selection activeCell="X12" sqref="X1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_xll.FDS(C1,"JULIAN(FMA_DIV_YLD(LTMA,-10AY,0,AM,""PORTAGG"",""MEANR"").dates)")</f>
        <v>41782</v>
      </c>
      <c r="B2" s="3" t="e" cm="1">
        <f t="array" ref="B2:B122">_xll.FDS(B1,"FMA_PE(LTMA,-10AY,0,AM,""PORTAGG"",""MEANR"")")</f>
        <v>#N/A</v>
      </c>
      <c r="C2" s="3" cm="1">
        <f t="array" ref="C2:C122">_xll.FDS(C1,"FMA_PE(LTMA,-10AY,0,AM,""PORTAGG"",""MEANR"")")</f>
        <v>15.829024018120499</v>
      </c>
      <c r="D2" s="3" cm="1">
        <f t="array" ref="D2:D122">_xll.FDS(D1,"FMA_PE(LTMA,-10AY,0,AM,""PORTAGG"",""MEANR"")")</f>
        <v>15.759100054535899</v>
      </c>
      <c r="E2" s="3" cm="1">
        <f t="array" ref="E2:E122">_xll.FDS(E1,"FMA_PE(LTMA,-10AY,0,AM,""PORTAGG"",""MEANR"")")</f>
        <v>19.3844581790283</v>
      </c>
      <c r="F2" s="3" cm="1">
        <f t="array" ref="F2:F122">_xll.FDS(F1,"FMA_PE(LTMA,-10AY,0,AM,""PORTAGG"",""MEANR"")")</f>
        <v>15.1793834468738</v>
      </c>
      <c r="G2" s="3" cm="1">
        <f t="array" ref="G2:G122">_xll.FDS(G1,"FMA_PE(LTMA,-10AY,0,AM,""PORTAGG"",""MEANR"")")</f>
        <v>14.8057561976328</v>
      </c>
      <c r="H2" s="3" cm="1">
        <f t="array" ref="H2:H122">_xll.FDS(H1,"FMA_PE(LTMA,-10AY,0,AM,""PORTAGG"",""MEANR"")")</f>
        <v>16.700830544570401</v>
      </c>
      <c r="I2" s="3" cm="1">
        <f t="array" ref="I2:I122">_xll.FDS(I1,"FMA_PE(LTMA,-10AY,0,AM,""PORTAGG"",""MEANR"")")</f>
        <v>15.483194621689499</v>
      </c>
      <c r="J2" s="3" t="e" cm="1">
        <f t="array" ref="J2:J122">_xll.FDS(J1,"FMA_PE(LTMA,-10AY,0,AM,""PORTAGG"",""MEANR"")")</f>
        <v>#N/A</v>
      </c>
      <c r="K2" s="3" cm="1">
        <f t="array" ref="K2:K122">_xll.FDS(K1,"FMA_PE(LTMA,-10AY,0,AM,""PORTAGG"",""MEANR"")")</f>
        <v>11.4323244523145</v>
      </c>
      <c r="L2" s="3" cm="1">
        <f t="array" ref="L2:L122">_xll.FDS(L1,"FMA_PE(LTMA,-10AY,0,AM,""PORTAGG"",""MEANR"")")</f>
        <v>11.5385554167616</v>
      </c>
      <c r="M2" s="3" cm="1">
        <f t="array" ref="M2:M122">_xll.FDS(M1,"FMA_PE(LTMA,-10AY,0,AM,""PORTAGG"",""MEANR"")")</f>
        <v>15.7846144005561</v>
      </c>
      <c r="N2" s="3" cm="1">
        <f t="array" ref="N2:N122">_xll.FDS(N1,"FMA_PE(LTMA,-10AY,0,AM,""PORTAGG"",""MEANR"")")</f>
        <v>31.888440376145599</v>
      </c>
      <c r="O2" s="3" cm="1">
        <f t="array" ref="O2:O122">_xll.FDS(O1,"FMA_PE(LTMA,-10AY,0,AM,""PORTAGG"",""MEANR"")")</f>
        <v>16.8257138797495</v>
      </c>
      <c r="P2" s="3" cm="1">
        <f t="array" ref="P2:P122">_xll.FDS(P1,"FMA_PE(LTMA,-10AY,0,AM,""PORTAGG"",""MEANR"")")</f>
        <v>9.2812303756427301</v>
      </c>
      <c r="Q2" s="3" t="e" cm="1">
        <f t="array" ref="Q2:Q122">_xll.FDS(Q1,"FMA_PE(LTMA,-10AY,0,AM,""PORTAGG"",""MEANR"")")</f>
        <v>#N/A</v>
      </c>
      <c r="R2" s="3" cm="1">
        <f t="array" ref="R2:R122">_xll.FDS(R1,"FMA_PE(LTMA,-10AY,0,AM,""PORTAGG"",""MEANR"")")</f>
        <v>17.9683104011173</v>
      </c>
      <c r="S2" s="3" cm="1">
        <f t="array" ref="S2:S122">_xll.FDS(S1,"FMA_PE(LTMA,-10AY,0,AM,""PORTAGG"",""MEANR"")")</f>
        <v>10.168700882156999</v>
      </c>
      <c r="T2" s="3" t="e" cm="1">
        <f t="array" ref="T2:T122">_xll.FDS(T1,"FMA_PE(LTMA,-10AY,0,AM,""PORTAGG"",""MEANR"")")</f>
        <v>#N/A</v>
      </c>
      <c r="U2" s="3" cm="1">
        <f t="array" ref="U2:U122">_xll.FDS(U1,"FMA_PE(LTMA,-10AY,0,AM,""PORTAGG"",""MEANR"")")</f>
        <v>11.8549411455803</v>
      </c>
      <c r="V2" s="3" t="e" cm="1">
        <f t="array" ref="V2:V122">_xll.FDS(V1,"FMA_PE(LTMA,-10AY,0,AM,""PORTAGG"",""MEANR"")")</f>
        <v>#N/A</v>
      </c>
    </row>
    <row r="3" spans="1:22" x14ac:dyDescent="0.35">
      <c r="A3" s="2">
        <v>41813</v>
      </c>
      <c r="B3" s="3" t="e">
        <v>#N/A</v>
      </c>
      <c r="C3" s="3">
        <v>15.890185415022099</v>
      </c>
      <c r="D3" s="3">
        <v>15.393086700510199</v>
      </c>
      <c r="E3" s="3">
        <v>19.1858891172336</v>
      </c>
      <c r="F3" s="3">
        <v>15.152424211189601</v>
      </c>
      <c r="G3" s="3">
        <v>15.330203631184499</v>
      </c>
      <c r="H3" s="3">
        <v>16.7583268048493</v>
      </c>
      <c r="I3" s="3">
        <v>15.5154312667875</v>
      </c>
      <c r="J3" s="3" t="e">
        <v>#N/A</v>
      </c>
      <c r="K3" s="3">
        <v>11.220849647531301</v>
      </c>
      <c r="L3" s="3">
        <v>11.8381115954805</v>
      </c>
      <c r="M3" s="3">
        <v>15.846290244539</v>
      </c>
      <c r="N3" s="3">
        <v>25.982261243623899</v>
      </c>
      <c r="O3" s="3">
        <v>17.000480121751199</v>
      </c>
      <c r="P3" s="3">
        <v>9.2560829582655906</v>
      </c>
      <c r="Q3" s="3" t="e">
        <v>#N/A</v>
      </c>
      <c r="R3" s="3">
        <v>17.754098075104501</v>
      </c>
      <c r="S3" s="3">
        <v>10.3473850380612</v>
      </c>
      <c r="T3" s="3" t="e">
        <v>#N/A</v>
      </c>
      <c r="U3" s="3">
        <v>12.3798450421054</v>
      </c>
      <c r="V3" s="3" t="e">
        <v>#N/A</v>
      </c>
    </row>
    <row r="4" spans="1:22" x14ac:dyDescent="0.35">
      <c r="A4" s="2">
        <v>41843</v>
      </c>
      <c r="B4" s="3" t="e">
        <v>#N/A</v>
      </c>
      <c r="C4" s="3">
        <v>16.355122071162601</v>
      </c>
      <c r="D4" s="3">
        <v>15.712627561715999</v>
      </c>
      <c r="E4" s="3">
        <v>19.2837642564261</v>
      </c>
      <c r="F4" s="3">
        <v>14.8001880848055</v>
      </c>
      <c r="G4" s="3">
        <v>15.949222758156999</v>
      </c>
      <c r="H4" s="3">
        <v>16.6667752339822</v>
      </c>
      <c r="I4" s="3">
        <v>15.421041461144901</v>
      </c>
      <c r="J4" s="3" t="e">
        <v>#N/A</v>
      </c>
      <c r="K4" s="3">
        <v>11.328946509819099</v>
      </c>
      <c r="L4" s="3">
        <v>12.2070824162428</v>
      </c>
      <c r="M4" s="3">
        <v>16.178951383745201</v>
      </c>
      <c r="N4" s="3">
        <v>23.3493246436901</v>
      </c>
      <c r="O4" s="3">
        <v>17.459406338026</v>
      </c>
      <c r="P4" s="3">
        <v>9.6063658043559705</v>
      </c>
      <c r="Q4" s="3" t="e">
        <v>#N/A</v>
      </c>
      <c r="R4" s="3">
        <v>17.876426786822002</v>
      </c>
      <c r="S4" s="3">
        <v>10.8184271601283</v>
      </c>
      <c r="T4" s="3" t="e">
        <v>#N/A</v>
      </c>
      <c r="U4" s="3">
        <v>12.743414985382</v>
      </c>
      <c r="V4" s="3" t="e">
        <v>#N/A</v>
      </c>
    </row>
    <row r="5" spans="1:22" x14ac:dyDescent="0.35">
      <c r="A5" s="2">
        <v>41873</v>
      </c>
      <c r="B5" s="3" t="e">
        <v>#N/A</v>
      </c>
      <c r="C5" s="3">
        <v>16.370470654408301</v>
      </c>
      <c r="D5" s="3">
        <v>16.034233836110701</v>
      </c>
      <c r="E5" s="3">
        <v>19.610636791588799</v>
      </c>
      <c r="F5" s="3">
        <v>14.897807866081299</v>
      </c>
      <c r="G5" s="3">
        <v>15.7644635524909</v>
      </c>
      <c r="H5" s="3">
        <v>16.828356295730199</v>
      </c>
      <c r="I5" s="3">
        <v>15.072005347165801</v>
      </c>
      <c r="J5" s="3" t="e">
        <v>#N/A</v>
      </c>
      <c r="K5" s="3">
        <v>11.6131845831215</v>
      </c>
      <c r="L5" s="3">
        <v>12.6551366647007</v>
      </c>
      <c r="M5" s="3">
        <v>16.337397397887599</v>
      </c>
      <c r="N5" s="3">
        <v>21.3770962068327</v>
      </c>
      <c r="O5" s="3">
        <v>17.619833070295499</v>
      </c>
      <c r="P5" s="3">
        <v>9.7780351251270794</v>
      </c>
      <c r="Q5" s="3" t="e">
        <v>#N/A</v>
      </c>
      <c r="R5" s="3">
        <v>18.928968631503999</v>
      </c>
      <c r="S5" s="3">
        <v>10.536179410898299</v>
      </c>
      <c r="T5" s="3" t="e">
        <v>#N/A</v>
      </c>
      <c r="U5" s="3">
        <v>13.0982937781188</v>
      </c>
      <c r="V5" s="3" t="e">
        <v>#N/A</v>
      </c>
    </row>
    <row r="6" spans="1:22" x14ac:dyDescent="0.35">
      <c r="A6" s="2">
        <v>41905</v>
      </c>
      <c r="B6" s="3" t="e">
        <v>#N/A</v>
      </c>
      <c r="C6" s="3">
        <v>16.546404925929998</v>
      </c>
      <c r="D6" s="3">
        <v>15.9902590342047</v>
      </c>
      <c r="E6" s="3">
        <v>19.9206109114313</v>
      </c>
      <c r="F6" s="3">
        <v>14.6549650304335</v>
      </c>
      <c r="G6" s="3">
        <v>15.3467446786466</v>
      </c>
      <c r="H6" s="3">
        <v>16.720752905987698</v>
      </c>
      <c r="I6" s="3">
        <v>14.5140371601276</v>
      </c>
      <c r="J6" s="3" t="e">
        <v>#N/A</v>
      </c>
      <c r="K6" s="3">
        <v>11.5442431627331</v>
      </c>
      <c r="L6" s="3">
        <v>12.4622213636107</v>
      </c>
      <c r="M6" s="3">
        <v>16.1012511599193</v>
      </c>
      <c r="N6" s="3">
        <v>19.130273690714699</v>
      </c>
      <c r="O6" s="3">
        <v>17.942720123434999</v>
      </c>
      <c r="P6" s="3">
        <v>9.4386608073010905</v>
      </c>
      <c r="Q6" s="3" t="e">
        <v>#N/A</v>
      </c>
      <c r="R6" s="3">
        <v>19.2611549294007</v>
      </c>
      <c r="S6" s="3">
        <v>10.4731476255138</v>
      </c>
      <c r="T6" s="3" t="e">
        <v>#N/A</v>
      </c>
      <c r="U6" s="3">
        <v>13.197615204502201</v>
      </c>
      <c r="V6" s="3" t="e">
        <v>#N/A</v>
      </c>
    </row>
    <row r="7" spans="1:22" x14ac:dyDescent="0.35">
      <c r="A7" s="2">
        <v>41935</v>
      </c>
      <c r="B7" s="3" t="e">
        <v>#N/A</v>
      </c>
      <c r="C7" s="3">
        <v>16.007056282595901</v>
      </c>
      <c r="D7" s="3">
        <v>16.174676279776602</v>
      </c>
      <c r="E7" s="3">
        <v>19.4321162758837</v>
      </c>
      <c r="F7" s="3">
        <v>14.604514742120701</v>
      </c>
      <c r="G7" s="3">
        <v>14.137612890715801</v>
      </c>
      <c r="H7" s="3">
        <v>16.517248627966602</v>
      </c>
      <c r="I7" s="3">
        <v>14.010131215314701</v>
      </c>
      <c r="J7" s="3" t="e">
        <v>#N/A</v>
      </c>
      <c r="K7" s="3">
        <v>11.029526003473</v>
      </c>
      <c r="L7" s="3">
        <v>11.7438758533767</v>
      </c>
      <c r="M7" s="3">
        <v>16.1717716678695</v>
      </c>
      <c r="N7" s="3">
        <v>17.4143359926892</v>
      </c>
      <c r="O7" s="3">
        <v>18.071347133312599</v>
      </c>
      <c r="P7" s="3">
        <v>9.2917983661766197</v>
      </c>
      <c r="Q7" s="3" t="e">
        <v>#N/A</v>
      </c>
      <c r="R7" s="3">
        <v>18.751558332298899</v>
      </c>
      <c r="S7" s="3">
        <v>10.8599598231615</v>
      </c>
      <c r="T7" s="3" t="e">
        <v>#N/A</v>
      </c>
      <c r="U7" s="3">
        <v>13.1745312723819</v>
      </c>
      <c r="V7" s="3" t="e">
        <v>#N/A</v>
      </c>
    </row>
    <row r="8" spans="1:22" x14ac:dyDescent="0.35">
      <c r="A8" s="2">
        <v>41964</v>
      </c>
      <c r="B8" s="3" t="e">
        <v>#N/A</v>
      </c>
      <c r="C8" s="3">
        <v>16.706106557083601</v>
      </c>
      <c r="D8" s="3">
        <v>16.176193027882899</v>
      </c>
      <c r="E8" s="3">
        <v>20.133535685479298</v>
      </c>
      <c r="F8" s="3">
        <v>14.7105711352234</v>
      </c>
      <c r="G8" s="3">
        <v>14.387055002040899</v>
      </c>
      <c r="H8" s="3">
        <v>16.516308032211899</v>
      </c>
      <c r="I8" s="3">
        <v>14.1668618977127</v>
      </c>
      <c r="J8" s="3" t="e">
        <v>#N/A</v>
      </c>
      <c r="K8" s="3">
        <v>11.567013617103701</v>
      </c>
      <c r="L8" s="3">
        <v>13.096129126184699</v>
      </c>
      <c r="M8" s="3">
        <v>16.953003965926499</v>
      </c>
      <c r="N8" s="3">
        <v>17.659481087455799</v>
      </c>
      <c r="O8" s="3">
        <v>19.321676747450098</v>
      </c>
      <c r="P8" s="3">
        <v>9.4198699685629101</v>
      </c>
      <c r="Q8" s="3" t="e">
        <v>#N/A</v>
      </c>
      <c r="R8" s="3">
        <v>19.8692532123071</v>
      </c>
      <c r="S8" s="3">
        <v>11.495754297262</v>
      </c>
      <c r="T8" s="3" t="e">
        <v>#N/A</v>
      </c>
      <c r="U8" s="3">
        <v>12.947963643294299</v>
      </c>
      <c r="V8" s="3" t="e">
        <v>#N/A</v>
      </c>
    </row>
    <row r="9" spans="1:22" x14ac:dyDescent="0.35">
      <c r="A9" s="2">
        <v>41996</v>
      </c>
      <c r="B9" s="3" t="e">
        <v>#N/A</v>
      </c>
      <c r="C9" s="3">
        <v>16.592632010539099</v>
      </c>
      <c r="D9" s="3">
        <v>16.753260434595799</v>
      </c>
      <c r="E9" s="3">
        <v>19.885043055801201</v>
      </c>
      <c r="F9" s="3">
        <v>14.384708544672399</v>
      </c>
      <c r="G9" s="3">
        <v>14.043234711732801</v>
      </c>
      <c r="H9" s="3">
        <v>16.247592598598501</v>
      </c>
      <c r="I9" s="3">
        <v>13.7364282622537</v>
      </c>
      <c r="J9" s="3" t="e">
        <v>#N/A</v>
      </c>
      <c r="K9" s="3">
        <v>11.564566293557499</v>
      </c>
      <c r="L9" s="3">
        <v>12.5412102997745</v>
      </c>
      <c r="M9" s="3">
        <v>16.8408815491163</v>
      </c>
      <c r="N9" s="3">
        <v>16.613748981991499</v>
      </c>
      <c r="O9" s="3">
        <v>19.083142907873899</v>
      </c>
      <c r="P9" s="3">
        <v>9.9391651115841402</v>
      </c>
      <c r="Q9" s="3" t="e">
        <v>#N/A</v>
      </c>
      <c r="R9" s="3">
        <v>19.682529217869199</v>
      </c>
      <c r="S9" s="3">
        <v>11.6881546455511</v>
      </c>
      <c r="T9" s="3" t="e">
        <v>#N/A</v>
      </c>
      <c r="U9" s="3">
        <v>12.571551829454201</v>
      </c>
      <c r="V9" s="3" t="e">
        <v>#N/A</v>
      </c>
    </row>
    <row r="10" spans="1:22" x14ac:dyDescent="0.35">
      <c r="A10" s="2">
        <v>42027</v>
      </c>
      <c r="B10" s="3" t="e">
        <v>#N/A</v>
      </c>
      <c r="C10" s="3">
        <v>16.267820671609101</v>
      </c>
      <c r="D10" s="3">
        <v>17.237713284579499</v>
      </c>
      <c r="E10" s="3">
        <v>20.642158278883102</v>
      </c>
      <c r="F10" s="3">
        <v>17.623422578008</v>
      </c>
      <c r="G10" s="3">
        <v>14.843877357398</v>
      </c>
      <c r="H10" s="3">
        <v>16.613922429551099</v>
      </c>
      <c r="I10" s="3">
        <v>14.3477376240964</v>
      </c>
      <c r="J10" s="3" t="e">
        <v>#N/A</v>
      </c>
      <c r="K10" s="3">
        <v>11.695736776332399</v>
      </c>
      <c r="L10" s="3">
        <v>12.2435061803487</v>
      </c>
      <c r="M10" s="3">
        <v>17.727491599338201</v>
      </c>
      <c r="N10" s="3">
        <v>15.5232226611608</v>
      </c>
      <c r="O10" s="3">
        <v>20.6345342727336</v>
      </c>
      <c r="P10" s="3">
        <v>10.760513154167301</v>
      </c>
      <c r="Q10" s="3">
        <v>14.3029843674235</v>
      </c>
      <c r="R10" s="3">
        <v>21.636194614610002</v>
      </c>
      <c r="S10" s="3">
        <v>12.845126859634</v>
      </c>
      <c r="T10" s="3">
        <v>12.1334011504002</v>
      </c>
      <c r="U10" s="3">
        <v>12.2056026833885</v>
      </c>
      <c r="V10" s="3" t="e">
        <v>#N/A</v>
      </c>
    </row>
    <row r="11" spans="1:22" x14ac:dyDescent="0.35">
      <c r="A11" s="2">
        <v>42058</v>
      </c>
      <c r="B11" s="3" t="e">
        <v>#N/A</v>
      </c>
      <c r="C11" s="3">
        <v>16.865547895580502</v>
      </c>
      <c r="D11" s="3">
        <v>17.799783922833502</v>
      </c>
      <c r="E11" s="3">
        <v>21.168197591195099</v>
      </c>
      <c r="F11" s="3">
        <v>20.462014385943899</v>
      </c>
      <c r="G11" s="3">
        <v>16.144254897918</v>
      </c>
      <c r="H11" s="3">
        <v>16.587218787661701</v>
      </c>
      <c r="I11" s="3">
        <v>14.2616757586226</v>
      </c>
      <c r="J11" s="3" t="e">
        <v>#N/A</v>
      </c>
      <c r="K11" s="3">
        <v>12.2155653486681</v>
      </c>
      <c r="L11" s="3">
        <v>12.857325164444401</v>
      </c>
      <c r="M11" s="3">
        <v>18.764645998255901</v>
      </c>
      <c r="N11" s="3">
        <v>16.8102175241876</v>
      </c>
      <c r="O11" s="3">
        <v>20.8631117167727</v>
      </c>
      <c r="P11" s="3">
        <v>10.7485514464537</v>
      </c>
      <c r="Q11" s="3">
        <v>15.181955486283901</v>
      </c>
      <c r="R11" s="3">
        <v>23.7481881405945</v>
      </c>
      <c r="S11" s="3">
        <v>12.2376251562057</v>
      </c>
      <c r="T11" s="3">
        <v>12.618237551766899</v>
      </c>
      <c r="U11" s="3">
        <v>12.9544749265556</v>
      </c>
      <c r="V11" s="3" t="e">
        <v>#N/A</v>
      </c>
    </row>
    <row r="12" spans="1:22" x14ac:dyDescent="0.35">
      <c r="A12" s="2">
        <v>42086</v>
      </c>
      <c r="B12" s="3" t="e">
        <v>#N/A</v>
      </c>
      <c r="C12" s="3">
        <v>16.433662395129598</v>
      </c>
      <c r="D12" s="3">
        <v>17.891690033234699</v>
      </c>
      <c r="E12" s="3">
        <v>20.9298103739008</v>
      </c>
      <c r="F12" s="3">
        <v>19.973546545018198</v>
      </c>
      <c r="G12" s="3">
        <v>16.086545142769602</v>
      </c>
      <c r="H12" s="3">
        <v>16.991054071667701</v>
      </c>
      <c r="I12" s="3">
        <v>14.274415274396301</v>
      </c>
      <c r="J12" s="3" t="e">
        <v>#N/A</v>
      </c>
      <c r="K12" s="3">
        <v>12.170880465259</v>
      </c>
      <c r="L12" s="3">
        <v>13.0718559553909</v>
      </c>
      <c r="M12" s="3">
        <v>18.3818984122153</v>
      </c>
      <c r="N12" s="3">
        <v>17.1448168210486</v>
      </c>
      <c r="O12" s="3">
        <v>20.798793626516701</v>
      </c>
      <c r="P12" s="3">
        <v>10.8281872768043</v>
      </c>
      <c r="Q12" s="3">
        <v>14.804596888232201</v>
      </c>
      <c r="R12" s="3">
        <v>22.986465579766801</v>
      </c>
      <c r="S12" s="3">
        <v>11.8302155433566</v>
      </c>
      <c r="T12" s="3">
        <v>12.895474128302499</v>
      </c>
      <c r="U12" s="3">
        <v>16.621045045256398</v>
      </c>
      <c r="V12" s="3" t="e">
        <v>#N/A</v>
      </c>
    </row>
    <row r="13" spans="1:22" x14ac:dyDescent="0.35">
      <c r="A13" s="2">
        <v>42117</v>
      </c>
      <c r="B13" s="3" t="e">
        <v>#N/A</v>
      </c>
      <c r="C13" s="3">
        <v>16.471529816528101</v>
      </c>
      <c r="D13" s="3">
        <v>17.788413991725101</v>
      </c>
      <c r="E13" s="3">
        <v>20.707403122329598</v>
      </c>
      <c r="F13" s="3">
        <v>19.692540416421402</v>
      </c>
      <c r="G13" s="3">
        <v>15.6261029278753</v>
      </c>
      <c r="H13" s="3">
        <v>17.027447145776399</v>
      </c>
      <c r="I13" s="3">
        <v>14.1777395528359</v>
      </c>
      <c r="J13" s="3" t="e">
        <v>#N/A</v>
      </c>
      <c r="K13" s="3">
        <v>12.0931556098668</v>
      </c>
      <c r="L13" s="3">
        <v>13.6515475670897</v>
      </c>
      <c r="M13" s="3">
        <v>18.6150160239226</v>
      </c>
      <c r="N13" s="3">
        <v>15.962413216601799</v>
      </c>
      <c r="O13" s="3">
        <v>20.488083668595198</v>
      </c>
      <c r="P13" s="3">
        <v>11.505815215351401</v>
      </c>
      <c r="Q13" s="3">
        <v>14.8106709469523</v>
      </c>
      <c r="R13" s="3">
        <v>22.332380420457699</v>
      </c>
      <c r="S13" s="3">
        <v>11.717850062864301</v>
      </c>
      <c r="T13" s="3">
        <v>13.492633872441299</v>
      </c>
      <c r="U13" s="3">
        <v>16.710891375062399</v>
      </c>
      <c r="V13" s="3" t="e">
        <v>#N/A</v>
      </c>
    </row>
    <row r="14" spans="1:22" x14ac:dyDescent="0.35">
      <c r="A14" s="2">
        <v>42146</v>
      </c>
      <c r="B14" s="3" t="e">
        <v>#N/A</v>
      </c>
      <c r="C14" s="3">
        <v>16.376954945278001</v>
      </c>
      <c r="D14" s="3">
        <v>17.6183573942645</v>
      </c>
      <c r="E14" s="3">
        <v>20.583518849305499</v>
      </c>
      <c r="F14" s="3">
        <v>19.025060666413999</v>
      </c>
      <c r="G14" s="3">
        <v>15.4750499070435</v>
      </c>
      <c r="H14" s="3">
        <v>16.864607277377399</v>
      </c>
      <c r="I14" s="3">
        <v>14.035948315871099</v>
      </c>
      <c r="J14" s="3" t="e">
        <v>#N/A</v>
      </c>
      <c r="K14" s="3">
        <v>11.770880092988399</v>
      </c>
      <c r="L14" s="3">
        <v>13.7371433118958</v>
      </c>
      <c r="M14" s="3">
        <v>18.3951322667711</v>
      </c>
      <c r="N14" s="3">
        <v>14.905852525888101</v>
      </c>
      <c r="O14" s="3">
        <v>20.4874763460796</v>
      </c>
      <c r="P14" s="3">
        <v>11.531964175254499</v>
      </c>
      <c r="Q14" s="3">
        <v>14.7583618808619</v>
      </c>
      <c r="R14" s="3">
        <v>21.915229192269699</v>
      </c>
      <c r="S14" s="3">
        <v>11.794202086980601</v>
      </c>
      <c r="T14" s="3">
        <v>13.8292748369884</v>
      </c>
      <c r="U14" s="3">
        <v>16.753699574716698</v>
      </c>
      <c r="V14" s="3" t="e">
        <v>#N/A</v>
      </c>
    </row>
    <row r="15" spans="1:22" x14ac:dyDescent="0.35">
      <c r="A15" s="2">
        <v>42178</v>
      </c>
      <c r="B15" s="3" t="e">
        <v>#N/A</v>
      </c>
      <c r="C15" s="3">
        <v>16.026724036887799</v>
      </c>
      <c r="D15" s="3">
        <v>17.027514345219501</v>
      </c>
      <c r="E15" s="3">
        <v>20.110354896631002</v>
      </c>
      <c r="F15" s="3">
        <v>17.876673097438701</v>
      </c>
      <c r="G15" s="3">
        <v>16.291063402959001</v>
      </c>
      <c r="H15" s="3">
        <v>16.618113625808501</v>
      </c>
      <c r="I15" s="3">
        <v>13.8723766080807</v>
      </c>
      <c r="J15" s="3" t="e">
        <v>#N/A</v>
      </c>
      <c r="K15" s="3">
        <v>11.4109424551402</v>
      </c>
      <c r="L15" s="3">
        <v>13.877060346142899</v>
      </c>
      <c r="M15" s="3">
        <v>18.065828381482302</v>
      </c>
      <c r="N15" s="3">
        <v>14.230987368432</v>
      </c>
      <c r="O15" s="3">
        <v>20.335931201159799</v>
      </c>
      <c r="P15" s="3">
        <v>11.4337952479703</v>
      </c>
      <c r="Q15" s="3">
        <v>14.5273151430534</v>
      </c>
      <c r="R15" s="3">
        <v>21.1418197247432</v>
      </c>
      <c r="S15" s="3">
        <v>11.624785699250801</v>
      </c>
      <c r="T15" s="3">
        <v>13.580981679024999</v>
      </c>
      <c r="U15" s="3">
        <v>16.812145346858799</v>
      </c>
      <c r="V15" s="3" t="e">
        <v>#N/A</v>
      </c>
    </row>
    <row r="16" spans="1:22" x14ac:dyDescent="0.35">
      <c r="A16" s="2">
        <v>42208</v>
      </c>
      <c r="B16" s="3" t="e">
        <v>#N/A</v>
      </c>
      <c r="C16" s="3">
        <v>15.3330410533798</v>
      </c>
      <c r="D16" s="3">
        <v>16.879624485130499</v>
      </c>
      <c r="E16" s="3">
        <v>20.2726435147055</v>
      </c>
      <c r="F16" s="3">
        <v>16.731750103267501</v>
      </c>
      <c r="G16" s="3">
        <v>15.4194758189276</v>
      </c>
      <c r="H16" s="3">
        <v>16.631457627056601</v>
      </c>
      <c r="I16" s="3">
        <v>13.308121357504</v>
      </c>
      <c r="J16" s="3" t="e">
        <v>#N/A</v>
      </c>
      <c r="K16" s="3">
        <v>11.0741780612246</v>
      </c>
      <c r="L16" s="3">
        <v>13.3139576276442</v>
      </c>
      <c r="M16" s="3">
        <v>17.984901840210899</v>
      </c>
      <c r="N16" s="3">
        <v>12.832095136004</v>
      </c>
      <c r="O16" s="3">
        <v>21.047386412733999</v>
      </c>
      <c r="P16" s="3">
        <v>10.7774535264466</v>
      </c>
      <c r="Q16" s="3">
        <v>14.5535785121073</v>
      </c>
      <c r="R16" s="3">
        <v>20.375362493150799</v>
      </c>
      <c r="S16" s="3">
        <v>11.143358847684601</v>
      </c>
      <c r="T16" s="3">
        <v>13.7945168717371</v>
      </c>
      <c r="U16" s="3">
        <v>17.136659403969499</v>
      </c>
      <c r="V16" s="3" t="e">
        <v>#N/A</v>
      </c>
    </row>
    <row r="17" spans="1:22" x14ac:dyDescent="0.35">
      <c r="A17" s="2">
        <v>42237</v>
      </c>
      <c r="B17" s="3" t="e">
        <v>#N/A</v>
      </c>
      <c r="C17" s="3">
        <v>15.072997809844299</v>
      </c>
      <c r="D17" s="3">
        <v>15.452088955086699</v>
      </c>
      <c r="E17" s="3">
        <v>19.546019610686599</v>
      </c>
      <c r="F17" s="3">
        <v>15.7358372745524</v>
      </c>
      <c r="G17" s="3">
        <v>14.6030641518675</v>
      </c>
      <c r="H17" s="3">
        <v>15.673847836721899</v>
      </c>
      <c r="I17" s="3">
        <v>12.436872560709</v>
      </c>
      <c r="J17" s="3" t="e">
        <v>#N/A</v>
      </c>
      <c r="K17" s="3">
        <v>10.6742649793647</v>
      </c>
      <c r="L17" s="3">
        <v>12.563297639708001</v>
      </c>
      <c r="M17" s="3">
        <v>16.958182063697301</v>
      </c>
      <c r="N17" s="3">
        <v>11.757892720800101</v>
      </c>
      <c r="O17" s="3">
        <v>21.0446568237059</v>
      </c>
      <c r="P17" s="3">
        <v>10.0439914613046</v>
      </c>
      <c r="Q17" s="3">
        <v>14.0279240496185</v>
      </c>
      <c r="R17" s="3">
        <v>19.310129841846798</v>
      </c>
      <c r="S17" s="3">
        <v>10.635669647426401</v>
      </c>
      <c r="T17" s="3">
        <v>12.860734371900699</v>
      </c>
      <c r="U17" s="3">
        <v>17.037672081025001</v>
      </c>
      <c r="V17" s="3" t="e">
        <v>#N/A</v>
      </c>
    </row>
    <row r="18" spans="1:22" x14ac:dyDescent="0.35">
      <c r="A18" s="2">
        <v>42270</v>
      </c>
      <c r="B18" s="3" t="e">
        <v>#N/A</v>
      </c>
      <c r="C18" s="3">
        <v>14.9045805931866</v>
      </c>
      <c r="D18" s="3">
        <v>15.4347223830075</v>
      </c>
      <c r="E18" s="3">
        <v>18.845963461120199</v>
      </c>
      <c r="F18" s="3">
        <v>14.3982340310145</v>
      </c>
      <c r="G18" s="3">
        <v>14.246819384938</v>
      </c>
      <c r="H18" s="3">
        <v>16.086264656636899</v>
      </c>
      <c r="I18" s="3">
        <v>12.5522800021965</v>
      </c>
      <c r="J18" s="3" t="e">
        <v>#N/A</v>
      </c>
      <c r="K18" s="3">
        <v>10.667568696406301</v>
      </c>
      <c r="L18" s="3">
        <v>12.260375754018201</v>
      </c>
      <c r="M18" s="3">
        <v>16.918183192126399</v>
      </c>
      <c r="N18" s="3">
        <v>11.205602018012</v>
      </c>
      <c r="O18" s="3">
        <v>20.1774044758426</v>
      </c>
      <c r="P18" s="3">
        <v>9.75720975669417</v>
      </c>
      <c r="Q18" s="3">
        <v>13.978660717787699</v>
      </c>
      <c r="R18" s="3">
        <v>18.784726315634298</v>
      </c>
      <c r="S18" s="3">
        <v>10.5793195009302</v>
      </c>
      <c r="T18" s="3">
        <v>13.375845185335001</v>
      </c>
      <c r="U18" s="3">
        <v>18.1731016357379</v>
      </c>
      <c r="V18" s="3" t="e">
        <v>#N/A</v>
      </c>
    </row>
    <row r="19" spans="1:22" x14ac:dyDescent="0.35">
      <c r="A19" s="2">
        <v>42300</v>
      </c>
      <c r="B19" s="3" t="e">
        <v>#N/A</v>
      </c>
      <c r="C19" s="3">
        <v>15.691297288611601</v>
      </c>
      <c r="D19" s="3">
        <v>16.8418046094978</v>
      </c>
      <c r="E19" s="3">
        <v>19.497000234091001</v>
      </c>
      <c r="F19" s="3">
        <v>13.9197268613968</v>
      </c>
      <c r="G19" s="3">
        <v>12.127125443311501</v>
      </c>
      <c r="H19" s="3">
        <v>16.8395365215049</v>
      </c>
      <c r="I19" s="3">
        <v>12.9153211847901</v>
      </c>
      <c r="J19" s="3" t="e">
        <v>#N/A</v>
      </c>
      <c r="K19" s="3">
        <v>11.3133652304709</v>
      </c>
      <c r="L19" s="3">
        <v>12.7041543336979</v>
      </c>
      <c r="M19" s="3">
        <v>18.1130351498966</v>
      </c>
      <c r="N19" s="3">
        <v>11.713050995093299</v>
      </c>
      <c r="O19" s="3">
        <v>20.898382942191201</v>
      </c>
      <c r="P19" s="3">
        <v>10.3907619567007</v>
      </c>
      <c r="Q19" s="3">
        <v>13.939365410546101</v>
      </c>
      <c r="R19" s="3">
        <v>18.580472149958702</v>
      </c>
      <c r="S19" s="3">
        <v>11.1420396393769</v>
      </c>
      <c r="T19" s="3">
        <v>13.410084883621</v>
      </c>
      <c r="U19" s="3">
        <v>23.156374493918999</v>
      </c>
      <c r="V19" s="3" t="e">
        <v>#N/A</v>
      </c>
    </row>
    <row r="20" spans="1:22" x14ac:dyDescent="0.35">
      <c r="A20" s="2">
        <v>42331</v>
      </c>
      <c r="B20" s="3" t="e">
        <v>#N/A</v>
      </c>
      <c r="C20" s="3">
        <v>16.1742940952136</v>
      </c>
      <c r="D20" s="3">
        <v>16.4100463458457</v>
      </c>
      <c r="E20" s="3">
        <v>18.436280687283102</v>
      </c>
      <c r="F20" s="3">
        <v>12.5243610366431</v>
      </c>
      <c r="G20" s="3">
        <v>11.237705076687201</v>
      </c>
      <c r="H20" s="3">
        <v>16.5486437236965</v>
      </c>
      <c r="I20" s="3">
        <v>12.772744063010199</v>
      </c>
      <c r="J20" s="3" t="e">
        <v>#N/A</v>
      </c>
      <c r="K20" s="3">
        <v>11.1922293831438</v>
      </c>
      <c r="L20" s="3">
        <v>13.034160755853801</v>
      </c>
      <c r="M20" s="3">
        <v>17.776959729626999</v>
      </c>
      <c r="N20" s="3">
        <v>12.5899751205468</v>
      </c>
      <c r="O20" s="3">
        <v>20.160976014650199</v>
      </c>
      <c r="P20" s="3">
        <v>10.213207125359901</v>
      </c>
      <c r="Q20" s="3">
        <v>12.8078163428642</v>
      </c>
      <c r="R20" s="3">
        <v>16.398195366225</v>
      </c>
      <c r="S20" s="3">
        <v>11.1784202714998</v>
      </c>
      <c r="T20" s="3">
        <v>12.090427110163001</v>
      </c>
      <c r="U20" s="3">
        <v>25.624078320016899</v>
      </c>
      <c r="V20" s="3" t="e">
        <v>#N/A</v>
      </c>
    </row>
    <row r="21" spans="1:22" x14ac:dyDescent="0.35">
      <c r="A21" s="2">
        <v>42361</v>
      </c>
      <c r="B21" s="3" t="e">
        <v>#N/A</v>
      </c>
      <c r="C21" s="3">
        <v>16.3329367033514</v>
      </c>
      <c r="D21" s="3">
        <v>15.9327960520191</v>
      </c>
      <c r="E21" s="3">
        <v>18.337497520411201</v>
      </c>
      <c r="F21" s="3">
        <v>11.294567439769899</v>
      </c>
      <c r="G21" s="3">
        <v>10.5599248468148</v>
      </c>
      <c r="H21" s="3">
        <v>16.600186560371402</v>
      </c>
      <c r="I21" s="3">
        <v>12.327572757254501</v>
      </c>
      <c r="J21" s="3" t="e">
        <v>#N/A</v>
      </c>
      <c r="K21" s="3">
        <v>10.695453642502301</v>
      </c>
      <c r="L21" s="3">
        <v>12.378937983660601</v>
      </c>
      <c r="M21" s="3">
        <v>16.859335806605898</v>
      </c>
      <c r="N21" s="3">
        <v>-3.9763706538257901</v>
      </c>
      <c r="O21" s="3">
        <v>20.413552878276899</v>
      </c>
      <c r="P21" s="3">
        <v>9.9578765732407994</v>
      </c>
      <c r="Q21" s="3">
        <v>11.195438552475601</v>
      </c>
      <c r="R21" s="3">
        <v>14.3124822080112</v>
      </c>
      <c r="S21" s="3">
        <v>10.063183400488301</v>
      </c>
      <c r="T21" s="3">
        <v>12.362318698122399</v>
      </c>
      <c r="U21" s="3">
        <v>23.538899435222099</v>
      </c>
      <c r="V21" s="3" t="e">
        <v>#N/A</v>
      </c>
    </row>
    <row r="22" spans="1:22" x14ac:dyDescent="0.35">
      <c r="A22" s="2">
        <v>42391</v>
      </c>
      <c r="B22" s="3" t="e">
        <v>#N/A</v>
      </c>
      <c r="C22" s="3">
        <v>15.045831256379699</v>
      </c>
      <c r="D22" s="3">
        <v>15.7258710071915</v>
      </c>
      <c r="E22" s="3">
        <v>16.112152887816102</v>
      </c>
      <c r="F22" s="3">
        <v>10.5164278161272</v>
      </c>
      <c r="G22" s="3">
        <v>14.2468109395904</v>
      </c>
      <c r="H22" s="3">
        <v>16.108318429642601</v>
      </c>
      <c r="I22" s="3">
        <v>11.1494634602091</v>
      </c>
      <c r="J22" s="3">
        <v>22.5213786066229</v>
      </c>
      <c r="K22" s="3">
        <v>9.6649229756604509</v>
      </c>
      <c r="L22" s="3">
        <v>11.0301625582873</v>
      </c>
      <c r="M22" s="3">
        <v>15.163290568582299</v>
      </c>
      <c r="N22" s="3">
        <v>-0.89053536753780704</v>
      </c>
      <c r="O22" s="3">
        <v>19.270514037500998</v>
      </c>
      <c r="P22" s="3">
        <v>9.4373156966172491</v>
      </c>
      <c r="Q22" s="3">
        <v>10.165467927628001</v>
      </c>
      <c r="R22" s="3">
        <v>14.1853776975919</v>
      </c>
      <c r="S22" s="3">
        <v>9.4863204997711499</v>
      </c>
      <c r="T22" s="3">
        <v>11.2101656139476</v>
      </c>
      <c r="U22" s="3">
        <v>16.584969049892699</v>
      </c>
      <c r="V22" s="3">
        <v>10.119312234561001</v>
      </c>
    </row>
    <row r="23" spans="1:22" x14ac:dyDescent="0.35">
      <c r="A23" s="2">
        <v>42423</v>
      </c>
      <c r="B23" s="3" t="e">
        <v>#N/A</v>
      </c>
      <c r="C23" s="3">
        <v>15.6560795435205</v>
      </c>
      <c r="D23" s="3">
        <v>16.052495676852399</v>
      </c>
      <c r="E23" s="3">
        <v>17.137291556479401</v>
      </c>
      <c r="F23" s="3">
        <v>12.283317669878301</v>
      </c>
      <c r="G23" s="3">
        <v>18.065685478294601</v>
      </c>
      <c r="H23" s="3">
        <v>16.671193821884099</v>
      </c>
      <c r="I23" s="3">
        <v>12.256163815147501</v>
      </c>
      <c r="J23" s="3">
        <v>23.766818189024299</v>
      </c>
      <c r="K23" s="3">
        <v>10.577164095788101</v>
      </c>
      <c r="L23" s="3">
        <v>12.169974459557199</v>
      </c>
      <c r="M23" s="3">
        <v>15.7743755003447</v>
      </c>
      <c r="N23" s="3">
        <v>-0.18665834630915101</v>
      </c>
      <c r="O23" s="3">
        <v>19.203808533085901</v>
      </c>
      <c r="P23" s="3">
        <v>9.5502404812392498</v>
      </c>
      <c r="Q23" s="3">
        <v>12.2562320888584</v>
      </c>
      <c r="R23" s="3">
        <v>16.809378756941101</v>
      </c>
      <c r="S23" s="3">
        <v>9.8541692808036903</v>
      </c>
      <c r="T23" s="3">
        <v>12.791628290415</v>
      </c>
      <c r="U23" s="3">
        <v>18.496565358418302</v>
      </c>
      <c r="V23" s="3">
        <v>11.4302613046274</v>
      </c>
    </row>
    <row r="24" spans="1:22" x14ac:dyDescent="0.35">
      <c r="A24" s="2">
        <v>42452</v>
      </c>
      <c r="B24" s="3" t="e">
        <v>#N/A</v>
      </c>
      <c r="C24" s="3">
        <v>15.5184693646118</v>
      </c>
      <c r="D24" s="3">
        <v>16.787144229490899</v>
      </c>
      <c r="E24" s="3">
        <v>16.9840443360564</v>
      </c>
      <c r="F24" s="3">
        <v>12.3868812790208</v>
      </c>
      <c r="G24" s="3">
        <v>22.270805777466698</v>
      </c>
      <c r="H24" s="3">
        <v>16.685359330974102</v>
      </c>
      <c r="I24" s="3">
        <v>12.526090724521699</v>
      </c>
      <c r="J24" s="3">
        <v>24.669930962543599</v>
      </c>
      <c r="K24" s="3">
        <v>10.676107113791</v>
      </c>
      <c r="L24" s="3">
        <v>13.110976990492601</v>
      </c>
      <c r="M24" s="3">
        <v>16.021701415100701</v>
      </c>
      <c r="N24" s="3">
        <v>0.56575336349086403</v>
      </c>
      <c r="O24" s="3">
        <v>18.983403207592701</v>
      </c>
      <c r="P24" s="3">
        <v>9.5317664374389004</v>
      </c>
      <c r="Q24" s="3">
        <v>12.1543273629739</v>
      </c>
      <c r="R24" s="3">
        <v>16.644614825519302</v>
      </c>
      <c r="S24" s="3">
        <v>9.7992560478555895</v>
      </c>
      <c r="T24" s="3">
        <v>13.041926901652801</v>
      </c>
      <c r="U24" s="3">
        <v>-4.98790578624725</v>
      </c>
      <c r="V24" s="3">
        <v>11.874184532633199</v>
      </c>
    </row>
    <row r="25" spans="1:22" x14ac:dyDescent="0.35">
      <c r="A25" s="2">
        <v>42482</v>
      </c>
      <c r="B25" s="3" t="e">
        <v>#N/A</v>
      </c>
      <c r="C25" s="3">
        <v>15.5492656756107</v>
      </c>
      <c r="D25" s="3">
        <v>16.7086426833473</v>
      </c>
      <c r="E25" s="3">
        <v>16.848491630912299</v>
      </c>
      <c r="F25" s="3">
        <v>12.375589913587699</v>
      </c>
      <c r="G25" s="3">
        <v>21.661112557879399</v>
      </c>
      <c r="H25" s="3">
        <v>16.682252680107499</v>
      </c>
      <c r="I25" s="3">
        <v>12.505058657393599</v>
      </c>
      <c r="J25" s="3">
        <v>24.565462595845201</v>
      </c>
      <c r="K25" s="3">
        <v>10.661796742064601</v>
      </c>
      <c r="L25" s="3">
        <v>13.3556295868391</v>
      </c>
      <c r="M25" s="3">
        <v>16.0131552285408</v>
      </c>
      <c r="N25" s="3">
        <v>2.4749792728638398</v>
      </c>
      <c r="O25" s="3">
        <v>19.003098866370099</v>
      </c>
      <c r="P25" s="3">
        <v>9.7367752820682796</v>
      </c>
      <c r="Q25" s="3">
        <v>12.286785421896401</v>
      </c>
      <c r="R25" s="3">
        <v>16.485144732296099</v>
      </c>
      <c r="S25" s="3">
        <v>9.9147707219472707</v>
      </c>
      <c r="T25" s="3">
        <v>13.388415097554599</v>
      </c>
      <c r="U25" s="3">
        <v>-2.8006654959026802</v>
      </c>
      <c r="V25" s="3">
        <v>12.0681378130404</v>
      </c>
    </row>
    <row r="26" spans="1:22" x14ac:dyDescent="0.35">
      <c r="A26" s="2">
        <v>42513</v>
      </c>
      <c r="B26" s="3" t="e">
        <v>#N/A</v>
      </c>
      <c r="C26" s="3">
        <v>15.229816459668699</v>
      </c>
      <c r="D26" s="3">
        <v>16.311736546748399</v>
      </c>
      <c r="E26" s="3">
        <v>16.861189663502302</v>
      </c>
      <c r="F26" s="3">
        <v>12.0510960730465</v>
      </c>
      <c r="G26" s="3">
        <v>20.8986964131559</v>
      </c>
      <c r="H26" s="3">
        <v>16.404336662321199</v>
      </c>
      <c r="I26" s="3">
        <v>12.608496880618899</v>
      </c>
      <c r="J26" s="3">
        <v>24.064475594564399</v>
      </c>
      <c r="K26" s="3">
        <v>10.4147041229677</v>
      </c>
      <c r="L26" s="3">
        <v>12.9523717058957</v>
      </c>
      <c r="M26" s="3">
        <v>15.673054053847</v>
      </c>
      <c r="N26" s="3">
        <v>3.9764758361973498</v>
      </c>
      <c r="O26" s="3">
        <v>18.7803494143763</v>
      </c>
      <c r="P26" s="3">
        <v>9.5724488479651804</v>
      </c>
      <c r="Q26" s="3">
        <v>11.9632342667198</v>
      </c>
      <c r="R26" s="3">
        <v>16.1982157129593</v>
      </c>
      <c r="S26" s="3">
        <v>9.5259918405175394</v>
      </c>
      <c r="T26" s="3">
        <v>13.103165088420999</v>
      </c>
      <c r="U26" s="3">
        <v>-0.96345616834258996</v>
      </c>
      <c r="V26" s="3">
        <v>12.2445305975014</v>
      </c>
    </row>
    <row r="27" spans="1:22" x14ac:dyDescent="0.35">
      <c r="A27" s="2">
        <v>42544</v>
      </c>
      <c r="B27" s="3" t="e">
        <v>#N/A</v>
      </c>
      <c r="C27" s="3">
        <v>15.1522004720707</v>
      </c>
      <c r="D27" s="3">
        <v>16.6261565435404</v>
      </c>
      <c r="E27" s="3">
        <v>17.547316316814101</v>
      </c>
      <c r="F27" s="3">
        <v>12.183255117685301</v>
      </c>
      <c r="G27" s="3">
        <v>20.0662481386587</v>
      </c>
      <c r="H27" s="3">
        <v>16.643141961380302</v>
      </c>
      <c r="I27" s="3">
        <v>13.0106327412252</v>
      </c>
      <c r="J27" s="3">
        <v>23.2799340444333</v>
      </c>
      <c r="K27" s="3">
        <v>10.488767554791499</v>
      </c>
      <c r="L27" s="3">
        <v>13.243873923982299</v>
      </c>
      <c r="M27" s="3">
        <v>16.071822988877901</v>
      </c>
      <c r="N27" s="3">
        <v>4.9065963065836504</v>
      </c>
      <c r="O27" s="3">
        <v>19.166761353380199</v>
      </c>
      <c r="P27" s="3">
        <v>10.318997745144699</v>
      </c>
      <c r="Q27" s="3">
        <v>12.2817127223152</v>
      </c>
      <c r="R27" s="3">
        <v>16.390678122998199</v>
      </c>
      <c r="S27" s="3">
        <v>9.5363610363955598</v>
      </c>
      <c r="T27" s="3">
        <v>13.3504826184507</v>
      </c>
      <c r="U27" s="3">
        <v>1.34173787473161</v>
      </c>
      <c r="V27" s="3">
        <v>12.771667274316099</v>
      </c>
    </row>
    <row r="28" spans="1:22" x14ac:dyDescent="0.35">
      <c r="A28" s="2">
        <v>42573</v>
      </c>
      <c r="B28" s="3" t="e">
        <v>#N/A</v>
      </c>
      <c r="C28" s="3">
        <v>15.768386165651201</v>
      </c>
      <c r="D28" s="3">
        <v>17.295797887689499</v>
      </c>
      <c r="E28" s="3">
        <v>18.073862358319801</v>
      </c>
      <c r="F28" s="3">
        <v>11.9647455950552</v>
      </c>
      <c r="G28" s="3">
        <v>19.8453369556178</v>
      </c>
      <c r="H28" s="3">
        <v>16.781027048567498</v>
      </c>
      <c r="I28" s="3">
        <v>13.402764727104501</v>
      </c>
      <c r="J28" s="3">
        <v>23.208491184949398</v>
      </c>
      <c r="K28" s="3">
        <v>10.540367549039299</v>
      </c>
      <c r="L28" s="3">
        <v>14.007580119681901</v>
      </c>
      <c r="M28" s="3">
        <v>16.346568100728099</v>
      </c>
      <c r="N28" s="3">
        <v>5.6001226968002999</v>
      </c>
      <c r="O28" s="3">
        <v>19.563778235053199</v>
      </c>
      <c r="P28" s="3">
        <v>10.943746328046601</v>
      </c>
      <c r="Q28" s="3">
        <v>12.6387454646154</v>
      </c>
      <c r="R28" s="3">
        <v>16.7385245729654</v>
      </c>
      <c r="S28" s="3">
        <v>9.0864631357838608</v>
      </c>
      <c r="T28" s="3">
        <v>13.574987500289</v>
      </c>
      <c r="U28" s="3">
        <v>2.6506003920888102</v>
      </c>
      <c r="V28" s="3">
        <v>13.010580888072001</v>
      </c>
    </row>
    <row r="29" spans="1:22" x14ac:dyDescent="0.35">
      <c r="A29" s="2">
        <v>42605</v>
      </c>
      <c r="B29" s="3" t="e">
        <v>#N/A</v>
      </c>
      <c r="C29" s="3">
        <v>16.029470165400699</v>
      </c>
      <c r="D29" s="3">
        <v>17.9497501369083</v>
      </c>
      <c r="E29" s="3">
        <v>18.522994924390002</v>
      </c>
      <c r="F29" s="3">
        <v>12.186328366872401</v>
      </c>
      <c r="G29" s="3">
        <v>18.932491005771901</v>
      </c>
      <c r="H29" s="3">
        <v>16.938769820785001</v>
      </c>
      <c r="I29" s="3">
        <v>13.760986077728999</v>
      </c>
      <c r="J29" s="3">
        <v>22.786999450525801</v>
      </c>
      <c r="K29" s="3">
        <v>10.6444282563212</v>
      </c>
      <c r="L29" s="3">
        <v>14.3862525886579</v>
      </c>
      <c r="M29" s="3">
        <v>16.869083422315001</v>
      </c>
      <c r="N29" s="3">
        <v>6.6623751382466496</v>
      </c>
      <c r="O29" s="3">
        <v>19.682803972918599</v>
      </c>
      <c r="P29" s="3">
        <v>11.7704155750335</v>
      </c>
      <c r="Q29" s="3">
        <v>13.388723098736801</v>
      </c>
      <c r="R29" s="3">
        <v>16.6594281429348</v>
      </c>
      <c r="S29" s="3">
        <v>9.5483920963149806</v>
      </c>
      <c r="T29" s="3">
        <v>13.530668474767699</v>
      </c>
      <c r="U29" s="3">
        <v>4.4581545577222004</v>
      </c>
      <c r="V29" s="3">
        <v>12.5968292049191</v>
      </c>
    </row>
    <row r="30" spans="1:22" x14ac:dyDescent="0.35">
      <c r="A30" s="2">
        <v>42636</v>
      </c>
      <c r="B30" s="3" t="e">
        <v>#N/A</v>
      </c>
      <c r="C30" s="3">
        <v>16.140972525672499</v>
      </c>
      <c r="D30" s="3">
        <v>18.218807434711099</v>
      </c>
      <c r="E30" s="3">
        <v>17.990116544045701</v>
      </c>
      <c r="F30" s="3">
        <v>12.137081443538801</v>
      </c>
      <c r="G30" s="3">
        <v>17.7811039549299</v>
      </c>
      <c r="H30" s="3">
        <v>17.238421665609401</v>
      </c>
      <c r="I30" s="3">
        <v>14.2484691345022</v>
      </c>
      <c r="J30" s="3">
        <v>22.069864720631799</v>
      </c>
      <c r="K30" s="3">
        <v>10.7458403117181</v>
      </c>
      <c r="L30" s="3">
        <v>14.4903136549678</v>
      </c>
      <c r="M30" s="3">
        <v>16.813160530907901</v>
      </c>
      <c r="N30" s="3">
        <v>9.1706662660202891</v>
      </c>
      <c r="O30" s="3">
        <v>19.893049467961699</v>
      </c>
      <c r="P30" s="3">
        <v>12.686334071098599</v>
      </c>
      <c r="Q30" s="3">
        <v>13.118172512760699</v>
      </c>
      <c r="R30" s="3">
        <v>16.1876053008959</v>
      </c>
      <c r="S30" s="3">
        <v>9.6771603841482801</v>
      </c>
      <c r="T30" s="3">
        <v>13.459803119438</v>
      </c>
      <c r="U30" s="3">
        <v>7.9923889418056504</v>
      </c>
      <c r="V30" s="3">
        <v>12.6611755152559</v>
      </c>
    </row>
    <row r="31" spans="1:22" x14ac:dyDescent="0.35">
      <c r="A31" s="2">
        <v>42664</v>
      </c>
      <c r="B31" s="3" t="e">
        <v>#N/A</v>
      </c>
      <c r="C31" s="3">
        <v>16.9620405805471</v>
      </c>
      <c r="D31" s="3">
        <v>18.262662576990099</v>
      </c>
      <c r="E31" s="3">
        <v>17.959899940613301</v>
      </c>
      <c r="F31" s="3">
        <v>12.5255785396236</v>
      </c>
      <c r="G31" s="3">
        <v>16.511530807795499</v>
      </c>
      <c r="H31" s="3">
        <v>17.335631146881099</v>
      </c>
      <c r="I31" s="3">
        <v>14.392183977714801</v>
      </c>
      <c r="J31" s="3">
        <v>22.385489380500399</v>
      </c>
      <c r="K31" s="3">
        <v>10.786902103166</v>
      </c>
      <c r="L31" s="3">
        <v>15.5582628153809</v>
      </c>
      <c r="M31" s="3">
        <v>16.6755056585245</v>
      </c>
      <c r="N31" s="3">
        <v>11.011060892959399</v>
      </c>
      <c r="O31" s="3">
        <v>19.790539023472501</v>
      </c>
      <c r="P31" s="3">
        <v>12.9573225602003</v>
      </c>
      <c r="Q31" s="3">
        <v>13.489329814922099</v>
      </c>
      <c r="R31" s="3">
        <v>16.136438799079201</v>
      </c>
      <c r="S31" s="3">
        <v>9.3964708071090008</v>
      </c>
      <c r="T31" s="3">
        <v>13.5157450383228</v>
      </c>
      <c r="U31" s="3">
        <v>10.7467840676407</v>
      </c>
      <c r="V31" s="3">
        <v>12.3816524126369</v>
      </c>
    </row>
    <row r="32" spans="1:22" x14ac:dyDescent="0.35">
      <c r="A32" s="2">
        <v>42697</v>
      </c>
      <c r="B32" s="3" t="e">
        <v>#N/A</v>
      </c>
      <c r="C32" s="3">
        <v>16.458232733036201</v>
      </c>
      <c r="D32" s="3">
        <v>17.1494005829048</v>
      </c>
      <c r="E32" s="3">
        <v>16.480059753245801</v>
      </c>
      <c r="F32" s="3">
        <v>12.666525733365001</v>
      </c>
      <c r="G32" s="3">
        <v>15.6914038837297</v>
      </c>
      <c r="H32" s="3">
        <v>17.100851752323901</v>
      </c>
      <c r="I32" s="3">
        <v>14.1689488703138</v>
      </c>
      <c r="J32" s="3">
        <v>20.9352477812707</v>
      </c>
      <c r="K32" s="3">
        <v>10.7923626499981</v>
      </c>
      <c r="L32" s="3">
        <v>15.1612820145748</v>
      </c>
      <c r="M32" s="3">
        <v>16.255530450494</v>
      </c>
      <c r="N32" s="3">
        <v>14.4182031055255</v>
      </c>
      <c r="O32" s="3">
        <v>18.612776508712301</v>
      </c>
      <c r="P32" s="3">
        <v>13.0780420760636</v>
      </c>
      <c r="Q32" s="3">
        <v>13.0028456003947</v>
      </c>
      <c r="R32" s="3">
        <v>15.9928619792093</v>
      </c>
      <c r="S32" s="3">
        <v>8.8924872350700603</v>
      </c>
      <c r="T32" s="3">
        <v>12.625992352432901</v>
      </c>
      <c r="U32" s="3">
        <v>12.2797556220311</v>
      </c>
      <c r="V32" s="3">
        <v>14.4259859828471</v>
      </c>
    </row>
    <row r="33" spans="1:22" x14ac:dyDescent="0.35">
      <c r="A33" s="2">
        <v>42727</v>
      </c>
      <c r="B33" s="3" t="e">
        <v>#N/A</v>
      </c>
      <c r="C33" s="3">
        <v>15.078586015580999</v>
      </c>
      <c r="D33" s="3">
        <v>16.574789404920502</v>
      </c>
      <c r="E33" s="3">
        <v>16.403163259374001</v>
      </c>
      <c r="F33" s="3">
        <v>13.688998040789199</v>
      </c>
      <c r="G33" s="3">
        <v>15.066308335126299</v>
      </c>
      <c r="H33" s="3">
        <v>16.768237695419199</v>
      </c>
      <c r="I33" s="3">
        <v>14.0122999812048</v>
      </c>
      <c r="J33" s="3">
        <v>20.356293665146001</v>
      </c>
      <c r="K33" s="3">
        <v>11.0863316725424</v>
      </c>
      <c r="L33" s="3">
        <v>14.262452306826001</v>
      </c>
      <c r="M33" s="3">
        <v>16.4339471437406</v>
      </c>
      <c r="N33" s="3">
        <v>14.085333210481499</v>
      </c>
      <c r="O33" s="3">
        <v>18.481701380381999</v>
      </c>
      <c r="P33" s="3">
        <v>12.721228623623899</v>
      </c>
      <c r="Q33" s="3">
        <v>14.338348783918301</v>
      </c>
      <c r="R33" s="3">
        <v>15.9753524132961</v>
      </c>
      <c r="S33" s="3">
        <v>8.9209018809034006</v>
      </c>
      <c r="T33" s="3">
        <v>12.5548746235416</v>
      </c>
      <c r="U33" s="3">
        <v>14.1548601804062</v>
      </c>
      <c r="V33" s="3">
        <v>15.0441999080932</v>
      </c>
    </row>
    <row r="34" spans="1:22" x14ac:dyDescent="0.35">
      <c r="A34" s="2">
        <v>42758</v>
      </c>
      <c r="B34" s="3">
        <v>15.0068073964616</v>
      </c>
      <c r="C34" s="3">
        <v>15.9102860642135</v>
      </c>
      <c r="D34" s="3">
        <v>17.400752853709299</v>
      </c>
      <c r="E34" s="3">
        <v>18.422960873113201</v>
      </c>
      <c r="F34" s="3">
        <v>13.8859756689717</v>
      </c>
      <c r="G34" s="3">
        <v>15.8935818454787</v>
      </c>
      <c r="H34" s="3">
        <v>17.222964230906602</v>
      </c>
      <c r="I34" s="3">
        <v>14.3154070548951</v>
      </c>
      <c r="J34" s="3">
        <v>20.828412943779401</v>
      </c>
      <c r="K34" s="3">
        <v>11.238368601363399</v>
      </c>
      <c r="L34" s="3">
        <v>15.7850725941011</v>
      </c>
      <c r="M34" s="3">
        <v>17.450494243751098</v>
      </c>
      <c r="N34" s="3">
        <v>14.239681337620199</v>
      </c>
      <c r="O34" s="3">
        <v>19.363275927363201</v>
      </c>
      <c r="P34" s="3">
        <v>13.5782150393421</v>
      </c>
      <c r="Q34" s="3">
        <v>15.143615639276</v>
      </c>
      <c r="R34" s="3">
        <v>16.540151432192101</v>
      </c>
      <c r="S34" s="3">
        <v>9.4605116119849306</v>
      </c>
      <c r="T34" s="3">
        <v>13.5383655286167</v>
      </c>
      <c r="U34" s="3">
        <v>14.307863100731399</v>
      </c>
      <c r="V34" s="3">
        <v>14.9608135495364</v>
      </c>
    </row>
    <row r="35" spans="1:22" x14ac:dyDescent="0.35">
      <c r="A35" s="2">
        <v>42789</v>
      </c>
      <c r="B35" s="3">
        <v>15.287197502541201</v>
      </c>
      <c r="C35" s="3">
        <v>16.749708911156599</v>
      </c>
      <c r="D35" s="3">
        <v>17.6479459907052</v>
      </c>
      <c r="E35" s="3">
        <v>18.108083569261101</v>
      </c>
      <c r="F35" s="3">
        <v>16.412522463357998</v>
      </c>
      <c r="G35" s="3">
        <v>16.8290505938694</v>
      </c>
      <c r="H35" s="3">
        <v>17.0799570917107</v>
      </c>
      <c r="I35" s="3">
        <v>14.6007168105909</v>
      </c>
      <c r="J35" s="3">
        <v>21.573610241273901</v>
      </c>
      <c r="K35" s="3">
        <v>11.806909467054799</v>
      </c>
      <c r="L35" s="3">
        <v>17.081264310365601</v>
      </c>
      <c r="M35" s="3">
        <v>18.798872145973601</v>
      </c>
      <c r="N35" s="3">
        <v>14.163017827679999</v>
      </c>
      <c r="O35" s="3">
        <v>20.690197125160999</v>
      </c>
      <c r="P35" s="3">
        <v>14.3924901654712</v>
      </c>
      <c r="Q35" s="3">
        <v>15.188102852421199</v>
      </c>
      <c r="R35" s="3">
        <v>16.2447226979276</v>
      </c>
      <c r="S35" s="3">
        <v>10.0411502749019</v>
      </c>
      <c r="T35" s="3">
        <v>13.767354866709599</v>
      </c>
      <c r="U35" s="3">
        <v>15.9828080651778</v>
      </c>
      <c r="V35" s="3">
        <v>15.3270263837809</v>
      </c>
    </row>
    <row r="36" spans="1:22" x14ac:dyDescent="0.35">
      <c r="A36" s="2">
        <v>42817</v>
      </c>
      <c r="B36" s="3">
        <v>15.132756563681699</v>
      </c>
      <c r="C36" s="3">
        <v>16.950086613435602</v>
      </c>
      <c r="D36" s="3">
        <v>17.510300069591398</v>
      </c>
      <c r="E36" s="3">
        <v>17.838496442315702</v>
      </c>
      <c r="F36" s="3">
        <v>15.5256350218395</v>
      </c>
      <c r="G36" s="3">
        <v>16.134494146555099</v>
      </c>
      <c r="H36" s="3">
        <v>17.133841533335801</v>
      </c>
      <c r="I36" s="3">
        <v>14.493261163445</v>
      </c>
      <c r="J36" s="3">
        <v>21.3585171203469</v>
      </c>
      <c r="K36" s="3">
        <v>11.5599322705425</v>
      </c>
      <c r="L36" s="3">
        <v>16.4645766584493</v>
      </c>
      <c r="M36" s="3">
        <v>18.451309192425299</v>
      </c>
      <c r="N36" s="3">
        <v>14.036445133356899</v>
      </c>
      <c r="O36" s="3">
        <v>20.442540624802401</v>
      </c>
      <c r="P36" s="3">
        <v>14.032635337467299</v>
      </c>
      <c r="Q36" s="3">
        <v>14.7419471085067</v>
      </c>
      <c r="R36" s="3">
        <v>16.292340450895299</v>
      </c>
      <c r="S36" s="3">
        <v>9.7942726449896895</v>
      </c>
      <c r="T36" s="3">
        <v>13.3198343831271</v>
      </c>
      <c r="U36" s="3">
        <v>15.794896872448099</v>
      </c>
      <c r="V36" s="3">
        <v>15.223897951976999</v>
      </c>
    </row>
    <row r="37" spans="1:22" x14ac:dyDescent="0.35">
      <c r="A37" s="2">
        <v>42846</v>
      </c>
      <c r="B37" s="3">
        <v>15.076328168342499</v>
      </c>
      <c r="C37" s="3">
        <v>17.1562992219832</v>
      </c>
      <c r="D37" s="3">
        <v>17.3990704204863</v>
      </c>
      <c r="E37" s="3">
        <v>17.9698949622681</v>
      </c>
      <c r="F37" s="3">
        <v>15.263351491066601</v>
      </c>
      <c r="G37" s="3">
        <v>15.4306416231914</v>
      </c>
      <c r="H37" s="3">
        <v>17.1871377610397</v>
      </c>
      <c r="I37" s="3">
        <v>14.310015349585701</v>
      </c>
      <c r="J37" s="3">
        <v>20.974224629242801</v>
      </c>
      <c r="K37" s="3">
        <v>11.2327380913654</v>
      </c>
      <c r="L37" s="3">
        <v>16.0733418008958</v>
      </c>
      <c r="M37" s="3">
        <v>18.244824798952699</v>
      </c>
      <c r="N37" s="3">
        <v>14.1509615741752</v>
      </c>
      <c r="O37" s="3">
        <v>20.333333120369499</v>
      </c>
      <c r="P37" s="3">
        <v>13.913770726068201</v>
      </c>
      <c r="Q37" s="3">
        <v>14.638938181132</v>
      </c>
      <c r="R37" s="3">
        <v>16.210808474965098</v>
      </c>
      <c r="S37" s="3">
        <v>9.7381449898225707</v>
      </c>
      <c r="T37" s="3">
        <v>13.286452487072699</v>
      </c>
      <c r="U37" s="3">
        <v>15.7003220460743</v>
      </c>
      <c r="V37" s="3">
        <v>15.160981669388599</v>
      </c>
    </row>
    <row r="38" spans="1:22" x14ac:dyDescent="0.35">
      <c r="A38" s="2">
        <v>42878</v>
      </c>
      <c r="B38" s="3">
        <v>14.9101303680964</v>
      </c>
      <c r="C38" s="3">
        <v>17.3095031399702</v>
      </c>
      <c r="D38" s="3">
        <v>17.386785582756101</v>
      </c>
      <c r="E38" s="3">
        <v>18.0096193829905</v>
      </c>
      <c r="F38" s="3">
        <v>14.919868880934301</v>
      </c>
      <c r="G38" s="3">
        <v>15.163554788323699</v>
      </c>
      <c r="H38" s="3">
        <v>17.2717679442048</v>
      </c>
      <c r="I38" s="3">
        <v>14.3447338307693</v>
      </c>
      <c r="J38" s="3">
        <v>20.447676824006901</v>
      </c>
      <c r="K38" s="3">
        <v>11.1425898324784</v>
      </c>
      <c r="L38" s="3">
        <v>15.6153583405208</v>
      </c>
      <c r="M38" s="3">
        <v>18.418905916594198</v>
      </c>
      <c r="N38" s="3">
        <v>15.226107213036499</v>
      </c>
      <c r="O38" s="3">
        <v>20.281685487122701</v>
      </c>
      <c r="P38" s="3">
        <v>14.096810602641799</v>
      </c>
      <c r="Q38" s="3">
        <v>14.6340068530388</v>
      </c>
      <c r="R38" s="3">
        <v>16.079757465415302</v>
      </c>
      <c r="S38" s="3">
        <v>9.7583727048137998</v>
      </c>
      <c r="T38" s="3">
        <v>13.0819372789268</v>
      </c>
      <c r="U38" s="3">
        <v>15.7590816037624</v>
      </c>
      <c r="V38" s="3">
        <v>15.019289780005501</v>
      </c>
    </row>
    <row r="39" spans="1:22" x14ac:dyDescent="0.35">
      <c r="A39" s="2">
        <v>42909</v>
      </c>
      <c r="B39" s="3">
        <v>15.2657547112488</v>
      </c>
      <c r="C39" s="3">
        <v>17.317362498770301</v>
      </c>
      <c r="D39" s="3">
        <v>17.37522647782</v>
      </c>
      <c r="E39" s="3">
        <v>18.0191097367459</v>
      </c>
      <c r="F39" s="3">
        <v>14.6528632469005</v>
      </c>
      <c r="G39" s="3">
        <v>14.778531156951599</v>
      </c>
      <c r="H39" s="3">
        <v>17.2425100242741</v>
      </c>
      <c r="I39" s="3">
        <v>14.5646374145423</v>
      </c>
      <c r="J39" s="3">
        <v>19.940041854855199</v>
      </c>
      <c r="K39" s="3">
        <v>11.0097861536506</v>
      </c>
      <c r="L39" s="3">
        <v>14.998317931445101</v>
      </c>
      <c r="M39" s="3">
        <v>17.767527275780601</v>
      </c>
      <c r="N39" s="3">
        <v>15.1678755336706</v>
      </c>
      <c r="O39" s="3">
        <v>20.252195128995801</v>
      </c>
      <c r="P39" s="3">
        <v>14.156299566863799</v>
      </c>
      <c r="Q39" s="3">
        <v>14.1500977027814</v>
      </c>
      <c r="R39" s="3">
        <v>16.103815405071</v>
      </c>
      <c r="S39" s="3">
        <v>9.6917884588083396</v>
      </c>
      <c r="T39" s="3">
        <v>12.7838958943841</v>
      </c>
      <c r="U39" s="3">
        <v>16.3393772770909</v>
      </c>
      <c r="V39" s="3">
        <v>15.571688721240101</v>
      </c>
    </row>
    <row r="40" spans="1:22" x14ac:dyDescent="0.35">
      <c r="A40" s="2">
        <v>42937</v>
      </c>
      <c r="B40" s="3">
        <v>15.380655395280399</v>
      </c>
      <c r="C40" s="3">
        <v>17.9472956129948</v>
      </c>
      <c r="D40" s="3">
        <v>17.193608370109398</v>
      </c>
      <c r="E40" s="3">
        <v>17.9345692526595</v>
      </c>
      <c r="F40" s="3">
        <v>14.4812980238777</v>
      </c>
      <c r="G40" s="3">
        <v>14.927529707179</v>
      </c>
      <c r="H40" s="3">
        <v>17.180009866326401</v>
      </c>
      <c r="I40" s="3">
        <v>14.692700917244499</v>
      </c>
      <c r="J40" s="3">
        <v>20.072613421224801</v>
      </c>
      <c r="K40" s="3">
        <v>10.935146208889501</v>
      </c>
      <c r="L40" s="3">
        <v>14.996183622800199</v>
      </c>
      <c r="M40" s="3">
        <v>18.016500614340298</v>
      </c>
      <c r="N40" s="3">
        <v>15.5271081687946</v>
      </c>
      <c r="O40" s="3">
        <v>20.716903671413</v>
      </c>
      <c r="P40" s="3">
        <v>14.411916082459101</v>
      </c>
      <c r="Q40" s="3">
        <v>14.244728954851899</v>
      </c>
      <c r="R40" s="3">
        <v>15.963932522906299</v>
      </c>
      <c r="S40" s="3">
        <v>9.8105971654917195</v>
      </c>
      <c r="T40" s="3">
        <v>13.0221048673579</v>
      </c>
      <c r="U40" s="3">
        <v>15.950932914798701</v>
      </c>
      <c r="V40" s="3">
        <v>15.380560515865501</v>
      </c>
    </row>
    <row r="41" spans="1:22" x14ac:dyDescent="0.35">
      <c r="A41" s="2">
        <v>42970</v>
      </c>
      <c r="B41" s="3">
        <v>15.3165123574459</v>
      </c>
      <c r="C41" s="3">
        <v>19.0521759445813</v>
      </c>
      <c r="D41" s="3">
        <v>17.380427395761199</v>
      </c>
      <c r="E41" s="3">
        <v>18.112310534485601</v>
      </c>
      <c r="F41" s="3">
        <v>14.303363881826</v>
      </c>
      <c r="G41" s="3">
        <v>14.763348252774099</v>
      </c>
      <c r="H41" s="3">
        <v>17.345153090689799</v>
      </c>
      <c r="I41" s="3">
        <v>14.7520616837802</v>
      </c>
      <c r="J41" s="3">
        <v>19.696562479047699</v>
      </c>
      <c r="K41" s="3">
        <v>10.4586773438576</v>
      </c>
      <c r="L41" s="3">
        <v>15.478968714558</v>
      </c>
      <c r="M41" s="3">
        <v>18.2158275125174</v>
      </c>
      <c r="N41" s="3">
        <v>15.3928873434403</v>
      </c>
      <c r="O41" s="3">
        <v>20.752107087951899</v>
      </c>
      <c r="P41" s="3">
        <v>14.686905346793599</v>
      </c>
      <c r="Q41" s="3">
        <v>13.8308278446277</v>
      </c>
      <c r="R41" s="3">
        <v>15.924748165109801</v>
      </c>
      <c r="S41" s="3">
        <v>9.5542610874407501</v>
      </c>
      <c r="T41" s="3">
        <v>12.6596726451272</v>
      </c>
      <c r="U41" s="3">
        <v>16.978862661496098</v>
      </c>
      <c r="V41" s="3">
        <v>15.135582916871</v>
      </c>
    </row>
    <row r="42" spans="1:22" x14ac:dyDescent="0.35">
      <c r="A42" s="2">
        <v>43000</v>
      </c>
      <c r="B42" s="3">
        <v>15.6511552194823</v>
      </c>
      <c r="C42" s="3">
        <v>20.287197579030298</v>
      </c>
      <c r="D42" s="3">
        <v>17.256672245970901</v>
      </c>
      <c r="E42" s="3">
        <v>18.774003114011499</v>
      </c>
      <c r="F42" s="3">
        <v>14.081131663035601</v>
      </c>
      <c r="G42" s="3">
        <v>16.355830775812102</v>
      </c>
      <c r="H42" s="3">
        <v>17.4925286054143</v>
      </c>
      <c r="I42" s="3">
        <v>14.441939621727</v>
      </c>
      <c r="J42" s="3">
        <v>19.1959691370784</v>
      </c>
      <c r="K42" s="3">
        <v>10.439280360558101</v>
      </c>
      <c r="L42" s="3">
        <v>15.7161469694387</v>
      </c>
      <c r="M42" s="3">
        <v>17.6342104910835</v>
      </c>
      <c r="N42" s="3">
        <v>15.120792224484701</v>
      </c>
      <c r="O42" s="3">
        <v>21.004110758264702</v>
      </c>
      <c r="P42" s="3">
        <v>14.899228588904</v>
      </c>
      <c r="Q42" s="3">
        <v>12.7779607188718</v>
      </c>
      <c r="R42" s="3">
        <v>16.4675958906444</v>
      </c>
      <c r="S42" s="3">
        <v>9.17359653968626</v>
      </c>
      <c r="T42" s="3">
        <v>12.264831881625801</v>
      </c>
      <c r="U42" s="3">
        <v>17.676306402141702</v>
      </c>
      <c r="V42" s="3">
        <v>14.956367965835</v>
      </c>
    </row>
    <row r="43" spans="1:22" x14ac:dyDescent="0.35">
      <c r="A43" s="2">
        <v>43031</v>
      </c>
      <c r="B43" s="3">
        <v>15.884243524552</v>
      </c>
      <c r="C43" s="3">
        <v>18.412109538853599</v>
      </c>
      <c r="D43" s="3">
        <v>17.198993068852101</v>
      </c>
      <c r="E43" s="3">
        <v>19.402267239653899</v>
      </c>
      <c r="F43" s="3">
        <v>13.3092768201846</v>
      </c>
      <c r="G43" s="3">
        <v>16.382880451434801</v>
      </c>
      <c r="H43" s="3">
        <v>17.345687095387198</v>
      </c>
      <c r="I43" s="3">
        <v>14.712358307745401</v>
      </c>
      <c r="J43" s="3">
        <v>18.414051946070799</v>
      </c>
      <c r="K43" s="3">
        <v>10.625260931220501</v>
      </c>
      <c r="L43" s="3">
        <v>15.392628393526101</v>
      </c>
      <c r="M43" s="3">
        <v>18.1071609811511</v>
      </c>
      <c r="N43" s="3">
        <v>16.020401952386301</v>
      </c>
      <c r="O43" s="3">
        <v>21.388032757247299</v>
      </c>
      <c r="P43" s="3">
        <v>15.1449900332145</v>
      </c>
      <c r="Q43" s="3">
        <v>12.570254634045501</v>
      </c>
      <c r="R43" s="3">
        <v>16.652178766374401</v>
      </c>
      <c r="S43" s="3">
        <v>9.1447249187250392</v>
      </c>
      <c r="T43" s="3">
        <v>12.3536530489518</v>
      </c>
      <c r="U43" s="3">
        <v>18.3991670040126</v>
      </c>
      <c r="V43" s="3">
        <v>14.175185148605999</v>
      </c>
    </row>
    <row r="44" spans="1:22" x14ac:dyDescent="0.35">
      <c r="A44" s="2">
        <v>43061</v>
      </c>
      <c r="B44" s="3">
        <v>16.779001031972498</v>
      </c>
      <c r="C44" s="3">
        <v>16.692924277381501</v>
      </c>
      <c r="D44" s="3">
        <v>17.391454655855402</v>
      </c>
      <c r="E44" s="3">
        <v>19.1191075627715</v>
      </c>
      <c r="F44" s="3">
        <v>12.8662785789751</v>
      </c>
      <c r="G44" s="3">
        <v>16.995852977550101</v>
      </c>
      <c r="H44" s="3">
        <v>17.193765305487599</v>
      </c>
      <c r="I44" s="3">
        <v>14.9820737686409</v>
      </c>
      <c r="J44" s="3">
        <v>17.085611924645502</v>
      </c>
      <c r="K44" s="3">
        <v>10.456623435936701</v>
      </c>
      <c r="L44" s="3">
        <v>14.9089892653022</v>
      </c>
      <c r="M44" s="3">
        <v>19.080739929603801</v>
      </c>
      <c r="N44" s="3">
        <v>16.5232058634734</v>
      </c>
      <c r="O44" s="3">
        <v>21.832305885485901</v>
      </c>
      <c r="P44" s="3">
        <v>15.913517148706299</v>
      </c>
      <c r="Q44" s="3">
        <v>12.3813651099541</v>
      </c>
      <c r="R44" s="3">
        <v>17.082292742101199</v>
      </c>
      <c r="S44" s="3">
        <v>8.7274363126993002</v>
      </c>
      <c r="T44" s="3">
        <v>11.409699262946599</v>
      </c>
      <c r="U44" s="3">
        <v>19.926427881673401</v>
      </c>
      <c r="V44" s="3">
        <v>14.1210899260637</v>
      </c>
    </row>
    <row r="45" spans="1:22" x14ac:dyDescent="0.35">
      <c r="A45" s="2">
        <v>43091</v>
      </c>
      <c r="B45" s="3">
        <v>15.9478025868647</v>
      </c>
      <c r="C45" s="3">
        <v>17.929952188114601</v>
      </c>
      <c r="D45" s="3">
        <v>17.5243219512857</v>
      </c>
      <c r="E45" s="3">
        <v>19.522577807698099</v>
      </c>
      <c r="F45" s="3">
        <v>12.3982825389252</v>
      </c>
      <c r="G45" s="3">
        <v>16.922519286206601</v>
      </c>
      <c r="H45" s="3">
        <v>17.972340758495498</v>
      </c>
      <c r="I45" s="3">
        <v>14.552452858622299</v>
      </c>
      <c r="J45" s="3">
        <v>16.962858691539701</v>
      </c>
      <c r="K45" s="3">
        <v>10.012476436986701</v>
      </c>
      <c r="L45" s="3">
        <v>14.771530202965</v>
      </c>
      <c r="M45" s="3">
        <v>18.4194676889352</v>
      </c>
      <c r="N45" s="3">
        <v>20.3944115610003</v>
      </c>
      <c r="O45" s="3">
        <v>22.465544582170899</v>
      </c>
      <c r="P45" s="3">
        <v>15.3658753150638</v>
      </c>
      <c r="Q45" s="3">
        <v>13.5475171531596</v>
      </c>
      <c r="R45" s="3">
        <v>17.627325863855301</v>
      </c>
      <c r="S45" s="3">
        <v>8.7726563061114504</v>
      </c>
      <c r="T45" s="3">
        <v>11.688810571923099</v>
      </c>
      <c r="U45" s="3">
        <v>22.091024613536199</v>
      </c>
      <c r="V45" s="3">
        <v>14.399342288697399</v>
      </c>
    </row>
    <row r="46" spans="1:22" x14ac:dyDescent="0.35">
      <c r="A46" s="2">
        <v>43123</v>
      </c>
      <c r="B46" s="3">
        <v>16.964868986791199</v>
      </c>
      <c r="C46" s="3">
        <v>18.419803216752399</v>
      </c>
      <c r="D46" s="3">
        <v>18.7114077493904</v>
      </c>
      <c r="E46" s="3">
        <v>20.515063161326498</v>
      </c>
      <c r="F46" s="3">
        <v>13.141551364747</v>
      </c>
      <c r="G46" s="3">
        <v>17.487677486907099</v>
      </c>
      <c r="H46" s="3">
        <v>18.746298875946302</v>
      </c>
      <c r="I46" s="3">
        <v>15.2098082102502</v>
      </c>
      <c r="J46" s="3">
        <v>17.5587154863106</v>
      </c>
      <c r="K46" s="3">
        <v>10.473958208640999</v>
      </c>
      <c r="L46" s="3">
        <v>15.584816172085</v>
      </c>
      <c r="M46" s="3">
        <v>19.158344583623499</v>
      </c>
      <c r="N46" s="3">
        <v>22.978248636475001</v>
      </c>
      <c r="O46" s="3">
        <v>23.5149594211493</v>
      </c>
      <c r="P46" s="3">
        <v>16.7992178817289</v>
      </c>
      <c r="Q46" s="3">
        <v>13.6885273638512</v>
      </c>
      <c r="R46" s="3">
        <v>18.613266198033401</v>
      </c>
      <c r="S46" s="3">
        <v>9.1553624685069508</v>
      </c>
      <c r="T46" s="3">
        <v>12.5262962206669</v>
      </c>
      <c r="U46" s="3">
        <v>25.4735360844643</v>
      </c>
      <c r="V46" s="3">
        <v>15.136709859668301</v>
      </c>
    </row>
    <row r="47" spans="1:22" x14ac:dyDescent="0.35">
      <c r="A47" s="2">
        <v>43154</v>
      </c>
      <c r="B47" s="3">
        <v>15.5447818508634</v>
      </c>
      <c r="C47" s="3">
        <v>18.057297753749001</v>
      </c>
      <c r="D47" s="3">
        <v>17.8784398240917</v>
      </c>
      <c r="E47" s="3">
        <v>19.3362649612877</v>
      </c>
      <c r="F47" s="3">
        <v>12.0620031717936</v>
      </c>
      <c r="G47" s="3">
        <v>18.6503510471791</v>
      </c>
      <c r="H47" s="3">
        <v>18.6661799211521</v>
      </c>
      <c r="I47" s="3">
        <v>14.4189207105054</v>
      </c>
      <c r="J47" s="3">
        <v>18.0699806620533</v>
      </c>
      <c r="K47" s="3">
        <v>10.670112067011599</v>
      </c>
      <c r="L47" s="3">
        <v>16.725370084334401</v>
      </c>
      <c r="M47" s="3">
        <v>18.3078973023629</v>
      </c>
      <c r="N47" s="3">
        <v>24.1745536475709</v>
      </c>
      <c r="O47" s="3">
        <v>21.7794978969978</v>
      </c>
      <c r="P47" s="3">
        <v>15.8424543897194</v>
      </c>
      <c r="Q47" s="3">
        <v>13.5357388525824</v>
      </c>
      <c r="R47" s="3">
        <v>17.724949370551201</v>
      </c>
      <c r="S47" s="3">
        <v>9.1428074378781101</v>
      </c>
      <c r="T47" s="3">
        <v>12.659122598317101</v>
      </c>
      <c r="U47" s="3">
        <v>24.720902992626399</v>
      </c>
      <c r="V47" s="3">
        <v>15.1611488018809</v>
      </c>
    </row>
    <row r="48" spans="1:22" x14ac:dyDescent="0.35">
      <c r="A48" s="2">
        <v>43182</v>
      </c>
      <c r="B48" s="3">
        <v>15.086608932692499</v>
      </c>
      <c r="C48" s="3">
        <v>17.279575426435301</v>
      </c>
      <c r="D48" s="3">
        <v>17.351558196179099</v>
      </c>
      <c r="E48" s="3">
        <v>19.045586786027201</v>
      </c>
      <c r="F48" s="3">
        <v>11.6535722208144</v>
      </c>
      <c r="G48" s="3">
        <v>19.3878633267094</v>
      </c>
      <c r="H48" s="3">
        <v>18.459083689356099</v>
      </c>
      <c r="I48" s="3">
        <v>14.4186706680699</v>
      </c>
      <c r="J48" s="3">
        <v>17.741094705875099</v>
      </c>
      <c r="K48" s="3">
        <v>10.444273029880801</v>
      </c>
      <c r="L48" s="3">
        <v>16.262281377898599</v>
      </c>
      <c r="M48" s="3">
        <v>18.0628581548001</v>
      </c>
      <c r="N48" s="3">
        <v>23.077278351781501</v>
      </c>
      <c r="O48" s="3">
        <v>21.387161584984</v>
      </c>
      <c r="P48" s="3">
        <v>15.130968686293</v>
      </c>
      <c r="Q48" s="3">
        <v>12.7818739254914</v>
      </c>
      <c r="R48" s="3">
        <v>17.584926395747299</v>
      </c>
      <c r="S48" s="3">
        <v>9.1065424078622392</v>
      </c>
      <c r="T48" s="3">
        <v>12.3547383530952</v>
      </c>
      <c r="U48" s="3">
        <v>24.566859173957901</v>
      </c>
      <c r="V48" s="3">
        <v>15.223316867385</v>
      </c>
    </row>
    <row r="49" spans="1:22" x14ac:dyDescent="0.35">
      <c r="A49" s="2">
        <v>43213</v>
      </c>
      <c r="B49" s="3">
        <v>14.778162417456199</v>
      </c>
      <c r="C49" s="3">
        <v>17.062802784693801</v>
      </c>
      <c r="D49" s="3">
        <v>17.2168924419692</v>
      </c>
      <c r="E49" s="3">
        <v>18.641184199085899</v>
      </c>
      <c r="F49" s="3">
        <v>11.777074177507</v>
      </c>
      <c r="G49" s="3">
        <v>18.996945397660099</v>
      </c>
      <c r="H49" s="3">
        <v>18.3145372413857</v>
      </c>
      <c r="I49" s="3">
        <v>14.280077601326999</v>
      </c>
      <c r="J49" s="3">
        <v>17.714401008378299</v>
      </c>
      <c r="K49" s="3">
        <v>10.3482796714583</v>
      </c>
      <c r="L49" s="3">
        <v>15.970693842223399</v>
      </c>
      <c r="M49" s="3">
        <v>17.837628730924799</v>
      </c>
      <c r="N49" s="3">
        <v>22.875574925107699</v>
      </c>
      <c r="O49" s="3">
        <v>21.403242732072201</v>
      </c>
      <c r="P49" s="3">
        <v>14.7915301598202</v>
      </c>
      <c r="Q49" s="3">
        <v>12.8082973380483</v>
      </c>
      <c r="R49" s="3">
        <v>17.336349679683298</v>
      </c>
      <c r="S49" s="3">
        <v>8.8788956695165098</v>
      </c>
      <c r="T49" s="3">
        <v>12.404705458972099</v>
      </c>
      <c r="U49" s="3">
        <v>24.224415134866899</v>
      </c>
      <c r="V49" s="3">
        <v>15.4791086797287</v>
      </c>
    </row>
    <row r="50" spans="1:22" x14ac:dyDescent="0.35">
      <c r="A50" s="2">
        <v>43243</v>
      </c>
      <c r="B50" s="3">
        <v>14.391890401912001</v>
      </c>
      <c r="C50" s="3">
        <v>16.546004535258501</v>
      </c>
      <c r="D50" s="3">
        <v>16.372835654202799</v>
      </c>
      <c r="E50" s="3">
        <v>18.475388346498701</v>
      </c>
      <c r="F50" s="3">
        <v>11.5908692602559</v>
      </c>
      <c r="G50" s="3">
        <v>18.315495163596399</v>
      </c>
      <c r="H50" s="3">
        <v>17.984465309026401</v>
      </c>
      <c r="I50" s="3">
        <v>14.2868147466602</v>
      </c>
      <c r="J50" s="3">
        <v>17.177967462853399</v>
      </c>
      <c r="K50" s="3">
        <v>10.1674172637808</v>
      </c>
      <c r="L50" s="3">
        <v>15.2728826289505</v>
      </c>
      <c r="M50" s="3">
        <v>17.361816162177899</v>
      </c>
      <c r="N50" s="3">
        <v>21.5947756688733</v>
      </c>
      <c r="O50" s="3">
        <v>21.0480228787033</v>
      </c>
      <c r="P50" s="3">
        <v>14.7586110904411</v>
      </c>
      <c r="Q50" s="3">
        <v>12.5988763790739</v>
      </c>
      <c r="R50" s="3">
        <v>17.218724779231099</v>
      </c>
      <c r="S50" s="3">
        <v>8.4780741735153793</v>
      </c>
      <c r="T50" s="3">
        <v>11.869056670733</v>
      </c>
      <c r="U50" s="3">
        <v>23.583880958351202</v>
      </c>
      <c r="V50" s="3">
        <v>15.349138672474499</v>
      </c>
    </row>
    <row r="51" spans="1:22" x14ac:dyDescent="0.35">
      <c r="A51" s="2">
        <v>43273</v>
      </c>
      <c r="B51" s="3">
        <v>13.895087315598101</v>
      </c>
      <c r="C51" s="3">
        <v>15.607629101680001</v>
      </c>
      <c r="D51" s="3">
        <v>15.9327195886691</v>
      </c>
      <c r="E51" s="3">
        <v>17.7471091595072</v>
      </c>
      <c r="F51" s="3">
        <v>11.3743259299507</v>
      </c>
      <c r="G51" s="3">
        <v>17.937021197937199</v>
      </c>
      <c r="H51" s="3">
        <v>17.578021045259799</v>
      </c>
      <c r="I51" s="3">
        <v>14.2074708387246</v>
      </c>
      <c r="J51" s="3">
        <v>17.207012169222001</v>
      </c>
      <c r="K51" s="3">
        <v>9.9054376036602001</v>
      </c>
      <c r="L51" s="3">
        <v>14.2313294461723</v>
      </c>
      <c r="M51" s="3">
        <v>16.981937194198998</v>
      </c>
      <c r="N51" s="3">
        <v>21.788001200647798</v>
      </c>
      <c r="O51" s="3">
        <v>21.2766615742953</v>
      </c>
      <c r="P51" s="3">
        <v>14.444199435881099</v>
      </c>
      <c r="Q51" s="3">
        <v>12.431872965944899</v>
      </c>
      <c r="R51" s="3">
        <v>16.5309966865515</v>
      </c>
      <c r="S51" s="3">
        <v>8.1409906764688404</v>
      </c>
      <c r="T51" s="3">
        <v>12.023721154398601</v>
      </c>
      <c r="U51" s="3">
        <v>22.335951176734099</v>
      </c>
      <c r="V51" s="3">
        <v>15.4146132535347</v>
      </c>
    </row>
    <row r="52" spans="1:22" x14ac:dyDescent="0.35">
      <c r="A52" s="2">
        <v>43304</v>
      </c>
      <c r="B52" s="3">
        <v>13.3577623160856</v>
      </c>
      <c r="C52" s="3">
        <v>15.479124431110099</v>
      </c>
      <c r="D52" s="3">
        <v>15.727353139125301</v>
      </c>
      <c r="E52" s="3">
        <v>17.651874697775099</v>
      </c>
      <c r="F52" s="3">
        <v>11.4045739966627</v>
      </c>
      <c r="G52" s="3">
        <v>17.4696357678502</v>
      </c>
      <c r="H52" s="3">
        <v>17.7306308333789</v>
      </c>
      <c r="I52" s="3">
        <v>14.2143426767589</v>
      </c>
      <c r="J52" s="3">
        <v>17.519237509387299</v>
      </c>
      <c r="K52" s="3">
        <v>9.6072544780410105</v>
      </c>
      <c r="L52" s="3">
        <v>14.283021616892601</v>
      </c>
      <c r="M52" s="3">
        <v>16.621922668284199</v>
      </c>
      <c r="N52" s="3">
        <v>21.031748988280299</v>
      </c>
      <c r="O52" s="3">
        <v>21.3604292475585</v>
      </c>
      <c r="P52" s="3">
        <v>14.133198094508399</v>
      </c>
      <c r="Q52" s="3">
        <v>12.6436326665003</v>
      </c>
      <c r="R52" s="3">
        <v>16.482447924723701</v>
      </c>
      <c r="S52" s="3">
        <v>7.8456137038539699</v>
      </c>
      <c r="T52" s="3">
        <v>12.2046907590125</v>
      </c>
      <c r="U52" s="3">
        <v>21.829621307567201</v>
      </c>
      <c r="V52" s="3">
        <v>15.5937265673118</v>
      </c>
    </row>
    <row r="53" spans="1:22" x14ac:dyDescent="0.35">
      <c r="A53" s="2">
        <v>43335</v>
      </c>
      <c r="B53" s="3">
        <v>12.5333147799978</v>
      </c>
      <c r="C53" s="3">
        <v>15.4759023314567</v>
      </c>
      <c r="D53" s="3">
        <v>15.935304989758601</v>
      </c>
      <c r="E53" s="3">
        <v>17.9903998258394</v>
      </c>
      <c r="F53" s="3">
        <v>11.8335346489292</v>
      </c>
      <c r="G53" s="3">
        <v>17.105917137056601</v>
      </c>
      <c r="H53" s="3">
        <v>17.955508641187699</v>
      </c>
      <c r="I53" s="3">
        <v>14.081971529790501</v>
      </c>
      <c r="J53" s="3">
        <v>17.357283380920599</v>
      </c>
      <c r="K53" s="3">
        <v>9.4202715247125006</v>
      </c>
      <c r="L53" s="3">
        <v>13.548250318169099</v>
      </c>
      <c r="M53" s="3">
        <v>16.5503223916275</v>
      </c>
      <c r="N53" s="3">
        <v>21.1866458410957</v>
      </c>
      <c r="O53" s="3">
        <v>22.313957839464098</v>
      </c>
      <c r="P53" s="3">
        <v>13.667942002187299</v>
      </c>
      <c r="Q53" s="3">
        <v>12.872234558486699</v>
      </c>
      <c r="R53" s="3">
        <v>16.338467682565799</v>
      </c>
      <c r="S53" s="3">
        <v>7.3550935889026299</v>
      </c>
      <c r="T53" s="3">
        <v>12.2278664906232</v>
      </c>
      <c r="U53" s="3">
        <v>22.094927658105799</v>
      </c>
      <c r="V53" s="3">
        <v>14.8239513014138</v>
      </c>
    </row>
    <row r="54" spans="1:22" x14ac:dyDescent="0.35">
      <c r="A54" s="2">
        <v>43364</v>
      </c>
      <c r="B54" s="3">
        <v>12.688562989747799</v>
      </c>
      <c r="C54" s="3">
        <v>15.5858062497547</v>
      </c>
      <c r="D54" s="3">
        <v>15.5861272115775</v>
      </c>
      <c r="E54" s="3">
        <v>16.692086228017899</v>
      </c>
      <c r="F54" s="3">
        <v>11.500488407596199</v>
      </c>
      <c r="G54" s="3">
        <v>16.559862902533901</v>
      </c>
      <c r="H54" s="3">
        <v>17.7978139961353</v>
      </c>
      <c r="I54" s="3">
        <v>13.856543853483</v>
      </c>
      <c r="J54" s="3">
        <v>17.152219741122401</v>
      </c>
      <c r="K54" s="3">
        <v>9.4241802001509605</v>
      </c>
      <c r="L54" s="3">
        <v>13.416519816998299</v>
      </c>
      <c r="M54" s="3">
        <v>15.937134053954001</v>
      </c>
      <c r="N54" s="3">
        <v>21.728810561830699</v>
      </c>
      <c r="O54" s="3">
        <v>21.8090765143541</v>
      </c>
      <c r="P54" s="3">
        <v>13.4176683158712</v>
      </c>
      <c r="Q54" s="3">
        <v>13.0257669370695</v>
      </c>
      <c r="R54" s="3">
        <v>16.520013180312102</v>
      </c>
      <c r="S54" s="3">
        <v>7.6132487817918602</v>
      </c>
      <c r="T54" s="3">
        <v>12.668232922244</v>
      </c>
      <c r="U54" s="3">
        <v>21.819738932383999</v>
      </c>
      <c r="V54" s="3">
        <v>14.7186935591596</v>
      </c>
    </row>
    <row r="55" spans="1:22" x14ac:dyDescent="0.35">
      <c r="A55" s="2">
        <v>43396</v>
      </c>
      <c r="B55" s="3">
        <v>11.719329725774401</v>
      </c>
      <c r="C55" s="3">
        <v>16.964568196932198</v>
      </c>
      <c r="D55" s="3">
        <v>14.9673846429666</v>
      </c>
      <c r="E55" s="3">
        <v>16.256619196753899</v>
      </c>
      <c r="F55" s="3">
        <v>11.1102608580218</v>
      </c>
      <c r="G55" s="3">
        <v>15.969167504019699</v>
      </c>
      <c r="H55" s="3">
        <v>16.687429020000501</v>
      </c>
      <c r="I55" s="3">
        <v>12.633219294335699</v>
      </c>
      <c r="J55" s="3">
        <v>16.142603958850302</v>
      </c>
      <c r="K55" s="3">
        <v>8.6112555788853609</v>
      </c>
      <c r="L55" s="3">
        <v>13.8299833895385</v>
      </c>
      <c r="M55" s="3">
        <v>14.3133954412842</v>
      </c>
      <c r="N55" s="3">
        <v>18.779999115486699</v>
      </c>
      <c r="O55" s="3">
        <v>19.961215064549599</v>
      </c>
      <c r="P55" s="3">
        <v>12.1216678916965</v>
      </c>
      <c r="Q55" s="3">
        <v>13.6956669048727</v>
      </c>
      <c r="R55" s="3">
        <v>15.621799723409699</v>
      </c>
      <c r="S55" s="3">
        <v>7.2086693923117204</v>
      </c>
      <c r="T55" s="3">
        <v>12.546332320497299</v>
      </c>
      <c r="U55" s="3">
        <v>19.838814455742199</v>
      </c>
      <c r="V55" s="3">
        <v>14.4826338831017</v>
      </c>
    </row>
    <row r="56" spans="1:22" x14ac:dyDescent="0.35">
      <c r="A56" s="2">
        <v>43427</v>
      </c>
      <c r="B56" s="3">
        <v>11.3227949994284</v>
      </c>
      <c r="C56" s="3">
        <v>17.318376852626798</v>
      </c>
      <c r="D56" s="3">
        <v>15.539645249615999</v>
      </c>
      <c r="E56" s="3">
        <v>16.144554782162398</v>
      </c>
      <c r="F56" s="3">
        <v>11.368960415028299</v>
      </c>
      <c r="G56" s="3">
        <v>16.358832601620701</v>
      </c>
      <c r="H56" s="3">
        <v>16.680076129313701</v>
      </c>
      <c r="I56" s="3">
        <v>12.372454565904899</v>
      </c>
      <c r="J56" s="3">
        <v>14.5426890976191</v>
      </c>
      <c r="K56" s="3">
        <v>8.3360522515275104</v>
      </c>
      <c r="L56" s="3">
        <v>13.567034858102</v>
      </c>
      <c r="M56" s="3">
        <v>14.5327706532773</v>
      </c>
      <c r="N56" s="3">
        <v>17.663303063924001</v>
      </c>
      <c r="O56" s="3">
        <v>21.086727525687198</v>
      </c>
      <c r="P56" s="3">
        <v>12.050455244217099</v>
      </c>
      <c r="Q56" s="3">
        <v>13.8919878694545</v>
      </c>
      <c r="R56" s="3">
        <v>15.0525538952226</v>
      </c>
      <c r="S56" s="3">
        <v>6.7377889139233504</v>
      </c>
      <c r="T56" s="3">
        <v>12.93256395039</v>
      </c>
      <c r="U56" s="3">
        <v>19.299863187496101</v>
      </c>
      <c r="V56" s="3">
        <v>14.5891774127586</v>
      </c>
    </row>
    <row r="57" spans="1:22" x14ac:dyDescent="0.35">
      <c r="A57" s="2">
        <v>43455</v>
      </c>
      <c r="B57" s="3">
        <v>10.8089996972215</v>
      </c>
      <c r="C57" s="3">
        <v>16.298317098418501</v>
      </c>
      <c r="D57" s="3">
        <v>15.5124768765605</v>
      </c>
      <c r="E57" s="3">
        <v>16.762028038288999</v>
      </c>
      <c r="F57" s="3">
        <v>11.341819565140399</v>
      </c>
      <c r="G57" s="3">
        <v>16.912548354919998</v>
      </c>
      <c r="H57" s="3">
        <v>16.726427681041901</v>
      </c>
      <c r="I57" s="3">
        <v>12.460176391002999</v>
      </c>
      <c r="J57" s="3">
        <v>14.576257820753099</v>
      </c>
      <c r="K57" s="3">
        <v>8.3034209174726197</v>
      </c>
      <c r="L57" s="3">
        <v>13.4928490490513</v>
      </c>
      <c r="M57" s="3">
        <v>14.5519830500839</v>
      </c>
      <c r="N57" s="3">
        <v>14.929206569490701</v>
      </c>
      <c r="O57" s="3">
        <v>21.425399970689</v>
      </c>
      <c r="P57" s="3">
        <v>11.482334654738899</v>
      </c>
      <c r="Q57" s="3">
        <v>14.1393138632796</v>
      </c>
      <c r="R57" s="3">
        <v>14.6268210921821</v>
      </c>
      <c r="S57" s="3">
        <v>6.6359445006138102</v>
      </c>
      <c r="T57" s="3">
        <v>12.048555261434201</v>
      </c>
      <c r="U57" s="3">
        <v>18.321998798703799</v>
      </c>
      <c r="V57" s="3">
        <v>15.312456858449099</v>
      </c>
    </row>
    <row r="58" spans="1:22" x14ac:dyDescent="0.35">
      <c r="A58" s="2">
        <v>43488</v>
      </c>
      <c r="B58" s="3">
        <v>11.0710671896191</v>
      </c>
      <c r="C58" s="3">
        <v>17.6864489650495</v>
      </c>
      <c r="D58" s="3">
        <v>16.348151045473301</v>
      </c>
      <c r="E58" s="3">
        <v>17.5395543051354</v>
      </c>
      <c r="F58" s="3">
        <v>11.937573107104701</v>
      </c>
      <c r="G58" s="3">
        <v>17.7853091258477</v>
      </c>
      <c r="H58" s="3">
        <v>16.864873835267701</v>
      </c>
      <c r="I58" s="3">
        <v>12.986114084661001</v>
      </c>
      <c r="J58" s="3">
        <v>15.313918623744801</v>
      </c>
      <c r="K58" s="3">
        <v>8.7881328897003392</v>
      </c>
      <c r="L58" s="3">
        <v>14.951434879099301</v>
      </c>
      <c r="M58" s="3">
        <v>15.384554482357499</v>
      </c>
      <c r="N58" s="3">
        <v>15.1945170252433</v>
      </c>
      <c r="O58" s="3">
        <v>21.587666594449001</v>
      </c>
      <c r="P58" s="3">
        <v>11.996875315585999</v>
      </c>
      <c r="Q58" s="3">
        <v>14.5835726211933</v>
      </c>
      <c r="R58" s="3">
        <v>15.087004645398601</v>
      </c>
      <c r="S58" s="3">
        <v>7.2930768379907498</v>
      </c>
      <c r="T58" s="3">
        <v>11.955300188864699</v>
      </c>
      <c r="U58" s="3">
        <v>18.409860710410801</v>
      </c>
      <c r="V58" s="3">
        <v>16.918850930846499</v>
      </c>
    </row>
    <row r="59" spans="1:22" x14ac:dyDescent="0.35">
      <c r="A59" s="2">
        <v>43518</v>
      </c>
      <c r="B59" s="3">
        <v>12.2574895507158</v>
      </c>
      <c r="C59" s="3">
        <v>18.2216443928851</v>
      </c>
      <c r="D59" s="3">
        <v>16.027035380898099</v>
      </c>
      <c r="E59" s="3">
        <v>17.386887981327298</v>
      </c>
      <c r="F59" s="3">
        <v>11.633163726647201</v>
      </c>
      <c r="G59" s="3">
        <v>20.805662188957701</v>
      </c>
      <c r="H59" s="3">
        <v>17.314002232134001</v>
      </c>
      <c r="I59" s="3">
        <v>13.9474019733847</v>
      </c>
      <c r="J59" s="3">
        <v>15.797169186735699</v>
      </c>
      <c r="K59" s="3">
        <v>10.052366485075201</v>
      </c>
      <c r="L59" s="3">
        <v>15.0061578110922</v>
      </c>
      <c r="M59" s="3">
        <v>15.3990759076661</v>
      </c>
      <c r="N59" s="3">
        <v>17.654080525627599</v>
      </c>
      <c r="O59" s="3">
        <v>21.616099391825902</v>
      </c>
      <c r="P59" s="3">
        <v>12.941029080943</v>
      </c>
      <c r="Q59" s="3">
        <v>13.568760698108999</v>
      </c>
      <c r="R59" s="3">
        <v>16.136851860043599</v>
      </c>
      <c r="S59" s="3">
        <v>7.3067870091459497</v>
      </c>
      <c r="T59" s="3">
        <v>12.5427379143089</v>
      </c>
      <c r="U59" s="3">
        <v>19.901129186538402</v>
      </c>
      <c r="V59" s="3">
        <v>17.342112833387301</v>
      </c>
    </row>
    <row r="60" spans="1:22" x14ac:dyDescent="0.35">
      <c r="A60" s="2">
        <v>43546</v>
      </c>
      <c r="B60" s="3">
        <v>12.7074653689074</v>
      </c>
      <c r="C60" s="3">
        <v>15.749434196075899</v>
      </c>
      <c r="D60" s="3">
        <v>15.9216657625705</v>
      </c>
      <c r="E60" s="3">
        <v>16.825365980153599</v>
      </c>
      <c r="F60" s="3">
        <v>11.592210806789099</v>
      </c>
      <c r="G60" s="3">
        <v>19.977804030745201</v>
      </c>
      <c r="H60" s="3">
        <v>17.020634966191899</v>
      </c>
      <c r="I60" s="3">
        <v>14.252630789521101</v>
      </c>
      <c r="J60" s="3">
        <v>15.382076100852199</v>
      </c>
      <c r="K60" s="3">
        <v>10.154687646839401</v>
      </c>
      <c r="L60" s="3">
        <v>14.557815436000901</v>
      </c>
      <c r="M60" s="3">
        <v>15.2681344279226</v>
      </c>
      <c r="N60" s="3">
        <v>18.5189306443562</v>
      </c>
      <c r="O60" s="3">
        <v>21.700051356737902</v>
      </c>
      <c r="P60" s="3">
        <v>12.8282526957651</v>
      </c>
      <c r="Q60" s="3">
        <v>13.5153531194841</v>
      </c>
      <c r="R60" s="3">
        <v>16.184303396584198</v>
      </c>
      <c r="S60" s="3">
        <v>7.3997344869628101</v>
      </c>
      <c r="T60" s="3">
        <v>12.7745644088078</v>
      </c>
      <c r="U60" s="3">
        <v>19.694068640811199</v>
      </c>
      <c r="V60" s="3">
        <v>17.250568923504702</v>
      </c>
    </row>
    <row r="61" spans="1:22" x14ac:dyDescent="0.35">
      <c r="A61" s="2">
        <v>43578</v>
      </c>
      <c r="B61" s="3">
        <v>12.8022650926493</v>
      </c>
      <c r="C61" s="3">
        <v>15.6823640633502</v>
      </c>
      <c r="D61" s="3">
        <v>15.7120049877319</v>
      </c>
      <c r="E61" s="3">
        <v>16.7040503793407</v>
      </c>
      <c r="F61" s="3">
        <v>11.6838531845201</v>
      </c>
      <c r="G61" s="3">
        <v>19.2962438420927</v>
      </c>
      <c r="H61" s="3">
        <v>16.8879548061931</v>
      </c>
      <c r="I61" s="3">
        <v>14.5358661597837</v>
      </c>
      <c r="J61" s="3">
        <v>15.433158697203799</v>
      </c>
      <c r="K61" s="3">
        <v>10.481662973185299</v>
      </c>
      <c r="L61" s="3">
        <v>14.1784340379809</v>
      </c>
      <c r="M61" s="3">
        <v>15.372712553004099</v>
      </c>
      <c r="N61" s="3">
        <v>18.283072170154298</v>
      </c>
      <c r="O61" s="3">
        <v>21.571083041571001</v>
      </c>
      <c r="P61" s="3">
        <v>12.9465114758531</v>
      </c>
      <c r="Q61" s="3">
        <v>13.676124220025301</v>
      </c>
      <c r="R61" s="3">
        <v>16.1704674070726</v>
      </c>
      <c r="S61" s="3">
        <v>7.2078048808551296</v>
      </c>
      <c r="T61" s="3">
        <v>12.9115922022434</v>
      </c>
      <c r="U61" s="3">
        <v>19.682747687160699</v>
      </c>
      <c r="V61" s="3">
        <v>17.5773825436926</v>
      </c>
    </row>
    <row r="62" spans="1:22" x14ac:dyDescent="0.35">
      <c r="A62" s="2">
        <v>43608</v>
      </c>
      <c r="B62" s="3">
        <v>12.258702989245201</v>
      </c>
      <c r="C62" s="3">
        <v>15.4341752310097</v>
      </c>
      <c r="D62" s="3">
        <v>15.159627123941901</v>
      </c>
      <c r="E62" s="3">
        <v>16.621103613764099</v>
      </c>
      <c r="F62" s="3">
        <v>11.2944165402526</v>
      </c>
      <c r="G62" s="3">
        <v>18.1084583770675</v>
      </c>
      <c r="H62" s="3">
        <v>16.726951343917499</v>
      </c>
      <c r="I62" s="3">
        <v>14.2833219074731</v>
      </c>
      <c r="J62" s="3">
        <v>15.0075045150822</v>
      </c>
      <c r="K62" s="3">
        <v>10.452509144772799</v>
      </c>
      <c r="L62" s="3">
        <v>13.987251016484301</v>
      </c>
      <c r="M62" s="3">
        <v>14.768485175130801</v>
      </c>
      <c r="N62" s="3">
        <v>17.414920536357599</v>
      </c>
      <c r="O62" s="3">
        <v>21.488132810316401</v>
      </c>
      <c r="P62" s="3">
        <v>12.320447972451801</v>
      </c>
      <c r="Q62" s="3">
        <v>13.208109000613801</v>
      </c>
      <c r="R62" s="3">
        <v>15.9467502686496</v>
      </c>
      <c r="S62" s="3">
        <v>6.8928105078560904</v>
      </c>
      <c r="T62" s="3">
        <v>12.464191248779199</v>
      </c>
      <c r="U62" s="3">
        <v>19.623192384495098</v>
      </c>
      <c r="V62" s="3">
        <v>17.0988656853999</v>
      </c>
    </row>
    <row r="63" spans="1:22" x14ac:dyDescent="0.35">
      <c r="A63" s="2">
        <v>43637</v>
      </c>
      <c r="B63" s="3">
        <v>12.7409066503091</v>
      </c>
      <c r="C63" s="3">
        <v>15.895977656785</v>
      </c>
      <c r="D63" s="3">
        <v>15.5421730741384</v>
      </c>
      <c r="E63" s="3">
        <v>16.764206743660399</v>
      </c>
      <c r="F63" s="3">
        <v>11.481770340797601</v>
      </c>
      <c r="G63" s="3">
        <v>17.854597930025999</v>
      </c>
      <c r="H63" s="3">
        <v>17.269048735192101</v>
      </c>
      <c r="I63" s="3">
        <v>14.814676907172201</v>
      </c>
      <c r="J63" s="3">
        <v>14.981503318447</v>
      </c>
      <c r="K63" s="3">
        <v>10.924722389290199</v>
      </c>
      <c r="L63" s="3">
        <v>14.370944045858</v>
      </c>
      <c r="M63" s="3">
        <v>15.150020317430799</v>
      </c>
      <c r="N63" s="3">
        <v>17.648656831449902</v>
      </c>
      <c r="O63" s="3">
        <v>21.379445490996101</v>
      </c>
      <c r="P63" s="3">
        <v>12.650969439769201</v>
      </c>
      <c r="Q63" s="3">
        <v>13.8406366862946</v>
      </c>
      <c r="R63" s="3">
        <v>16.405240632118399</v>
      </c>
      <c r="S63" s="3">
        <v>7.2232415272178097</v>
      </c>
      <c r="T63" s="3">
        <v>12.8892728731348</v>
      </c>
      <c r="U63" s="3">
        <v>19.2968638426597</v>
      </c>
      <c r="V63" s="3">
        <v>17.372117206228602</v>
      </c>
    </row>
    <row r="64" spans="1:22" x14ac:dyDescent="0.35">
      <c r="A64" s="2">
        <v>43669</v>
      </c>
      <c r="B64" s="3">
        <v>12.581413190965</v>
      </c>
      <c r="C64" s="3">
        <v>16.0884813669614</v>
      </c>
      <c r="D64" s="3">
        <v>16.048895669611898</v>
      </c>
      <c r="E64" s="3">
        <v>16.8563257333557</v>
      </c>
      <c r="F64" s="3">
        <v>11.560231743213301</v>
      </c>
      <c r="G64" s="3">
        <v>18.349057759693501</v>
      </c>
      <c r="H64" s="3">
        <v>17.160219889767902</v>
      </c>
      <c r="I64" s="3">
        <v>15.193476824034301</v>
      </c>
      <c r="J64" s="3">
        <v>14.5720749711144</v>
      </c>
      <c r="K64" s="3">
        <v>11.3831078865605</v>
      </c>
      <c r="L64" s="3">
        <v>14.3441990428386</v>
      </c>
      <c r="M64" s="3">
        <v>14.8361279775983</v>
      </c>
      <c r="N64" s="3">
        <v>18.147460685068602</v>
      </c>
      <c r="O64" s="3">
        <v>21.072649095442699</v>
      </c>
      <c r="P64" s="3">
        <v>12.6739669319121</v>
      </c>
      <c r="Q64" s="3">
        <v>13.850511326474599</v>
      </c>
      <c r="R64" s="3">
        <v>16.513466816506401</v>
      </c>
      <c r="S64" s="3">
        <v>7.5784566114755698</v>
      </c>
      <c r="T64" s="3">
        <v>13.274770293413001</v>
      </c>
      <c r="U64" s="3">
        <v>18.793426863245799</v>
      </c>
      <c r="V64" s="3">
        <v>17.422580794285299</v>
      </c>
    </row>
    <row r="65" spans="1:22" x14ac:dyDescent="0.35">
      <c r="A65" s="2">
        <v>43700</v>
      </c>
      <c r="B65" s="3">
        <v>12.678154114690299</v>
      </c>
      <c r="C65" s="3">
        <v>15.2891927733383</v>
      </c>
      <c r="D65" s="3">
        <v>15.855363472593901</v>
      </c>
      <c r="E65" s="3">
        <v>16.073564277452501</v>
      </c>
      <c r="F65" s="3">
        <v>10.9242597515507</v>
      </c>
      <c r="G65" s="3">
        <v>17.7209862854316</v>
      </c>
      <c r="H65" s="3">
        <v>16.927630064696402</v>
      </c>
      <c r="I65" s="3">
        <v>14.9641112023149</v>
      </c>
      <c r="J65" s="3">
        <v>14.264267655708601</v>
      </c>
      <c r="K65" s="3">
        <v>11.235854796883601</v>
      </c>
      <c r="L65" s="3">
        <v>13.9497314561242</v>
      </c>
      <c r="M65" s="3">
        <v>13.9545071137621</v>
      </c>
      <c r="N65" s="3">
        <v>18.536397808604299</v>
      </c>
      <c r="O65" s="3">
        <v>20.852599663978399</v>
      </c>
      <c r="P65" s="3">
        <v>12.311096383471201</v>
      </c>
      <c r="Q65" s="3">
        <v>13.4344796586395</v>
      </c>
      <c r="R65" s="3">
        <v>16.3570255339711</v>
      </c>
      <c r="S65" s="3">
        <v>7.5544593335685697</v>
      </c>
      <c r="T65" s="3">
        <v>13.679100830418699</v>
      </c>
      <c r="U65" s="3">
        <v>17.699505716112</v>
      </c>
      <c r="V65" s="3">
        <v>17.846446638132001</v>
      </c>
    </row>
    <row r="66" spans="1:22" x14ac:dyDescent="0.35">
      <c r="A66" s="2">
        <v>43731</v>
      </c>
      <c r="B66" s="3">
        <v>12.8643381177293</v>
      </c>
      <c r="C66" s="3">
        <v>16.6716102999561</v>
      </c>
      <c r="D66" s="3">
        <v>15.846820874614099</v>
      </c>
      <c r="E66" s="3">
        <v>15.3386856609575</v>
      </c>
      <c r="F66" s="3">
        <v>10.880109259302101</v>
      </c>
      <c r="G66" s="3">
        <v>17.331723006851099</v>
      </c>
      <c r="H66" s="3">
        <v>16.839121622652598</v>
      </c>
      <c r="I66" s="3">
        <v>15.602581465959</v>
      </c>
      <c r="J66" s="3">
        <v>15.1892300385555</v>
      </c>
      <c r="K66" s="3">
        <v>12.088257489026001</v>
      </c>
      <c r="L66" s="3">
        <v>14.221624721011199</v>
      </c>
      <c r="M66" s="3">
        <v>13.7691403858013</v>
      </c>
      <c r="N66" s="3">
        <v>19.902171262617401</v>
      </c>
      <c r="O66" s="3">
        <v>21.564737563772798</v>
      </c>
      <c r="P66" s="3">
        <v>12.4890153814875</v>
      </c>
      <c r="Q66" s="3">
        <v>13.904231003946901</v>
      </c>
      <c r="R66" s="3">
        <v>16.294639857723201</v>
      </c>
      <c r="S66" s="3">
        <v>7.5822136997384098</v>
      </c>
      <c r="T66" s="3">
        <v>14.2447761722048</v>
      </c>
      <c r="U66" s="3">
        <v>17.087818644123299</v>
      </c>
      <c r="V66" s="3">
        <v>18.184786296561899</v>
      </c>
    </row>
    <row r="67" spans="1:22" x14ac:dyDescent="0.35">
      <c r="A67" s="2">
        <v>43761</v>
      </c>
      <c r="B67" s="3">
        <v>12.8087449088912</v>
      </c>
      <c r="C67" s="3">
        <v>16.4346130307873</v>
      </c>
      <c r="D67" s="3">
        <v>16.1042856552728</v>
      </c>
      <c r="E67" s="3">
        <v>15.2472440639363</v>
      </c>
      <c r="F67" s="3">
        <v>11.0136497793623</v>
      </c>
      <c r="G67" s="3">
        <v>16.9970156829182</v>
      </c>
      <c r="H67" s="3">
        <v>16.600839744636101</v>
      </c>
      <c r="I67" s="3">
        <v>16.118763736630399</v>
      </c>
      <c r="J67" s="3">
        <v>15.3913571673507</v>
      </c>
      <c r="K67" s="3">
        <v>12.546422544918</v>
      </c>
      <c r="L67" s="3">
        <v>15.056875525906699</v>
      </c>
      <c r="M67" s="3">
        <v>13.612829073268101</v>
      </c>
      <c r="N67" s="3">
        <v>15.796361133549301</v>
      </c>
      <c r="O67" s="3">
        <v>21.802111606888399</v>
      </c>
      <c r="P67" s="3">
        <v>12.324017735854699</v>
      </c>
      <c r="Q67" s="3">
        <v>14.2139020386926</v>
      </c>
      <c r="R67" s="3">
        <v>16.764258018842401</v>
      </c>
      <c r="S67" s="3">
        <v>7.6357681384478502</v>
      </c>
      <c r="T67" s="3">
        <v>14.3592384597438</v>
      </c>
      <c r="U67" s="3">
        <v>17.3617722749335</v>
      </c>
      <c r="V67" s="3">
        <v>18.379032387700601</v>
      </c>
    </row>
    <row r="68" spans="1:22" x14ac:dyDescent="0.35">
      <c r="A68" s="2">
        <v>43791</v>
      </c>
      <c r="B68" s="3">
        <v>12.745864498758401</v>
      </c>
      <c r="C68" s="3">
        <v>15.6733642852933</v>
      </c>
      <c r="D68" s="3">
        <v>16.200301853306001</v>
      </c>
      <c r="E68" s="3">
        <v>14.8345411763278</v>
      </c>
      <c r="F68" s="3">
        <v>10.9110816187141</v>
      </c>
      <c r="G68" s="3">
        <v>16.859003842244299</v>
      </c>
      <c r="H68" s="3">
        <v>16.841926975366299</v>
      </c>
      <c r="I68" s="3">
        <v>16.7017494727898</v>
      </c>
      <c r="J68" s="3">
        <v>15.4914284084046</v>
      </c>
      <c r="K68" s="3">
        <v>13.4760254693376</v>
      </c>
      <c r="L68" s="3">
        <v>15.4660967081574</v>
      </c>
      <c r="M68" s="3">
        <v>13.751823544158</v>
      </c>
      <c r="N68" s="3">
        <v>15.390951852443401</v>
      </c>
      <c r="O68" s="3">
        <v>23.2900854185627</v>
      </c>
      <c r="P68" s="3">
        <v>12.4560814322681</v>
      </c>
      <c r="Q68" s="3">
        <v>14.099585040265699</v>
      </c>
      <c r="R68" s="3">
        <v>17.176432659221302</v>
      </c>
      <c r="S68" s="3">
        <v>8.3059739215888193</v>
      </c>
      <c r="T68" s="3">
        <v>14.051636454634201</v>
      </c>
      <c r="U68" s="3">
        <v>17.512087214184</v>
      </c>
      <c r="V68" s="3">
        <v>18.88187588569</v>
      </c>
    </row>
    <row r="69" spans="1:22" x14ac:dyDescent="0.35">
      <c r="A69" s="2">
        <v>43822</v>
      </c>
      <c r="B69" s="3">
        <v>14.155071424310799</v>
      </c>
      <c r="C69" s="3">
        <v>15.611241339248</v>
      </c>
      <c r="D69" s="3">
        <v>16.800079989758402</v>
      </c>
      <c r="E69" s="3">
        <v>15.192223068382701</v>
      </c>
      <c r="F69" s="3">
        <v>10.944724369410901</v>
      </c>
      <c r="G69" s="3">
        <v>17.480680708799099</v>
      </c>
      <c r="H69" s="3">
        <v>17.289053049899199</v>
      </c>
      <c r="I69" s="3">
        <v>17.4638958580598</v>
      </c>
      <c r="J69" s="3">
        <v>15.756681832939501</v>
      </c>
      <c r="K69" s="3">
        <v>14.5462663514545</v>
      </c>
      <c r="L69" s="3">
        <v>17.187182801895101</v>
      </c>
      <c r="M69" s="3">
        <v>14.535180807983201</v>
      </c>
      <c r="N69" s="3">
        <v>17.2434794639167</v>
      </c>
      <c r="O69" s="3">
        <v>23.456672742073501</v>
      </c>
      <c r="P69" s="3">
        <v>13.6873876326669</v>
      </c>
      <c r="Q69" s="3">
        <v>14.778794475258399</v>
      </c>
      <c r="R69" s="3">
        <v>16.921163361369</v>
      </c>
      <c r="S69" s="3">
        <v>8.9633803583026506</v>
      </c>
      <c r="T69" s="3">
        <v>16.072546403325202</v>
      </c>
      <c r="U69" s="3">
        <v>16.980760610397802</v>
      </c>
      <c r="V69" s="3">
        <v>20.131982489769602</v>
      </c>
    </row>
    <row r="70" spans="1:22" x14ac:dyDescent="0.35">
      <c r="A70" s="2">
        <v>43853</v>
      </c>
      <c r="B70" s="3">
        <v>14.385468242850999</v>
      </c>
      <c r="C70" s="3">
        <v>15.076806864970001</v>
      </c>
      <c r="D70" s="3">
        <v>17.488867037589898</v>
      </c>
      <c r="E70" s="3">
        <v>14.6454892837675</v>
      </c>
      <c r="F70" s="3">
        <v>11.036603552921299</v>
      </c>
      <c r="G70" s="3">
        <v>16.8818908872205</v>
      </c>
      <c r="H70" s="3">
        <v>16.804272959078599</v>
      </c>
      <c r="I70" s="3">
        <v>17.641778279529198</v>
      </c>
      <c r="J70" s="3">
        <v>16.273318020428398</v>
      </c>
      <c r="K70" s="3">
        <v>14.936768245508301</v>
      </c>
      <c r="L70" s="3">
        <v>17.9018245591542</v>
      </c>
      <c r="M70" s="3">
        <v>14.0947679885755</v>
      </c>
      <c r="N70" s="3">
        <v>18.712186309719499</v>
      </c>
      <c r="O70" s="3">
        <v>23.752005063586299</v>
      </c>
      <c r="P70" s="3">
        <v>13.645974725431699</v>
      </c>
      <c r="Q70" s="3">
        <v>15.2199703187481</v>
      </c>
      <c r="R70" s="3">
        <v>16.951970843941599</v>
      </c>
      <c r="S70" s="3">
        <v>9.5401109914639299</v>
      </c>
      <c r="T70" s="3">
        <v>16.145982779695501</v>
      </c>
      <c r="U70" s="3">
        <v>16.507548332691702</v>
      </c>
      <c r="V70" s="3">
        <v>19.733155883186701</v>
      </c>
    </row>
    <row r="71" spans="1:22" x14ac:dyDescent="0.35">
      <c r="A71" s="2">
        <v>43882</v>
      </c>
      <c r="B71" s="3">
        <v>15.0259310326175</v>
      </c>
      <c r="C71" s="3">
        <v>14.365438321025801</v>
      </c>
      <c r="D71" s="3">
        <v>16.3700027020998</v>
      </c>
      <c r="E71" s="3">
        <v>14.0204912896798</v>
      </c>
      <c r="F71" s="3">
        <v>11.276258671322401</v>
      </c>
      <c r="G71" s="3">
        <v>18.238177930690501</v>
      </c>
      <c r="H71" s="3">
        <v>16.345087716541599</v>
      </c>
      <c r="I71" s="3">
        <v>17.0059881996233</v>
      </c>
      <c r="J71" s="3">
        <v>16.365308913645901</v>
      </c>
      <c r="K71" s="3">
        <v>16.339051069651401</v>
      </c>
      <c r="L71" s="3">
        <v>18.748329290717901</v>
      </c>
      <c r="M71" s="3">
        <v>14.4041029286252</v>
      </c>
      <c r="N71" s="3">
        <v>15.321117709600401</v>
      </c>
      <c r="O71" s="3">
        <v>23.165075504663601</v>
      </c>
      <c r="P71" s="3">
        <v>13.747907395693099</v>
      </c>
      <c r="Q71" s="3">
        <v>14.286392782395501</v>
      </c>
      <c r="R71" s="3">
        <v>16.653456212606699</v>
      </c>
      <c r="S71" s="3">
        <v>8.9715766236249905</v>
      </c>
      <c r="T71" s="3">
        <v>14.910972687354199</v>
      </c>
      <c r="U71" s="3">
        <v>15.3785420346144</v>
      </c>
      <c r="V71" s="3">
        <v>18.525518217823901</v>
      </c>
    </row>
    <row r="72" spans="1:22" x14ac:dyDescent="0.35">
      <c r="A72" s="2">
        <v>43913</v>
      </c>
      <c r="B72" s="3">
        <v>13.8980403915913</v>
      </c>
      <c r="C72" s="3">
        <v>14.604287420901599</v>
      </c>
      <c r="D72" s="3">
        <v>13.9445666388806</v>
      </c>
      <c r="E72" s="3">
        <v>12.1711434051147</v>
      </c>
      <c r="F72" s="3">
        <v>9.3572840160564397</v>
      </c>
      <c r="G72" s="3">
        <v>15.5657211968536</v>
      </c>
      <c r="H72" s="3">
        <v>15.910364432761</v>
      </c>
      <c r="I72" s="3">
        <v>15.698634965018</v>
      </c>
      <c r="J72" s="3">
        <v>14.2855479795614</v>
      </c>
      <c r="K72" s="3">
        <v>14.270325076962401</v>
      </c>
      <c r="L72" s="3">
        <v>15.887818447283699</v>
      </c>
      <c r="M72" s="3">
        <v>11.769884059970201</v>
      </c>
      <c r="N72" s="3">
        <v>11.601647733668401</v>
      </c>
      <c r="O72" s="3">
        <v>19.818344526205198</v>
      </c>
      <c r="P72" s="3">
        <v>12.6901776789277</v>
      </c>
      <c r="Q72" s="3">
        <v>13.4939238498488</v>
      </c>
      <c r="R72" s="3">
        <v>14.2779809217128</v>
      </c>
      <c r="S72" s="3">
        <v>7.6686636066213802</v>
      </c>
      <c r="T72" s="3">
        <v>13.775454719147801</v>
      </c>
      <c r="U72" s="3">
        <v>14.4143912578865</v>
      </c>
      <c r="V72" s="3">
        <v>16.902329638741101</v>
      </c>
    </row>
    <row r="73" spans="1:22" x14ac:dyDescent="0.35">
      <c r="A73" s="2">
        <v>43944</v>
      </c>
      <c r="B73" s="3">
        <v>14.1305673199151</v>
      </c>
      <c r="C73" s="3">
        <v>14.893596005509201</v>
      </c>
      <c r="D73" s="3">
        <v>14.142394255487201</v>
      </c>
      <c r="E73" s="3">
        <v>12.750071462419699</v>
      </c>
      <c r="F73" s="3">
        <v>10.4220971629984</v>
      </c>
      <c r="G73" s="3">
        <v>16.063714582902101</v>
      </c>
      <c r="H73" s="3">
        <v>16.468878080612601</v>
      </c>
      <c r="I73" s="3">
        <v>16.177530734079198</v>
      </c>
      <c r="J73" s="3">
        <v>14.5704154033264</v>
      </c>
      <c r="K73" s="3">
        <v>14.7605282262787</v>
      </c>
      <c r="L73" s="3">
        <v>16.549765729156299</v>
      </c>
      <c r="M73" s="3">
        <v>12.276218962912401</v>
      </c>
      <c r="N73" s="3">
        <v>11.941755656494999</v>
      </c>
      <c r="O73" s="3">
        <v>20.6337905349768</v>
      </c>
      <c r="P73" s="3">
        <v>13.1262482153024</v>
      </c>
      <c r="Q73" s="3">
        <v>13.685990559398499</v>
      </c>
      <c r="R73" s="3">
        <v>15.389138485182</v>
      </c>
      <c r="S73" s="3">
        <v>7.8000423092008901</v>
      </c>
      <c r="T73" s="3">
        <v>15.4448676620112</v>
      </c>
      <c r="U73" s="3">
        <v>15.280620490344001</v>
      </c>
      <c r="V73" s="3">
        <v>17.648080457635601</v>
      </c>
    </row>
    <row r="74" spans="1:22" x14ac:dyDescent="0.35">
      <c r="A74" s="2">
        <v>43973</v>
      </c>
      <c r="B74" s="3">
        <v>14.183341609225099</v>
      </c>
      <c r="C74" s="3">
        <v>15.668751067106699</v>
      </c>
      <c r="D74" s="3">
        <v>14.5531940306173</v>
      </c>
      <c r="E74" s="3">
        <v>13.588606005069799</v>
      </c>
      <c r="F74" s="3">
        <v>11.2151547725085</v>
      </c>
      <c r="G74" s="3">
        <v>17.781623157180999</v>
      </c>
      <c r="H74" s="3">
        <v>17.5219627090869</v>
      </c>
      <c r="I74" s="3">
        <v>16.465620121476999</v>
      </c>
      <c r="J74" s="3">
        <v>15.9905181888169</v>
      </c>
      <c r="K74" s="3">
        <v>15.0000391224242</v>
      </c>
      <c r="L74" s="3">
        <v>18.226538390027098</v>
      </c>
      <c r="M74" s="3">
        <v>12.5319739704575</v>
      </c>
      <c r="N74" s="3">
        <v>12.294782404600801</v>
      </c>
      <c r="O74" s="3">
        <v>21.150274696110099</v>
      </c>
      <c r="P74" s="3">
        <v>13.137518631727399</v>
      </c>
      <c r="Q74" s="3">
        <v>14.3040600217997</v>
      </c>
      <c r="R74" s="3">
        <v>16.8994347528871</v>
      </c>
      <c r="S74" s="3">
        <v>8.43706211742278</v>
      </c>
      <c r="T74" s="3">
        <v>16.381768083005898</v>
      </c>
      <c r="U74" s="3">
        <v>15.826864587097999</v>
      </c>
      <c r="V74" s="3">
        <v>18.666839046427999</v>
      </c>
    </row>
    <row r="75" spans="1:22" x14ac:dyDescent="0.35">
      <c r="A75" s="2">
        <v>44005</v>
      </c>
      <c r="B75" s="3">
        <v>14.8724139647206</v>
      </c>
      <c r="C75" s="3">
        <v>16.805153852763699</v>
      </c>
      <c r="D75" s="3">
        <v>16.525358843292199</v>
      </c>
      <c r="E75" s="3">
        <v>15.402934371392201</v>
      </c>
      <c r="F75" s="3">
        <v>12.156102712595599</v>
      </c>
      <c r="G75" s="3">
        <v>20.9496878602144</v>
      </c>
      <c r="H75" s="3">
        <v>18.619175196822201</v>
      </c>
      <c r="I75" s="3">
        <v>17.149046504220401</v>
      </c>
      <c r="J75" s="3">
        <v>18.027261942600202</v>
      </c>
      <c r="K75" s="3">
        <v>15.383127882892101</v>
      </c>
      <c r="L75" s="3">
        <v>20.116170240826801</v>
      </c>
      <c r="M75" s="3">
        <v>13.080785678159501</v>
      </c>
      <c r="N75" s="3">
        <v>14.915095171765</v>
      </c>
      <c r="O75" s="3">
        <v>23.3723652888145</v>
      </c>
      <c r="P75" s="3">
        <v>14.283112033048599</v>
      </c>
      <c r="Q75" s="3">
        <v>14.8176970529204</v>
      </c>
      <c r="R75" s="3">
        <v>18.1668464671233</v>
      </c>
      <c r="S75" s="3">
        <v>9.4037466091329502</v>
      </c>
      <c r="T75" s="3">
        <v>18.032024640335901</v>
      </c>
      <c r="U75" s="3">
        <v>15.9647907286363</v>
      </c>
      <c r="V75" s="3">
        <v>19.279125710723498</v>
      </c>
    </row>
    <row r="76" spans="1:22" x14ac:dyDescent="0.35">
      <c r="A76" s="2">
        <v>44035</v>
      </c>
      <c r="B76" s="3">
        <v>16.236256934196099</v>
      </c>
      <c r="C76" s="3">
        <v>17.353817182718501</v>
      </c>
      <c r="D76" s="3">
        <v>17.5076312046473</v>
      </c>
      <c r="E76" s="3">
        <v>15.8363663086946</v>
      </c>
      <c r="F76" s="3">
        <v>12.045003561498399</v>
      </c>
      <c r="G76" s="3">
        <v>23.106567321471999</v>
      </c>
      <c r="H76" s="3">
        <v>19.7176803428566</v>
      </c>
      <c r="I76" s="3">
        <v>17.799393321277801</v>
      </c>
      <c r="J76" s="3">
        <v>18.884266399886801</v>
      </c>
      <c r="K76" s="3">
        <v>15.4685884734312</v>
      </c>
      <c r="L76" s="3">
        <v>30.601757541547201</v>
      </c>
      <c r="M76" s="3">
        <v>13.5231104249856</v>
      </c>
      <c r="N76" s="3">
        <v>15.4680404624542</v>
      </c>
      <c r="O76" s="3">
        <v>24.9533754412634</v>
      </c>
      <c r="P76" s="3">
        <v>15.136366798068</v>
      </c>
      <c r="Q76" s="3">
        <v>15.538465783869601</v>
      </c>
      <c r="R76" s="3">
        <v>19.299628789400099</v>
      </c>
      <c r="S76" s="3">
        <v>9.8337253256901196</v>
      </c>
      <c r="T76" s="3">
        <v>17.894268118074301</v>
      </c>
      <c r="U76" s="3">
        <v>16.445684654668199</v>
      </c>
      <c r="V76" s="3">
        <v>19.751507685910099</v>
      </c>
    </row>
    <row r="77" spans="1:22" x14ac:dyDescent="0.35">
      <c r="A77" s="2">
        <v>44064</v>
      </c>
      <c r="B77" s="3">
        <v>16.5203360480619</v>
      </c>
      <c r="C77" s="3">
        <v>19.798426734342002</v>
      </c>
      <c r="D77" s="3">
        <v>18.4929714917435</v>
      </c>
      <c r="E77" s="3">
        <v>17.718112392221201</v>
      </c>
      <c r="F77" s="3">
        <v>12.6446609250869</v>
      </c>
      <c r="G77" s="3">
        <v>30.614275757869901</v>
      </c>
      <c r="H77" s="3">
        <v>19.7631259638191</v>
      </c>
      <c r="I77" s="3">
        <v>17.432515923500599</v>
      </c>
      <c r="J77" s="3">
        <v>20.462080440428501</v>
      </c>
      <c r="K77" s="3">
        <v>15.954240673317599</v>
      </c>
      <c r="L77" s="3">
        <v>34.911503647802</v>
      </c>
      <c r="M77" s="3">
        <v>13.406897239948499</v>
      </c>
      <c r="N77" s="3">
        <v>14.9563177479133</v>
      </c>
      <c r="O77" s="3">
        <v>25.527102946330299</v>
      </c>
      <c r="P77" s="3">
        <v>15.3713020274662</v>
      </c>
      <c r="Q77" s="3">
        <v>16.345782565139501</v>
      </c>
      <c r="R77" s="3">
        <v>20.0194271252196</v>
      </c>
      <c r="S77" s="3">
        <v>9.9186521610784606</v>
      </c>
      <c r="T77" s="3">
        <v>16.4220407536877</v>
      </c>
      <c r="U77" s="3">
        <v>16.79759449814</v>
      </c>
      <c r="V77" s="3">
        <v>21.249188363706601</v>
      </c>
    </row>
    <row r="78" spans="1:22" x14ac:dyDescent="0.35">
      <c r="A78" s="2">
        <v>44097</v>
      </c>
      <c r="B78" s="3">
        <v>16.998359675126601</v>
      </c>
      <c r="C78" s="3">
        <v>18.346197796356801</v>
      </c>
      <c r="D78" s="3">
        <v>18.0524003797258</v>
      </c>
      <c r="E78" s="3">
        <v>18.711013952199099</v>
      </c>
      <c r="F78" s="3">
        <v>12.5595779431232</v>
      </c>
      <c r="G78" s="3">
        <v>35.301059050134803</v>
      </c>
      <c r="H78" s="3">
        <v>19.846693920750202</v>
      </c>
      <c r="I78" s="3">
        <v>17.0141232172538</v>
      </c>
      <c r="J78" s="3">
        <v>19.408542300772901</v>
      </c>
      <c r="K78" s="3">
        <v>16.028236951263299</v>
      </c>
      <c r="L78" s="3">
        <v>30.558550124431701</v>
      </c>
      <c r="M78" s="3">
        <v>12.9482562314442</v>
      </c>
      <c r="N78" s="3">
        <v>15.4010834392384</v>
      </c>
      <c r="O78" s="3">
        <v>25.475789000653801</v>
      </c>
      <c r="P78" s="3">
        <v>15.752840860198001</v>
      </c>
      <c r="Q78" s="3">
        <v>15.916716958139499</v>
      </c>
      <c r="R78" s="3">
        <v>21.033327755691701</v>
      </c>
      <c r="S78" s="3">
        <v>10.017048003546201</v>
      </c>
      <c r="T78" s="3">
        <v>18.108435756854501</v>
      </c>
      <c r="U78" s="3">
        <v>18.215270529354601</v>
      </c>
      <c r="V78" s="3">
        <v>24.1439845297439</v>
      </c>
    </row>
    <row r="79" spans="1:22" x14ac:dyDescent="0.35">
      <c r="A79" s="2">
        <v>44127</v>
      </c>
      <c r="B79" s="3">
        <v>17.3009150818162</v>
      </c>
      <c r="C79" s="3">
        <v>20.5485954845275</v>
      </c>
      <c r="D79" s="3">
        <v>19.888376301942099</v>
      </c>
      <c r="E79" s="3">
        <v>21.5155510059869</v>
      </c>
      <c r="F79" s="3">
        <v>14.8195983189697</v>
      </c>
      <c r="G79" s="3">
        <v>38.682008198846702</v>
      </c>
      <c r="H79" s="3">
        <v>20.383561746129502</v>
      </c>
      <c r="I79" s="3">
        <v>17.160378583704599</v>
      </c>
      <c r="J79" s="3">
        <v>21.164432243052801</v>
      </c>
      <c r="K79" s="3">
        <v>15.9114803649392</v>
      </c>
      <c r="L79" s="3">
        <v>32.929523199131999</v>
      </c>
      <c r="M79" s="3">
        <v>13.5132000211049</v>
      </c>
      <c r="N79" s="3">
        <v>14.033700973864001</v>
      </c>
      <c r="O79" s="3">
        <v>26.768388407134101</v>
      </c>
      <c r="P79" s="3">
        <v>16.860760435899699</v>
      </c>
      <c r="Q79" s="3">
        <v>16.523309677116998</v>
      </c>
      <c r="R79" s="3">
        <v>21.204083252602199</v>
      </c>
      <c r="S79" s="3">
        <v>11.6473506126144</v>
      </c>
      <c r="T79" s="3">
        <v>21.368940321901398</v>
      </c>
      <c r="U79" s="3">
        <v>18.995732360692902</v>
      </c>
      <c r="V79" s="3">
        <v>26.018124844956901</v>
      </c>
    </row>
    <row r="80" spans="1:22" x14ac:dyDescent="0.35">
      <c r="A80" s="2">
        <v>44158</v>
      </c>
      <c r="B80" s="3">
        <v>18.4457322396946</v>
      </c>
      <c r="C80" s="3">
        <v>22.836738878957402</v>
      </c>
      <c r="D80" s="3">
        <v>22.879588352475398</v>
      </c>
      <c r="E80" s="3">
        <v>25.043100640188701</v>
      </c>
      <c r="F80" s="3">
        <v>19.688588390656999</v>
      </c>
      <c r="G80" s="3">
        <v>47.716354955896698</v>
      </c>
      <c r="H80" s="3">
        <v>21.008384751417299</v>
      </c>
      <c r="I80" s="3">
        <v>17.500677303480199</v>
      </c>
      <c r="J80" s="3">
        <v>23.666287971556802</v>
      </c>
      <c r="K80" s="3">
        <v>17.366533158908702</v>
      </c>
      <c r="L80" s="3">
        <v>31.7522252422207</v>
      </c>
      <c r="M80" s="3">
        <v>13.5477665513651</v>
      </c>
      <c r="N80" s="3">
        <v>15.5285503393543</v>
      </c>
      <c r="O80" s="3">
        <v>27.4650925110804</v>
      </c>
      <c r="P80" s="3">
        <v>17.2779240350064</v>
      </c>
      <c r="Q80" s="3">
        <v>17.6488582159818</v>
      </c>
      <c r="R80" s="3">
        <v>23.8823656888042</v>
      </c>
      <c r="S80" s="3">
        <v>13.044306126518901</v>
      </c>
      <c r="T80" s="3">
        <v>25.591687719489901</v>
      </c>
      <c r="U80" s="3">
        <v>19.694737773242402</v>
      </c>
      <c r="V80" s="3">
        <v>27.301464407446101</v>
      </c>
    </row>
    <row r="81" spans="1:22" x14ac:dyDescent="0.35">
      <c r="A81" s="2">
        <v>44188</v>
      </c>
      <c r="B81" s="3">
        <v>19.3283234640584</v>
      </c>
      <c r="C81" s="3">
        <v>24.382710238898898</v>
      </c>
      <c r="D81" s="3">
        <v>25.627640742730801</v>
      </c>
      <c r="E81" s="3">
        <v>25.106480067421401</v>
      </c>
      <c r="F81" s="3">
        <v>21.923938233222302</v>
      </c>
      <c r="G81" s="3">
        <v>53.711155490486703</v>
      </c>
      <c r="H81" s="3">
        <v>21.364298245040999</v>
      </c>
      <c r="I81" s="3">
        <v>17.759196318212702</v>
      </c>
      <c r="J81" s="3">
        <v>31.470022656719799</v>
      </c>
      <c r="K81" s="3">
        <v>18.830779235414902</v>
      </c>
      <c r="L81" s="3">
        <v>35.490814554144798</v>
      </c>
      <c r="M81" s="3">
        <v>13.910039023229</v>
      </c>
      <c r="N81" s="3">
        <v>17.958297961722501</v>
      </c>
      <c r="O81" s="3">
        <v>32.666560245128302</v>
      </c>
      <c r="P81" s="3">
        <v>18.079439629354301</v>
      </c>
      <c r="Q81" s="3">
        <v>17.3881572327317</v>
      </c>
      <c r="R81" s="3">
        <v>26.392983821124101</v>
      </c>
      <c r="S81" s="3">
        <v>12.9136764979923</v>
      </c>
      <c r="T81" s="3">
        <v>24.307484328414098</v>
      </c>
      <c r="U81" s="3">
        <v>22.697620204690502</v>
      </c>
      <c r="V81" s="3">
        <v>28.626896209204901</v>
      </c>
    </row>
    <row r="82" spans="1:22" x14ac:dyDescent="0.35">
      <c r="A82" s="2">
        <v>44218</v>
      </c>
      <c r="B82" s="3">
        <v>21.565242357654999</v>
      </c>
      <c r="C82" s="3">
        <v>23.379711366796801</v>
      </c>
      <c r="D82" s="3">
        <v>25.5515222233103</v>
      </c>
      <c r="E82" s="3">
        <v>25.301947346189099</v>
      </c>
      <c r="F82" s="3">
        <v>16.111819176400498</v>
      </c>
      <c r="G82" s="3">
        <v>48.336315485742702</v>
      </c>
      <c r="H82" s="3">
        <v>20.416801560466698</v>
      </c>
      <c r="I82" s="3">
        <v>19.486874539347401</v>
      </c>
      <c r="J82" s="3">
        <v>30.963196263231499</v>
      </c>
      <c r="K82" s="3">
        <v>21.575464052789101</v>
      </c>
      <c r="L82" s="3">
        <v>29.741056969642301</v>
      </c>
      <c r="M82" s="3">
        <v>14.124622405369699</v>
      </c>
      <c r="N82" s="3">
        <v>17.1300793727452</v>
      </c>
      <c r="O82" s="3">
        <v>33.267713897760601</v>
      </c>
      <c r="P82" s="3">
        <v>21.0278518417567</v>
      </c>
      <c r="Q82" s="3">
        <v>17.564761927058498</v>
      </c>
      <c r="R82" s="3">
        <v>27.348879623345699</v>
      </c>
      <c r="S82" s="3">
        <v>13.2933739194859</v>
      </c>
      <c r="T82" s="3">
        <v>27.128010070783098</v>
      </c>
      <c r="U82" s="3">
        <v>24.282979878347</v>
      </c>
      <c r="V82" s="3">
        <v>27.3088649393525</v>
      </c>
    </row>
    <row r="83" spans="1:22" x14ac:dyDescent="0.35">
      <c r="A83" s="2">
        <v>44250</v>
      </c>
      <c r="B83" s="3">
        <v>21.245960446316801</v>
      </c>
      <c r="C83" s="3">
        <v>25.503087534971399</v>
      </c>
      <c r="D83" s="3">
        <v>24.4859542741853</v>
      </c>
      <c r="E83" s="3">
        <v>23.411438845253599</v>
      </c>
      <c r="F83" s="3">
        <v>15.0875897130742</v>
      </c>
      <c r="G83" s="3">
        <v>61.023487535653203</v>
      </c>
      <c r="H83" s="3">
        <v>18.999197195768801</v>
      </c>
      <c r="I83" s="3">
        <v>19.306715137772699</v>
      </c>
      <c r="J83" s="3">
        <v>28.170890320819598</v>
      </c>
      <c r="K83" s="3">
        <v>20.918081515062202</v>
      </c>
      <c r="L83" s="3">
        <v>25.729981371048702</v>
      </c>
      <c r="M83" s="3">
        <v>13.973693592985599</v>
      </c>
      <c r="N83" s="3">
        <v>16.854378864161099</v>
      </c>
      <c r="O83" s="3">
        <v>31.611733902049401</v>
      </c>
      <c r="P83" s="3">
        <v>21.0113838259029</v>
      </c>
      <c r="Q83" s="3">
        <v>16.531862112368302</v>
      </c>
      <c r="R83" s="3">
        <v>28.0178782749059</v>
      </c>
      <c r="S83" s="3">
        <v>11.808552886859401</v>
      </c>
      <c r="T83" s="3">
        <v>27.938489105458501</v>
      </c>
      <c r="U83" s="3">
        <v>24.508190611685102</v>
      </c>
      <c r="V83" s="3">
        <v>26.5893495592431</v>
      </c>
    </row>
    <row r="84" spans="1:22" x14ac:dyDescent="0.35">
      <c r="A84" s="2">
        <v>44278</v>
      </c>
      <c r="B84" s="3">
        <v>19.7047748427422</v>
      </c>
      <c r="C84" s="3">
        <v>31.1645050626082</v>
      </c>
      <c r="D84" s="3">
        <v>23.563699537377701</v>
      </c>
      <c r="E84" s="3">
        <v>22.326264726369601</v>
      </c>
      <c r="F84" s="3">
        <v>16.917760364379301</v>
      </c>
      <c r="G84" s="3">
        <v>63.612958332046297</v>
      </c>
      <c r="H84" s="3">
        <v>19.3831232070239</v>
      </c>
      <c r="I84" s="3">
        <v>18.365970325228002</v>
      </c>
      <c r="J84" s="3">
        <v>26.608039679802701</v>
      </c>
      <c r="K84" s="3">
        <v>19.906563081658401</v>
      </c>
      <c r="L84" s="3">
        <v>19.719130735347299</v>
      </c>
      <c r="M84" s="3">
        <v>13.346477990680601</v>
      </c>
      <c r="N84" s="3">
        <v>17.444718732963501</v>
      </c>
      <c r="O84" s="3">
        <v>30.645370397769899</v>
      </c>
      <c r="P84" s="3">
        <v>19.488507651153199</v>
      </c>
      <c r="Q84" s="3">
        <v>16.701281906932898</v>
      </c>
      <c r="R84" s="3">
        <v>27.2086870956547</v>
      </c>
      <c r="S84" s="3">
        <v>11.1084787632277</v>
      </c>
      <c r="T84" s="3">
        <v>26.750876883782599</v>
      </c>
      <c r="U84" s="3">
        <v>23.920552861590501</v>
      </c>
      <c r="V84" s="3">
        <v>26.033079740042599</v>
      </c>
    </row>
    <row r="85" spans="1:22" x14ac:dyDescent="0.35">
      <c r="A85" s="2">
        <v>44309</v>
      </c>
      <c r="B85" s="3">
        <v>19.503067662224801</v>
      </c>
      <c r="C85" s="3">
        <v>29.177815573378801</v>
      </c>
      <c r="D85" s="3">
        <v>22.823267113818002</v>
      </c>
      <c r="E85" s="3">
        <v>21.624847582694699</v>
      </c>
      <c r="F85" s="3">
        <v>16.343292671963599</v>
      </c>
      <c r="G85" s="3">
        <v>57.380456432537301</v>
      </c>
      <c r="H85" s="3">
        <v>18.789233289597799</v>
      </c>
      <c r="I85" s="3">
        <v>18.043908022365098</v>
      </c>
      <c r="J85" s="3">
        <v>25.560414524279398</v>
      </c>
      <c r="K85" s="3">
        <v>19.215148180836302</v>
      </c>
      <c r="L85" s="3">
        <v>18.4931229414514</v>
      </c>
      <c r="M85" s="3">
        <v>12.9188587421422</v>
      </c>
      <c r="N85" s="3">
        <v>17.316685723631998</v>
      </c>
      <c r="O85" s="3">
        <v>29.653439155132599</v>
      </c>
      <c r="P85" s="3">
        <v>19.240391902605499</v>
      </c>
      <c r="Q85" s="3">
        <v>16.5931950944791</v>
      </c>
      <c r="R85" s="3">
        <v>26.278750096066702</v>
      </c>
      <c r="S85" s="3">
        <v>10.5393026691484</v>
      </c>
      <c r="T85" s="3">
        <v>25.215141240686801</v>
      </c>
      <c r="U85" s="3">
        <v>23.3963242298503</v>
      </c>
      <c r="V85" s="3">
        <v>25.588208345677099</v>
      </c>
    </row>
    <row r="86" spans="1:22" x14ac:dyDescent="0.35">
      <c r="A86" s="2">
        <v>44337</v>
      </c>
      <c r="B86" s="3">
        <v>19.215991981211001</v>
      </c>
      <c r="C86" s="3">
        <v>26.386306503161101</v>
      </c>
      <c r="D86" s="3">
        <v>21.843167754372399</v>
      </c>
      <c r="E86" s="3">
        <v>21.103968441176701</v>
      </c>
      <c r="F86" s="3">
        <v>16.3173011152419</v>
      </c>
      <c r="G86" s="3">
        <v>52.356102151694699</v>
      </c>
      <c r="H86" s="3">
        <v>18.091822826552399</v>
      </c>
      <c r="I86" s="3">
        <v>16.862857681360001</v>
      </c>
      <c r="J86" s="3">
        <v>24.4301246241385</v>
      </c>
      <c r="K86" s="3">
        <v>17.705179991162701</v>
      </c>
      <c r="L86" s="3">
        <v>17.4047236328454</v>
      </c>
      <c r="M86" s="3">
        <v>12.587799069278701</v>
      </c>
      <c r="N86" s="3">
        <v>15.5708454179595</v>
      </c>
      <c r="O86" s="3">
        <v>29.293636206014099</v>
      </c>
      <c r="P86" s="3">
        <v>18.688103304915799</v>
      </c>
      <c r="Q86" s="3">
        <v>16.326525726913601</v>
      </c>
      <c r="R86" s="3">
        <v>25.055458056665699</v>
      </c>
      <c r="S86" s="3">
        <v>10.1761114816389</v>
      </c>
      <c r="T86" s="3">
        <v>24.244698337366199</v>
      </c>
      <c r="U86" s="3">
        <v>22.7530803428842</v>
      </c>
      <c r="V86" s="3">
        <v>24.889328626742198</v>
      </c>
    </row>
    <row r="87" spans="1:22" x14ac:dyDescent="0.35">
      <c r="A87" s="2">
        <v>44370</v>
      </c>
      <c r="B87" s="3">
        <v>19.164273617367101</v>
      </c>
      <c r="C87" s="3">
        <v>24.202798532802401</v>
      </c>
      <c r="D87" s="3">
        <v>21.111109652531301</v>
      </c>
      <c r="E87" s="3">
        <v>21.5673568639499</v>
      </c>
      <c r="F87" s="3">
        <v>15.656410787522001</v>
      </c>
      <c r="G87" s="3">
        <v>45.222319548310701</v>
      </c>
      <c r="H87" s="3">
        <v>17.489025486485001</v>
      </c>
      <c r="I87" s="3">
        <v>16.5971809292489</v>
      </c>
      <c r="J87" s="3">
        <v>23.183836582170301</v>
      </c>
      <c r="K87" s="3">
        <v>16.847632897220102</v>
      </c>
      <c r="L87" s="3">
        <v>16.298771236055099</v>
      </c>
      <c r="M87" s="3">
        <v>12.1279595021446</v>
      </c>
      <c r="N87" s="3">
        <v>17.1320543752425</v>
      </c>
      <c r="O87" s="3">
        <v>29.048025419500899</v>
      </c>
      <c r="P87" s="3">
        <v>18.750657703721199</v>
      </c>
      <c r="Q87" s="3">
        <v>16.059412632417299</v>
      </c>
      <c r="R87" s="3">
        <v>24.0592653875838</v>
      </c>
      <c r="S87" s="3">
        <v>9.5186866773652898</v>
      </c>
      <c r="T87" s="3">
        <v>23.370867797970298</v>
      </c>
      <c r="U87" s="3">
        <v>22.592538723256499</v>
      </c>
      <c r="V87" s="3">
        <v>24.406693378407699</v>
      </c>
    </row>
    <row r="88" spans="1:22" x14ac:dyDescent="0.35">
      <c r="A88" s="2">
        <v>44400</v>
      </c>
      <c r="B88" s="3">
        <v>18.660948614422502</v>
      </c>
      <c r="C88" s="3">
        <v>21.607009209513102</v>
      </c>
      <c r="D88" s="3">
        <v>20.296527198711999</v>
      </c>
      <c r="E88" s="3">
        <v>20.377256198477799</v>
      </c>
      <c r="F88" s="3">
        <v>14.834781949937801</v>
      </c>
      <c r="G88" s="3">
        <v>39.3936906596388</v>
      </c>
      <c r="H88" s="3">
        <v>16.7760515234372</v>
      </c>
      <c r="I88" s="3">
        <v>16.025488040674698</v>
      </c>
      <c r="J88" s="3">
        <v>21.644635398271401</v>
      </c>
      <c r="K88" s="3">
        <v>15.714541073275001</v>
      </c>
      <c r="L88" s="3">
        <v>14.6815568834537</v>
      </c>
      <c r="M88" s="3">
        <v>11.7153836146181</v>
      </c>
      <c r="N88" s="3">
        <v>15.834992235504799</v>
      </c>
      <c r="O88" s="3">
        <v>28.737173733248699</v>
      </c>
      <c r="P88" s="3">
        <v>17.7936182160919</v>
      </c>
      <c r="Q88" s="3">
        <v>15.4700864889495</v>
      </c>
      <c r="R88" s="3">
        <v>22.887818441499402</v>
      </c>
      <c r="S88" s="3">
        <v>8.8633497060458204</v>
      </c>
      <c r="T88" s="3">
        <v>21.914291638241298</v>
      </c>
      <c r="U88" s="3">
        <v>21.407888088062698</v>
      </c>
      <c r="V88" s="3">
        <v>23.5163054078063</v>
      </c>
    </row>
    <row r="89" spans="1:22" x14ac:dyDescent="0.35">
      <c r="A89" s="2">
        <v>44431</v>
      </c>
      <c r="B89" s="3">
        <v>17.893452503637601</v>
      </c>
      <c r="C89" s="3">
        <v>19.454326779010199</v>
      </c>
      <c r="D89" s="3">
        <v>19.890906018013201</v>
      </c>
      <c r="E89" s="3">
        <v>19.952011766421901</v>
      </c>
      <c r="F89" s="3">
        <v>14.157087943875601</v>
      </c>
      <c r="G89" s="3">
        <v>33.902373324773002</v>
      </c>
      <c r="H89" s="3">
        <v>16.048786040473502</v>
      </c>
      <c r="I89" s="3">
        <v>14.8167654528713</v>
      </c>
      <c r="J89" s="3">
        <v>20.520843249811598</v>
      </c>
      <c r="K89" s="3">
        <v>14.2654467411038</v>
      </c>
      <c r="L89" s="3">
        <v>12.913426782059201</v>
      </c>
      <c r="M89" s="3">
        <v>10.944785524722599</v>
      </c>
      <c r="N89" s="3">
        <v>15.6082096130729</v>
      </c>
      <c r="O89" s="3">
        <v>28.764061376566602</v>
      </c>
      <c r="P89" s="3">
        <v>16.364243661377898</v>
      </c>
      <c r="Q89" s="3">
        <v>15.5192979280414</v>
      </c>
      <c r="R89" s="3">
        <v>22.244503981642499</v>
      </c>
      <c r="S89" s="3">
        <v>8.3163231838038207</v>
      </c>
      <c r="T89" s="3">
        <v>21.0492881319581</v>
      </c>
      <c r="U89" s="3">
        <v>20.626317916088801</v>
      </c>
      <c r="V89" s="3">
        <v>22.832673248926099</v>
      </c>
    </row>
    <row r="90" spans="1:22" x14ac:dyDescent="0.35">
      <c r="A90" s="2">
        <v>44462</v>
      </c>
      <c r="B90" s="3">
        <v>17.924103316732001</v>
      </c>
      <c r="C90" s="3">
        <v>17.296541811466501</v>
      </c>
      <c r="D90" s="3">
        <v>19.202228799713001</v>
      </c>
      <c r="E90" s="3">
        <v>20.3498870651934</v>
      </c>
      <c r="F90" s="3">
        <v>13.753848116800601</v>
      </c>
      <c r="G90" s="3">
        <v>28.2472624836489</v>
      </c>
      <c r="H90" s="3">
        <v>15.688723634914799</v>
      </c>
      <c r="I90" s="3">
        <v>14.423352999745401</v>
      </c>
      <c r="J90" s="3">
        <v>18.9675228962634</v>
      </c>
      <c r="K90" s="3">
        <v>13.3324822017731</v>
      </c>
      <c r="L90" s="3">
        <v>11.3040410353445</v>
      </c>
      <c r="M90" s="3">
        <v>10.8719331612579</v>
      </c>
      <c r="N90" s="3">
        <v>13.8097253644021</v>
      </c>
      <c r="O90" s="3">
        <v>29.758474024074701</v>
      </c>
      <c r="P90" s="3">
        <v>16.150951411103101</v>
      </c>
      <c r="Q90" s="3">
        <v>15.2971296564764</v>
      </c>
      <c r="R90" s="3">
        <v>21.685031678833798</v>
      </c>
      <c r="S90" s="3">
        <v>7.5570142595045899</v>
      </c>
      <c r="T90" s="3">
        <v>20.072764830716899</v>
      </c>
      <c r="U90" s="3">
        <v>20.4455144718703</v>
      </c>
      <c r="V90" s="3">
        <v>22.107126727333</v>
      </c>
    </row>
    <row r="91" spans="1:22" x14ac:dyDescent="0.35">
      <c r="A91" s="2">
        <v>44491</v>
      </c>
      <c r="B91" s="3">
        <v>17.957486358716999</v>
      </c>
      <c r="C91" s="3">
        <v>14.6105287663204</v>
      </c>
      <c r="D91" s="3">
        <v>19.5000551798888</v>
      </c>
      <c r="E91" s="3">
        <v>21.298583999252202</v>
      </c>
      <c r="F91" s="3">
        <v>13.826697400268699</v>
      </c>
      <c r="G91" s="3">
        <v>24.077534107605501</v>
      </c>
      <c r="H91" s="3">
        <v>15.592514216132599</v>
      </c>
      <c r="I91" s="3">
        <v>13.6183995139319</v>
      </c>
      <c r="J91" s="3">
        <v>17.520068612876901</v>
      </c>
      <c r="K91" s="3">
        <v>12.0985943617645</v>
      </c>
      <c r="L91" s="3">
        <v>9.7529885453797203</v>
      </c>
      <c r="M91" s="3">
        <v>10.823228063360199</v>
      </c>
      <c r="N91" s="3">
        <v>14.293753829184601</v>
      </c>
      <c r="O91" s="3">
        <v>29.232184381645499</v>
      </c>
      <c r="P91" s="3">
        <v>16.474896012477799</v>
      </c>
      <c r="Q91" s="3">
        <v>15.7645581339602</v>
      </c>
      <c r="R91" s="3">
        <v>20.866627365917701</v>
      </c>
      <c r="S91" s="3">
        <v>7.1585700864902204</v>
      </c>
      <c r="T91" s="3">
        <v>18.810036732705601</v>
      </c>
      <c r="U91" s="3">
        <v>20.042500252599801</v>
      </c>
      <c r="V91" s="3">
        <v>22.377313593337199</v>
      </c>
    </row>
    <row r="92" spans="1:22" x14ac:dyDescent="0.35">
      <c r="A92" s="2">
        <v>44523</v>
      </c>
      <c r="B92" s="3">
        <v>17.984394909545401</v>
      </c>
      <c r="C92" s="3">
        <v>12.921289363468601</v>
      </c>
      <c r="D92" s="3">
        <v>18.108928772762699</v>
      </c>
      <c r="E92" s="3">
        <v>20.618777234395498</v>
      </c>
      <c r="F92" s="3">
        <v>12.4614098427262</v>
      </c>
      <c r="G92" s="3">
        <v>17.719438540046902</v>
      </c>
      <c r="H92" s="3">
        <v>14.2911045093577</v>
      </c>
      <c r="I92" s="3">
        <v>13.415867286274301</v>
      </c>
      <c r="J92" s="3">
        <v>16.016423602796699</v>
      </c>
      <c r="K92" s="3">
        <v>10.878884099485701</v>
      </c>
      <c r="L92" s="3">
        <v>8.1343138302575309</v>
      </c>
      <c r="M92" s="3">
        <v>10.470126125507599</v>
      </c>
      <c r="N92" s="3">
        <v>13.6379717538401</v>
      </c>
      <c r="O92" s="3">
        <v>28.4807265173777</v>
      </c>
      <c r="P92" s="3">
        <v>15.2049112864509</v>
      </c>
      <c r="Q92" s="3">
        <v>15.372072375220201</v>
      </c>
      <c r="R92" s="3">
        <v>20.006493416127299</v>
      </c>
      <c r="S92" s="3">
        <v>7.1103240744344003</v>
      </c>
      <c r="T92" s="3">
        <v>18.421766306787301</v>
      </c>
      <c r="U92" s="3">
        <v>18.978983006040799</v>
      </c>
      <c r="V92" s="3">
        <v>20.331386456538301</v>
      </c>
    </row>
    <row r="93" spans="1:22" x14ac:dyDescent="0.35">
      <c r="A93" s="2">
        <v>44553</v>
      </c>
      <c r="B93" s="3">
        <v>18.240746119773899</v>
      </c>
      <c r="C93" s="3">
        <v>9.5393691934705505</v>
      </c>
      <c r="D93" s="3">
        <v>16.856014647397501</v>
      </c>
      <c r="E93" s="3">
        <v>19.883170964106299</v>
      </c>
      <c r="F93" s="3">
        <v>10.6057334258082</v>
      </c>
      <c r="G93" s="3">
        <v>12.7299138425837</v>
      </c>
      <c r="H93" s="3">
        <v>15.1279987415865</v>
      </c>
      <c r="I93" s="3">
        <v>12.967185561004699</v>
      </c>
      <c r="J93" s="3">
        <v>15.5412161963384</v>
      </c>
      <c r="K93" s="3">
        <v>9.8758079828083503</v>
      </c>
      <c r="L93" s="3">
        <v>6.84068682844081</v>
      </c>
      <c r="M93" s="3">
        <v>10.3598286149548</v>
      </c>
      <c r="N93" s="3">
        <v>12.689242273348199</v>
      </c>
      <c r="O93" s="3">
        <v>28.248913321461998</v>
      </c>
      <c r="P93" s="3">
        <v>14.186471712508</v>
      </c>
      <c r="Q93" s="3">
        <v>14.8467584665665</v>
      </c>
      <c r="R93" s="3">
        <v>18.993729224157899</v>
      </c>
      <c r="S93" s="3">
        <v>6.6326997077753198</v>
      </c>
      <c r="T93" s="3">
        <v>16.865293724624699</v>
      </c>
      <c r="U93" s="3">
        <v>18.554799522350599</v>
      </c>
      <c r="V93" s="3">
        <v>19.6907889174819</v>
      </c>
    </row>
    <row r="94" spans="1:22" x14ac:dyDescent="0.35">
      <c r="A94" s="2">
        <v>44582</v>
      </c>
      <c r="B94" s="3">
        <v>17.323208372119101</v>
      </c>
      <c r="C94" s="3">
        <v>9.7771158383053205</v>
      </c>
      <c r="D94" s="3">
        <v>17.158812167807199</v>
      </c>
      <c r="E94" s="3">
        <v>19.649293356614901</v>
      </c>
      <c r="F94" s="3">
        <v>10.6453299876505</v>
      </c>
      <c r="G94" s="3">
        <v>12.622400463205301</v>
      </c>
      <c r="H94" s="3">
        <v>15.135391738314899</v>
      </c>
      <c r="I94" s="3">
        <v>12.6804122343644</v>
      </c>
      <c r="J94" s="3">
        <v>14.8638701954889</v>
      </c>
      <c r="K94" s="3">
        <v>9.23784120854598</v>
      </c>
      <c r="L94" s="3">
        <v>6.8288746189534999</v>
      </c>
      <c r="M94" s="3">
        <v>10.7948310281202</v>
      </c>
      <c r="N94" s="3">
        <v>-91.678092074451996</v>
      </c>
      <c r="O94" s="3">
        <v>28.3885303893295</v>
      </c>
      <c r="P94" s="3">
        <v>14.4503040961143</v>
      </c>
      <c r="Q94" s="3">
        <v>15.584017213207501</v>
      </c>
      <c r="R94" s="3">
        <v>18.859155867463699</v>
      </c>
      <c r="S94" s="3">
        <v>6.8154802129825702</v>
      </c>
      <c r="T94" s="3">
        <v>17.110521089284401</v>
      </c>
      <c r="U94" s="3">
        <v>17.279065966975601</v>
      </c>
      <c r="V94" s="3">
        <v>21.321817270129301</v>
      </c>
    </row>
    <row r="95" spans="1:22" x14ac:dyDescent="0.35">
      <c r="A95" s="2">
        <v>44615</v>
      </c>
      <c r="B95" s="3">
        <v>16.728453300653801</v>
      </c>
      <c r="C95" s="3">
        <v>9.2131785447594901</v>
      </c>
      <c r="D95" s="3">
        <v>17.3972687101529</v>
      </c>
      <c r="E95" s="3">
        <v>19.602991861146101</v>
      </c>
      <c r="F95" s="3">
        <v>9.9625063955377193</v>
      </c>
      <c r="G95" s="3">
        <v>12.2362093800878</v>
      </c>
      <c r="H95" s="3">
        <v>15.5856619745777</v>
      </c>
      <c r="I95" s="3">
        <v>12.7106610036554</v>
      </c>
      <c r="J95" s="3">
        <v>14.6241251516853</v>
      </c>
      <c r="K95" s="3">
        <v>9.3701727210046499</v>
      </c>
      <c r="L95" s="3">
        <v>7.1078191342427797</v>
      </c>
      <c r="M95" s="3">
        <v>11.0113699774911</v>
      </c>
      <c r="N95" s="3">
        <v>-124.994042972581</v>
      </c>
      <c r="O95" s="3">
        <v>26.895528392021699</v>
      </c>
      <c r="P95" s="3">
        <v>13.3453855554011</v>
      </c>
      <c r="Q95" s="3">
        <v>16.047489164399099</v>
      </c>
      <c r="R95" s="3">
        <v>19.036757467698799</v>
      </c>
      <c r="S95" s="3">
        <v>6.0464710138244699</v>
      </c>
      <c r="T95" s="3">
        <v>16.787212748159</v>
      </c>
      <c r="U95" s="3">
        <v>16.864077872642898</v>
      </c>
      <c r="V95" s="3">
        <v>21.4579187589177</v>
      </c>
    </row>
    <row r="96" spans="1:22" x14ac:dyDescent="0.35">
      <c r="A96" s="2">
        <v>44643</v>
      </c>
      <c r="B96" s="3">
        <v>16.270389280962402</v>
      </c>
      <c r="C96" s="3">
        <v>9.8762951667758703</v>
      </c>
      <c r="D96" s="3">
        <v>17.261409585128401</v>
      </c>
      <c r="E96" s="3">
        <v>18.970157047632</v>
      </c>
      <c r="F96" s="3">
        <v>9.7812019615071897</v>
      </c>
      <c r="G96" s="3">
        <v>13.5254906091936</v>
      </c>
      <c r="H96" s="3">
        <v>15.925694657806501</v>
      </c>
      <c r="I96" s="3">
        <v>12.356913205747199</v>
      </c>
      <c r="J96" s="3">
        <v>15.0406681650176</v>
      </c>
      <c r="K96" s="3">
        <v>9.33239120151927</v>
      </c>
      <c r="L96" s="3">
        <v>7.0172062561508302</v>
      </c>
      <c r="M96" s="3">
        <v>11.114841617650001</v>
      </c>
      <c r="N96" s="3">
        <v>-88.584543875346597</v>
      </c>
      <c r="O96" s="3">
        <v>26.257983031003501</v>
      </c>
      <c r="P96" s="3">
        <v>12.8701972611602</v>
      </c>
      <c r="Q96" s="3">
        <v>16.2028849084972</v>
      </c>
      <c r="R96" s="3">
        <v>18.8137743146148</v>
      </c>
      <c r="S96" s="3">
        <v>5.7478396425043998</v>
      </c>
      <c r="T96" s="3">
        <v>17.2154335168578</v>
      </c>
      <c r="U96" s="3">
        <v>16.419438215210601</v>
      </c>
      <c r="V96" s="3">
        <v>21.320670822188099</v>
      </c>
    </row>
    <row r="97" spans="1:22" x14ac:dyDescent="0.35">
      <c r="A97" s="2">
        <v>44673</v>
      </c>
      <c r="B97" s="3">
        <v>15.7643064997817</v>
      </c>
      <c r="C97" s="3">
        <v>9.6978009175753801</v>
      </c>
      <c r="D97" s="3">
        <v>16.937009539303698</v>
      </c>
      <c r="E97" s="3">
        <v>18.504821710234001</v>
      </c>
      <c r="F97" s="3">
        <v>9.3467121653087997</v>
      </c>
      <c r="G97" s="3">
        <v>12.633287123566699</v>
      </c>
      <c r="H97" s="3">
        <v>15.867905412866399</v>
      </c>
      <c r="I97" s="3">
        <v>12.1313586632954</v>
      </c>
      <c r="J97" s="3">
        <v>14.846363970832201</v>
      </c>
      <c r="K97" s="3">
        <v>9.3251162497568405</v>
      </c>
      <c r="L97" s="3">
        <v>6.8547615337363199</v>
      </c>
      <c r="M97" s="3">
        <v>10.8371671317503</v>
      </c>
      <c r="N97" s="3">
        <v>-77.769005346811994</v>
      </c>
      <c r="O97" s="3">
        <v>25.967228015802799</v>
      </c>
      <c r="P97" s="3">
        <v>12.458729554856999</v>
      </c>
      <c r="Q97" s="3">
        <v>16.010179759794301</v>
      </c>
      <c r="R97" s="3">
        <v>18.547333120457299</v>
      </c>
      <c r="S97" s="3">
        <v>5.7160534876001696</v>
      </c>
      <c r="T97" s="3">
        <v>17.4183777204533</v>
      </c>
      <c r="U97" s="3">
        <v>15.9214529295043</v>
      </c>
      <c r="V97" s="3">
        <v>21.2151174039282</v>
      </c>
    </row>
    <row r="98" spans="1:22" x14ac:dyDescent="0.35">
      <c r="A98" s="2">
        <v>44704</v>
      </c>
      <c r="B98" s="3">
        <v>15.713106109924301</v>
      </c>
      <c r="C98" s="3">
        <v>9.4644523868424404</v>
      </c>
      <c r="D98" s="3">
        <v>16.121453526425501</v>
      </c>
      <c r="E98" s="3">
        <v>17.666288239074401</v>
      </c>
      <c r="F98" s="3">
        <v>8.6974045896127308</v>
      </c>
      <c r="G98" s="3">
        <v>11.798082344837701</v>
      </c>
      <c r="H98" s="3">
        <v>15.580028327442299</v>
      </c>
      <c r="I98" s="3">
        <v>11.9090442347091</v>
      </c>
      <c r="J98" s="3">
        <v>14.424962521924501</v>
      </c>
      <c r="K98" s="3">
        <v>9.2563789955194409</v>
      </c>
      <c r="L98" s="3">
        <v>6.6912889428185798</v>
      </c>
      <c r="M98" s="3">
        <v>10.529336490265299</v>
      </c>
      <c r="N98" s="3">
        <v>-67.445418158230098</v>
      </c>
      <c r="O98" s="3">
        <v>25.0151037031372</v>
      </c>
      <c r="P98" s="3">
        <v>12.4723844204524</v>
      </c>
      <c r="Q98" s="3">
        <v>15.3713678521333</v>
      </c>
      <c r="R98" s="3">
        <v>18.237903443735501</v>
      </c>
      <c r="S98" s="3">
        <v>5.4043314769191699</v>
      </c>
      <c r="T98" s="3">
        <v>16.596807126784999</v>
      </c>
      <c r="U98" s="3">
        <v>15.161276606981099</v>
      </c>
      <c r="V98" s="3">
        <v>19.9782431125602</v>
      </c>
    </row>
    <row r="99" spans="1:22" x14ac:dyDescent="0.35">
      <c r="A99" s="2">
        <v>44735</v>
      </c>
      <c r="B99" s="3">
        <v>15.832364120908901</v>
      </c>
      <c r="C99" s="3">
        <v>8.0265586961778101</v>
      </c>
      <c r="D99" s="3">
        <v>15.55029359413</v>
      </c>
      <c r="E99" s="3">
        <v>16.7609411038197</v>
      </c>
      <c r="F99" s="3">
        <v>8.1187110871351695</v>
      </c>
      <c r="G99" s="3">
        <v>10.8872121263759</v>
      </c>
      <c r="H99" s="3">
        <v>15.057164090930801</v>
      </c>
      <c r="I99" s="3">
        <v>11.525463238627299</v>
      </c>
      <c r="J99" s="3">
        <v>13.7644765052975</v>
      </c>
      <c r="K99" s="3">
        <v>8.7808355707755101</v>
      </c>
      <c r="L99" s="3">
        <v>6.2753389272331601</v>
      </c>
      <c r="M99" s="3">
        <v>10.1384774410808</v>
      </c>
      <c r="N99" s="3">
        <v>-56.909389934764398</v>
      </c>
      <c r="O99" s="3">
        <v>24.275412642888298</v>
      </c>
      <c r="P99" s="3">
        <v>12.980723364233</v>
      </c>
      <c r="Q99" s="3">
        <v>14.581421899614799</v>
      </c>
      <c r="R99" s="3">
        <v>17.532712590199601</v>
      </c>
      <c r="S99" s="3">
        <v>5.4682521097918801</v>
      </c>
      <c r="T99" s="3">
        <v>15.7320851332946</v>
      </c>
      <c r="U99" s="3">
        <v>14.326971029084101</v>
      </c>
      <c r="V99" s="3">
        <v>18.913399051315299</v>
      </c>
    </row>
    <row r="100" spans="1:22" x14ac:dyDescent="0.35">
      <c r="A100" s="2">
        <v>44764</v>
      </c>
      <c r="B100" s="3">
        <v>15.5186987043783</v>
      </c>
      <c r="C100" s="3">
        <v>7.7702711217601799</v>
      </c>
      <c r="D100" s="3">
        <v>15.033876021395701</v>
      </c>
      <c r="E100" s="3">
        <v>16.478225976367501</v>
      </c>
      <c r="F100" s="3">
        <v>7.3094220077365497</v>
      </c>
      <c r="G100" s="3">
        <v>10.191033297992901</v>
      </c>
      <c r="H100" s="3">
        <v>15.157145433433501</v>
      </c>
      <c r="I100" s="3">
        <v>11.165253687653999</v>
      </c>
      <c r="J100" s="3">
        <v>13.5948572155073</v>
      </c>
      <c r="K100" s="3">
        <v>8.8969371681058096</v>
      </c>
      <c r="L100" s="3">
        <v>6.1312489920519404</v>
      </c>
      <c r="M100" s="3">
        <v>10.274459188548301</v>
      </c>
      <c r="N100" s="3">
        <v>-47.188508881648602</v>
      </c>
      <c r="O100" s="3">
        <v>24.914444073854799</v>
      </c>
      <c r="P100" s="3">
        <v>12.730697076927999</v>
      </c>
      <c r="Q100" s="3">
        <v>15.0032735154902</v>
      </c>
      <c r="R100" s="3">
        <v>17.205888677269598</v>
      </c>
      <c r="S100" s="3">
        <v>5.1228037018583699</v>
      </c>
      <c r="T100" s="3">
        <v>15.725696770950201</v>
      </c>
      <c r="U100" s="3">
        <v>13.8945972707994</v>
      </c>
      <c r="V100" s="3">
        <v>19.290087701859498</v>
      </c>
    </row>
    <row r="101" spans="1:22" x14ac:dyDescent="0.35">
      <c r="A101" s="2">
        <v>44796</v>
      </c>
      <c r="B101" s="3">
        <v>15.240335846023999</v>
      </c>
      <c r="C101" s="3">
        <v>7.2912243182630103</v>
      </c>
      <c r="D101" s="3">
        <v>14.8337426616415</v>
      </c>
      <c r="E101" s="3">
        <v>16.167107003266199</v>
      </c>
      <c r="F101" s="3">
        <v>6.9247083180265898</v>
      </c>
      <c r="G101" s="3">
        <v>9.9091818062260995</v>
      </c>
      <c r="H101" s="3">
        <v>15.165781810949101</v>
      </c>
      <c r="I101" s="3">
        <v>11.2309458932785</v>
      </c>
      <c r="J101" s="3">
        <v>13.4000027438627</v>
      </c>
      <c r="K101" s="3">
        <v>8.8980054085788396</v>
      </c>
      <c r="L101" s="3">
        <v>6.2634682269911099</v>
      </c>
      <c r="M101" s="3">
        <v>10.147886755465899</v>
      </c>
      <c r="N101" s="3">
        <v>-36.063414362614601</v>
      </c>
      <c r="O101" s="3">
        <v>25.7187938881547</v>
      </c>
      <c r="P101" s="3">
        <v>12.297617027522101</v>
      </c>
      <c r="Q101" s="3">
        <v>15.094005756364099</v>
      </c>
      <c r="R101" s="3">
        <v>17.173464950701501</v>
      </c>
      <c r="S101" s="3">
        <v>4.9755510761954103</v>
      </c>
      <c r="T101" s="3">
        <v>15.4850831096785</v>
      </c>
      <c r="U101" s="3">
        <v>13.974096183155201</v>
      </c>
      <c r="V101" s="3">
        <v>18.889804741884099</v>
      </c>
    </row>
    <row r="102" spans="1:22" x14ac:dyDescent="0.35">
      <c r="A102" s="2">
        <v>44827</v>
      </c>
      <c r="B102" s="3">
        <v>14.383404012370001</v>
      </c>
      <c r="C102" s="3">
        <v>7.4992946429766896</v>
      </c>
      <c r="D102" s="3">
        <v>14.4836468326877</v>
      </c>
      <c r="E102" s="3">
        <v>14.9988657686926</v>
      </c>
      <c r="F102" s="3">
        <v>6.3444205335784796</v>
      </c>
      <c r="G102" s="3">
        <v>9.1240198653592302</v>
      </c>
      <c r="H102" s="3">
        <v>14.673523615908399</v>
      </c>
      <c r="I102" s="3">
        <v>10.6545894914484</v>
      </c>
      <c r="J102" s="3">
        <v>12.825347874059601</v>
      </c>
      <c r="K102" s="3">
        <v>8.5701567716739095</v>
      </c>
      <c r="L102" s="3">
        <v>6.1115385523941299</v>
      </c>
      <c r="M102" s="3">
        <v>9.3156993761694302</v>
      </c>
      <c r="N102" s="3">
        <v>-27.158817992748901</v>
      </c>
      <c r="O102" s="3">
        <v>25.3393596408077</v>
      </c>
      <c r="P102" s="3">
        <v>11.692831940427199</v>
      </c>
      <c r="Q102" s="3">
        <v>14.4009386896092</v>
      </c>
      <c r="R102" s="3">
        <v>16.7805007996451</v>
      </c>
      <c r="S102" s="3">
        <v>4.6734258286554597</v>
      </c>
      <c r="T102" s="3">
        <v>15.046231628381401</v>
      </c>
      <c r="U102" s="3">
        <v>13.5639209163757</v>
      </c>
      <c r="V102" s="3">
        <v>17.709831539590699</v>
      </c>
    </row>
    <row r="103" spans="1:22" x14ac:dyDescent="0.35">
      <c r="A103" s="2">
        <v>44855</v>
      </c>
      <c r="B103" s="3">
        <v>13.859559375338099</v>
      </c>
      <c r="C103" s="3">
        <v>7.1691063592558999</v>
      </c>
      <c r="D103" s="3">
        <v>13.815832583230399</v>
      </c>
      <c r="E103" s="3">
        <v>14.0504990948157</v>
      </c>
      <c r="F103" s="3">
        <v>6.2744005471664401</v>
      </c>
      <c r="G103" s="3">
        <v>9.3253350884165709</v>
      </c>
      <c r="H103" s="3">
        <v>14.7578659974233</v>
      </c>
      <c r="I103" s="3">
        <v>9.8492091223262594</v>
      </c>
      <c r="J103" s="3">
        <v>13.045267284119999</v>
      </c>
      <c r="K103" s="3">
        <v>8.6732917978210295</v>
      </c>
      <c r="L103" s="3">
        <v>6.4828126007422799</v>
      </c>
      <c r="M103" s="3">
        <v>9.5082975382708703</v>
      </c>
      <c r="N103" s="3">
        <v>-17.1855019598685</v>
      </c>
      <c r="O103" s="3">
        <v>25.3542334591484</v>
      </c>
      <c r="P103" s="3">
        <v>10.8118195947178</v>
      </c>
      <c r="Q103" s="3">
        <v>14.0091310106941</v>
      </c>
      <c r="R103" s="3">
        <v>16.307765796332799</v>
      </c>
      <c r="S103" s="3">
        <v>4.8670150334391096</v>
      </c>
      <c r="T103" s="3">
        <v>14.3191839132915</v>
      </c>
      <c r="U103" s="3">
        <v>12.214827384908199</v>
      </c>
      <c r="V103" s="3">
        <v>17.657822110542501</v>
      </c>
    </row>
    <row r="104" spans="1:22" x14ac:dyDescent="0.35">
      <c r="A104" s="2">
        <v>44888</v>
      </c>
      <c r="B104" s="3">
        <v>14.010442808857499</v>
      </c>
      <c r="C104" s="3">
        <v>5.8851478910244799</v>
      </c>
      <c r="D104" s="3">
        <v>13.251415646172299</v>
      </c>
      <c r="E104" s="3">
        <v>14.0191333577592</v>
      </c>
      <c r="F104" s="3">
        <v>6.1002760640536096</v>
      </c>
      <c r="G104" s="3">
        <v>10.0341262029141</v>
      </c>
      <c r="H104" s="3">
        <v>14.6373670912416</v>
      </c>
      <c r="I104" s="3">
        <v>10.983442908625699</v>
      </c>
      <c r="J104" s="3">
        <v>13.7926411813902</v>
      </c>
      <c r="K104" s="3">
        <v>9.8129365693294002</v>
      </c>
      <c r="L104" s="3">
        <v>5.7890609577446197</v>
      </c>
      <c r="M104" s="3">
        <v>10.345819441688199</v>
      </c>
      <c r="N104" s="3">
        <v>-6.63194806413291</v>
      </c>
      <c r="O104" s="3">
        <v>26.1249813736272</v>
      </c>
      <c r="P104" s="3">
        <v>11.3286395480363</v>
      </c>
      <c r="Q104" s="3">
        <v>13.5445121461978</v>
      </c>
      <c r="R104" s="3">
        <v>16.6336794172685</v>
      </c>
      <c r="S104" s="3">
        <v>5.19305085591549</v>
      </c>
      <c r="T104" s="3">
        <v>13.752123739560799</v>
      </c>
      <c r="U104" s="3">
        <v>11.4953273247573</v>
      </c>
      <c r="V104" s="3">
        <v>16.544723444575901</v>
      </c>
    </row>
    <row r="105" spans="1:22" x14ac:dyDescent="0.35">
      <c r="A105" s="2">
        <v>44918</v>
      </c>
      <c r="B105" s="3">
        <v>13.8740366748169</v>
      </c>
      <c r="C105" s="3">
        <v>5.5060885330640001</v>
      </c>
      <c r="D105" s="3">
        <v>12.476823921121399</v>
      </c>
      <c r="E105" s="3">
        <v>13.801213751483401</v>
      </c>
      <c r="F105" s="3">
        <v>5.9295026563456599</v>
      </c>
      <c r="G105" s="3">
        <v>9.1820314728698005</v>
      </c>
      <c r="H105" s="3">
        <v>14.826857641797901</v>
      </c>
      <c r="I105" s="3">
        <v>10.804968904731499</v>
      </c>
      <c r="J105" s="3">
        <v>13.261941157828799</v>
      </c>
      <c r="K105" s="3">
        <v>9.6262299093488206</v>
      </c>
      <c r="L105" s="3">
        <v>5.6861647853705204</v>
      </c>
      <c r="M105" s="3">
        <v>10.2215359522502</v>
      </c>
      <c r="N105" s="3">
        <v>3.46074956612448</v>
      </c>
      <c r="O105" s="3">
        <v>25.584368664645499</v>
      </c>
      <c r="P105" s="3">
        <v>12.1926246538033</v>
      </c>
      <c r="Q105" s="3">
        <v>12.426672644825899</v>
      </c>
      <c r="R105" s="3">
        <v>16.438542448055699</v>
      </c>
      <c r="S105" s="3">
        <v>5.2159782733089699</v>
      </c>
      <c r="T105" s="3">
        <v>12.7436337855335</v>
      </c>
      <c r="U105" s="3">
        <v>11.781453336533099</v>
      </c>
      <c r="V105" s="3">
        <v>15.186181927746601</v>
      </c>
    </row>
    <row r="106" spans="1:22" x14ac:dyDescent="0.35">
      <c r="A106" s="2">
        <v>44949</v>
      </c>
      <c r="B106" s="3">
        <v>15.0591994148773</v>
      </c>
      <c r="C106" s="3">
        <v>5.6661634273834398</v>
      </c>
      <c r="D106" s="3">
        <v>12.32921813435</v>
      </c>
      <c r="E106" s="3">
        <v>14.7323128738807</v>
      </c>
      <c r="F106" s="3">
        <v>6.3655902877566701</v>
      </c>
      <c r="G106" s="3">
        <v>10.466305353856001</v>
      </c>
      <c r="H106" s="3">
        <v>15.009881510710599</v>
      </c>
      <c r="I106" s="3">
        <v>11.5955349375563</v>
      </c>
      <c r="J106" s="3">
        <v>14.1221064550402</v>
      </c>
      <c r="K106" s="3">
        <v>10.363964468836601</v>
      </c>
      <c r="L106" s="3">
        <v>5.81592773136631</v>
      </c>
      <c r="M106" s="3">
        <v>11.0739839988398</v>
      </c>
      <c r="N106" s="3">
        <v>6.6168282158872396</v>
      </c>
      <c r="O106" s="3">
        <v>25.7551293821478</v>
      </c>
      <c r="P106" s="3">
        <v>13.9714806598304</v>
      </c>
      <c r="Q106" s="3">
        <v>12.4852320584823</v>
      </c>
      <c r="R106" s="3">
        <v>17.2867793868425</v>
      </c>
      <c r="S106" s="3">
        <v>5.2032461854063401</v>
      </c>
      <c r="T106" s="3">
        <v>12.4977948603517</v>
      </c>
      <c r="U106" s="3">
        <v>12.446853680223599</v>
      </c>
      <c r="V106" s="3">
        <v>15.993913975961499</v>
      </c>
    </row>
    <row r="107" spans="1:22" x14ac:dyDescent="0.35">
      <c r="A107" s="2">
        <v>44980</v>
      </c>
      <c r="B107" s="3">
        <v>14.763764335428601</v>
      </c>
      <c r="C107" s="3">
        <v>6.00949601055322</v>
      </c>
      <c r="D107" s="3">
        <v>12.318565427662699</v>
      </c>
      <c r="E107" s="3">
        <v>13.5866092964381</v>
      </c>
      <c r="F107" s="3">
        <v>5.4357502309228298</v>
      </c>
      <c r="G107" s="3">
        <v>9.5754102249278592</v>
      </c>
      <c r="H107" s="3">
        <v>14.8708834732297</v>
      </c>
      <c r="I107" s="3">
        <v>12.453077996508901</v>
      </c>
      <c r="J107" s="3">
        <v>14.497632269910101</v>
      </c>
      <c r="K107" s="3">
        <v>11.0269589031394</v>
      </c>
      <c r="L107" s="3">
        <v>5.7174387164949696</v>
      </c>
      <c r="M107" s="3">
        <v>10.386351121008399</v>
      </c>
      <c r="N107" s="3">
        <v>7.9396160528124504</v>
      </c>
      <c r="O107" s="3">
        <v>24.533976609563801</v>
      </c>
      <c r="P107" s="3">
        <v>12.725850084437001</v>
      </c>
      <c r="Q107" s="3">
        <v>11.6857139699742</v>
      </c>
      <c r="R107" s="3">
        <v>17.373675509648098</v>
      </c>
      <c r="S107" s="3">
        <v>4.5843357229129804</v>
      </c>
      <c r="T107" s="3">
        <v>12.2590871633641</v>
      </c>
      <c r="U107" s="3">
        <v>12.7484224474274</v>
      </c>
      <c r="V107" s="3">
        <v>15.332077765673301</v>
      </c>
    </row>
    <row r="108" spans="1:22" x14ac:dyDescent="0.35">
      <c r="A108" s="2">
        <v>45008</v>
      </c>
      <c r="B108" s="3">
        <v>14.433351916929</v>
      </c>
      <c r="C108" s="3">
        <v>5.8510204243941901</v>
      </c>
      <c r="D108" s="3">
        <v>11.9957653309171</v>
      </c>
      <c r="E108" s="3">
        <v>13.124712113602101</v>
      </c>
      <c r="F108" s="3">
        <v>5.9877285519503696</v>
      </c>
      <c r="G108" s="3">
        <v>9.4090716519974098</v>
      </c>
      <c r="H108" s="3">
        <v>14.707075201794501</v>
      </c>
      <c r="I108" s="3">
        <v>12.8254316063933</v>
      </c>
      <c r="J108" s="3">
        <v>14.4615178967342</v>
      </c>
      <c r="K108" s="3">
        <v>11.3437555722374</v>
      </c>
      <c r="L108" s="3">
        <v>5.52793775197601</v>
      </c>
      <c r="M108" s="3">
        <v>10.208663190722</v>
      </c>
      <c r="N108" s="3">
        <v>7.6706573865541303</v>
      </c>
      <c r="O108" s="3">
        <v>23.8417410113709</v>
      </c>
      <c r="P108" s="3">
        <v>12.308178901235101</v>
      </c>
      <c r="Q108" s="3">
        <v>11.666612481314999</v>
      </c>
      <c r="R108" s="3">
        <v>17.334613164495799</v>
      </c>
      <c r="S108" s="3">
        <v>4.7129219757686798</v>
      </c>
      <c r="T108" s="3">
        <v>12.093868717384201</v>
      </c>
      <c r="U108" s="3">
        <v>12.6235571303058</v>
      </c>
      <c r="V108" s="3">
        <v>15.389995078558901</v>
      </c>
    </row>
    <row r="109" spans="1:22" x14ac:dyDescent="0.35">
      <c r="A109" s="2">
        <v>45037</v>
      </c>
      <c r="B109" s="3">
        <v>14.3080265055345</v>
      </c>
      <c r="C109" s="3">
        <v>6.0706557451476497</v>
      </c>
      <c r="D109" s="3">
        <v>12.1515888925273</v>
      </c>
      <c r="E109" s="3">
        <v>12.9769510267468</v>
      </c>
      <c r="F109" s="3">
        <v>6.0630279811965497</v>
      </c>
      <c r="G109" s="3">
        <v>9.5843820217219804</v>
      </c>
      <c r="H109" s="3">
        <v>14.6112743191983</v>
      </c>
      <c r="I109" s="3">
        <v>13.1277995449462</v>
      </c>
      <c r="J109" s="3">
        <v>14.336445238691301</v>
      </c>
      <c r="K109" s="3">
        <v>12.1133249153253</v>
      </c>
      <c r="L109" s="3">
        <v>5.7993100706347196</v>
      </c>
      <c r="M109" s="3">
        <v>10.209969049324</v>
      </c>
      <c r="N109" s="3">
        <v>7.6654913026462603</v>
      </c>
      <c r="O109" s="3">
        <v>23.684090743401001</v>
      </c>
      <c r="P109" s="3">
        <v>12.185142881223401</v>
      </c>
      <c r="Q109" s="3">
        <v>11.5539275654689</v>
      </c>
      <c r="R109" s="3">
        <v>17.200141484446799</v>
      </c>
      <c r="S109" s="3">
        <v>4.6612568279363504</v>
      </c>
      <c r="T109" s="3">
        <v>12.077621994931899</v>
      </c>
      <c r="U109" s="3">
        <v>12.8397239168062</v>
      </c>
      <c r="V109" s="3">
        <v>15.851513424001601</v>
      </c>
    </row>
    <row r="110" spans="1:22" x14ac:dyDescent="0.35">
      <c r="A110" s="2">
        <v>45069</v>
      </c>
      <c r="B110" s="3">
        <v>14.067179262811299</v>
      </c>
      <c r="C110" s="3">
        <v>6.6443916604824196</v>
      </c>
      <c r="D110" s="3">
        <v>12.1585646871417</v>
      </c>
      <c r="E110" s="3">
        <v>12.6612582790313</v>
      </c>
      <c r="F110" s="3">
        <v>6.3052153769691897</v>
      </c>
      <c r="G110" s="3">
        <v>9.5511356047606508</v>
      </c>
      <c r="H110" s="3">
        <v>14.4699383911359</v>
      </c>
      <c r="I110" s="3">
        <v>14.030394131071599</v>
      </c>
      <c r="J110" s="3">
        <v>13.962623914010001</v>
      </c>
      <c r="K110" s="3">
        <v>12.383710920127299</v>
      </c>
      <c r="L110" s="3">
        <v>6.0099310289650303</v>
      </c>
      <c r="M110" s="3">
        <v>10.0202438953556</v>
      </c>
      <c r="N110" s="3">
        <v>7.69298012976801</v>
      </c>
      <c r="O110" s="3">
        <v>23.810912564161001</v>
      </c>
      <c r="P110" s="3">
        <v>11.9413786110124</v>
      </c>
      <c r="Q110" s="3">
        <v>11.8010616829062</v>
      </c>
      <c r="R110" s="3">
        <v>17.145023692788701</v>
      </c>
      <c r="S110" s="3">
        <v>4.4368765945590196</v>
      </c>
      <c r="T110" s="3">
        <v>11.835795657751399</v>
      </c>
      <c r="U110" s="3">
        <v>13.4684773216692</v>
      </c>
      <c r="V110" s="3">
        <v>16.166613616453301</v>
      </c>
    </row>
    <row r="111" spans="1:22" x14ac:dyDescent="0.35">
      <c r="A111" s="2">
        <v>45100</v>
      </c>
      <c r="B111" s="3">
        <v>13.956842031725699</v>
      </c>
      <c r="C111" s="3">
        <v>6.9267996372655798</v>
      </c>
      <c r="D111" s="3">
        <v>12.897218769533399</v>
      </c>
      <c r="E111" s="3">
        <v>12.007623019218601</v>
      </c>
      <c r="F111" s="3">
        <v>6.5855891464227101</v>
      </c>
      <c r="G111" s="3">
        <v>10.0006325131294</v>
      </c>
      <c r="H111" s="3">
        <v>14.5323455785867</v>
      </c>
      <c r="I111" s="3">
        <v>14.943666455342701</v>
      </c>
      <c r="J111" s="3">
        <v>13.539661358633699</v>
      </c>
      <c r="K111" s="3">
        <v>12.501872480097299</v>
      </c>
      <c r="L111" s="3">
        <v>6.6508323763240398</v>
      </c>
      <c r="M111" s="3">
        <v>10.011212785067</v>
      </c>
      <c r="N111" s="3">
        <v>7.8731599271125399</v>
      </c>
      <c r="O111" s="3">
        <v>23.9344989237233</v>
      </c>
      <c r="P111" s="3">
        <v>11.7717366340362</v>
      </c>
      <c r="Q111" s="3">
        <v>11.7209410242712</v>
      </c>
      <c r="R111" s="3">
        <v>17.032113453796899</v>
      </c>
      <c r="S111" s="3">
        <v>4.9156584545574598</v>
      </c>
      <c r="T111" s="3">
        <v>11.789023257489401</v>
      </c>
      <c r="U111" s="3">
        <v>14.1158177963247</v>
      </c>
      <c r="V111" s="3">
        <v>16.7715605329672</v>
      </c>
    </row>
    <row r="112" spans="1:22" x14ac:dyDescent="0.35">
      <c r="A112" s="2">
        <v>45128</v>
      </c>
      <c r="B112" s="3">
        <v>13.7456944556231</v>
      </c>
      <c r="C112" s="3">
        <v>7.6905652709391301</v>
      </c>
      <c r="D112" s="3">
        <v>13.2730613433299</v>
      </c>
      <c r="E112" s="3">
        <v>11.9912073841947</v>
      </c>
      <c r="F112" s="3">
        <v>6.5988629799411003</v>
      </c>
      <c r="G112" s="3">
        <v>10.632727319257</v>
      </c>
      <c r="H112" s="3">
        <v>14.6187994870827</v>
      </c>
      <c r="I112" s="3">
        <v>15.7095400331861</v>
      </c>
      <c r="J112" s="3">
        <v>13.4328518004782</v>
      </c>
      <c r="K112" s="3">
        <v>12.991417391931799</v>
      </c>
      <c r="L112" s="3">
        <v>7.02258734423169</v>
      </c>
      <c r="M112" s="3">
        <v>10.552358560295501</v>
      </c>
      <c r="N112" s="3">
        <v>8.1458870163836004</v>
      </c>
      <c r="O112" s="3">
        <v>24.161998076783402</v>
      </c>
      <c r="P112" s="3">
        <v>11.7964430978859</v>
      </c>
      <c r="Q112" s="3">
        <v>11.946911791566601</v>
      </c>
      <c r="R112" s="3">
        <v>17.282580683174601</v>
      </c>
      <c r="S112" s="3">
        <v>5.5066687374213199</v>
      </c>
      <c r="T112" s="3">
        <v>11.7038472476547</v>
      </c>
      <c r="U112" s="3">
        <v>13.7244905177246</v>
      </c>
      <c r="V112" s="3">
        <v>17.392867499833699</v>
      </c>
    </row>
    <row r="113" spans="1:37" x14ac:dyDescent="0.35">
      <c r="A113" s="2">
        <v>45161</v>
      </c>
      <c r="B113" s="3">
        <v>13.473064728138899</v>
      </c>
      <c r="C113" s="3">
        <v>7.9368506358156301</v>
      </c>
      <c r="D113" s="3">
        <v>13.569566637532599</v>
      </c>
      <c r="E113" s="3">
        <v>11.123250162566301</v>
      </c>
      <c r="F113" s="3">
        <v>6.8611557065110302</v>
      </c>
      <c r="G113" s="3">
        <v>11.0294539751778</v>
      </c>
      <c r="H113" s="3">
        <v>14.8033936501947</v>
      </c>
      <c r="I113" s="3">
        <v>15.9774942525369</v>
      </c>
      <c r="J113" s="3">
        <v>13.1421612316703</v>
      </c>
      <c r="K113" s="3">
        <v>12.9163369518216</v>
      </c>
      <c r="L113" s="3">
        <v>7.16576164083168</v>
      </c>
      <c r="M113" s="3">
        <v>10.4369461026302</v>
      </c>
      <c r="N113" s="3">
        <v>7.5874895986742397</v>
      </c>
      <c r="O113" s="3">
        <v>23.710584778085799</v>
      </c>
      <c r="P113" s="3">
        <v>11.462142323102499</v>
      </c>
      <c r="Q113" s="3">
        <v>11.8390280156679</v>
      </c>
      <c r="R113" s="3">
        <v>17.6093045807655</v>
      </c>
      <c r="S113" s="3">
        <v>6.0504208454017503</v>
      </c>
      <c r="T113" s="3">
        <v>11.408871726033301</v>
      </c>
      <c r="U113" s="3">
        <v>14.337953900232099</v>
      </c>
      <c r="V113" s="3">
        <v>17.6656163403308</v>
      </c>
    </row>
    <row r="114" spans="1:37" x14ac:dyDescent="0.35">
      <c r="A114" s="2">
        <v>45191</v>
      </c>
      <c r="B114" s="3">
        <v>13.7915933440448</v>
      </c>
      <c r="C114" s="3">
        <v>7.7972407203744201</v>
      </c>
      <c r="D114" s="3">
        <v>13.584384281814</v>
      </c>
      <c r="E114" s="3">
        <v>11.0880910914103</v>
      </c>
      <c r="F114" s="3">
        <v>6.9261430752169897</v>
      </c>
      <c r="G114" s="3">
        <v>10.8704790124252</v>
      </c>
      <c r="H114" s="3">
        <v>14.938632414208</v>
      </c>
      <c r="I114" s="3">
        <v>16.186038525632799</v>
      </c>
      <c r="J114" s="3">
        <v>12.7734338553672</v>
      </c>
      <c r="K114" s="3">
        <v>13.5488915486282</v>
      </c>
      <c r="L114" s="3">
        <v>7.2257538552548199</v>
      </c>
      <c r="M114" s="3">
        <v>10.583388068581399</v>
      </c>
      <c r="N114" s="3">
        <v>7.15210649354119</v>
      </c>
      <c r="O114" s="3">
        <v>23.6219501536496</v>
      </c>
      <c r="P114" s="3">
        <v>11.638346742608</v>
      </c>
      <c r="Q114" s="3">
        <v>11.675674576974799</v>
      </c>
      <c r="R114" s="3">
        <v>17.375471007952701</v>
      </c>
      <c r="S114" s="3">
        <v>6.3040393323085899</v>
      </c>
      <c r="T114" s="3">
        <v>11.282441857143001</v>
      </c>
      <c r="U114" s="3">
        <v>14.2886456989532</v>
      </c>
      <c r="V114" s="3">
        <v>17.455940507468501</v>
      </c>
    </row>
    <row r="115" spans="1:37" x14ac:dyDescent="0.35">
      <c r="A115" s="2">
        <v>45222</v>
      </c>
      <c r="B115" s="3">
        <v>12.9272086611186</v>
      </c>
      <c r="C115" s="3">
        <v>7.8001185818266503</v>
      </c>
      <c r="D115" s="3">
        <v>12.8948459871498</v>
      </c>
      <c r="E115" s="3">
        <v>10.819924874193401</v>
      </c>
      <c r="F115" s="3">
        <v>7.1754102500707004</v>
      </c>
      <c r="G115" s="3">
        <v>10.641806815889</v>
      </c>
      <c r="H115" s="3">
        <v>14.828282934347399</v>
      </c>
      <c r="I115" s="3">
        <v>16.319284597088799</v>
      </c>
      <c r="J115" s="3">
        <v>12.0226747187578</v>
      </c>
      <c r="K115" s="3">
        <v>13.228402091904099</v>
      </c>
      <c r="L115" s="3">
        <v>7.1702492282596504</v>
      </c>
      <c r="M115" s="3">
        <v>10.4486797124632</v>
      </c>
      <c r="N115" s="3">
        <v>6.7005087503995702</v>
      </c>
      <c r="O115" s="3">
        <v>23.111301667594901</v>
      </c>
      <c r="P115" s="3">
        <v>10.9779197485958</v>
      </c>
      <c r="Q115" s="3">
        <v>11.1749181016125</v>
      </c>
      <c r="R115" s="3">
        <v>16.477858724914</v>
      </c>
      <c r="S115" s="3">
        <v>5.9567356181653901</v>
      </c>
      <c r="T115" s="3">
        <v>10.1060915767598</v>
      </c>
      <c r="U115" s="3">
        <v>15.508805593599</v>
      </c>
      <c r="V115" s="3">
        <v>16.899311386578699</v>
      </c>
    </row>
    <row r="116" spans="1:37" x14ac:dyDescent="0.35">
      <c r="A116" s="2">
        <v>45252</v>
      </c>
      <c r="B116" s="3">
        <v>13.5293627270025</v>
      </c>
      <c r="C116" s="3">
        <v>8.2696070981368894</v>
      </c>
      <c r="D116" s="3">
        <v>13.1994248965413</v>
      </c>
      <c r="E116" s="3">
        <v>10.485555040086201</v>
      </c>
      <c r="F116" s="3">
        <v>7.4827006219109302</v>
      </c>
      <c r="G116" s="3">
        <v>11.9531687840703</v>
      </c>
      <c r="H116" s="3">
        <v>15.0023990368631</v>
      </c>
      <c r="I116" s="3">
        <v>17.409872849785799</v>
      </c>
      <c r="J116" s="3">
        <v>12.9751176899199</v>
      </c>
      <c r="K116" s="3">
        <v>14.337573311750299</v>
      </c>
      <c r="L116" s="3">
        <v>7.9972493032077701</v>
      </c>
      <c r="M116" s="3">
        <v>11.067563107961901</v>
      </c>
      <c r="N116" s="3">
        <v>6.6669167009377297</v>
      </c>
      <c r="O116" s="3">
        <v>23.5945888624729</v>
      </c>
      <c r="P116" s="3">
        <v>11.225849603692099</v>
      </c>
      <c r="Q116" s="3">
        <v>11.609177142508599</v>
      </c>
      <c r="R116" s="3">
        <v>16.2996059134883</v>
      </c>
      <c r="S116" s="3">
        <v>5.7783460526325996</v>
      </c>
      <c r="T116" s="3">
        <v>10.207765708471101</v>
      </c>
      <c r="U116" s="3">
        <v>15.961812573878699</v>
      </c>
      <c r="V116" s="3">
        <v>18.614646921302899</v>
      </c>
    </row>
    <row r="117" spans="1:37" x14ac:dyDescent="0.35">
      <c r="A117" s="2">
        <v>45282</v>
      </c>
      <c r="B117" s="3">
        <v>13.080329230261601</v>
      </c>
      <c r="C117" s="3">
        <v>8.7233676779014306</v>
      </c>
      <c r="D117" s="3">
        <v>13.807301453533601</v>
      </c>
      <c r="E117" s="3">
        <v>9.9881853137469392</v>
      </c>
      <c r="F117" s="3">
        <v>8.9778063772885801</v>
      </c>
      <c r="G117" s="3">
        <v>14.6924677282089</v>
      </c>
      <c r="H117" s="3">
        <v>15.130695110888899</v>
      </c>
      <c r="I117" s="3">
        <v>18.494435404893299</v>
      </c>
      <c r="J117" s="3">
        <v>14.063726059398199</v>
      </c>
      <c r="K117" s="3">
        <v>15.0703945140279</v>
      </c>
      <c r="L117" s="3">
        <v>8.6123380416697604</v>
      </c>
      <c r="M117" s="3">
        <v>11.2662420525924</v>
      </c>
      <c r="N117" s="3">
        <v>6.2981121597929004</v>
      </c>
      <c r="O117" s="3">
        <v>25.316087293795199</v>
      </c>
      <c r="P117" s="3">
        <v>10.3548433703812</v>
      </c>
      <c r="Q117" s="3">
        <v>11.6242240774782</v>
      </c>
      <c r="R117" s="3">
        <v>16.275135215377301</v>
      </c>
      <c r="S117" s="3">
        <v>5.4948671191612304</v>
      </c>
      <c r="T117" s="3">
        <v>10.046967903911201</v>
      </c>
      <c r="U117" s="3">
        <v>16.4659557831183</v>
      </c>
      <c r="V117" s="3">
        <v>20.444981636852699</v>
      </c>
    </row>
    <row r="118" spans="1:37" x14ac:dyDescent="0.35">
      <c r="A118" s="2">
        <v>45314</v>
      </c>
      <c r="B118" s="3">
        <v>12.4226200884068</v>
      </c>
      <c r="C118" s="3">
        <v>8.6624296243635808</v>
      </c>
      <c r="D118" s="3">
        <v>13.877664371170001</v>
      </c>
      <c r="E118" s="3">
        <v>10.112843858823901</v>
      </c>
      <c r="F118" s="3">
        <v>8.4276535862192006</v>
      </c>
      <c r="G118" s="3">
        <v>14.6936798253275</v>
      </c>
      <c r="H118" s="3">
        <v>15.277290954723799</v>
      </c>
      <c r="I118" s="3">
        <v>19.017554461345</v>
      </c>
      <c r="J118" s="3">
        <v>13.611093585254901</v>
      </c>
      <c r="K118" s="3">
        <v>14.5685819814253</v>
      </c>
      <c r="L118" s="3">
        <v>8.2081014260092307</v>
      </c>
      <c r="M118" s="3">
        <v>10.958339448927999</v>
      </c>
      <c r="N118" s="3">
        <v>6.3971127505150704</v>
      </c>
      <c r="O118" s="3">
        <v>25.358794904079101</v>
      </c>
      <c r="P118" s="3">
        <v>9.8377059859504303</v>
      </c>
      <c r="Q118" s="3">
        <v>11.613653979914501</v>
      </c>
      <c r="R118" s="3">
        <v>15.2547082824294</v>
      </c>
      <c r="S118" s="3">
        <v>5.7663524740452203</v>
      </c>
      <c r="T118" s="3">
        <v>10.1397257003847</v>
      </c>
      <c r="U118" s="3">
        <v>16.876505045827301</v>
      </c>
      <c r="V118" s="3">
        <v>21.4432444583184</v>
      </c>
    </row>
    <row r="119" spans="1:37" x14ac:dyDescent="0.35">
      <c r="A119" s="2">
        <v>45345</v>
      </c>
      <c r="B119" s="3">
        <v>13.436034931025899</v>
      </c>
      <c r="C119" s="3">
        <v>6.8665082469037104</v>
      </c>
      <c r="D119" s="3">
        <v>14.3036162434052</v>
      </c>
      <c r="E119" s="3">
        <v>10.713790071649299</v>
      </c>
      <c r="F119" s="3">
        <v>9.0979462336190302</v>
      </c>
      <c r="G119" s="3">
        <v>15.283545554945499</v>
      </c>
      <c r="H119" s="3">
        <v>15.616319528567001</v>
      </c>
      <c r="I119" s="3">
        <v>19.766398234794298</v>
      </c>
      <c r="J119" s="3">
        <v>16.3123120311426</v>
      </c>
      <c r="K119" s="3">
        <v>16.558110310883301</v>
      </c>
      <c r="L119" s="3">
        <v>8.6140891331897596</v>
      </c>
      <c r="M119" s="3">
        <v>10.8836020432905</v>
      </c>
      <c r="N119" s="3">
        <v>6.72948236915735</v>
      </c>
      <c r="O119" s="3">
        <v>26.529050472569399</v>
      </c>
      <c r="P119" s="3">
        <v>10.6717426702519</v>
      </c>
      <c r="Q119" s="3">
        <v>11.411767839552001</v>
      </c>
      <c r="R119" s="3">
        <v>16.9085249309239</v>
      </c>
      <c r="S119" s="3">
        <v>6.7873165213574902</v>
      </c>
      <c r="T119" s="3">
        <v>9.4053498562215996</v>
      </c>
      <c r="U119" s="3">
        <v>17.988393718669101</v>
      </c>
      <c r="V119" s="3">
        <v>22.069757022159099</v>
      </c>
    </row>
    <row r="120" spans="1:37" x14ac:dyDescent="0.35">
      <c r="A120" s="2">
        <v>45373</v>
      </c>
      <c r="B120" s="3">
        <v>13.561035058436399</v>
      </c>
      <c r="C120" s="3">
        <v>7.3364130886696204</v>
      </c>
      <c r="D120" s="3">
        <v>14.1340469766299</v>
      </c>
      <c r="E120" s="3">
        <v>10.5479872980828</v>
      </c>
      <c r="F120" s="3">
        <v>8.9315766660212503</v>
      </c>
      <c r="G120" s="3">
        <v>15.2536043817019</v>
      </c>
      <c r="H120" s="3">
        <v>15.728671921644899</v>
      </c>
      <c r="I120" s="3">
        <v>19.8827983659551</v>
      </c>
      <c r="J120" s="3">
        <v>15.6905985169725</v>
      </c>
      <c r="K120" s="3">
        <v>16.0321831815723</v>
      </c>
      <c r="L120" s="3">
        <v>8.3822069309311402</v>
      </c>
      <c r="M120" s="3">
        <v>10.650634518537499</v>
      </c>
      <c r="N120" s="3">
        <v>6.7806402362112701</v>
      </c>
      <c r="O120" s="3">
        <v>25.939036464984401</v>
      </c>
      <c r="P120" s="3">
        <v>10.434023398391201</v>
      </c>
      <c r="Q120" s="3">
        <v>11.4354978498228</v>
      </c>
      <c r="R120" s="3">
        <v>16.5510400288684</v>
      </c>
      <c r="S120" s="3">
        <v>6.5496882306198998</v>
      </c>
      <c r="T120" s="3">
        <v>9.4355549956068892</v>
      </c>
      <c r="U120" s="3">
        <v>18.793328488559901</v>
      </c>
      <c r="V120" s="3">
        <v>21.869466900333698</v>
      </c>
    </row>
    <row r="121" spans="1:37" x14ac:dyDescent="0.35">
      <c r="A121" s="2">
        <v>45405</v>
      </c>
      <c r="B121" s="3">
        <v>13.563962827352899</v>
      </c>
      <c r="C121" s="3">
        <v>7.4287915482339404</v>
      </c>
      <c r="D121" s="3">
        <v>13.752623381544799</v>
      </c>
      <c r="E121" s="3">
        <v>10.3282058495796</v>
      </c>
      <c r="F121" s="3">
        <v>8.8627329364337797</v>
      </c>
      <c r="G121" s="3">
        <v>15.0608541026415</v>
      </c>
      <c r="H121" s="3">
        <v>15.623934892332899</v>
      </c>
      <c r="I121" s="3">
        <v>19.430705377050501</v>
      </c>
      <c r="J121" s="3">
        <v>15.421602151741199</v>
      </c>
      <c r="K121" s="3">
        <v>15.3025342931399</v>
      </c>
      <c r="L121" s="3">
        <v>8.2829955456702304</v>
      </c>
      <c r="M121" s="3">
        <v>10.4729117600767</v>
      </c>
      <c r="N121" s="3">
        <v>6.8550297248088699</v>
      </c>
      <c r="O121" s="3">
        <v>25.7543276331273</v>
      </c>
      <c r="P121" s="3">
        <v>10.434434829050801</v>
      </c>
      <c r="Q121" s="3">
        <v>11.2007913863441</v>
      </c>
      <c r="R121" s="3">
        <v>16.315910752604399</v>
      </c>
      <c r="S121" s="3">
        <v>6.5484439811433504</v>
      </c>
      <c r="T121" s="3">
        <v>9.2894105090947203</v>
      </c>
      <c r="U121" s="3">
        <v>17.933224027122101</v>
      </c>
      <c r="V121" s="3">
        <v>21.3458105225785</v>
      </c>
    </row>
    <row r="122" spans="1:37" x14ac:dyDescent="0.35">
      <c r="A122" s="2">
        <v>45433</v>
      </c>
      <c r="B122" s="3">
        <v>13.8716904212671</v>
      </c>
      <c r="C122" s="3">
        <v>7.5922749911856702</v>
      </c>
      <c r="D122" s="3">
        <v>13.5860734204701</v>
      </c>
      <c r="E122" s="3">
        <v>10.155240251716</v>
      </c>
      <c r="F122" s="3">
        <v>9.0932904536723793</v>
      </c>
      <c r="G122" s="3">
        <v>15.5722056393121</v>
      </c>
      <c r="H122" s="3">
        <v>15.694497158285801</v>
      </c>
      <c r="I122" s="3">
        <v>19.776103717076701</v>
      </c>
      <c r="J122" s="3">
        <v>15.2263052679633</v>
      </c>
      <c r="K122" s="3">
        <v>14.8113334236493</v>
      </c>
      <c r="L122" s="3">
        <v>8.2064681890860598</v>
      </c>
      <c r="M122" s="3">
        <v>10.789916356743101</v>
      </c>
      <c r="N122" s="3">
        <v>6.9186000020362499</v>
      </c>
      <c r="O122" s="3">
        <v>25.667923023726999</v>
      </c>
      <c r="P122" s="3">
        <v>10.883873859444201</v>
      </c>
      <c r="Q122" s="3">
        <v>11.0450508506453</v>
      </c>
      <c r="R122" s="3">
        <v>16.204743838332298</v>
      </c>
      <c r="S122" s="3">
        <v>6.77409572985247</v>
      </c>
      <c r="T122" s="3">
        <v>9.0928201027871101</v>
      </c>
      <c r="U122" s="3">
        <v>18.3161535560651</v>
      </c>
      <c r="V122" s="3">
        <v>20.807637855483801</v>
      </c>
    </row>
    <row r="124" spans="1:37" x14ac:dyDescent="0.35">
      <c r="A124" s="2" t="s">
        <v>91</v>
      </c>
      <c r="B124" s="3" cm="1">
        <f t="array" ref="B124">MIN(_xlfn._xlws.FILTER(B1:B122, ISNUMBER(B1:B122)))</f>
        <v>10.8089996972215</v>
      </c>
      <c r="C124" s="3" cm="1">
        <f t="array" ref="C124">MIN(_xlfn._xlws.FILTER(C1:C122, ISNUMBER(C1:C122)))</f>
        <v>5.5060885330640001</v>
      </c>
      <c r="D124" s="3" cm="1">
        <f t="array" ref="D124">MIN(_xlfn._xlws.FILTER(D1:D122, ISNUMBER(D1:D122)))</f>
        <v>11.9957653309171</v>
      </c>
      <c r="E124" s="3" cm="1">
        <f t="array" ref="E124">MIN(_xlfn._xlws.FILTER(E1:E122, ISNUMBER(E1:E122)))</f>
        <v>9.9881853137469392</v>
      </c>
      <c r="F124" s="3" cm="1">
        <f t="array" ref="F124">MIN(_xlfn._xlws.FILTER(F1:F122, ISNUMBER(F1:F122)))</f>
        <v>5.4357502309228298</v>
      </c>
      <c r="G124" s="3" cm="1">
        <f t="array" ref="G124">MIN(_xlfn._xlws.FILTER(G1:G122, ISNUMBER(G1:G122)))</f>
        <v>9.1240198653592302</v>
      </c>
      <c r="H124" s="3" cm="1">
        <f t="array" ref="H124">MIN(_xlfn._xlws.FILTER(H1:H122, ISNUMBER(H1:H122)))</f>
        <v>14.2911045093577</v>
      </c>
      <c r="I124" s="3" cm="1">
        <f t="array" ref="I124">MIN(_xlfn._xlws.FILTER(I1:I122, ISNUMBER(I1:I122)))</f>
        <v>9.8492091223262594</v>
      </c>
      <c r="J124" s="3" cm="1">
        <f t="array" ref="J124">MIN(_xlfn._xlws.FILTER(J1:J122, ISNUMBER(J1:J122)))</f>
        <v>12.0226747187578</v>
      </c>
      <c r="K124" s="3" cm="1">
        <f t="array" ref="K124">MIN(_xlfn._xlws.FILTER(K1:K122, ISNUMBER(K1:K122)))</f>
        <v>8.3034209174726197</v>
      </c>
      <c r="L124" s="3" cm="1">
        <f t="array" ref="L124">MIN(_xlfn._xlws.FILTER(L1:L122, ISNUMBER(L1:L122)))</f>
        <v>5.52793775197601</v>
      </c>
      <c r="M124" s="3" cm="1">
        <f t="array" ref="M124">MIN(_xlfn._xlws.FILTER(M1:M122, ISNUMBER(M1:M122)))</f>
        <v>9.3156993761694302</v>
      </c>
      <c r="N124" s="3" cm="1">
        <f t="array" ref="N124">MIN(_xlfn._xlws.FILTER(N1:N122, ISNUMBER(N1:N122)))</f>
        <v>-124.994042972581</v>
      </c>
      <c r="O124" s="3" cm="1">
        <f t="array" ref="O124">MIN(_xlfn._xlws.FILTER(O1:O122, ISNUMBER(O1:O122)))</f>
        <v>16.8257138797495</v>
      </c>
      <c r="P124" s="3" cm="1">
        <f t="array" ref="P124">MIN(_xlfn._xlws.FILTER(P1:P122, ISNUMBER(P1:P122)))</f>
        <v>9.2560829582655906</v>
      </c>
      <c r="Q124" s="3" cm="1">
        <f t="array" ref="Q124">MIN(_xlfn._xlws.FILTER(Q1:Q122, ISNUMBER(Q1:Q122)))</f>
        <v>10.165467927628001</v>
      </c>
      <c r="R124" s="3" cm="1">
        <f t="array" ref="R124">MIN(_xlfn._xlws.FILTER(R1:R122, ISNUMBER(R1:R122)))</f>
        <v>14.1853776975919</v>
      </c>
      <c r="S124" s="3" cm="1">
        <f t="array" ref="S124">MIN(_xlfn._xlws.FILTER(S1:S122, ISNUMBER(S1:S122)))</f>
        <v>4.4368765945590196</v>
      </c>
      <c r="T124" s="3" cm="1">
        <f t="array" ref="T124">MIN(_xlfn._xlws.FILTER(T1:T122, ISNUMBER(T1:T122)))</f>
        <v>9.0928201027871101</v>
      </c>
      <c r="U124" s="3" cm="1">
        <f t="array" ref="U124">MIN(_xlfn._xlws.FILTER(U1:U122, ISNUMBER(U1:U122)))</f>
        <v>-4.98790578624725</v>
      </c>
      <c r="V124" s="3" cm="1">
        <f t="array" ref="V124">MIN(_xlfn._xlws.FILTER(V1:V122, ISNUMBER(V1:V122)))</f>
        <v>10.119312234561001</v>
      </c>
    </row>
    <row r="125" spans="1:37" x14ac:dyDescent="0.35">
      <c r="A125" s="2" t="s">
        <v>92</v>
      </c>
      <c r="B125" s="3" cm="1">
        <f t="array" ref="B125">MAX(_xlfn._xlws.FILTER(B1:B122, ISNUMBER(B1:B122)))</f>
        <v>21.565242357654999</v>
      </c>
      <c r="C125" s="3" cm="1">
        <f t="array" ref="C125">MAX(_xlfn._xlws.FILTER(C1:C122, ISNUMBER(C1:C122)))</f>
        <v>31.1645050626082</v>
      </c>
      <c r="D125" s="3" cm="1">
        <f t="array" ref="D125">MAX(_xlfn._xlws.FILTER(D1:D122, ISNUMBER(D1:D122)))</f>
        <v>25.627640742730801</v>
      </c>
      <c r="E125" s="3" cm="1">
        <f t="array" ref="E125">MAX(_xlfn._xlws.FILTER(E1:E122, ISNUMBER(E1:E122)))</f>
        <v>25.301947346189099</v>
      </c>
      <c r="F125" s="3" cm="1">
        <f t="array" ref="F125">MAX(_xlfn._xlws.FILTER(F1:F122, ISNUMBER(F1:F122)))</f>
        <v>21.923938233222302</v>
      </c>
      <c r="G125" s="3" cm="1">
        <f t="array" ref="G125">MAX(_xlfn._xlws.FILTER(G1:G122, ISNUMBER(G1:G122)))</f>
        <v>63.612958332046297</v>
      </c>
      <c r="H125" s="3" cm="1">
        <f t="array" ref="H125">MAX(_xlfn._xlws.FILTER(H1:H122, ISNUMBER(H1:H122)))</f>
        <v>21.364298245040999</v>
      </c>
      <c r="I125" s="3" cm="1">
        <f t="array" ref="I125">MAX(_xlfn._xlws.FILTER(I1:I122, ISNUMBER(I1:I122)))</f>
        <v>19.8827983659551</v>
      </c>
      <c r="J125" s="3" cm="1">
        <f t="array" ref="J125">MAX(_xlfn._xlws.FILTER(J1:J122, ISNUMBER(J1:J122)))</f>
        <v>31.470022656719799</v>
      </c>
      <c r="K125" s="3" cm="1">
        <f t="array" ref="K125">MAX(_xlfn._xlws.FILTER(K1:K122, ISNUMBER(K1:K122)))</f>
        <v>21.575464052789101</v>
      </c>
      <c r="L125" s="3" cm="1">
        <f t="array" ref="L125">MAX(_xlfn._xlws.FILTER(L1:L122, ISNUMBER(L1:L122)))</f>
        <v>35.490814554144798</v>
      </c>
      <c r="M125" s="3" cm="1">
        <f t="array" ref="M125">MAX(_xlfn._xlws.FILTER(M1:M122, ISNUMBER(M1:M122)))</f>
        <v>19.158344583623499</v>
      </c>
      <c r="N125" s="3" cm="1">
        <f t="array" ref="N125">MAX(_xlfn._xlws.FILTER(N1:N122, ISNUMBER(N1:N122)))</f>
        <v>31.888440376145599</v>
      </c>
      <c r="O125" s="3" cm="1">
        <f t="array" ref="O125">MAX(_xlfn._xlws.FILTER(O1:O122, ISNUMBER(O1:O122)))</f>
        <v>33.267713897760601</v>
      </c>
      <c r="P125" s="3" cm="1">
        <f t="array" ref="P125">MAX(_xlfn._xlws.FILTER(P1:P122, ISNUMBER(P1:P122)))</f>
        <v>21.0278518417567</v>
      </c>
      <c r="Q125" s="3" cm="1">
        <f t="array" ref="Q125">MAX(_xlfn._xlws.FILTER(Q1:Q122, ISNUMBER(Q1:Q122)))</f>
        <v>17.6488582159818</v>
      </c>
      <c r="R125" s="3" cm="1">
        <f t="array" ref="R125">MAX(_xlfn._xlws.FILTER(R1:R122, ISNUMBER(R1:R122)))</f>
        <v>28.0178782749059</v>
      </c>
      <c r="S125" s="3" cm="1">
        <f t="array" ref="S125">MAX(_xlfn._xlws.FILTER(S1:S122, ISNUMBER(S1:S122)))</f>
        <v>13.2933739194859</v>
      </c>
      <c r="T125" s="3" cm="1">
        <f t="array" ref="T125">MAX(_xlfn._xlws.FILTER(T1:T122, ISNUMBER(T1:T122)))</f>
        <v>27.938489105458501</v>
      </c>
      <c r="U125" s="3" cm="1">
        <f t="array" ref="U125">MAX(_xlfn._xlws.FILTER(U1:U122, ISNUMBER(U1:U122)))</f>
        <v>25.624078320016899</v>
      </c>
      <c r="V125" s="3" cm="1">
        <f t="array" ref="V125">MAX(_xlfn._xlws.FILTER(V1:V122, ISNUMBER(V1:V122)))</f>
        <v>28.626896209204901</v>
      </c>
    </row>
    <row r="127" spans="1:37" x14ac:dyDescent="0.35">
      <c r="A127" s="2" t="s">
        <v>93</v>
      </c>
      <c r="B127" s="9" cm="1">
        <f t="array" ref="B127">_xlfn.PERCENTRANK.EXC(_xlfn._xlws.FILTER(B1:B122, ISNUMBER(B1:B122)),B121)</f>
        <v>0.27700000000000002</v>
      </c>
      <c r="C127" s="9" cm="1">
        <f t="array" ref="C127">_xlfn.PERCENTRANK.EXC(_xlfn._xlws.FILTER(C1:C122, ISNUMBER(C1:C122)),C121)</f>
        <v>0.106</v>
      </c>
      <c r="D127" s="9" cm="1">
        <f t="array" ref="D127">_xlfn.PERCENTRANK.EXC(_xlfn._xlws.FILTER(D1:D122, ISNUMBER(D1:D122)),D121)</f>
        <v>0.122</v>
      </c>
      <c r="E127" s="9" cm="1">
        <f t="array" ref="E127">_xlfn.PERCENTRANK.EXC(_xlfn._xlws.FILTER(E1:E122, ISNUMBER(E1:E122)),E121)</f>
        <v>3.2000000000000001E-2</v>
      </c>
      <c r="F127" s="9" cm="1">
        <f t="array" ref="F127">_xlfn.PERCENTRANK.EXC(_xlfn._xlws.FILTER(F1:F122, ISNUMBER(F1:F122)),F121)</f>
        <v>0.17199999999999999</v>
      </c>
      <c r="G127" s="9" cm="1">
        <f t="array" ref="G127">_xlfn.PERCENTRANK.EXC(_xlfn._xlws.FILTER(G1:G122, ISNUMBER(G1:G122)),G121)</f>
        <v>0.33600000000000002</v>
      </c>
      <c r="H127" s="9" cm="1">
        <f t="array" ref="H127">_xlfn.PERCENTRANK.EXC(_xlfn._xlws.FILTER(H1:H122, ISNUMBER(H1:H122)),H121)</f>
        <v>0.22900000000000001</v>
      </c>
      <c r="I127" s="9" cm="1">
        <f t="array" ref="I127">_xlfn.PERCENTRANK.EXC(_xlfn._xlws.FILTER(I1:I122, ISNUMBER(I1:I122)),I121)</f>
        <v>0.95899999999999996</v>
      </c>
      <c r="J127" s="9" cm="1">
        <f t="array" ref="J127">_xlfn.PERCENTRANK.EXC(_xlfn._xlws.FILTER(J1:J122, ISNUMBER(J1:J122)),J121)</f>
        <v>0.38200000000000001</v>
      </c>
      <c r="K127" s="9" cm="1">
        <f t="array" ref="K127">_xlfn.PERCENTRANK.EXC(_xlfn._xlws.FILTER(K1:K122, ISNUMBER(K1:K122)),K121)</f>
        <v>0.85199999999999998</v>
      </c>
      <c r="L127" s="9" cm="1">
        <f t="array" ref="L127">_xlfn.PERCENTRANK.EXC(_xlfn._xlws.FILTER(L1:L122, ISNUMBER(L1:L122)),L121)</f>
        <v>0.22900000000000001</v>
      </c>
      <c r="M127" s="9" cm="1">
        <f t="array" ref="M127">_xlfn.PERCENTRANK.EXC(_xlfn._xlws.FILTER(M1:M122, ISNUMBER(M1:M122)),M121)</f>
        <v>0.13900000000000001</v>
      </c>
      <c r="N127" s="9" cm="1">
        <f t="array" ref="N127">_xlfn.PERCENTRANK.EXC(_xlfn._xlws.FILTER(N1:N122, ISNUMBER(N1:N122)),N121)</f>
        <v>0.23699999999999999</v>
      </c>
      <c r="O127" s="9" cm="1">
        <f t="array" ref="O127">_xlfn.PERCENTRANK.EXC(_xlfn._xlws.FILTER(O1:O122, ISNUMBER(O1:O122)),O121)</f>
        <v>0.80300000000000005</v>
      </c>
      <c r="P127" s="9" cm="1">
        <f t="array" ref="P127">_xlfn.PERCENTRANK.EXC(_xlfn._xlws.FILTER(P1:P122, ISNUMBER(P1:P122)),P121)</f>
        <v>0.188</v>
      </c>
      <c r="Q127" s="9" cm="1">
        <f t="array" ref="Q127">_xlfn.PERCENTRANK.EXC(_xlfn._xlws.FILTER(Q1:Q122, ISNUMBER(Q1:Q122)),Q121)</f>
        <v>4.2999999999999997E-2</v>
      </c>
      <c r="R127" s="9" cm="1">
        <f t="array" ref="R127">_xlfn.PERCENTRANK.EXC(_xlfn._xlws.FILTER(R1:R122, ISNUMBER(R1:R122)),R121)</f>
        <v>0.254</v>
      </c>
      <c r="S127" s="9" cm="1">
        <f t="array" ref="S127">_xlfn.PERCENTRANK.EXC(_xlfn._xlws.FILTER(S1:S122, ISNUMBER(S1:S122)),S121)</f>
        <v>0.20399999999999999</v>
      </c>
      <c r="T127" s="9" cm="1">
        <f t="array" ref="T127">_xlfn.PERCENTRANK.EXC(_xlfn._xlws.FILTER(T1:T122, ISNUMBER(T1:T122)),T121)</f>
        <v>1.7000000000000001E-2</v>
      </c>
      <c r="U127" s="9" cm="1">
        <f t="array" ref="U127">_xlfn.PERCENTRANK.EXC(_xlfn._xlws.FILTER(U1:U122, ISNUMBER(U1:U122)),U121)</f>
        <v>0.61399999999999999</v>
      </c>
      <c r="V127" s="9" cm="1">
        <f t="array" ref="V127">_xlfn.PERCENTRANK.EXC(_xlfn._xlws.FILTER(V1:V122, ISNUMBER(V1:V122)),V121)</f>
        <v>0.81299999999999994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AK127"/>
  <sheetViews>
    <sheetView topLeftCell="P1" workbookViewId="0">
      <selection activeCell="AD6" sqref="AD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_xll.FDS(C1,"JULIAN(FMA_DIV_YLD(NTMA,-10AY,0,AM,""PORTAGG"",""MEANR"").dates)")</f>
        <v>41782</v>
      </c>
      <c r="B2" s="3" t="e" cm="1">
        <f t="array" ref="B2:B122">_xll.FDS(B1,"FMA_PE(NTMA,-10AY,0,AM,""PORTAGG"",""MEANR"")")</f>
        <v>#N/A</v>
      </c>
      <c r="C2" s="3" cm="1">
        <f t="array" ref="C2:C122">_xll.FDS(C1,"FMA_PE(NTMA,-10AY,0,AM,""PORTAGG"",""MEANR"")")</f>
        <v>14.3249461796585</v>
      </c>
      <c r="D2" s="3" cm="1">
        <f t="array" ref="D2:D122">_xll.FDS(D1,"FMA_PE(NTMA,-10AY,0,AM,""PORTAGG"",""MEANR"")")</f>
        <v>14.658781790560299</v>
      </c>
      <c r="E2" s="3" cm="1">
        <f t="array" ref="E2:E122">_xll.FDS(E1,"FMA_PE(NTMA,-10AY,0,AM,""PORTAGG"",""MEANR"")")</f>
        <v>17.8091323245952</v>
      </c>
      <c r="F2" s="3" cm="1">
        <f t="array" ref="F2:F122">_xll.FDS(F1,"FMA_PE(NTMA,-10AY,0,AM,""PORTAGG"",""MEANR"")")</f>
        <v>13.7271994587284</v>
      </c>
      <c r="G2" s="3" cm="1">
        <f t="array" ref="G2:G122">_xll.FDS(G1,"FMA_PE(NTMA,-10AY,0,AM,""PORTAGG"",""MEANR"")")</f>
        <v>12.3689291378615</v>
      </c>
      <c r="H2" s="3" cm="1">
        <f t="array" ref="H2:H122">_xll.FDS(H1,"FMA_PE(NTMA,-10AY,0,AM,""PORTAGG"",""MEANR"")")</f>
        <v>15.693504549837201</v>
      </c>
      <c r="I2" s="3" cm="1">
        <f t="array" ref="I2:I122">_xll.FDS(I1,"FMA_PE(NTMA,-10AY,0,AM,""PORTAGG"",""MEANR"")")</f>
        <v>14.1472508209186</v>
      </c>
      <c r="J2" s="3" t="e" cm="1">
        <f t="array" ref="J2:J122">_xll.FDS(J1,"FMA_PE(NTMA,-10AY,0,AM,""PORTAGG"",""MEANR"")")</f>
        <v>#N/A</v>
      </c>
      <c r="K2" s="3" cm="1">
        <f t="array" ref="K2:K122">_xll.FDS(K1,"FMA_PE(NTMA,-10AY,0,AM,""PORTAGG"",""MEANR"")")</f>
        <v>9.6457399266027704</v>
      </c>
      <c r="L2" s="3" cm="1">
        <f t="array" ref="L2:L122">_xll.FDS(L1,"FMA_PE(NTMA,-10AY,0,AM,""PORTAGG"",""MEANR"")")</f>
        <v>10.9450225322569</v>
      </c>
      <c r="M2" s="3" cm="1">
        <f t="array" ref="M2:M122">_xll.FDS(M1,"FMA_PE(NTMA,-10AY,0,AM,""PORTAGG"",""MEANR"")")</f>
        <v>14.706419783367</v>
      </c>
      <c r="N2" s="3" cm="1">
        <f t="array" ref="N2:N122">_xll.FDS(N1,"FMA_PE(NTMA,-10AY,0,AM,""PORTAGG"",""MEANR"")")</f>
        <v>18.289064429925201</v>
      </c>
      <c r="O2" s="3" cm="1">
        <f t="array" ref="O2:O122">_xll.FDS(O1,"FMA_PE(NTMA,-10AY,0,AM,""PORTAGG"",""MEANR"")")</f>
        <v>16.1858503792152</v>
      </c>
      <c r="P2" s="3" cm="1">
        <f t="array" ref="P2:P122">_xll.FDS(P1,"FMA_PE(NTMA,-10AY,0,AM,""PORTAGG"",""MEANR"")")</f>
        <v>8.6969344900022794</v>
      </c>
      <c r="Q2" s="3" t="e" cm="1">
        <f t="array" ref="Q2:Q122">_xll.FDS(Q1,"FMA_PE(NTMA,-10AY,0,AM,""PORTAGG"",""MEANR"")")</f>
        <v>#N/A</v>
      </c>
      <c r="R2" s="3" cm="1">
        <f t="array" ref="R2:R122">_xll.FDS(R1,"FMA_PE(NTMA,-10AY,0,AM,""PORTAGG"",""MEANR"")")</f>
        <v>13.9593545567225</v>
      </c>
      <c r="S2" s="3" cm="1">
        <f t="array" ref="S2:S122">_xll.FDS(S1,"FMA_PE(NTMA,-10AY,0,AM,""PORTAGG"",""MEANR"")")</f>
        <v>10.8052593677932</v>
      </c>
      <c r="T2" s="3" t="e" cm="1">
        <f t="array" ref="T2:T122">_xll.FDS(T1,"FMA_PE(NTMA,-10AY,0,AM,""PORTAGG"",""MEANR"")")</f>
        <v>#N/A</v>
      </c>
      <c r="U2" s="3" cm="1">
        <f t="array" ref="U2:U122">_xll.FDS(U1,"FMA_PE(NTMA,-10AY,0,AM,""PORTAGG"",""MEANR"")")</f>
        <v>11.809896362793699</v>
      </c>
      <c r="V2" s="3" t="e" cm="1">
        <f t="array" ref="V2:V122">_xll.FDS(V1,"FMA_PE(NTMA,-10AY,0,AM,""PORTAGG"",""MEANR"")")</f>
        <v>#N/A</v>
      </c>
    </row>
    <row r="3" spans="1:22" x14ac:dyDescent="0.35">
      <c r="A3" s="2">
        <v>41813</v>
      </c>
      <c r="B3" s="3" t="e">
        <v>#N/A</v>
      </c>
      <c r="C3" s="3">
        <v>14.2036099375559</v>
      </c>
      <c r="D3" s="3">
        <v>13.7777228099255</v>
      </c>
      <c r="E3" s="3">
        <v>17.3689964802637</v>
      </c>
      <c r="F3" s="3">
        <v>13.776026091975099</v>
      </c>
      <c r="G3" s="3">
        <v>13.9109739161281</v>
      </c>
      <c r="H3" s="3">
        <v>15.8100670160297</v>
      </c>
      <c r="I3" s="3">
        <v>14.3527645301362</v>
      </c>
      <c r="J3" s="3" t="e">
        <v>#N/A</v>
      </c>
      <c r="K3" s="3">
        <v>9.4818539027007809</v>
      </c>
      <c r="L3" s="3">
        <v>11.3834169212678</v>
      </c>
      <c r="M3" s="3">
        <v>14.791759100771101</v>
      </c>
      <c r="N3" s="3">
        <v>10.245589857294201</v>
      </c>
      <c r="O3" s="3">
        <v>16.280133371739701</v>
      </c>
      <c r="P3" s="3">
        <v>8.6409301812900701</v>
      </c>
      <c r="Q3" s="3">
        <v>14.9827234006951</v>
      </c>
      <c r="R3" s="3">
        <v>14.099458036709301</v>
      </c>
      <c r="S3" s="3">
        <v>10.5802739454346</v>
      </c>
      <c r="T3" s="3">
        <v>14.157607939614699</v>
      </c>
      <c r="U3" s="3">
        <v>12.574124657732</v>
      </c>
      <c r="V3" s="3" t="e">
        <v>#N/A</v>
      </c>
    </row>
    <row r="4" spans="1:22" x14ac:dyDescent="0.35">
      <c r="A4" s="2">
        <v>41843</v>
      </c>
      <c r="B4" s="3" t="e">
        <v>#N/A</v>
      </c>
      <c r="C4" s="3">
        <v>14.8110593663598</v>
      </c>
      <c r="D4" s="3">
        <v>14.6242530941834</v>
      </c>
      <c r="E4" s="3">
        <v>17.393051254150201</v>
      </c>
      <c r="F4" s="3">
        <v>13.2282435902094</v>
      </c>
      <c r="G4" s="3">
        <v>14.6803072065072</v>
      </c>
      <c r="H4" s="3">
        <v>15.630338569839401</v>
      </c>
      <c r="I4" s="3">
        <v>14.295129935498</v>
      </c>
      <c r="J4" s="3" t="e">
        <v>#N/A</v>
      </c>
      <c r="K4" s="3">
        <v>9.8953021774395609</v>
      </c>
      <c r="L4" s="3">
        <v>11.864552204622299</v>
      </c>
      <c r="M4" s="3">
        <v>15.1754577987265</v>
      </c>
      <c r="N4" s="3">
        <v>8.6899125159054798</v>
      </c>
      <c r="O4" s="3">
        <v>16.795231551943001</v>
      </c>
      <c r="P4" s="3">
        <v>9.2055153015212294</v>
      </c>
      <c r="Q4" s="3">
        <v>15.580488739485</v>
      </c>
      <c r="R4" s="3">
        <v>14.6346860486055</v>
      </c>
      <c r="S4" s="3">
        <v>10.9290324825441</v>
      </c>
      <c r="T4" s="3">
        <v>14.3824966288719</v>
      </c>
      <c r="U4" s="3">
        <v>12.888181632505001</v>
      </c>
      <c r="V4" s="3" t="e">
        <v>#N/A</v>
      </c>
    </row>
    <row r="5" spans="1:22" x14ac:dyDescent="0.35">
      <c r="A5" s="2">
        <v>41873</v>
      </c>
      <c r="B5" s="3" t="e">
        <v>#N/A</v>
      </c>
      <c r="C5" s="3">
        <v>14.5466350863203</v>
      </c>
      <c r="D5" s="3">
        <v>15.0150349891546</v>
      </c>
      <c r="E5" s="3">
        <v>17.691070049198501</v>
      </c>
      <c r="F5" s="3">
        <v>13.4209078529239</v>
      </c>
      <c r="G5" s="3">
        <v>13.744898810506299</v>
      </c>
      <c r="H5" s="3">
        <v>15.8180666643468</v>
      </c>
      <c r="I5" s="3">
        <v>13.8433308355823</v>
      </c>
      <c r="J5" s="3" t="e">
        <v>#N/A</v>
      </c>
      <c r="K5" s="3">
        <v>10.2735922306651</v>
      </c>
      <c r="L5" s="3">
        <v>12.133778625962</v>
      </c>
      <c r="M5" s="3">
        <v>15.1293960503045</v>
      </c>
      <c r="N5" s="3">
        <v>8.1737969242224704</v>
      </c>
      <c r="O5" s="3">
        <v>16.643311168743001</v>
      </c>
      <c r="P5" s="3">
        <v>9.3351266052628201</v>
      </c>
      <c r="Q5" s="3">
        <v>16.1720399489386</v>
      </c>
      <c r="R5" s="3">
        <v>15.835370816629</v>
      </c>
      <c r="S5" s="3">
        <v>10.1393457672976</v>
      </c>
      <c r="T5" s="3">
        <v>14.965103323457701</v>
      </c>
      <c r="U5" s="3">
        <v>12.9649703770607</v>
      </c>
      <c r="V5" s="3" t="e">
        <v>#N/A</v>
      </c>
    </row>
    <row r="6" spans="1:22" x14ac:dyDescent="0.35">
      <c r="A6" s="2">
        <v>41905</v>
      </c>
      <c r="B6" s="3" t="e">
        <v>#N/A</v>
      </c>
      <c r="C6" s="3">
        <v>14.495778874169501</v>
      </c>
      <c r="D6" s="3">
        <v>14.7498092627032</v>
      </c>
      <c r="E6" s="3">
        <v>17.764733229959401</v>
      </c>
      <c r="F6" s="3">
        <v>13.534087638690799</v>
      </c>
      <c r="G6" s="3">
        <v>13.023158690743299</v>
      </c>
      <c r="H6" s="3">
        <v>15.6471611619759</v>
      </c>
      <c r="I6" s="3">
        <v>13.240609274555901</v>
      </c>
      <c r="J6" s="3" t="e">
        <v>#N/A</v>
      </c>
      <c r="K6" s="3">
        <v>10.1844330367762</v>
      </c>
      <c r="L6" s="3">
        <v>11.7152160770089</v>
      </c>
      <c r="M6" s="3">
        <v>14.5298911754789</v>
      </c>
      <c r="N6" s="3">
        <v>7.4475278054326299</v>
      </c>
      <c r="O6" s="3">
        <v>16.6337911586551</v>
      </c>
      <c r="P6" s="3">
        <v>8.7665109092396705</v>
      </c>
      <c r="Q6" s="3">
        <v>15.6915388459342</v>
      </c>
      <c r="R6" s="3">
        <v>15.964073620222299</v>
      </c>
      <c r="S6" s="3">
        <v>9.6638978979328805</v>
      </c>
      <c r="T6" s="3">
        <v>15.2672474494341</v>
      </c>
      <c r="U6" s="3">
        <v>12.0944014638676</v>
      </c>
      <c r="V6" s="3" t="e">
        <v>#N/A</v>
      </c>
    </row>
    <row r="7" spans="1:22" x14ac:dyDescent="0.35">
      <c r="A7" s="2">
        <v>41935</v>
      </c>
      <c r="B7" s="3" t="e">
        <v>#N/A</v>
      </c>
      <c r="C7" s="3">
        <v>13.784258542637801</v>
      </c>
      <c r="D7" s="3">
        <v>14.536282797766299</v>
      </c>
      <c r="E7" s="3">
        <v>17.179969693219601</v>
      </c>
      <c r="F7" s="3">
        <v>13.4684490913007</v>
      </c>
      <c r="G7" s="3">
        <v>12.1081161181119</v>
      </c>
      <c r="H7" s="3">
        <v>15.3349019595302</v>
      </c>
      <c r="I7" s="3">
        <v>12.7608104582281</v>
      </c>
      <c r="J7" s="3" t="e">
        <v>#N/A</v>
      </c>
      <c r="K7" s="3">
        <v>9.3582962823154396</v>
      </c>
      <c r="L7" s="3">
        <v>10.625956361638</v>
      </c>
      <c r="M7" s="3">
        <v>14.3754543023227</v>
      </c>
      <c r="N7" s="3">
        <v>6.8453398167962396</v>
      </c>
      <c r="O7" s="3">
        <v>16.468537820958101</v>
      </c>
      <c r="P7" s="3">
        <v>8.5302902253610302</v>
      </c>
      <c r="Q7" s="3">
        <v>15.151993157262</v>
      </c>
      <c r="R7" s="3">
        <v>15.1033882375316</v>
      </c>
      <c r="S7" s="3">
        <v>9.9743318633936902</v>
      </c>
      <c r="T7" s="3">
        <v>14.064711190090099</v>
      </c>
      <c r="U7" s="3">
        <v>11.984429934957999</v>
      </c>
      <c r="V7" s="3" t="e">
        <v>#N/A</v>
      </c>
    </row>
    <row r="8" spans="1:22" x14ac:dyDescent="0.35">
      <c r="A8" s="2">
        <v>41964</v>
      </c>
      <c r="B8" s="3" t="e">
        <v>#N/A</v>
      </c>
      <c r="C8" s="3">
        <v>14.5908873043192</v>
      </c>
      <c r="D8" s="3">
        <v>14.8105687859832</v>
      </c>
      <c r="E8" s="3">
        <v>17.657755378543602</v>
      </c>
      <c r="F8" s="3">
        <v>13.3902777396654</v>
      </c>
      <c r="G8" s="3">
        <v>12.4711345643041</v>
      </c>
      <c r="H8" s="3">
        <v>15.3608828487965</v>
      </c>
      <c r="I8" s="3">
        <v>13.222616366086999</v>
      </c>
      <c r="J8" s="3" t="e">
        <v>#N/A</v>
      </c>
      <c r="K8" s="3">
        <v>9.6948219769926602</v>
      </c>
      <c r="L8" s="3">
        <v>11.9690473018536</v>
      </c>
      <c r="M8" s="3">
        <v>15.5580556571811</v>
      </c>
      <c r="N8" s="3">
        <v>6.8397055821898496</v>
      </c>
      <c r="O8" s="3">
        <v>17.364955175954201</v>
      </c>
      <c r="P8" s="3">
        <v>8.6831836809324408</v>
      </c>
      <c r="Q8" s="3">
        <v>15.219451365589901</v>
      </c>
      <c r="R8" s="3">
        <v>15.5891229970004</v>
      </c>
      <c r="S8" s="3">
        <v>10.395902047303901</v>
      </c>
      <c r="T8" s="3">
        <v>13.742266309586601</v>
      </c>
      <c r="U8" s="3">
        <v>11.533573004336899</v>
      </c>
      <c r="V8" s="3" t="e">
        <v>#N/A</v>
      </c>
    </row>
    <row r="9" spans="1:22" x14ac:dyDescent="0.35">
      <c r="A9" s="2">
        <v>41996</v>
      </c>
      <c r="B9" s="3" t="e">
        <v>#N/A</v>
      </c>
      <c r="C9" s="3">
        <v>13.4558181355175</v>
      </c>
      <c r="D9" s="3">
        <v>14.826320950673599</v>
      </c>
      <c r="E9" s="3">
        <v>17.1417318835462</v>
      </c>
      <c r="F9" s="3">
        <v>13.403710765088899</v>
      </c>
      <c r="G9" s="3">
        <v>12.228837492938901</v>
      </c>
      <c r="H9" s="3">
        <v>15.0529535004222</v>
      </c>
      <c r="I9" s="3">
        <v>12.885381957577099</v>
      </c>
      <c r="J9" s="3" t="e">
        <v>#N/A</v>
      </c>
      <c r="K9" s="3">
        <v>9.6594361640759807</v>
      </c>
      <c r="L9" s="3">
        <v>11.283704795246299</v>
      </c>
      <c r="M9" s="3">
        <v>15.6258667859748</v>
      </c>
      <c r="N9" s="3">
        <v>5.0922794157759004</v>
      </c>
      <c r="O9" s="3">
        <v>16.761049495112299</v>
      </c>
      <c r="P9" s="3">
        <v>9.2156104023961394</v>
      </c>
      <c r="Q9" s="3">
        <v>13.316915957819401</v>
      </c>
      <c r="R9" s="3">
        <v>15.088856642651599</v>
      </c>
      <c r="S9" s="3">
        <v>10.3987749610839</v>
      </c>
      <c r="T9" s="3">
        <v>11.8986116787701</v>
      </c>
      <c r="U9" s="3">
        <v>11.6240054019129</v>
      </c>
      <c r="V9" s="3" t="e">
        <v>#N/A</v>
      </c>
    </row>
    <row r="10" spans="1:22" x14ac:dyDescent="0.35">
      <c r="A10" s="2">
        <v>42027</v>
      </c>
      <c r="B10" s="3" t="e">
        <v>#N/A</v>
      </c>
      <c r="C10" s="3">
        <v>13.2738075514802</v>
      </c>
      <c r="D10" s="3">
        <v>15.401448246752</v>
      </c>
      <c r="E10" s="3">
        <v>17.849518418513799</v>
      </c>
      <c r="F10" s="3">
        <v>13.345505015372799</v>
      </c>
      <c r="G10" s="3">
        <v>12.7125952298058</v>
      </c>
      <c r="H10" s="3">
        <v>15.330065995587701</v>
      </c>
      <c r="I10" s="3">
        <v>12.926727888256799</v>
      </c>
      <c r="J10" s="3" t="e">
        <v>#N/A</v>
      </c>
      <c r="K10" s="3">
        <v>9.7415909873711595</v>
      </c>
      <c r="L10" s="3">
        <v>11.256941870543001</v>
      </c>
      <c r="M10" s="3">
        <v>16.621512821840099</v>
      </c>
      <c r="N10" s="3">
        <v>4.4763751261653102</v>
      </c>
      <c r="O10" s="3">
        <v>18.099741640048801</v>
      </c>
      <c r="P10" s="3">
        <v>10.167480764830801</v>
      </c>
      <c r="Q10" s="3">
        <v>13.1290365064061</v>
      </c>
      <c r="R10" s="3">
        <v>16.060700302356999</v>
      </c>
      <c r="S10" s="3">
        <v>11.1348163878487</v>
      </c>
      <c r="T10" s="3">
        <v>11.932871048349901</v>
      </c>
      <c r="U10" s="3">
        <v>12.050344125177601</v>
      </c>
      <c r="V10" s="3" t="e">
        <v>#N/A</v>
      </c>
    </row>
    <row r="11" spans="1:22" x14ac:dyDescent="0.35">
      <c r="A11" s="2">
        <v>42058</v>
      </c>
      <c r="B11" s="3" t="e">
        <v>#N/A</v>
      </c>
      <c r="C11" s="3">
        <v>13.642373732805099</v>
      </c>
      <c r="D11" s="3">
        <v>15.9383001318367</v>
      </c>
      <c r="E11" s="3">
        <v>18.266386780265101</v>
      </c>
      <c r="F11" s="3">
        <v>13.4694706095058</v>
      </c>
      <c r="G11" s="3">
        <v>13.0164636443509</v>
      </c>
      <c r="H11" s="3">
        <v>15.5721296794234</v>
      </c>
      <c r="I11" s="3">
        <v>12.7680743713571</v>
      </c>
      <c r="J11" s="3" t="e">
        <v>#N/A</v>
      </c>
      <c r="K11" s="3">
        <v>9.8078490607562294</v>
      </c>
      <c r="L11" s="3">
        <v>12.072871163919199</v>
      </c>
      <c r="M11" s="3">
        <v>17.176449408780002</v>
      </c>
      <c r="N11" s="3">
        <v>5.2097223495149496</v>
      </c>
      <c r="O11" s="3">
        <v>18.244120710672799</v>
      </c>
      <c r="P11" s="3">
        <v>10.226890396204</v>
      </c>
      <c r="Q11" s="3">
        <v>14.0092907989567</v>
      </c>
      <c r="R11" s="3">
        <v>16.018918002480198</v>
      </c>
      <c r="S11" s="3">
        <v>10.629947547705701</v>
      </c>
      <c r="T11" s="3">
        <v>12.6712474617681</v>
      </c>
      <c r="U11" s="3">
        <v>12.822613081335099</v>
      </c>
      <c r="V11" s="3" t="e">
        <v>#N/A</v>
      </c>
    </row>
    <row r="12" spans="1:22" x14ac:dyDescent="0.35">
      <c r="A12" s="2">
        <v>42086</v>
      </c>
      <c r="B12" s="3" t="e">
        <v>#N/A</v>
      </c>
      <c r="C12" s="3">
        <v>13.231106248171701</v>
      </c>
      <c r="D12" s="3">
        <v>15.936414771864399</v>
      </c>
      <c r="E12" s="3">
        <v>18.2809478797286</v>
      </c>
      <c r="F12" s="3">
        <v>13.794921876538799</v>
      </c>
      <c r="G12" s="3">
        <v>12.647603265118001</v>
      </c>
      <c r="H12" s="3">
        <v>15.656060418419001</v>
      </c>
      <c r="I12" s="3">
        <v>12.9469915603829</v>
      </c>
      <c r="J12" s="3" t="e">
        <v>#N/A</v>
      </c>
      <c r="K12" s="3">
        <v>10.0802935954432</v>
      </c>
      <c r="L12" s="3">
        <v>12.9353626685292</v>
      </c>
      <c r="M12" s="3">
        <v>16.787147991558001</v>
      </c>
      <c r="N12" s="3">
        <v>4.6896960176920901</v>
      </c>
      <c r="O12" s="3">
        <v>17.876482160907798</v>
      </c>
      <c r="P12" s="3">
        <v>10.249440176782199</v>
      </c>
      <c r="Q12" s="3">
        <v>12.9211453227707</v>
      </c>
      <c r="R12" s="3">
        <v>14.975956226391199</v>
      </c>
      <c r="S12" s="3">
        <v>10.280204468293901</v>
      </c>
      <c r="T12" s="3">
        <v>11.811835017039</v>
      </c>
      <c r="U12" s="3">
        <v>12.000494750501399</v>
      </c>
      <c r="V12" s="3" t="e">
        <v>#N/A</v>
      </c>
    </row>
    <row r="13" spans="1:22" x14ac:dyDescent="0.35">
      <c r="A13" s="2">
        <v>42117</v>
      </c>
      <c r="B13" s="3" t="e">
        <v>#N/A</v>
      </c>
      <c r="C13" s="3">
        <v>14.1722692990026</v>
      </c>
      <c r="D13" s="3">
        <v>15.892568992622801</v>
      </c>
      <c r="E13" s="3">
        <v>18.071537931656501</v>
      </c>
      <c r="F13" s="3">
        <v>14.928122424004499</v>
      </c>
      <c r="G13" s="3">
        <v>12.3090968391638</v>
      </c>
      <c r="H13" s="3">
        <v>16.068711918891299</v>
      </c>
      <c r="I13" s="3">
        <v>12.959713792139</v>
      </c>
      <c r="J13" s="3" t="e">
        <v>#N/A</v>
      </c>
      <c r="K13" s="3">
        <v>10.466592872831001</v>
      </c>
      <c r="L13" s="3">
        <v>14.208192000927999</v>
      </c>
      <c r="M13" s="3">
        <v>17.733928823369599</v>
      </c>
      <c r="N13" s="3">
        <v>4.8682851814699104</v>
      </c>
      <c r="O13" s="3">
        <v>17.436541215042901</v>
      </c>
      <c r="P13" s="3">
        <v>12.377471208774599</v>
      </c>
      <c r="Q13" s="3">
        <v>13.422450122311901</v>
      </c>
      <c r="R13" s="3">
        <v>15.272480089928401</v>
      </c>
      <c r="S13" s="3">
        <v>10.1888630718891</v>
      </c>
      <c r="T13" s="3">
        <v>13.6392539329811</v>
      </c>
      <c r="U13" s="3">
        <v>13.415730792687899</v>
      </c>
      <c r="V13" s="3" t="e">
        <v>#N/A</v>
      </c>
    </row>
    <row r="14" spans="1:22" x14ac:dyDescent="0.35">
      <c r="A14" s="2">
        <v>42146</v>
      </c>
      <c r="B14" s="3" t="e">
        <v>#N/A</v>
      </c>
      <c r="C14" s="3">
        <v>14.144693556721499</v>
      </c>
      <c r="D14" s="3">
        <v>15.622083144549601</v>
      </c>
      <c r="E14" s="3">
        <v>18.2071423959257</v>
      </c>
      <c r="F14" s="3">
        <v>14.548489113617901</v>
      </c>
      <c r="G14" s="3">
        <v>13.1664720818032</v>
      </c>
      <c r="H14" s="3">
        <v>15.7029746634745</v>
      </c>
      <c r="I14" s="3">
        <v>12.813689080558101</v>
      </c>
      <c r="J14" s="3" t="e">
        <v>#N/A</v>
      </c>
      <c r="K14" s="3">
        <v>10.033420432306601</v>
      </c>
      <c r="L14" s="3">
        <v>13.6240495137199</v>
      </c>
      <c r="M14" s="3">
        <v>16.985435016983701</v>
      </c>
      <c r="N14" s="3">
        <v>5.0118427581500198</v>
      </c>
      <c r="O14" s="3">
        <v>17.775350901127901</v>
      </c>
      <c r="P14" s="3">
        <v>11.920785336764601</v>
      </c>
      <c r="Q14" s="3">
        <v>13.5281797946054</v>
      </c>
      <c r="R14" s="3">
        <v>15.5385218282422</v>
      </c>
      <c r="S14" s="3">
        <v>10.475763986176201</v>
      </c>
      <c r="T14" s="3">
        <v>14.0260221460205</v>
      </c>
      <c r="U14" s="3">
        <v>13.849554803992399</v>
      </c>
      <c r="V14" s="3" t="e">
        <v>#N/A</v>
      </c>
    </row>
    <row r="15" spans="1:22" x14ac:dyDescent="0.35">
      <c r="A15" s="2">
        <v>42178</v>
      </c>
      <c r="B15" s="3" t="e">
        <v>#N/A</v>
      </c>
      <c r="C15" s="3">
        <v>13.6174164720322</v>
      </c>
      <c r="D15" s="3">
        <v>14.5726347537961</v>
      </c>
      <c r="E15" s="3">
        <v>17.3924477943841</v>
      </c>
      <c r="F15" s="3">
        <v>13.4718417904622</v>
      </c>
      <c r="G15" s="3">
        <v>13.939126102584201</v>
      </c>
      <c r="H15" s="3">
        <v>15.277050060540899</v>
      </c>
      <c r="I15" s="3">
        <v>12.6701201843865</v>
      </c>
      <c r="J15" s="3" t="e">
        <v>#N/A</v>
      </c>
      <c r="K15" s="3">
        <v>9.6582010734506394</v>
      </c>
      <c r="L15" s="3">
        <v>13.2148471178941</v>
      </c>
      <c r="M15" s="3">
        <v>16.248851382337399</v>
      </c>
      <c r="N15" s="3">
        <v>5.8724278617255798</v>
      </c>
      <c r="O15" s="3">
        <v>17.580523833655299</v>
      </c>
      <c r="P15" s="3">
        <v>11.3390876904169</v>
      </c>
      <c r="Q15" s="3">
        <v>13.1695293233093</v>
      </c>
      <c r="R15" s="3">
        <v>15.173297901641501</v>
      </c>
      <c r="S15" s="3">
        <v>10.119452837249799</v>
      </c>
      <c r="T15" s="3">
        <v>13.092479823675999</v>
      </c>
      <c r="U15" s="3">
        <v>14.1248491780437</v>
      </c>
      <c r="V15" s="3" t="e">
        <v>#N/A</v>
      </c>
    </row>
    <row r="16" spans="1:22" x14ac:dyDescent="0.35">
      <c r="A16" s="2">
        <v>42208</v>
      </c>
      <c r="B16" s="3" t="e">
        <v>#N/A</v>
      </c>
      <c r="C16" s="3">
        <v>12.713161338149099</v>
      </c>
      <c r="D16" s="3">
        <v>14.4794092345881</v>
      </c>
      <c r="E16" s="3">
        <v>17.830534505311199</v>
      </c>
      <c r="F16" s="3">
        <v>12.7558485560644</v>
      </c>
      <c r="G16" s="3">
        <v>12.415129200110499</v>
      </c>
      <c r="H16" s="3">
        <v>15.3293034166424</v>
      </c>
      <c r="I16" s="3">
        <v>11.9018059267782</v>
      </c>
      <c r="J16" s="3" t="e">
        <v>#N/A</v>
      </c>
      <c r="K16" s="3">
        <v>9.5045503881540707</v>
      </c>
      <c r="L16" s="3">
        <v>12.1795037400158</v>
      </c>
      <c r="M16" s="3">
        <v>16.294368478477299</v>
      </c>
      <c r="N16" s="3">
        <v>4.7290693828187198</v>
      </c>
      <c r="O16" s="3">
        <v>18.7158358243584</v>
      </c>
      <c r="P16" s="3">
        <v>10.0120640766458</v>
      </c>
      <c r="Q16" s="3">
        <v>13.294817652575601</v>
      </c>
      <c r="R16" s="3">
        <v>14.7359535431161</v>
      </c>
      <c r="S16" s="3">
        <v>9.4260229607396795</v>
      </c>
      <c r="T16" s="3">
        <v>13.173444612302101</v>
      </c>
      <c r="U16" s="3">
        <v>14.510409959382899</v>
      </c>
      <c r="V16" s="3" t="e">
        <v>#N/A</v>
      </c>
    </row>
    <row r="17" spans="1:22" x14ac:dyDescent="0.35">
      <c r="A17" s="2">
        <v>42237</v>
      </c>
      <c r="B17" s="3" t="e">
        <v>#N/A</v>
      </c>
      <c r="C17" s="3">
        <v>12.374363376123499</v>
      </c>
      <c r="D17" s="3">
        <v>12.601286908680599</v>
      </c>
      <c r="E17" s="3">
        <v>16.999194463695201</v>
      </c>
      <c r="F17" s="3">
        <v>12.570429793214201</v>
      </c>
      <c r="G17" s="3">
        <v>10.8050359999361</v>
      </c>
      <c r="H17" s="3">
        <v>13.9361291894743</v>
      </c>
      <c r="I17" s="3">
        <v>10.8654043420786</v>
      </c>
      <c r="J17" s="3" t="e">
        <v>#N/A</v>
      </c>
      <c r="K17" s="3">
        <v>9.0958615271110403</v>
      </c>
      <c r="L17" s="3">
        <v>10.926800465479101</v>
      </c>
      <c r="M17" s="3">
        <v>14.786818060135101</v>
      </c>
      <c r="N17" s="3">
        <v>4.4529318016463897</v>
      </c>
      <c r="O17" s="3">
        <v>18.540041679784999</v>
      </c>
      <c r="P17" s="3">
        <v>8.9181202920390295</v>
      </c>
      <c r="Q17" s="3">
        <v>12.5147089020046</v>
      </c>
      <c r="R17" s="3">
        <v>13.9350034267193</v>
      </c>
      <c r="S17" s="3">
        <v>8.7711422212419006</v>
      </c>
      <c r="T17" s="3">
        <v>11.395422839282899</v>
      </c>
      <c r="U17" s="3">
        <v>13.5592388839599</v>
      </c>
      <c r="V17" s="3" t="e">
        <v>#N/A</v>
      </c>
    </row>
    <row r="18" spans="1:22" x14ac:dyDescent="0.35">
      <c r="A18" s="2">
        <v>42270</v>
      </c>
      <c r="B18" s="3" t="e">
        <v>#N/A</v>
      </c>
      <c r="C18" s="3">
        <v>12.2940307610498</v>
      </c>
      <c r="D18" s="3">
        <v>12.8777827537861</v>
      </c>
      <c r="E18" s="3">
        <v>16.249841781565699</v>
      </c>
      <c r="F18" s="3">
        <v>11.9652023851083</v>
      </c>
      <c r="G18" s="3">
        <v>11.0161192320786</v>
      </c>
      <c r="H18" s="3">
        <v>14.6672770035828</v>
      </c>
      <c r="I18" s="3">
        <v>11.522445421322001</v>
      </c>
      <c r="J18" s="3" t="e">
        <v>#N/A</v>
      </c>
      <c r="K18" s="3">
        <v>9.4639554812246391</v>
      </c>
      <c r="L18" s="3">
        <v>10.736281150400901</v>
      </c>
      <c r="M18" s="3">
        <v>15.084384599876801</v>
      </c>
      <c r="N18" s="3">
        <v>4.1736324926839403</v>
      </c>
      <c r="O18" s="3">
        <v>17.311571938354799</v>
      </c>
      <c r="P18" s="3">
        <v>8.7969199298919101</v>
      </c>
      <c r="Q18" s="3">
        <v>12.656369860336399</v>
      </c>
      <c r="R18" s="3">
        <v>14.043237965058999</v>
      </c>
      <c r="S18" s="3">
        <v>8.8596391646338297</v>
      </c>
      <c r="T18" s="3">
        <v>11.9636477766095</v>
      </c>
      <c r="U18" s="3">
        <v>13.8434292008042</v>
      </c>
      <c r="V18" s="3" t="e">
        <v>#N/A</v>
      </c>
    </row>
    <row r="19" spans="1:22" x14ac:dyDescent="0.35">
      <c r="A19" s="2">
        <v>42300</v>
      </c>
      <c r="B19" s="3" t="e">
        <v>#N/A</v>
      </c>
      <c r="C19" s="3">
        <v>13.194013888726101</v>
      </c>
      <c r="D19" s="3">
        <v>14.7202974858912</v>
      </c>
      <c r="E19" s="3">
        <v>17.043049411551301</v>
      </c>
      <c r="F19" s="3">
        <v>12.3719220679081</v>
      </c>
      <c r="G19" s="3">
        <v>8.2409393437383294</v>
      </c>
      <c r="H19" s="3">
        <v>15.636809933288401</v>
      </c>
      <c r="I19" s="3">
        <v>12.2261813883774</v>
      </c>
      <c r="J19" s="3" t="e">
        <v>#N/A</v>
      </c>
      <c r="K19" s="3">
        <v>10.296879884479999</v>
      </c>
      <c r="L19" s="3">
        <v>11.2102690008993</v>
      </c>
      <c r="M19" s="3">
        <v>16.119429753583798</v>
      </c>
      <c r="N19" s="3">
        <v>4.2524152416818</v>
      </c>
      <c r="O19" s="3">
        <v>18.026378496713001</v>
      </c>
      <c r="P19" s="3">
        <v>9.6840540591716309</v>
      </c>
      <c r="Q19" s="3">
        <v>12.689261289665099</v>
      </c>
      <c r="R19" s="3">
        <v>14.395774590926701</v>
      </c>
      <c r="S19" s="3">
        <v>9.4293711094981791</v>
      </c>
      <c r="T19" s="3">
        <v>11.837547512771099</v>
      </c>
      <c r="U19" s="3">
        <v>14.919623050274</v>
      </c>
      <c r="V19" s="3">
        <v>12.648123510244</v>
      </c>
    </row>
    <row r="20" spans="1:22" x14ac:dyDescent="0.35">
      <c r="A20" s="2">
        <v>42331</v>
      </c>
      <c r="B20" s="3" t="e">
        <v>#N/A</v>
      </c>
      <c r="C20" s="3">
        <v>13.665798447756201</v>
      </c>
      <c r="D20" s="3">
        <v>14.307443886011599</v>
      </c>
      <c r="E20" s="3">
        <v>16.110671586790101</v>
      </c>
      <c r="F20" s="3">
        <v>11.7788618886853</v>
      </c>
      <c r="G20" s="3">
        <v>7.6799643259986201</v>
      </c>
      <c r="H20" s="3">
        <v>15.182863632779</v>
      </c>
      <c r="I20" s="3">
        <v>12.1365705659524</v>
      </c>
      <c r="J20" s="3" t="e">
        <v>#N/A</v>
      </c>
      <c r="K20" s="3">
        <v>10.2066654862903</v>
      </c>
      <c r="L20" s="3">
        <v>11.267969159882</v>
      </c>
      <c r="M20" s="3">
        <v>15.6003870151601</v>
      </c>
      <c r="N20" s="3">
        <v>4.6021771444028499</v>
      </c>
      <c r="O20" s="3">
        <v>17.1561899695912</v>
      </c>
      <c r="P20" s="3">
        <v>9.5697376698210199</v>
      </c>
      <c r="Q20" s="3">
        <v>11.7390639587419</v>
      </c>
      <c r="R20" s="3">
        <v>13.8353656820443</v>
      </c>
      <c r="S20" s="3">
        <v>9.2877855858955698</v>
      </c>
      <c r="T20" s="3">
        <v>10.8763337586934</v>
      </c>
      <c r="U20" s="3">
        <v>14.325930709328899</v>
      </c>
      <c r="V20" s="3">
        <v>12.521143656689</v>
      </c>
    </row>
    <row r="21" spans="1:22" x14ac:dyDescent="0.35">
      <c r="A21" s="2">
        <v>42361</v>
      </c>
      <c r="B21" s="3" t="e">
        <v>#N/A</v>
      </c>
      <c r="C21" s="3">
        <v>12.384752598105001</v>
      </c>
      <c r="D21" s="3">
        <v>14.181170806131901</v>
      </c>
      <c r="E21" s="3">
        <v>16.221578196327801</v>
      </c>
      <c r="F21" s="3">
        <v>12.2168954322443</v>
      </c>
      <c r="G21" s="3">
        <v>7.4676521598486003</v>
      </c>
      <c r="H21" s="3">
        <v>15.3660594122042</v>
      </c>
      <c r="I21" s="3">
        <v>11.771515380220199</v>
      </c>
      <c r="J21" s="3" t="e">
        <v>#N/A</v>
      </c>
      <c r="K21" s="3">
        <v>10.195908426710201</v>
      </c>
      <c r="L21" s="3">
        <v>10.523123728083499</v>
      </c>
      <c r="M21" s="3">
        <v>14.767930455214399</v>
      </c>
      <c r="N21" s="3">
        <v>4.8378752813388797</v>
      </c>
      <c r="O21" s="3">
        <v>17.2349364389603</v>
      </c>
      <c r="P21" s="3">
        <v>9.4119821079905908</v>
      </c>
      <c r="Q21" s="3">
        <v>10.374829530503099</v>
      </c>
      <c r="R21" s="3">
        <v>12.502845210771</v>
      </c>
      <c r="S21" s="3">
        <v>8.3979314087247694</v>
      </c>
      <c r="T21" s="3">
        <v>10.9869510396884</v>
      </c>
      <c r="U21" s="3">
        <v>11.777497615252299</v>
      </c>
      <c r="V21" s="3">
        <v>12.4930101968088</v>
      </c>
    </row>
    <row r="22" spans="1:22" x14ac:dyDescent="0.35">
      <c r="A22" s="2">
        <v>42391</v>
      </c>
      <c r="B22" s="3" t="e">
        <v>#N/A</v>
      </c>
      <c r="C22" s="3">
        <v>11.8829064250098</v>
      </c>
      <c r="D22" s="3">
        <v>14.0923073791891</v>
      </c>
      <c r="E22" s="3">
        <v>14.3798828850367</v>
      </c>
      <c r="F22" s="3">
        <v>11.7979157352269</v>
      </c>
      <c r="G22" s="3">
        <v>10.858203262513401</v>
      </c>
      <c r="H22" s="3">
        <v>14.966960064852399</v>
      </c>
      <c r="I22" s="3">
        <v>11.071709116426801</v>
      </c>
      <c r="J22" s="3">
        <v>16.390569761391799</v>
      </c>
      <c r="K22" s="3">
        <v>9.8084977280043404</v>
      </c>
      <c r="L22" s="3">
        <v>9.4167888728701499</v>
      </c>
      <c r="M22" s="3">
        <v>13.3290309691413</v>
      </c>
      <c r="N22" s="3">
        <v>9.4435890878992197</v>
      </c>
      <c r="O22" s="3">
        <v>16.304715592751499</v>
      </c>
      <c r="P22" s="3">
        <v>8.9263449610878407</v>
      </c>
      <c r="Q22" s="3">
        <v>9.7220311448308507</v>
      </c>
      <c r="R22" s="3">
        <v>12.746911573430801</v>
      </c>
      <c r="S22" s="3">
        <v>7.8836773467353103</v>
      </c>
      <c r="T22" s="3">
        <v>9.8228762882214706</v>
      </c>
      <c r="U22" s="3">
        <v>12.0847418799816</v>
      </c>
      <c r="V22" s="3">
        <v>10.655542033693701</v>
      </c>
    </row>
    <row r="23" spans="1:22" x14ac:dyDescent="0.35">
      <c r="A23" s="2">
        <v>42423</v>
      </c>
      <c r="B23" s="3" t="e">
        <v>#N/A</v>
      </c>
      <c r="C23" s="3">
        <v>12.3483566930332</v>
      </c>
      <c r="D23" s="3">
        <v>14.5422108185639</v>
      </c>
      <c r="E23" s="3">
        <v>15.319454662018501</v>
      </c>
      <c r="F23" s="3">
        <v>13.064053452534999</v>
      </c>
      <c r="G23" s="3">
        <v>13.6865443455406</v>
      </c>
      <c r="H23" s="3">
        <v>15.5355196202973</v>
      </c>
      <c r="I23" s="3">
        <v>12.1179889107965</v>
      </c>
      <c r="J23" s="3">
        <v>17.4355824974771</v>
      </c>
      <c r="K23" s="3">
        <v>10.296438242273201</v>
      </c>
      <c r="L23" s="3">
        <v>11.020966468327501</v>
      </c>
      <c r="M23" s="3">
        <v>13.8606550318405</v>
      </c>
      <c r="N23" s="3">
        <v>8.3756635308667402</v>
      </c>
      <c r="O23" s="3">
        <v>16.415563710819502</v>
      </c>
      <c r="P23" s="3">
        <v>9.07460928673156</v>
      </c>
      <c r="Q23" s="3">
        <v>11.6246545282018</v>
      </c>
      <c r="R23" s="3">
        <v>13.6624531541705</v>
      </c>
      <c r="S23" s="3">
        <v>8.5230273350635901</v>
      </c>
      <c r="T23" s="3">
        <v>11.232326631436001</v>
      </c>
      <c r="U23" s="3">
        <v>13.852871569499699</v>
      </c>
      <c r="V23" s="3">
        <v>11.857371040215501</v>
      </c>
    </row>
    <row r="24" spans="1:22" x14ac:dyDescent="0.35">
      <c r="A24" s="2">
        <v>42452</v>
      </c>
      <c r="B24" s="3" t="e">
        <v>#N/A</v>
      </c>
      <c r="C24" s="3">
        <v>13.294046522095799</v>
      </c>
      <c r="D24" s="3">
        <v>15.2414248885266</v>
      </c>
      <c r="E24" s="3">
        <v>17.058509703639402</v>
      </c>
      <c r="F24" s="3">
        <v>13.411839716361801</v>
      </c>
      <c r="G24" s="3">
        <v>15.041494791227001</v>
      </c>
      <c r="H24" s="3">
        <v>16.208189071629</v>
      </c>
      <c r="I24" s="3">
        <v>12.864682559869101</v>
      </c>
      <c r="J24" s="3">
        <v>18.534056304418701</v>
      </c>
      <c r="K24" s="3">
        <v>10.732633253381801</v>
      </c>
      <c r="L24" s="3">
        <v>13.3043693273512</v>
      </c>
      <c r="M24" s="3">
        <v>14.9215342828263</v>
      </c>
      <c r="N24" s="3">
        <v>8.5048506185414396</v>
      </c>
      <c r="O24" s="3">
        <v>17.344556293772399</v>
      </c>
      <c r="P24" s="3">
        <v>10.109635919565999</v>
      </c>
      <c r="Q24" s="3">
        <v>12.2006461966124</v>
      </c>
      <c r="R24" s="3">
        <v>14.709553993377099</v>
      </c>
      <c r="S24" s="3">
        <v>8.9696103770074807</v>
      </c>
      <c r="T24" s="3">
        <v>12.382411619798701</v>
      </c>
      <c r="U24" s="3">
        <v>12.311190413141601</v>
      </c>
      <c r="V24" s="3">
        <v>13.0747350058701</v>
      </c>
    </row>
    <row r="25" spans="1:22" x14ac:dyDescent="0.35">
      <c r="A25" s="2">
        <v>42482</v>
      </c>
      <c r="B25" s="3" t="e">
        <v>#N/A</v>
      </c>
      <c r="C25" s="3">
        <v>13.992001056168499</v>
      </c>
      <c r="D25" s="3">
        <v>15.219971580782699</v>
      </c>
      <c r="E25" s="3">
        <v>16.3289357152773</v>
      </c>
      <c r="F25" s="3">
        <v>12.999764616172101</v>
      </c>
      <c r="G25" s="3">
        <v>15.177621863746401</v>
      </c>
      <c r="H25" s="3">
        <v>16.198240901131701</v>
      </c>
      <c r="I25" s="3">
        <v>12.5057584366377</v>
      </c>
      <c r="J25" s="3">
        <v>19.5008745897367</v>
      </c>
      <c r="K25" s="3">
        <v>10.5239017886631</v>
      </c>
      <c r="L25" s="3">
        <v>13.7192310570956</v>
      </c>
      <c r="M25" s="3">
        <v>15.0623480919086</v>
      </c>
      <c r="N25" s="3">
        <v>10.9156799999675</v>
      </c>
      <c r="O25" s="3">
        <v>17.526428049554902</v>
      </c>
      <c r="P25" s="3">
        <v>10.3729467776605</v>
      </c>
      <c r="Q25" s="3">
        <v>12.332818792958401</v>
      </c>
      <c r="R25" s="3">
        <v>14.55348485413</v>
      </c>
      <c r="S25" s="3">
        <v>9.3949029122599601</v>
      </c>
      <c r="T25" s="3">
        <v>13.4248604360505</v>
      </c>
      <c r="U25" s="3">
        <v>12.9978381770614</v>
      </c>
      <c r="V25" s="3">
        <v>13.1330463906266</v>
      </c>
    </row>
    <row r="26" spans="1:22" x14ac:dyDescent="0.35">
      <c r="A26" s="2">
        <v>42513</v>
      </c>
      <c r="B26" s="3" t="e">
        <v>#N/A</v>
      </c>
      <c r="C26" s="3">
        <v>13.5499709815583</v>
      </c>
      <c r="D26" s="3">
        <v>14.3439105917086</v>
      </c>
      <c r="E26" s="3">
        <v>16.177715696727699</v>
      </c>
      <c r="F26" s="3">
        <v>11.917307964943699</v>
      </c>
      <c r="G26" s="3">
        <v>14.644176683472001</v>
      </c>
      <c r="H26" s="3">
        <v>15.491725907029201</v>
      </c>
      <c r="I26" s="3">
        <v>12.5024795398785</v>
      </c>
      <c r="J26" s="3">
        <v>19.140932505199899</v>
      </c>
      <c r="K26" s="3">
        <v>9.8360578730069292</v>
      </c>
      <c r="L26" s="3">
        <v>12.220445861089599</v>
      </c>
      <c r="M26" s="3">
        <v>14.228994227292</v>
      </c>
      <c r="N26" s="3">
        <v>11.1990895963913</v>
      </c>
      <c r="O26" s="3">
        <v>16.987439650898899</v>
      </c>
      <c r="P26" s="3">
        <v>9.5606378251267898</v>
      </c>
      <c r="Q26" s="3">
        <v>11.314627132154101</v>
      </c>
      <c r="R26" s="3">
        <v>14.097841464743</v>
      </c>
      <c r="S26" s="3">
        <v>8.3504517330275991</v>
      </c>
      <c r="T26" s="3">
        <v>12.306129100912001</v>
      </c>
      <c r="U26" s="3">
        <v>12.644253903944399</v>
      </c>
      <c r="V26" s="3">
        <v>13.027511745462901</v>
      </c>
    </row>
    <row r="27" spans="1:22" x14ac:dyDescent="0.35">
      <c r="A27" s="2">
        <v>42544</v>
      </c>
      <c r="B27" s="3" t="e">
        <v>#N/A</v>
      </c>
      <c r="C27" s="3">
        <v>13.9611115267508</v>
      </c>
      <c r="D27" s="3">
        <v>15.067374263423099</v>
      </c>
      <c r="E27" s="3">
        <v>17.391439365126899</v>
      </c>
      <c r="F27" s="3">
        <v>12.1625898958905</v>
      </c>
      <c r="G27" s="3">
        <v>14.1390350530374</v>
      </c>
      <c r="H27" s="3">
        <v>16.1583172598644</v>
      </c>
      <c r="I27" s="3">
        <v>13.1297019315227</v>
      </c>
      <c r="J27" s="3">
        <v>18.664590570208901</v>
      </c>
      <c r="K27" s="3">
        <v>10.011372592547801</v>
      </c>
      <c r="L27" s="3">
        <v>12.5965642816035</v>
      </c>
      <c r="M27" s="3">
        <v>15.0739316034604</v>
      </c>
      <c r="N27" s="3">
        <v>10.0948755798794</v>
      </c>
      <c r="O27" s="3">
        <v>17.7142308074021</v>
      </c>
      <c r="P27" s="3">
        <v>10.7680186079244</v>
      </c>
      <c r="Q27" s="3">
        <v>11.952503737556301</v>
      </c>
      <c r="R27" s="3">
        <v>14.681194893130501</v>
      </c>
      <c r="S27" s="3">
        <v>8.4633178359494803</v>
      </c>
      <c r="T27" s="3">
        <v>12.6380392573317</v>
      </c>
      <c r="U27" s="3">
        <v>12.6546437127966</v>
      </c>
      <c r="V27" s="3">
        <v>13.558110203376099</v>
      </c>
    </row>
    <row r="28" spans="1:22" x14ac:dyDescent="0.35">
      <c r="A28" s="2">
        <v>42573</v>
      </c>
      <c r="B28" s="3">
        <v>13.7169977661143</v>
      </c>
      <c r="C28" s="3">
        <v>15.338091911385</v>
      </c>
      <c r="D28" s="3">
        <v>16.210762258737098</v>
      </c>
      <c r="E28" s="3">
        <v>17.9522267291823</v>
      </c>
      <c r="F28" s="3">
        <v>11.7752089635277</v>
      </c>
      <c r="G28" s="3">
        <v>14.412002402412099</v>
      </c>
      <c r="H28" s="3">
        <v>16.395640672689801</v>
      </c>
      <c r="I28" s="3">
        <v>13.532998060187399</v>
      </c>
      <c r="J28" s="3">
        <v>18.8183052541725</v>
      </c>
      <c r="K28" s="3">
        <v>10.0461030027116</v>
      </c>
      <c r="L28" s="3">
        <v>13.6395307998351</v>
      </c>
      <c r="M28" s="3">
        <v>15.419688849177</v>
      </c>
      <c r="N28" s="3">
        <v>9.1044055291014292</v>
      </c>
      <c r="O28" s="3">
        <v>18.166289947205399</v>
      </c>
      <c r="P28" s="3">
        <v>11.412042170366499</v>
      </c>
      <c r="Q28" s="3">
        <v>12.495359826513599</v>
      </c>
      <c r="R28" s="3">
        <v>15.327228446566799</v>
      </c>
      <c r="S28" s="3">
        <v>7.7340219632387202</v>
      </c>
      <c r="T28" s="3">
        <v>12.878371288176201</v>
      </c>
      <c r="U28" s="3">
        <v>12.258377165901701</v>
      </c>
      <c r="V28" s="3">
        <v>13.5779921226817</v>
      </c>
    </row>
    <row r="29" spans="1:22" x14ac:dyDescent="0.35">
      <c r="A29" s="2">
        <v>42605</v>
      </c>
      <c r="B29" s="3">
        <v>13.9103808993389</v>
      </c>
      <c r="C29" s="3">
        <v>15.7726276078987</v>
      </c>
      <c r="D29" s="3">
        <v>16.692286927819602</v>
      </c>
      <c r="E29" s="3">
        <v>18.330503791719899</v>
      </c>
      <c r="F29" s="3">
        <v>12.063356740732299</v>
      </c>
      <c r="G29" s="3">
        <v>14.535429699992999</v>
      </c>
      <c r="H29" s="3">
        <v>16.598694190280298</v>
      </c>
      <c r="I29" s="3">
        <v>13.576826430808699</v>
      </c>
      <c r="J29" s="3">
        <v>18.5678054334577</v>
      </c>
      <c r="K29" s="3">
        <v>10.1751531304363</v>
      </c>
      <c r="L29" s="3">
        <v>13.774817503982099</v>
      </c>
      <c r="M29" s="3">
        <v>15.574140392861199</v>
      </c>
      <c r="N29" s="3">
        <v>8.5972201058197708</v>
      </c>
      <c r="O29" s="3">
        <v>18.038671134486599</v>
      </c>
      <c r="P29" s="3">
        <v>12.0653451908686</v>
      </c>
      <c r="Q29" s="3">
        <v>13.4177338026625</v>
      </c>
      <c r="R29" s="3">
        <v>15.277251518191299</v>
      </c>
      <c r="S29" s="3">
        <v>8.4297818764839896</v>
      </c>
      <c r="T29" s="3">
        <v>12.5430108684911</v>
      </c>
      <c r="U29" s="3">
        <v>11.6714503926448</v>
      </c>
      <c r="V29" s="3">
        <v>12.4172075320677</v>
      </c>
    </row>
    <row r="30" spans="1:22" x14ac:dyDescent="0.35">
      <c r="A30" s="2">
        <v>42636</v>
      </c>
      <c r="B30" s="3">
        <v>13.700844731516099</v>
      </c>
      <c r="C30" s="3">
        <v>15.5116204297239</v>
      </c>
      <c r="D30" s="3">
        <v>16.6706002086881</v>
      </c>
      <c r="E30" s="3">
        <v>17.271573334567901</v>
      </c>
      <c r="F30" s="3">
        <v>11.7204105746714</v>
      </c>
      <c r="G30" s="3">
        <v>13.708335099721801</v>
      </c>
      <c r="H30" s="3">
        <v>16.785498308263499</v>
      </c>
      <c r="I30" s="3">
        <v>13.8450581382126</v>
      </c>
      <c r="J30" s="3">
        <v>17.941242837947801</v>
      </c>
      <c r="K30" s="3">
        <v>10.123842626268701</v>
      </c>
      <c r="L30" s="3">
        <v>13.7821688851253</v>
      </c>
      <c r="M30" s="3">
        <v>15.0298664972187</v>
      </c>
      <c r="N30" s="3">
        <v>8.9602519098614195</v>
      </c>
      <c r="O30" s="3">
        <v>18.026786461256499</v>
      </c>
      <c r="P30" s="3">
        <v>12.587260981999901</v>
      </c>
      <c r="Q30" s="3">
        <v>12.7162047800451</v>
      </c>
      <c r="R30" s="3">
        <v>14.623354352855401</v>
      </c>
      <c r="S30" s="3">
        <v>8.6198711492047408</v>
      </c>
      <c r="T30" s="3">
        <v>12.340132276053099</v>
      </c>
      <c r="U30" s="3">
        <v>13.468665756406899</v>
      </c>
      <c r="V30" s="3">
        <v>12.140888996083699</v>
      </c>
    </row>
    <row r="31" spans="1:22" x14ac:dyDescent="0.35">
      <c r="A31" s="2">
        <v>42664</v>
      </c>
      <c r="B31" s="3">
        <v>13.7772854516585</v>
      </c>
      <c r="C31" s="3">
        <v>16.513801558489099</v>
      </c>
      <c r="D31" s="3">
        <v>16.4031986066312</v>
      </c>
      <c r="E31" s="3">
        <v>16.985012669272599</v>
      </c>
      <c r="F31" s="3">
        <v>11.7160881666533</v>
      </c>
      <c r="G31" s="3">
        <v>12.486007386937199</v>
      </c>
      <c r="H31" s="3">
        <v>16.728062788025699</v>
      </c>
      <c r="I31" s="3">
        <v>13.688327744473</v>
      </c>
      <c r="J31" s="3">
        <v>18.2823970235697</v>
      </c>
      <c r="K31" s="3">
        <v>10.0038205793395</v>
      </c>
      <c r="L31" s="3">
        <v>14.7405397641579</v>
      </c>
      <c r="M31" s="3">
        <v>14.603136676538201</v>
      </c>
      <c r="N31" s="3">
        <v>9.0666788985760096</v>
      </c>
      <c r="O31" s="3">
        <v>17.656866465320299</v>
      </c>
      <c r="P31" s="3">
        <v>12.3082343998294</v>
      </c>
      <c r="Q31" s="3">
        <v>12.961127170607901</v>
      </c>
      <c r="R31" s="3">
        <v>14.701558883399301</v>
      </c>
      <c r="S31" s="3">
        <v>8.2969550963790102</v>
      </c>
      <c r="T31" s="3">
        <v>12.1685958373996</v>
      </c>
      <c r="U31" s="3">
        <v>13.1997318818125</v>
      </c>
      <c r="V31" s="3">
        <v>11.500743822239199</v>
      </c>
    </row>
    <row r="32" spans="1:22" x14ac:dyDescent="0.35">
      <c r="A32" s="2">
        <v>42697</v>
      </c>
      <c r="B32" s="3">
        <v>14.186451465136001</v>
      </c>
      <c r="C32" s="3">
        <v>15.958794053117501</v>
      </c>
      <c r="D32" s="3">
        <v>15.0775305093517</v>
      </c>
      <c r="E32" s="3">
        <v>15.2240737136589</v>
      </c>
      <c r="F32" s="3">
        <v>11.621124742524501</v>
      </c>
      <c r="G32" s="3">
        <v>11.508976185995699</v>
      </c>
      <c r="H32" s="3">
        <v>16.2807693581811</v>
      </c>
      <c r="I32" s="3">
        <v>13.124488072270101</v>
      </c>
      <c r="J32" s="3">
        <v>16.5842263447738</v>
      </c>
      <c r="K32" s="3">
        <v>9.7296064391500892</v>
      </c>
      <c r="L32" s="3">
        <v>13.8218274232864</v>
      </c>
      <c r="M32" s="3">
        <v>14.086549100373499</v>
      </c>
      <c r="N32" s="3">
        <v>9.6665878600885797</v>
      </c>
      <c r="O32" s="3">
        <v>16.072546225821199</v>
      </c>
      <c r="P32" s="3">
        <v>11.8616683299441</v>
      </c>
      <c r="Q32" s="3">
        <v>12.043700621608901</v>
      </c>
      <c r="R32" s="3">
        <v>14.6076384964006</v>
      </c>
      <c r="S32" s="3">
        <v>7.6252171567987999</v>
      </c>
      <c r="T32" s="3">
        <v>11.3922289143045</v>
      </c>
      <c r="U32" s="3">
        <v>12.943328637774201</v>
      </c>
      <c r="V32" s="3">
        <v>13.9821961857883</v>
      </c>
    </row>
    <row r="33" spans="1:22" x14ac:dyDescent="0.35">
      <c r="A33" s="2">
        <v>42727</v>
      </c>
      <c r="B33" s="3">
        <v>13.175842305407601</v>
      </c>
      <c r="C33" s="3">
        <v>15.1261973034365</v>
      </c>
      <c r="D33" s="3">
        <v>14.1759027007794</v>
      </c>
      <c r="E33" s="3">
        <v>14.8999693688025</v>
      </c>
      <c r="F33" s="3">
        <v>11.8410751376548</v>
      </c>
      <c r="G33" s="3">
        <v>11.276230115901001</v>
      </c>
      <c r="H33" s="3">
        <v>16.1832009872588</v>
      </c>
      <c r="I33" s="3">
        <v>12.718126705180801</v>
      </c>
      <c r="J33" s="3">
        <v>16.074728822242701</v>
      </c>
      <c r="K33" s="3">
        <v>9.7772961308783799</v>
      </c>
      <c r="L33" s="3">
        <v>12.297922239843</v>
      </c>
      <c r="M33" s="3">
        <v>14.0968537422465</v>
      </c>
      <c r="N33" s="3">
        <v>8.7573840679057593</v>
      </c>
      <c r="O33" s="3">
        <v>15.8093838097274</v>
      </c>
      <c r="P33" s="3">
        <v>11.136075025760899</v>
      </c>
      <c r="Q33" s="3">
        <v>13.248567619816701</v>
      </c>
      <c r="R33" s="3">
        <v>14.6002474834855</v>
      </c>
      <c r="S33" s="3">
        <v>7.6582530196960601</v>
      </c>
      <c r="T33" s="3">
        <v>11.482690779376099</v>
      </c>
      <c r="U33" s="3">
        <v>12.494523142671101</v>
      </c>
      <c r="V33" s="3">
        <v>14.0643689956363</v>
      </c>
    </row>
    <row r="34" spans="1:22" x14ac:dyDescent="0.35">
      <c r="A34" s="2">
        <v>42758</v>
      </c>
      <c r="B34" s="3">
        <v>13.1832214826605</v>
      </c>
      <c r="C34" s="3">
        <v>15.5877217081874</v>
      </c>
      <c r="D34" s="3">
        <v>14.963890067357701</v>
      </c>
      <c r="E34" s="3">
        <v>16.945999788714602</v>
      </c>
      <c r="F34" s="3">
        <v>11.7720058699538</v>
      </c>
      <c r="G34" s="3">
        <v>12.771068497670701</v>
      </c>
      <c r="H34" s="3">
        <v>16.561828638908501</v>
      </c>
      <c r="I34" s="3">
        <v>13.0544046357262</v>
      </c>
      <c r="J34" s="3">
        <v>16.35648543256</v>
      </c>
      <c r="K34" s="3">
        <v>9.7558566354204608</v>
      </c>
      <c r="L34" s="3">
        <v>13.553382356360499</v>
      </c>
      <c r="M34" s="3">
        <v>15.1100763928061</v>
      </c>
      <c r="N34" s="3">
        <v>9.1621679392772002</v>
      </c>
      <c r="O34" s="3">
        <v>16.653992324325898</v>
      </c>
      <c r="P34" s="3">
        <v>11.818247923859699</v>
      </c>
      <c r="Q34" s="3">
        <v>13.8865534502992</v>
      </c>
      <c r="R34" s="3">
        <v>15.0327105546033</v>
      </c>
      <c r="S34" s="3">
        <v>8.16454170653709</v>
      </c>
      <c r="T34" s="3">
        <v>12.360126279959401</v>
      </c>
      <c r="U34" s="3">
        <v>12.338504458336701</v>
      </c>
      <c r="V34" s="3">
        <v>14.272609591677201</v>
      </c>
    </row>
    <row r="35" spans="1:22" x14ac:dyDescent="0.35">
      <c r="A35" s="2">
        <v>42789</v>
      </c>
      <c r="B35" s="3">
        <v>13.281162058863201</v>
      </c>
      <c r="C35" s="3">
        <v>16.090857030635799</v>
      </c>
      <c r="D35" s="3">
        <v>15.266251688257301</v>
      </c>
      <c r="E35" s="3">
        <v>16.507053574829701</v>
      </c>
      <c r="F35" s="3">
        <v>12.992710362741001</v>
      </c>
      <c r="G35" s="3">
        <v>13.384414397397901</v>
      </c>
      <c r="H35" s="3">
        <v>16.746050291756202</v>
      </c>
      <c r="I35" s="3">
        <v>13.132976204326701</v>
      </c>
      <c r="J35" s="3">
        <v>16.425804262199801</v>
      </c>
      <c r="K35" s="3">
        <v>9.5387334627320808</v>
      </c>
      <c r="L35" s="3">
        <v>13.631519330892701</v>
      </c>
      <c r="M35" s="3">
        <v>15.6147453522535</v>
      </c>
      <c r="N35" s="3">
        <v>9.2557249300324695</v>
      </c>
      <c r="O35" s="3">
        <v>17.870446563118101</v>
      </c>
      <c r="P35" s="3">
        <v>12.5408006596241</v>
      </c>
      <c r="Q35" s="3">
        <v>13.495599822624101</v>
      </c>
      <c r="R35" s="3">
        <v>14.914121470115299</v>
      </c>
      <c r="S35" s="3">
        <v>8.6611409427188608</v>
      </c>
      <c r="T35" s="3">
        <v>12.3933556651124</v>
      </c>
      <c r="U35" s="3">
        <v>13.3198557698702</v>
      </c>
      <c r="V35" s="3">
        <v>14.4474094592199</v>
      </c>
    </row>
    <row r="36" spans="1:22" x14ac:dyDescent="0.35">
      <c r="A36" s="2">
        <v>42817</v>
      </c>
      <c r="B36" s="3">
        <v>13.2564957509113</v>
      </c>
      <c r="C36" s="3">
        <v>16.724700053952802</v>
      </c>
      <c r="D36" s="3">
        <v>15.525022886799</v>
      </c>
      <c r="E36" s="3">
        <v>16.8085680863277</v>
      </c>
      <c r="F36" s="3">
        <v>12.3672745820421</v>
      </c>
      <c r="G36" s="3">
        <v>13.2007369563767</v>
      </c>
      <c r="H36" s="3">
        <v>16.9738530672571</v>
      </c>
      <c r="I36" s="3">
        <v>13.2821156136068</v>
      </c>
      <c r="J36" s="3">
        <v>17.0736220315057</v>
      </c>
      <c r="K36" s="3">
        <v>9.6637735061244996</v>
      </c>
      <c r="L36" s="3">
        <v>12.612211472451699</v>
      </c>
      <c r="M36" s="3">
        <v>16.1267996599742</v>
      </c>
      <c r="N36" s="3">
        <v>9.0029433961382193</v>
      </c>
      <c r="O36" s="3">
        <v>17.833930952651102</v>
      </c>
      <c r="P36" s="3">
        <v>12.5615026567505</v>
      </c>
      <c r="Q36" s="3">
        <v>12.9009647848188</v>
      </c>
      <c r="R36" s="3">
        <v>14.932501550797699</v>
      </c>
      <c r="S36" s="3">
        <v>8.4245235040519102</v>
      </c>
      <c r="T36" s="3">
        <v>11.928572248540499</v>
      </c>
      <c r="U36" s="3">
        <v>14.396647362666799</v>
      </c>
      <c r="V36" s="3">
        <v>13.6792882140768</v>
      </c>
    </row>
    <row r="37" spans="1:22" x14ac:dyDescent="0.35">
      <c r="A37" s="2">
        <v>42846</v>
      </c>
      <c r="B37" s="3">
        <v>13.457161397309401</v>
      </c>
      <c r="C37" s="3">
        <v>17.211200560366201</v>
      </c>
      <c r="D37" s="3">
        <v>15.518425006915001</v>
      </c>
      <c r="E37" s="3">
        <v>17.3087497363395</v>
      </c>
      <c r="F37" s="3">
        <v>12.4072424302482</v>
      </c>
      <c r="G37" s="3">
        <v>11.812772597555499</v>
      </c>
      <c r="H37" s="3">
        <v>16.939943537957799</v>
      </c>
      <c r="I37" s="3">
        <v>12.9544530285491</v>
      </c>
      <c r="J37" s="3">
        <v>16.870519283794302</v>
      </c>
      <c r="K37" s="3">
        <v>9.1715356577533793</v>
      </c>
      <c r="L37" s="3">
        <v>12.4117233439909</v>
      </c>
      <c r="M37" s="3">
        <v>15.878545694520501</v>
      </c>
      <c r="N37" s="3">
        <v>10.551618061837599</v>
      </c>
      <c r="O37" s="3">
        <v>17.888774203564498</v>
      </c>
      <c r="P37" s="3">
        <v>12.4347349923633</v>
      </c>
      <c r="Q37" s="3">
        <v>12.938420270365301</v>
      </c>
      <c r="R37" s="3">
        <v>14.848327349034401</v>
      </c>
      <c r="S37" s="3">
        <v>8.4995688609625493</v>
      </c>
      <c r="T37" s="3">
        <v>11.998129644824999</v>
      </c>
      <c r="U37" s="3">
        <v>14.1731562075898</v>
      </c>
      <c r="V37" s="3">
        <v>13.6383463995139</v>
      </c>
    </row>
    <row r="38" spans="1:22" x14ac:dyDescent="0.35">
      <c r="A38" s="2">
        <v>42878</v>
      </c>
      <c r="B38" s="3">
        <v>13.272386959548699</v>
      </c>
      <c r="C38" s="3">
        <v>17.3230276119289</v>
      </c>
      <c r="D38" s="3">
        <v>15.6937396766382</v>
      </c>
      <c r="E38" s="3">
        <v>17.274319270485901</v>
      </c>
      <c r="F38" s="3">
        <v>12.3246361484088</v>
      </c>
      <c r="G38" s="3">
        <v>11.943820584092499</v>
      </c>
      <c r="H38" s="3">
        <v>16.9046406912368</v>
      </c>
      <c r="I38" s="3">
        <v>13.3401698586766</v>
      </c>
      <c r="J38" s="3">
        <v>16.493592036200798</v>
      </c>
      <c r="K38" s="3">
        <v>9.4887975106483893</v>
      </c>
      <c r="L38" s="3">
        <v>12.0895294663413</v>
      </c>
      <c r="M38" s="3">
        <v>16.539099596511299</v>
      </c>
      <c r="N38" s="3">
        <v>13.5204102684178</v>
      </c>
      <c r="O38" s="3">
        <v>17.980513792504901</v>
      </c>
      <c r="P38" s="3">
        <v>13.047260262554399</v>
      </c>
      <c r="Q38" s="3">
        <v>13.0938734275139</v>
      </c>
      <c r="R38" s="3">
        <v>14.704833288426601</v>
      </c>
      <c r="S38" s="3">
        <v>8.6655779166017695</v>
      </c>
      <c r="T38" s="3">
        <v>11.560226329190399</v>
      </c>
      <c r="U38" s="3">
        <v>14.518188483757999</v>
      </c>
      <c r="V38" s="3">
        <v>13.527160534197799</v>
      </c>
    </row>
    <row r="39" spans="1:22" x14ac:dyDescent="0.35">
      <c r="A39" s="2">
        <v>42909</v>
      </c>
      <c r="B39" s="3">
        <v>14.127324612805101</v>
      </c>
      <c r="C39" s="3">
        <v>16.896425265681099</v>
      </c>
      <c r="D39" s="3">
        <v>15.760332256450701</v>
      </c>
      <c r="E39" s="3">
        <v>17.133471227061801</v>
      </c>
      <c r="F39" s="3">
        <v>12.423282369796</v>
      </c>
      <c r="G39" s="3">
        <v>11.765827776559</v>
      </c>
      <c r="H39" s="3">
        <v>16.6063549596212</v>
      </c>
      <c r="I39" s="3">
        <v>13.880264892403501</v>
      </c>
      <c r="J39" s="3">
        <v>16.441573567400301</v>
      </c>
      <c r="K39" s="3">
        <v>9.5503397911672998</v>
      </c>
      <c r="L39" s="3">
        <v>11.6590929895778</v>
      </c>
      <c r="M39" s="3">
        <v>15.273720986389799</v>
      </c>
      <c r="N39" s="3">
        <v>12.9076550287981</v>
      </c>
      <c r="O39" s="3">
        <v>17.966540047847101</v>
      </c>
      <c r="P39" s="3">
        <v>13.114421911243801</v>
      </c>
      <c r="Q39" s="3">
        <v>12.2525733997439</v>
      </c>
      <c r="R39" s="3">
        <v>14.8843148429922</v>
      </c>
      <c r="S39" s="3">
        <v>8.6684160016081808</v>
      </c>
      <c r="T39" s="3">
        <v>11.0895662905604</v>
      </c>
      <c r="U39" s="3">
        <v>15.581227132913501</v>
      </c>
      <c r="V39" s="3">
        <v>14.891302930107299</v>
      </c>
    </row>
    <row r="40" spans="1:22" x14ac:dyDescent="0.35">
      <c r="A40" s="2">
        <v>42937</v>
      </c>
      <c r="B40" s="3">
        <v>14.2594601842633</v>
      </c>
      <c r="C40" s="3">
        <v>17.619741840135202</v>
      </c>
      <c r="D40" s="3">
        <v>15.4395008989571</v>
      </c>
      <c r="E40" s="3">
        <v>16.842074169365102</v>
      </c>
      <c r="F40" s="3">
        <v>12.6473516539517</v>
      </c>
      <c r="G40" s="3">
        <v>12.347428760527</v>
      </c>
      <c r="H40" s="3">
        <v>16.330809473768401</v>
      </c>
      <c r="I40" s="3">
        <v>13.982423934942</v>
      </c>
      <c r="J40" s="3">
        <v>17.259258965771298</v>
      </c>
      <c r="K40" s="3">
        <v>9.6327553667195307</v>
      </c>
      <c r="L40" s="3">
        <v>12.260530539847201</v>
      </c>
      <c r="M40" s="3">
        <v>15.7898670171334</v>
      </c>
      <c r="N40" s="3">
        <v>13.125542818185099</v>
      </c>
      <c r="O40" s="3">
        <v>18.709320957518599</v>
      </c>
      <c r="P40" s="3">
        <v>13.4430015624684</v>
      </c>
      <c r="Q40" s="3">
        <v>12.516082309845499</v>
      </c>
      <c r="R40" s="3">
        <v>14.6724748668705</v>
      </c>
      <c r="S40" s="3">
        <v>8.9523175171776508</v>
      </c>
      <c r="T40" s="3">
        <v>11.586133118859101</v>
      </c>
      <c r="U40" s="3">
        <v>14.729181718851301</v>
      </c>
      <c r="V40" s="3">
        <v>14.540288608505699</v>
      </c>
    </row>
    <row r="41" spans="1:22" x14ac:dyDescent="0.35">
      <c r="A41" s="2">
        <v>42970</v>
      </c>
      <c r="B41" s="3">
        <v>14.037573885898301</v>
      </c>
      <c r="C41" s="3">
        <v>18.342697265435898</v>
      </c>
      <c r="D41" s="3">
        <v>15.748897402774499</v>
      </c>
      <c r="E41" s="3">
        <v>16.771115862849101</v>
      </c>
      <c r="F41" s="3">
        <v>12.603868945635201</v>
      </c>
      <c r="G41" s="3">
        <v>12.241739981097901</v>
      </c>
      <c r="H41" s="3">
        <v>16.3613461318613</v>
      </c>
      <c r="I41" s="3">
        <v>13.9391433961302</v>
      </c>
      <c r="J41" s="3">
        <v>17.222049327700201</v>
      </c>
      <c r="K41" s="3">
        <v>9.1469437109747798</v>
      </c>
      <c r="L41" s="3">
        <v>13.3603151158615</v>
      </c>
      <c r="M41" s="3">
        <v>15.9303573732783</v>
      </c>
      <c r="N41" s="3">
        <v>12.236538484172099</v>
      </c>
      <c r="O41" s="3">
        <v>18.562970327811101</v>
      </c>
      <c r="P41" s="3">
        <v>13.6349198595967</v>
      </c>
      <c r="Q41" s="3">
        <v>11.9603012765896</v>
      </c>
      <c r="R41" s="3">
        <v>14.673145128774999</v>
      </c>
      <c r="S41" s="3">
        <v>8.6503449966693697</v>
      </c>
      <c r="T41" s="3">
        <v>11.4290188670319</v>
      </c>
      <c r="U41" s="3">
        <v>15.493653722596999</v>
      </c>
      <c r="V41" s="3">
        <v>13.986165733626599</v>
      </c>
    </row>
    <row r="42" spans="1:22" x14ac:dyDescent="0.35">
      <c r="A42" s="2">
        <v>43000</v>
      </c>
      <c r="B42" s="3">
        <v>14.281692312104701</v>
      </c>
      <c r="C42" s="3">
        <v>19.229781489654801</v>
      </c>
      <c r="D42" s="3">
        <v>15.481927615801601</v>
      </c>
      <c r="E42" s="3">
        <v>17.2405423398355</v>
      </c>
      <c r="F42" s="3">
        <v>12.450016367244199</v>
      </c>
      <c r="G42" s="3">
        <v>12.6593315429638</v>
      </c>
      <c r="H42" s="3">
        <v>16.356322170996702</v>
      </c>
      <c r="I42" s="3">
        <v>13.381367918500001</v>
      </c>
      <c r="J42" s="3">
        <v>16.8447752884774</v>
      </c>
      <c r="K42" s="3">
        <v>9.2248303248830403</v>
      </c>
      <c r="L42" s="3">
        <v>14.0175847691236</v>
      </c>
      <c r="M42" s="3">
        <v>15.0980412943844</v>
      </c>
      <c r="N42" s="3">
        <v>11.2841561818064</v>
      </c>
      <c r="O42" s="3">
        <v>18.624348496331301</v>
      </c>
      <c r="P42" s="3">
        <v>13.711203770553199</v>
      </c>
      <c r="Q42" s="3">
        <v>10.8845360212123</v>
      </c>
      <c r="R42" s="3">
        <v>15.3723878466073</v>
      </c>
      <c r="S42" s="3">
        <v>8.1738084398127899</v>
      </c>
      <c r="T42" s="3">
        <v>11.142150692227601</v>
      </c>
      <c r="U42" s="3">
        <v>15.213373149836301</v>
      </c>
      <c r="V42" s="3">
        <v>13.704290207863201</v>
      </c>
    </row>
    <row r="43" spans="1:22" x14ac:dyDescent="0.35">
      <c r="A43" s="2">
        <v>43031</v>
      </c>
      <c r="B43" s="3">
        <v>14.367377655160499</v>
      </c>
      <c r="C43" s="3">
        <v>15.5779641191581</v>
      </c>
      <c r="D43" s="3">
        <v>15.4177008325959</v>
      </c>
      <c r="E43" s="3">
        <v>17.770542330850802</v>
      </c>
      <c r="F43" s="3">
        <v>12.0949675683321</v>
      </c>
      <c r="G43" s="3">
        <v>13.236954631969001</v>
      </c>
      <c r="H43" s="3">
        <v>15.9616877929135</v>
      </c>
      <c r="I43" s="3">
        <v>13.7389865294241</v>
      </c>
      <c r="J43" s="3">
        <v>16.1409241060121</v>
      </c>
      <c r="K43" s="3">
        <v>9.4431428487114406</v>
      </c>
      <c r="L43" s="3">
        <v>13.8211991680376</v>
      </c>
      <c r="M43" s="3">
        <v>15.3923601871474</v>
      </c>
      <c r="N43" s="3">
        <v>11.8628814188614</v>
      </c>
      <c r="O43" s="3">
        <v>18.714258776905101</v>
      </c>
      <c r="P43" s="3">
        <v>13.7106197633659</v>
      </c>
      <c r="Q43" s="3">
        <v>10.7375608183305</v>
      </c>
      <c r="R43" s="3">
        <v>15.5481918838884</v>
      </c>
      <c r="S43" s="3">
        <v>8.2431396442224703</v>
      </c>
      <c r="T43" s="3">
        <v>11.4059456810727</v>
      </c>
      <c r="U43" s="3">
        <v>16.2882149855965</v>
      </c>
      <c r="V43" s="3">
        <v>12.788740837567801</v>
      </c>
    </row>
    <row r="44" spans="1:22" x14ac:dyDescent="0.35">
      <c r="A44" s="2">
        <v>43061</v>
      </c>
      <c r="B44" s="3">
        <v>14.987848045043901</v>
      </c>
      <c r="C44" s="3">
        <v>13.218816315686899</v>
      </c>
      <c r="D44" s="3">
        <v>15.495266817402699</v>
      </c>
      <c r="E44" s="3">
        <v>17.201437978786</v>
      </c>
      <c r="F44" s="3">
        <v>11.980177108985499</v>
      </c>
      <c r="G44" s="3">
        <v>12.7412822740108</v>
      </c>
      <c r="H44" s="3">
        <v>15.609004015622499</v>
      </c>
      <c r="I44" s="3">
        <v>13.8183550408865</v>
      </c>
      <c r="J44" s="3">
        <v>15.822428245884</v>
      </c>
      <c r="K44" s="3">
        <v>9.4055470079843904</v>
      </c>
      <c r="L44" s="3">
        <v>13.280847118736601</v>
      </c>
      <c r="M44" s="3">
        <v>16.075279518767701</v>
      </c>
      <c r="N44" s="3">
        <v>11.7327369205412</v>
      </c>
      <c r="O44" s="3">
        <v>18.781052695595399</v>
      </c>
      <c r="P44" s="3">
        <v>14.326066497548201</v>
      </c>
      <c r="Q44" s="3">
        <v>10.793737098287</v>
      </c>
      <c r="R44" s="3">
        <v>15.5761215136173</v>
      </c>
      <c r="S44" s="3">
        <v>7.8232580107458398</v>
      </c>
      <c r="T44" s="3">
        <v>10.717707770956199</v>
      </c>
      <c r="U44" s="3">
        <v>17.771887521274699</v>
      </c>
      <c r="V44" s="3">
        <v>12.9303203086289</v>
      </c>
    </row>
    <row r="45" spans="1:22" x14ac:dyDescent="0.35">
      <c r="A45" s="2">
        <v>43091</v>
      </c>
      <c r="B45" s="3">
        <v>13.9114585941172</v>
      </c>
      <c r="C45" s="3">
        <v>14.1504896658329</v>
      </c>
      <c r="D45" s="3">
        <v>15.5498976472511</v>
      </c>
      <c r="E45" s="3">
        <v>17.391065006014301</v>
      </c>
      <c r="F45" s="3">
        <v>11.8244064648194</v>
      </c>
      <c r="G45" s="3">
        <v>13.3753140744086</v>
      </c>
      <c r="H45" s="3">
        <v>16.116624694002098</v>
      </c>
      <c r="I45" s="3">
        <v>13.1742560787347</v>
      </c>
      <c r="J45" s="3">
        <v>15.6902300167327</v>
      </c>
      <c r="K45" s="3">
        <v>8.9890670945101707</v>
      </c>
      <c r="L45" s="3">
        <v>13.3320789683921</v>
      </c>
      <c r="M45" s="3">
        <v>14.904076028193</v>
      </c>
      <c r="N45" s="3">
        <v>14.1260019522703</v>
      </c>
      <c r="O45" s="3">
        <v>18.966260413417</v>
      </c>
      <c r="P45" s="3">
        <v>13.443967145819199</v>
      </c>
      <c r="Q45" s="3">
        <v>11.9413038128528</v>
      </c>
      <c r="R45" s="3">
        <v>15.803544113414899</v>
      </c>
      <c r="S45" s="3">
        <v>7.9520044937145702</v>
      </c>
      <c r="T45" s="3">
        <v>10.880474658204999</v>
      </c>
      <c r="U45" s="3">
        <v>18.643285773153799</v>
      </c>
      <c r="V45" s="3">
        <v>13.2331496283487</v>
      </c>
    </row>
    <row r="46" spans="1:22" x14ac:dyDescent="0.35">
      <c r="A46" s="2">
        <v>43123</v>
      </c>
      <c r="B46" s="3">
        <v>14.6544556129732</v>
      </c>
      <c r="C46" s="3">
        <v>14.611679038898099</v>
      </c>
      <c r="D46" s="3">
        <v>16.327333224357101</v>
      </c>
      <c r="E46" s="3">
        <v>18.239860538467902</v>
      </c>
      <c r="F46" s="3">
        <v>12.902519155662601</v>
      </c>
      <c r="G46" s="3">
        <v>14.2793217669665</v>
      </c>
      <c r="H46" s="3">
        <v>16.822671788852901</v>
      </c>
      <c r="I46" s="3">
        <v>13.9865249795316</v>
      </c>
      <c r="J46" s="3">
        <v>16.209544625304801</v>
      </c>
      <c r="K46" s="3">
        <v>9.33575011914151</v>
      </c>
      <c r="L46" s="3">
        <v>13.5710833347018</v>
      </c>
      <c r="M46" s="3">
        <v>15.5760061308745</v>
      </c>
      <c r="N46" s="3">
        <v>14.776921761127401</v>
      </c>
      <c r="O46" s="3">
        <v>19.681526440013101</v>
      </c>
      <c r="P46" s="3">
        <v>14.555797537115099</v>
      </c>
      <c r="Q46" s="3">
        <v>12.2020341822845</v>
      </c>
      <c r="R46" s="3">
        <v>16.532763796559301</v>
      </c>
      <c r="S46" s="3">
        <v>8.3378408210752397</v>
      </c>
      <c r="T46" s="3">
        <v>11.690126280091301</v>
      </c>
      <c r="U46" s="3">
        <v>21.229338509474299</v>
      </c>
      <c r="V46" s="3">
        <v>13.871987275381001</v>
      </c>
    </row>
    <row r="47" spans="1:22" x14ac:dyDescent="0.35">
      <c r="A47" s="2">
        <v>43154</v>
      </c>
      <c r="B47" s="3">
        <v>13.432844366430601</v>
      </c>
      <c r="C47" s="3">
        <v>14.4354563247336</v>
      </c>
      <c r="D47" s="3">
        <v>15.569339211090799</v>
      </c>
      <c r="E47" s="3">
        <v>17.138260521285101</v>
      </c>
      <c r="F47" s="3">
        <v>11.6202219653415</v>
      </c>
      <c r="G47" s="3">
        <v>13.8489746642733</v>
      </c>
      <c r="H47" s="3">
        <v>16.7707431620716</v>
      </c>
      <c r="I47" s="3">
        <v>13.3837938835029</v>
      </c>
      <c r="J47" s="3">
        <v>15.7346940806597</v>
      </c>
      <c r="K47" s="3">
        <v>9.0658699329993997</v>
      </c>
      <c r="L47" s="3">
        <v>13.9078624747142</v>
      </c>
      <c r="M47" s="3">
        <v>15.231305387174899</v>
      </c>
      <c r="N47" s="3">
        <v>14.5382086700186</v>
      </c>
      <c r="O47" s="3">
        <v>18.4622168366324</v>
      </c>
      <c r="P47" s="3">
        <v>13.658402679110001</v>
      </c>
      <c r="Q47" s="3">
        <v>11.732650817501</v>
      </c>
      <c r="R47" s="3">
        <v>16.0458157029469</v>
      </c>
      <c r="S47" s="3">
        <v>8.1117405505668607</v>
      </c>
      <c r="T47" s="3">
        <v>11.105952115641999</v>
      </c>
      <c r="U47" s="3">
        <v>20.6264051867422</v>
      </c>
      <c r="V47" s="3">
        <v>13.7585648423647</v>
      </c>
    </row>
    <row r="48" spans="1:22" x14ac:dyDescent="0.35">
      <c r="A48" s="2">
        <v>43182</v>
      </c>
      <c r="B48" s="3">
        <v>12.690413664609601</v>
      </c>
      <c r="C48" s="3">
        <v>13.738446931386701</v>
      </c>
      <c r="D48" s="3">
        <v>14.506738055078101</v>
      </c>
      <c r="E48" s="3">
        <v>16.129385513369499</v>
      </c>
      <c r="F48" s="3">
        <v>10.946515801833799</v>
      </c>
      <c r="G48" s="3">
        <v>13.436810961642401</v>
      </c>
      <c r="H48" s="3">
        <v>16.4953707554576</v>
      </c>
      <c r="I48" s="3">
        <v>13.419098248656001</v>
      </c>
      <c r="J48" s="3">
        <v>15.0159597117035</v>
      </c>
      <c r="K48" s="3">
        <v>8.8877278490258895</v>
      </c>
      <c r="L48" s="3">
        <v>12.7081552354162</v>
      </c>
      <c r="M48" s="3">
        <v>15.5235698997706</v>
      </c>
      <c r="N48" s="3">
        <v>13.2702847725774</v>
      </c>
      <c r="O48" s="3">
        <v>17.583268059945102</v>
      </c>
      <c r="P48" s="3">
        <v>12.7284668874135</v>
      </c>
      <c r="Q48" s="3">
        <v>11.3064119675106</v>
      </c>
      <c r="R48" s="3">
        <v>15.5077284769188</v>
      </c>
      <c r="S48" s="3">
        <v>7.8556424299821304</v>
      </c>
      <c r="T48" s="3">
        <v>11.0275858996353</v>
      </c>
      <c r="U48" s="3">
        <v>21.293479892228401</v>
      </c>
      <c r="V48" s="3">
        <v>14.7386890504457</v>
      </c>
    </row>
    <row r="49" spans="1:22" x14ac:dyDescent="0.35">
      <c r="A49" s="2">
        <v>43213</v>
      </c>
      <c r="B49" s="3">
        <v>12.2752036742279</v>
      </c>
      <c r="C49" s="3">
        <v>13.9706686544304</v>
      </c>
      <c r="D49" s="3">
        <v>14.7897816181365</v>
      </c>
      <c r="E49" s="3">
        <v>15.5565873760622</v>
      </c>
      <c r="F49" s="3">
        <v>11.393942548201199</v>
      </c>
      <c r="G49" s="3">
        <v>13.9996004718531</v>
      </c>
      <c r="H49" s="3">
        <v>16.499381328110601</v>
      </c>
      <c r="I49" s="3">
        <v>13.2696559447031</v>
      </c>
      <c r="J49" s="3">
        <v>15.5715120948711</v>
      </c>
      <c r="K49" s="3">
        <v>9.0129831995361993</v>
      </c>
      <c r="L49" s="3">
        <v>12.806019536883699</v>
      </c>
      <c r="M49" s="3">
        <v>15.3159333573495</v>
      </c>
      <c r="N49" s="3">
        <v>15.047582546293199</v>
      </c>
      <c r="O49" s="3">
        <v>18.444312105261002</v>
      </c>
      <c r="P49" s="3">
        <v>12.204135478793701</v>
      </c>
      <c r="Q49" s="3">
        <v>11.698647266708299</v>
      </c>
      <c r="R49" s="3">
        <v>15.3021962714504</v>
      </c>
      <c r="S49" s="3">
        <v>7.4072712356890502</v>
      </c>
      <c r="T49" s="3">
        <v>11.365929736223499</v>
      </c>
      <c r="U49" s="3">
        <v>20.746926582235499</v>
      </c>
      <c r="V49" s="3">
        <v>15.440312202385201</v>
      </c>
    </row>
    <row r="50" spans="1:22" x14ac:dyDescent="0.35">
      <c r="A50" s="2">
        <v>43243</v>
      </c>
      <c r="B50" s="3">
        <v>11.814187184203501</v>
      </c>
      <c r="C50" s="3">
        <v>13.252379894445101</v>
      </c>
      <c r="D50" s="3">
        <v>13.1404310956011</v>
      </c>
      <c r="E50" s="3">
        <v>15.7587991962807</v>
      </c>
      <c r="F50" s="3">
        <v>10.8781989210344</v>
      </c>
      <c r="G50" s="3">
        <v>13.439018159534299</v>
      </c>
      <c r="H50" s="3">
        <v>15.985042076439001</v>
      </c>
      <c r="I50" s="3">
        <v>13.4729281276226</v>
      </c>
      <c r="J50" s="3">
        <v>14.508722847041501</v>
      </c>
      <c r="K50" s="3">
        <v>8.84159479604876</v>
      </c>
      <c r="L50" s="3">
        <v>11.704870970413999</v>
      </c>
      <c r="M50" s="3">
        <v>14.5369781525129</v>
      </c>
      <c r="N50" s="3">
        <v>13.6575807963756</v>
      </c>
      <c r="O50" s="3">
        <v>17.882352801551001</v>
      </c>
      <c r="P50" s="3">
        <v>12.565394378066101</v>
      </c>
      <c r="Q50" s="3">
        <v>11.372811728419601</v>
      </c>
      <c r="R50" s="3">
        <v>15.3120204024617</v>
      </c>
      <c r="S50" s="3">
        <v>6.68163309224171</v>
      </c>
      <c r="T50" s="3">
        <v>10.6106248621207</v>
      </c>
      <c r="U50" s="3">
        <v>19.372776859421499</v>
      </c>
      <c r="V50" s="3">
        <v>14.9053191673545</v>
      </c>
    </row>
    <row r="51" spans="1:22" x14ac:dyDescent="0.35">
      <c r="A51" s="2">
        <v>43273</v>
      </c>
      <c r="B51" s="3">
        <v>11.229836711594301</v>
      </c>
      <c r="C51" s="3">
        <v>11.832110666048999</v>
      </c>
      <c r="D51" s="3">
        <v>12.845028544404199</v>
      </c>
      <c r="E51" s="3">
        <v>14.7193804729653</v>
      </c>
      <c r="F51" s="3">
        <v>10.497361226768801</v>
      </c>
      <c r="G51" s="3">
        <v>13.575366913651401</v>
      </c>
      <c r="H51" s="3">
        <v>15.4868791549696</v>
      </c>
      <c r="I51" s="3">
        <v>13.396898663066001</v>
      </c>
      <c r="J51" s="3">
        <v>14.807653303969699</v>
      </c>
      <c r="K51" s="3">
        <v>8.5617398361634898</v>
      </c>
      <c r="L51" s="3">
        <v>10.267162895675099</v>
      </c>
      <c r="M51" s="3">
        <v>14.118660107175399</v>
      </c>
      <c r="N51" s="3">
        <v>15.112707330346399</v>
      </c>
      <c r="O51" s="3">
        <v>18.640988498268499</v>
      </c>
      <c r="P51" s="3">
        <v>12.184307721549899</v>
      </c>
      <c r="Q51" s="3">
        <v>11.0941183879668</v>
      </c>
      <c r="R51" s="3">
        <v>14.217836862652099</v>
      </c>
      <c r="S51" s="3">
        <v>6.3146925211203797</v>
      </c>
      <c r="T51" s="3">
        <v>10.845481005487599</v>
      </c>
      <c r="U51" s="3">
        <v>17.504194594417601</v>
      </c>
      <c r="V51" s="3">
        <v>14.852490442886999</v>
      </c>
    </row>
    <row r="52" spans="1:22" x14ac:dyDescent="0.35">
      <c r="A52" s="2">
        <v>43304</v>
      </c>
      <c r="B52" s="3">
        <v>10.7334515986383</v>
      </c>
      <c r="C52" s="3">
        <v>11.970912282192099</v>
      </c>
      <c r="D52" s="3">
        <v>12.9759807906202</v>
      </c>
      <c r="E52" s="3">
        <v>15.010118604568</v>
      </c>
      <c r="F52" s="3">
        <v>10.6050444748311</v>
      </c>
      <c r="G52" s="3">
        <v>13.4333596465311</v>
      </c>
      <c r="H52" s="3">
        <v>16.084912655996899</v>
      </c>
      <c r="I52" s="3">
        <v>13.462569873951299</v>
      </c>
      <c r="J52" s="3">
        <v>15.4839539549971</v>
      </c>
      <c r="K52" s="3">
        <v>8.2935959375896893</v>
      </c>
      <c r="L52" s="3">
        <v>11.0218449258034</v>
      </c>
      <c r="M52" s="3">
        <v>13.8078523263567</v>
      </c>
      <c r="N52" s="3">
        <v>14.4181510936951</v>
      </c>
      <c r="O52" s="3">
        <v>18.813502692849799</v>
      </c>
      <c r="P52" s="3">
        <v>11.865990180019701</v>
      </c>
      <c r="Q52" s="3">
        <v>11.6341746461396</v>
      </c>
      <c r="R52" s="3">
        <v>14.5324691821477</v>
      </c>
      <c r="S52" s="3">
        <v>6.1694245564407604</v>
      </c>
      <c r="T52" s="3">
        <v>11.2617424818334</v>
      </c>
      <c r="U52" s="3">
        <v>17.288943525969501</v>
      </c>
      <c r="V52" s="3">
        <v>15.100407963759</v>
      </c>
    </row>
    <row r="53" spans="1:22" x14ac:dyDescent="0.35">
      <c r="A53" s="2">
        <v>43335</v>
      </c>
      <c r="B53" s="3">
        <v>9.9844495721993507</v>
      </c>
      <c r="C53" s="3">
        <v>12.1845258493898</v>
      </c>
      <c r="D53" s="3">
        <v>13.7321643783638</v>
      </c>
      <c r="E53" s="3">
        <v>15.7423117521181</v>
      </c>
      <c r="F53" s="3">
        <v>11.193079165719601</v>
      </c>
      <c r="G53" s="3">
        <v>13.2955092078783</v>
      </c>
      <c r="H53" s="3">
        <v>16.583706743562399</v>
      </c>
      <c r="I53" s="3">
        <v>13.401165867949899</v>
      </c>
      <c r="J53" s="3">
        <v>15.3294654401582</v>
      </c>
      <c r="K53" s="3">
        <v>8.2218242672877597</v>
      </c>
      <c r="L53" s="3">
        <v>10.5621859861297</v>
      </c>
      <c r="M53" s="3">
        <v>13.8530239203068</v>
      </c>
      <c r="N53" s="3">
        <v>14.723217420363699</v>
      </c>
      <c r="O53" s="3">
        <v>19.895904100207002</v>
      </c>
      <c r="P53" s="3">
        <v>11.4344748932788</v>
      </c>
      <c r="Q53" s="3">
        <v>12.0060996658262</v>
      </c>
      <c r="R53" s="3">
        <v>14.687631739585701</v>
      </c>
      <c r="S53" s="3">
        <v>5.7704570239789899</v>
      </c>
      <c r="T53" s="3">
        <v>11.377171987656901</v>
      </c>
      <c r="U53" s="3">
        <v>17.880486182385201</v>
      </c>
      <c r="V53" s="3">
        <v>13.8505800546566</v>
      </c>
    </row>
    <row r="54" spans="1:22" x14ac:dyDescent="0.35">
      <c r="A54" s="2">
        <v>43364</v>
      </c>
      <c r="B54" s="3">
        <v>10.5150330386154</v>
      </c>
      <c r="C54" s="3">
        <v>12.3871962326784</v>
      </c>
      <c r="D54" s="3">
        <v>13.451108223928401</v>
      </c>
      <c r="E54" s="3">
        <v>14.2413598131309</v>
      </c>
      <c r="F54" s="3">
        <v>10.692465210240201</v>
      </c>
      <c r="G54" s="3">
        <v>13.1340460734896</v>
      </c>
      <c r="H54" s="3">
        <v>16.526591630760901</v>
      </c>
      <c r="I54" s="3">
        <v>13.217867582443899</v>
      </c>
      <c r="J54" s="3">
        <v>15.053442499804801</v>
      </c>
      <c r="K54" s="3">
        <v>8.4150787008295396</v>
      </c>
      <c r="L54" s="3">
        <v>10.790228549510299</v>
      </c>
      <c r="M54" s="3">
        <v>13.3264188173305</v>
      </c>
      <c r="N54" s="3">
        <v>14.606529443981399</v>
      </c>
      <c r="O54" s="3">
        <v>18.934566008284701</v>
      </c>
      <c r="P54" s="3">
        <v>11.321883552468799</v>
      </c>
      <c r="Q54" s="3">
        <v>12.255820967757</v>
      </c>
      <c r="R54" s="3">
        <v>15.069805445011401</v>
      </c>
      <c r="S54" s="3">
        <v>6.0866676772783501</v>
      </c>
      <c r="T54" s="3">
        <v>11.7780144959036</v>
      </c>
      <c r="U54" s="3">
        <v>17.264464177286801</v>
      </c>
      <c r="V54" s="3">
        <v>13.737621422604899</v>
      </c>
    </row>
    <row r="55" spans="1:22" x14ac:dyDescent="0.35">
      <c r="A55" s="2">
        <v>43396</v>
      </c>
      <c r="B55" s="3">
        <v>9.7239203028339105</v>
      </c>
      <c r="C55" s="3">
        <v>14.990429852931401</v>
      </c>
      <c r="D55" s="3">
        <v>12.9645680294326</v>
      </c>
      <c r="E55" s="3">
        <v>13.9429682884993</v>
      </c>
      <c r="F55" s="3">
        <v>10.177209324887899</v>
      </c>
      <c r="G55" s="3">
        <v>12.760469785562501</v>
      </c>
      <c r="H55" s="3">
        <v>15.465514664714</v>
      </c>
      <c r="I55" s="3">
        <v>11.925747230493499</v>
      </c>
      <c r="J55" s="3">
        <v>13.950478493822599</v>
      </c>
      <c r="K55" s="3">
        <v>7.6568815220233999</v>
      </c>
      <c r="L55" s="3">
        <v>11.251795344899399</v>
      </c>
      <c r="M55" s="3">
        <v>11.742881366135</v>
      </c>
      <c r="N55" s="3">
        <v>12.0979807952539</v>
      </c>
      <c r="O55" s="3">
        <v>16.734150078171002</v>
      </c>
      <c r="P55" s="3">
        <v>10.0671207750118</v>
      </c>
      <c r="Q55" s="3">
        <v>12.861498424004401</v>
      </c>
      <c r="R55" s="3">
        <v>14.194264965252399</v>
      </c>
      <c r="S55" s="3">
        <v>5.7990773648609997</v>
      </c>
      <c r="T55" s="3">
        <v>11.394488857629501</v>
      </c>
      <c r="U55" s="3">
        <v>14.979861274959299</v>
      </c>
      <c r="V55" s="3">
        <v>13.395040224025299</v>
      </c>
    </row>
    <row r="56" spans="1:22" x14ac:dyDescent="0.35">
      <c r="A56" s="2">
        <v>43427</v>
      </c>
      <c r="B56" s="3">
        <v>9.6799368221236399</v>
      </c>
      <c r="C56" s="3">
        <v>15.0427777446014</v>
      </c>
      <c r="D56" s="3">
        <v>13.7529920432897</v>
      </c>
      <c r="E56" s="3">
        <v>14.1142639167563</v>
      </c>
      <c r="F56" s="3">
        <v>10.4971940081691</v>
      </c>
      <c r="G56" s="3">
        <v>12.829116762303901</v>
      </c>
      <c r="H56" s="3">
        <v>15.7027751167531</v>
      </c>
      <c r="I56" s="3">
        <v>12.1770898879459</v>
      </c>
      <c r="J56" s="3">
        <v>12.250140992588999</v>
      </c>
      <c r="K56" s="3">
        <v>7.78132239085026</v>
      </c>
      <c r="L56" s="3">
        <v>11.2925255963195</v>
      </c>
      <c r="M56" s="3">
        <v>12.2198696911294</v>
      </c>
      <c r="N56" s="3">
        <v>11.662488549571201</v>
      </c>
      <c r="O56" s="3">
        <v>17.724022465949101</v>
      </c>
      <c r="P56" s="3">
        <v>10.3699904103857</v>
      </c>
      <c r="Q56" s="3">
        <v>12.9233998182613</v>
      </c>
      <c r="R56" s="3">
        <v>13.9309022254763</v>
      </c>
      <c r="S56" s="3">
        <v>5.7079817911466897</v>
      </c>
      <c r="T56" s="3">
        <v>11.815734716763499</v>
      </c>
      <c r="U56" s="3">
        <v>15.327118033457699</v>
      </c>
      <c r="V56" s="3">
        <v>13.3934048578391</v>
      </c>
    </row>
    <row r="57" spans="1:22" x14ac:dyDescent="0.35">
      <c r="A57" s="2">
        <v>43455</v>
      </c>
      <c r="B57" s="3">
        <v>9.4781886287691108</v>
      </c>
      <c r="C57" s="3">
        <v>14.353245696464199</v>
      </c>
      <c r="D57" s="3">
        <v>14.031188521585101</v>
      </c>
      <c r="E57" s="3">
        <v>14.906149850723001</v>
      </c>
      <c r="F57" s="3">
        <v>10.532137002441001</v>
      </c>
      <c r="G57" s="3">
        <v>12.986172154291401</v>
      </c>
      <c r="H57" s="3">
        <v>15.79411908923</v>
      </c>
      <c r="I57" s="3">
        <v>12.334600349871399</v>
      </c>
      <c r="J57" s="3">
        <v>12.4070160358187</v>
      </c>
      <c r="K57" s="3">
        <v>8.3173165520297392</v>
      </c>
      <c r="L57" s="3">
        <v>11.273907219872299</v>
      </c>
      <c r="M57" s="3">
        <v>12.325062401193</v>
      </c>
      <c r="N57" s="3">
        <v>11.072086568347499</v>
      </c>
      <c r="O57" s="3">
        <v>17.879035402123598</v>
      </c>
      <c r="P57" s="3">
        <v>10.085980363878299</v>
      </c>
      <c r="Q57" s="3">
        <v>13.003484203408799</v>
      </c>
      <c r="R57" s="3">
        <v>13.749107608087201</v>
      </c>
      <c r="S57" s="3">
        <v>5.96348186621913</v>
      </c>
      <c r="T57" s="3">
        <v>11.0957738131018</v>
      </c>
      <c r="U57" s="3">
        <v>14.827977848500399</v>
      </c>
      <c r="V57" s="3">
        <v>14.2141378292048</v>
      </c>
    </row>
    <row r="58" spans="1:22" x14ac:dyDescent="0.35">
      <c r="A58" s="2">
        <v>43488</v>
      </c>
      <c r="B58" s="3">
        <v>9.8712289843168506</v>
      </c>
      <c r="C58" s="3">
        <v>15.666110800503001</v>
      </c>
      <c r="D58" s="3">
        <v>14.680507925226401</v>
      </c>
      <c r="E58" s="3">
        <v>15.673125495309201</v>
      </c>
      <c r="F58" s="3">
        <v>10.9679108269492</v>
      </c>
      <c r="G58" s="3">
        <v>14.4987888427054</v>
      </c>
      <c r="H58" s="3">
        <v>16.163480509069899</v>
      </c>
      <c r="I58" s="3">
        <v>13.253454873747399</v>
      </c>
      <c r="J58" s="3">
        <v>13.114349535420301</v>
      </c>
      <c r="K58" s="3">
        <v>9.13653577508288</v>
      </c>
      <c r="L58" s="3">
        <v>13.100041144332501</v>
      </c>
      <c r="M58" s="3">
        <v>13.1142052269572</v>
      </c>
      <c r="N58" s="3">
        <v>11.282009686095201</v>
      </c>
      <c r="O58" s="3">
        <v>18.016698098950201</v>
      </c>
      <c r="P58" s="3">
        <v>10.694061165605</v>
      </c>
      <c r="Q58" s="3">
        <v>13.330734779776201</v>
      </c>
      <c r="R58" s="3">
        <v>14.2907508921563</v>
      </c>
      <c r="S58" s="3">
        <v>6.9371489921540501</v>
      </c>
      <c r="T58" s="3">
        <v>10.8637094817794</v>
      </c>
      <c r="U58" s="3">
        <v>15.1837658937588</v>
      </c>
      <c r="V58" s="3">
        <v>15.818473351296401</v>
      </c>
    </row>
    <row r="59" spans="1:22" x14ac:dyDescent="0.35">
      <c r="A59" s="2">
        <v>43518</v>
      </c>
      <c r="B59" s="3">
        <v>10.922179516475101</v>
      </c>
      <c r="C59" s="3">
        <v>16.073675520722102</v>
      </c>
      <c r="D59" s="3">
        <v>14.4861721470759</v>
      </c>
      <c r="E59" s="3">
        <v>15.4259942176227</v>
      </c>
      <c r="F59" s="3">
        <v>10.7829493425065</v>
      </c>
      <c r="G59" s="3">
        <v>15.812994285356201</v>
      </c>
      <c r="H59" s="3">
        <v>16.719241331558699</v>
      </c>
      <c r="I59" s="3">
        <v>14.193530939595901</v>
      </c>
      <c r="J59" s="3">
        <v>13.1441965922027</v>
      </c>
      <c r="K59" s="3">
        <v>10.412365710240699</v>
      </c>
      <c r="L59" s="3">
        <v>12.692329554609699</v>
      </c>
      <c r="M59" s="3">
        <v>13.1759459255462</v>
      </c>
      <c r="N59" s="3">
        <v>12.0149660694253</v>
      </c>
      <c r="O59" s="3">
        <v>18.1490388233834</v>
      </c>
      <c r="P59" s="3">
        <v>11.49134204177</v>
      </c>
      <c r="Q59" s="3">
        <v>12.587436292328199</v>
      </c>
      <c r="R59" s="3">
        <v>14.960896182486101</v>
      </c>
      <c r="S59" s="3">
        <v>7.0407567563638302</v>
      </c>
      <c r="T59" s="3">
        <v>11.203583849469601</v>
      </c>
      <c r="U59" s="3">
        <v>16.831201900043901</v>
      </c>
      <c r="V59" s="3">
        <v>16.036706365294801</v>
      </c>
    </row>
    <row r="60" spans="1:22" x14ac:dyDescent="0.35">
      <c r="A60" s="2">
        <v>43546</v>
      </c>
      <c r="B60" s="3">
        <v>11.639089142480699</v>
      </c>
      <c r="C60" s="3">
        <v>15.031028125264999</v>
      </c>
      <c r="D60" s="3">
        <v>14.767360632533901</v>
      </c>
      <c r="E60" s="3">
        <v>15.474544578369199</v>
      </c>
      <c r="F60" s="3">
        <v>11.131921780775301</v>
      </c>
      <c r="G60" s="3">
        <v>15.677878799930401</v>
      </c>
      <c r="H60" s="3">
        <v>16.300324520392198</v>
      </c>
      <c r="I60" s="3">
        <v>14.819049656129501</v>
      </c>
      <c r="J60" s="3">
        <v>12.812960271461</v>
      </c>
      <c r="K60" s="3">
        <v>10.747425348580901</v>
      </c>
      <c r="L60" s="3">
        <v>11.9809845148385</v>
      </c>
      <c r="M60" s="3">
        <v>12.9245961170935</v>
      </c>
      <c r="N60" s="3">
        <v>13.0305345934258</v>
      </c>
      <c r="O60" s="3">
        <v>18.915891892683302</v>
      </c>
      <c r="P60" s="3">
        <v>11.6939002502167</v>
      </c>
      <c r="Q60" s="3">
        <v>12.353719471120799</v>
      </c>
      <c r="R60" s="3">
        <v>14.9254860731606</v>
      </c>
      <c r="S60" s="3">
        <v>6.9294799895221297</v>
      </c>
      <c r="T60" s="3">
        <v>11.904699576945699</v>
      </c>
      <c r="U60" s="3">
        <v>17.449113300220102</v>
      </c>
      <c r="V60" s="3">
        <v>16.3346419069108</v>
      </c>
    </row>
    <row r="61" spans="1:22" x14ac:dyDescent="0.35">
      <c r="A61" s="2">
        <v>43578</v>
      </c>
      <c r="B61" s="3">
        <v>12.116280741325401</v>
      </c>
      <c r="C61" s="3">
        <v>14.825195900332901</v>
      </c>
      <c r="D61" s="3">
        <v>14.2570524091643</v>
      </c>
      <c r="E61" s="3">
        <v>15.2855795624263</v>
      </c>
      <c r="F61" s="3">
        <v>11.3066739186412</v>
      </c>
      <c r="G61" s="3">
        <v>14.7305254627974</v>
      </c>
      <c r="H61" s="3">
        <v>15.9911477273158</v>
      </c>
      <c r="I61" s="3">
        <v>15.298476252289699</v>
      </c>
      <c r="J61" s="3">
        <v>13.6254534768892</v>
      </c>
      <c r="K61" s="3">
        <v>11.217496509136</v>
      </c>
      <c r="L61" s="3">
        <v>11.562859415497501</v>
      </c>
      <c r="M61" s="3">
        <v>13.776499825439901</v>
      </c>
      <c r="N61" s="3">
        <v>13.4889866154709</v>
      </c>
      <c r="O61" s="3">
        <v>18.962316293412101</v>
      </c>
      <c r="P61" s="3">
        <v>12.2258835025827</v>
      </c>
      <c r="Q61" s="3">
        <v>13.140795688730201</v>
      </c>
      <c r="R61" s="3">
        <v>15.123019743905299</v>
      </c>
      <c r="S61" s="3">
        <v>6.2304754336021704</v>
      </c>
      <c r="T61" s="3">
        <v>12.3476501808316</v>
      </c>
      <c r="U61" s="3">
        <v>17.8211889878324</v>
      </c>
      <c r="V61" s="3">
        <v>17.422452661258099</v>
      </c>
    </row>
    <row r="62" spans="1:22" x14ac:dyDescent="0.35">
      <c r="A62" s="2">
        <v>43608</v>
      </c>
      <c r="B62" s="3">
        <v>10.761891940016101</v>
      </c>
      <c r="C62" s="3">
        <v>13.929208163758</v>
      </c>
      <c r="D62" s="3">
        <v>13.0388451817386</v>
      </c>
      <c r="E62" s="3">
        <v>15.2345042595471</v>
      </c>
      <c r="F62" s="3">
        <v>10.1622328121738</v>
      </c>
      <c r="G62" s="3">
        <v>12.872166122888499</v>
      </c>
      <c r="H62" s="3">
        <v>15.669121686089699</v>
      </c>
      <c r="I62" s="3">
        <v>14.1627922156931</v>
      </c>
      <c r="J62" s="3">
        <v>12.848940412034301</v>
      </c>
      <c r="K62" s="3">
        <v>10.589501058690599</v>
      </c>
      <c r="L62" s="3">
        <v>11.548101196864399</v>
      </c>
      <c r="M62" s="3">
        <v>12.4405328423308</v>
      </c>
      <c r="N62" s="3">
        <v>12.1368287110711</v>
      </c>
      <c r="O62" s="3">
        <v>18.901495446931499</v>
      </c>
      <c r="P62" s="3">
        <v>10.6610540353944</v>
      </c>
      <c r="Q62" s="3">
        <v>11.9566495538715</v>
      </c>
      <c r="R62" s="3">
        <v>14.625292040380099</v>
      </c>
      <c r="S62" s="3">
        <v>5.4921622981324498</v>
      </c>
      <c r="T62" s="3">
        <v>11.115613091838799</v>
      </c>
      <c r="U62" s="3">
        <v>17.615790436547201</v>
      </c>
      <c r="V62" s="3">
        <v>16.016542871054</v>
      </c>
    </row>
    <row r="63" spans="1:22" x14ac:dyDescent="0.35">
      <c r="A63" s="2">
        <v>43637</v>
      </c>
      <c r="B63" s="3">
        <v>11.858068515378701</v>
      </c>
      <c r="C63" s="3">
        <v>14.8759476294889</v>
      </c>
      <c r="D63" s="3">
        <v>14.0493057857616</v>
      </c>
      <c r="E63" s="3">
        <v>15.5688609971535</v>
      </c>
      <c r="F63" s="3">
        <v>10.6717295863819</v>
      </c>
      <c r="G63" s="3">
        <v>13.5078968004352</v>
      </c>
      <c r="H63" s="3">
        <v>16.855651165021101</v>
      </c>
      <c r="I63" s="3">
        <v>15.051083041469401</v>
      </c>
      <c r="J63" s="3">
        <v>13.0638786598471</v>
      </c>
      <c r="K63" s="3">
        <v>11.1067615289091</v>
      </c>
      <c r="L63" s="3">
        <v>12.5980910139149</v>
      </c>
      <c r="M63" s="3">
        <v>13.4761225208188</v>
      </c>
      <c r="N63" s="3">
        <v>13.447081039440301</v>
      </c>
      <c r="O63" s="3">
        <v>18.753658700212601</v>
      </c>
      <c r="P63" s="3">
        <v>11.485706753997199</v>
      </c>
      <c r="Q63" s="3">
        <v>13.4568487175799</v>
      </c>
      <c r="R63" s="3">
        <v>15.6977405688743</v>
      </c>
      <c r="S63" s="3">
        <v>6.1083086439293401</v>
      </c>
      <c r="T63" s="3">
        <v>11.869643994082599</v>
      </c>
      <c r="U63" s="3">
        <v>16.7167541037118</v>
      </c>
      <c r="V63" s="3">
        <v>16.6848087825968</v>
      </c>
    </row>
    <row r="64" spans="1:22" x14ac:dyDescent="0.35">
      <c r="A64" s="2">
        <v>43669</v>
      </c>
      <c r="B64" s="3">
        <v>11.511771928865899</v>
      </c>
      <c r="C64" s="3">
        <v>15.064578264585</v>
      </c>
      <c r="D64" s="3">
        <v>14.9633590072908</v>
      </c>
      <c r="E64" s="3">
        <v>15.740981499852801</v>
      </c>
      <c r="F64" s="3">
        <v>10.7557656028123</v>
      </c>
      <c r="G64" s="3">
        <v>15.1395037629249</v>
      </c>
      <c r="H64" s="3">
        <v>16.539158237645299</v>
      </c>
      <c r="I64" s="3">
        <v>15.2283159501053</v>
      </c>
      <c r="J64" s="3">
        <v>12.456413167988901</v>
      </c>
      <c r="K64" s="3">
        <v>11.301921542582701</v>
      </c>
      <c r="L64" s="3">
        <v>12.7151681547154</v>
      </c>
      <c r="M64" s="3">
        <v>13.069767212615799</v>
      </c>
      <c r="N64" s="3">
        <v>13.8824614196736</v>
      </c>
      <c r="O64" s="3">
        <v>18.214308070313098</v>
      </c>
      <c r="P64" s="3">
        <v>11.502944057986801</v>
      </c>
      <c r="Q64" s="3">
        <v>13.2824964427986</v>
      </c>
      <c r="R64" s="3">
        <v>15.7553632250681</v>
      </c>
      <c r="S64" s="3">
        <v>6.5785320942140597</v>
      </c>
      <c r="T64" s="3">
        <v>12.2859587199973</v>
      </c>
      <c r="U64" s="3">
        <v>15.8930854013483</v>
      </c>
      <c r="V64" s="3">
        <v>16.627998840732001</v>
      </c>
    </row>
    <row r="65" spans="1:22" x14ac:dyDescent="0.35">
      <c r="A65" s="2">
        <v>43700</v>
      </c>
      <c r="B65" s="3">
        <v>11.659809318980701</v>
      </c>
      <c r="C65" s="3">
        <v>13.664451693224001</v>
      </c>
      <c r="D65" s="3">
        <v>14.584755054922599</v>
      </c>
      <c r="E65" s="3">
        <v>14.7304771106015</v>
      </c>
      <c r="F65" s="3">
        <v>9.7428802892395296</v>
      </c>
      <c r="G65" s="3">
        <v>14.161948242118299</v>
      </c>
      <c r="H65" s="3">
        <v>16.100143880330101</v>
      </c>
      <c r="I65" s="3">
        <v>14.6115806876308</v>
      </c>
      <c r="J65" s="3">
        <v>12.3265186895993</v>
      </c>
      <c r="K65" s="3">
        <v>10.5623723306441</v>
      </c>
      <c r="L65" s="3">
        <v>12.154133846231501</v>
      </c>
      <c r="M65" s="3">
        <v>11.798577978978001</v>
      </c>
      <c r="N65" s="3">
        <v>13.4212144186877</v>
      </c>
      <c r="O65" s="3">
        <v>17.8568873823695</v>
      </c>
      <c r="P65" s="3">
        <v>11.012246334015</v>
      </c>
      <c r="Q65" s="3">
        <v>12.6594396540918</v>
      </c>
      <c r="R65" s="3">
        <v>15.3062161666526</v>
      </c>
      <c r="S65" s="3">
        <v>6.2974985092364397</v>
      </c>
      <c r="T65" s="3">
        <v>12.140377711628201</v>
      </c>
      <c r="U65" s="3">
        <v>14.364112513123899</v>
      </c>
      <c r="V65" s="3">
        <v>17.036755709975399</v>
      </c>
    </row>
    <row r="66" spans="1:22" x14ac:dyDescent="0.35">
      <c r="A66" s="2">
        <v>43731</v>
      </c>
      <c r="B66" s="3">
        <v>11.794375444781201</v>
      </c>
      <c r="C66" s="3">
        <v>15.161425252588799</v>
      </c>
      <c r="D66" s="3">
        <v>14.4573164055617</v>
      </c>
      <c r="E66" s="3">
        <v>13.9027861309999</v>
      </c>
      <c r="F66" s="3">
        <v>9.7130307689624296</v>
      </c>
      <c r="G66" s="3">
        <v>14.0908871041916</v>
      </c>
      <c r="H66" s="3">
        <v>16.021423334281401</v>
      </c>
      <c r="I66" s="3">
        <v>15.237235591611</v>
      </c>
      <c r="J66" s="3">
        <v>13.556419655126801</v>
      </c>
      <c r="K66" s="3">
        <v>11.182999573125</v>
      </c>
      <c r="L66" s="3">
        <v>12.925831736526799</v>
      </c>
      <c r="M66" s="3">
        <v>11.8356347702428</v>
      </c>
      <c r="N66" s="3">
        <v>13.778013217219801</v>
      </c>
      <c r="O66" s="3">
        <v>18.522609786912501</v>
      </c>
      <c r="P66" s="3">
        <v>11.279134369129901</v>
      </c>
      <c r="Q66" s="3">
        <v>13.341757363374301</v>
      </c>
      <c r="R66" s="3">
        <v>15.1155432230067</v>
      </c>
      <c r="S66" s="3">
        <v>6.2570407510889003</v>
      </c>
      <c r="T66" s="3">
        <v>12.7639451698856</v>
      </c>
      <c r="U66" s="3">
        <v>13.597576473158201</v>
      </c>
      <c r="V66" s="3">
        <v>16.9477904945701</v>
      </c>
    </row>
    <row r="67" spans="1:22" x14ac:dyDescent="0.35">
      <c r="A67" s="2">
        <v>43761</v>
      </c>
      <c r="B67" s="3">
        <v>11.5760741241691</v>
      </c>
      <c r="C67" s="3">
        <v>14.7829376482673</v>
      </c>
      <c r="D67" s="3">
        <v>14.7956659535405</v>
      </c>
      <c r="E67" s="3">
        <v>13.996904999948599</v>
      </c>
      <c r="F67" s="3">
        <v>10.0975311363147</v>
      </c>
      <c r="G67" s="3">
        <v>13.8252907167108</v>
      </c>
      <c r="H67" s="3">
        <v>15.7482592562348</v>
      </c>
      <c r="I67" s="3">
        <v>15.3934747366777</v>
      </c>
      <c r="J67" s="3">
        <v>13.7780618732621</v>
      </c>
      <c r="K67" s="3">
        <v>11.0731021784941</v>
      </c>
      <c r="L67" s="3">
        <v>13.3680145046416</v>
      </c>
      <c r="M67" s="3">
        <v>11.6582640296755</v>
      </c>
      <c r="N67" s="3">
        <v>11.9354983127743</v>
      </c>
      <c r="O67" s="3">
        <v>18.466581198482299</v>
      </c>
      <c r="P67" s="3">
        <v>11.0577137030866</v>
      </c>
      <c r="Q67" s="3">
        <v>13.596190539492801</v>
      </c>
      <c r="R67" s="3">
        <v>15.4854838531756</v>
      </c>
      <c r="S67" s="3">
        <v>6.1183296442171802</v>
      </c>
      <c r="T67" s="3">
        <v>13.3238711003054</v>
      </c>
      <c r="U67" s="3">
        <v>14.344047576024501</v>
      </c>
      <c r="V67" s="3">
        <v>16.7425654156884</v>
      </c>
    </row>
    <row r="68" spans="1:22" x14ac:dyDescent="0.35">
      <c r="A68" s="2">
        <v>43791</v>
      </c>
      <c r="B68" s="3">
        <v>11.362614890624799</v>
      </c>
      <c r="C68" s="3">
        <v>13.9233150321331</v>
      </c>
      <c r="D68" s="3">
        <v>14.7095057593934</v>
      </c>
      <c r="E68" s="3">
        <v>13.7502545150976</v>
      </c>
      <c r="F68" s="3">
        <v>10.1161266856206</v>
      </c>
      <c r="G68" s="3">
        <v>13.720550284897501</v>
      </c>
      <c r="H68" s="3">
        <v>16.026870512406301</v>
      </c>
      <c r="I68" s="3">
        <v>15.610969399437099</v>
      </c>
      <c r="J68" s="3">
        <v>13.7717620295924</v>
      </c>
      <c r="K68" s="3">
        <v>11.213806095652201</v>
      </c>
      <c r="L68" s="3">
        <v>13.615007616877801</v>
      </c>
      <c r="M68" s="3">
        <v>12.0259459414098</v>
      </c>
      <c r="N68" s="3">
        <v>11.692707400193401</v>
      </c>
      <c r="O68" s="3">
        <v>19.262450345171199</v>
      </c>
      <c r="P68" s="3">
        <v>11.242209858563999</v>
      </c>
      <c r="Q68" s="3">
        <v>13.1895959084416</v>
      </c>
      <c r="R68" s="3">
        <v>15.6501849555671</v>
      </c>
      <c r="S68" s="3">
        <v>6.3440407239163203</v>
      </c>
      <c r="T68" s="3">
        <v>12.7334674312083</v>
      </c>
      <c r="U68" s="3">
        <v>14.586378494061901</v>
      </c>
      <c r="V68" s="3">
        <v>16.814610218475401</v>
      </c>
    </row>
    <row r="69" spans="1:22" x14ac:dyDescent="0.35">
      <c r="A69" s="2">
        <v>43822</v>
      </c>
      <c r="B69" s="3">
        <v>12.324485423883701</v>
      </c>
      <c r="C69" s="3">
        <v>13.4771123982304</v>
      </c>
      <c r="D69" s="3">
        <v>15.129306048602199</v>
      </c>
      <c r="E69" s="3">
        <v>14.211625406644499</v>
      </c>
      <c r="F69" s="3">
        <v>10.179858949204201</v>
      </c>
      <c r="G69" s="3">
        <v>14.953239640016401</v>
      </c>
      <c r="H69" s="3">
        <v>16.3245564209939</v>
      </c>
      <c r="I69" s="3">
        <v>15.8579463158222</v>
      </c>
      <c r="J69" s="3">
        <v>14.056548161260601</v>
      </c>
      <c r="K69" s="3">
        <v>11.455098569075799</v>
      </c>
      <c r="L69" s="3">
        <v>14.4043110720733</v>
      </c>
      <c r="M69" s="3">
        <v>12.343879318315899</v>
      </c>
      <c r="N69" s="3">
        <v>11.421084743526899</v>
      </c>
      <c r="O69" s="3">
        <v>19.2981933383799</v>
      </c>
      <c r="P69" s="3">
        <v>12.2923493795201</v>
      </c>
      <c r="Q69" s="3">
        <v>13.9578113797004</v>
      </c>
      <c r="R69" s="3">
        <v>15.3139152257632</v>
      </c>
      <c r="S69" s="3">
        <v>6.4722054957162101</v>
      </c>
      <c r="T69" s="3">
        <v>13.8546518039186</v>
      </c>
      <c r="U69" s="3">
        <v>14.2265555470703</v>
      </c>
      <c r="V69" s="3">
        <v>17.221261294884499</v>
      </c>
    </row>
    <row r="70" spans="1:22" x14ac:dyDescent="0.35">
      <c r="A70" s="2">
        <v>43853</v>
      </c>
      <c r="B70" s="3">
        <v>12.4597025250239</v>
      </c>
      <c r="C70" s="3">
        <v>13.3016086208919</v>
      </c>
      <c r="D70" s="3">
        <v>15.6027915494022</v>
      </c>
      <c r="E70" s="3">
        <v>13.6380923190062</v>
      </c>
      <c r="F70" s="3">
        <v>10.3551506085625</v>
      </c>
      <c r="G70" s="3">
        <v>14.6506059501785</v>
      </c>
      <c r="H70" s="3">
        <v>15.832369115572201</v>
      </c>
      <c r="I70" s="3">
        <v>15.615454232833899</v>
      </c>
      <c r="J70" s="3">
        <v>14.5000649940591</v>
      </c>
      <c r="K70" s="3">
        <v>11.511908107565199</v>
      </c>
      <c r="L70" s="3">
        <v>14.6004880443943</v>
      </c>
      <c r="M70" s="3">
        <v>11.9454767533352</v>
      </c>
      <c r="N70" s="3">
        <v>11.3012767447642</v>
      </c>
      <c r="O70" s="3">
        <v>19.3492808646462</v>
      </c>
      <c r="P70" s="3">
        <v>12.185451765175401</v>
      </c>
      <c r="Q70" s="3">
        <v>14.024802712560801</v>
      </c>
      <c r="R70" s="3">
        <v>15.547468732201001</v>
      </c>
      <c r="S70" s="3">
        <v>6.7811649805429797</v>
      </c>
      <c r="T70" s="3">
        <v>13.848507383918101</v>
      </c>
      <c r="U70" s="3">
        <v>14.171728312271</v>
      </c>
      <c r="V70" s="3">
        <v>16.988560238726301</v>
      </c>
    </row>
    <row r="71" spans="1:22" x14ac:dyDescent="0.35">
      <c r="A71" s="2">
        <v>43882</v>
      </c>
      <c r="B71" s="3">
        <v>13.022488146174901</v>
      </c>
      <c r="C71" s="3">
        <v>12.770942869809801</v>
      </c>
      <c r="D71" s="3">
        <v>14.461691533126199</v>
      </c>
      <c r="E71" s="3">
        <v>13.1405573735678</v>
      </c>
      <c r="F71" s="3">
        <v>10.5992072886222</v>
      </c>
      <c r="G71" s="3">
        <v>14.5583399989542</v>
      </c>
      <c r="H71" s="3">
        <v>15.470167013649201</v>
      </c>
      <c r="I71" s="3">
        <v>14.940769174462799</v>
      </c>
      <c r="J71" s="3">
        <v>14.2209141119998</v>
      </c>
      <c r="K71" s="3">
        <v>11.1227209275678</v>
      </c>
      <c r="L71" s="3">
        <v>14.0360689822115</v>
      </c>
      <c r="M71" s="3">
        <v>11.862118993032199</v>
      </c>
      <c r="N71" s="3">
        <v>10.7571057965185</v>
      </c>
      <c r="O71" s="3">
        <v>19.203208561428301</v>
      </c>
      <c r="P71" s="3">
        <v>12.3685765492353</v>
      </c>
      <c r="Q71" s="3">
        <v>13.195742762476501</v>
      </c>
      <c r="R71" s="3">
        <v>15.3296242573794</v>
      </c>
      <c r="S71" s="3">
        <v>6.4579853400824101</v>
      </c>
      <c r="T71" s="3">
        <v>12.722640758197301</v>
      </c>
      <c r="U71" s="3">
        <v>13.317755301195501</v>
      </c>
      <c r="V71" s="3">
        <v>16.1007337119295</v>
      </c>
    </row>
    <row r="72" spans="1:22" x14ac:dyDescent="0.35">
      <c r="A72" s="2">
        <v>43913</v>
      </c>
      <c r="B72" s="3">
        <v>11.166678574933201</v>
      </c>
      <c r="C72" s="3">
        <v>8.2006207456147902</v>
      </c>
      <c r="D72" s="3">
        <v>8.9363820274406205</v>
      </c>
      <c r="E72" s="3">
        <v>8.6633659514278403</v>
      </c>
      <c r="F72" s="3">
        <v>7.7893509286843798</v>
      </c>
      <c r="G72" s="3">
        <v>9.5793609809130409</v>
      </c>
      <c r="H72" s="3">
        <v>13.504862207629801</v>
      </c>
      <c r="I72" s="3">
        <v>11.9963020101439</v>
      </c>
      <c r="J72" s="3">
        <v>9.8594884573964201</v>
      </c>
      <c r="K72" s="3">
        <v>7.7708552308895804</v>
      </c>
      <c r="L72" s="3">
        <v>8.8695417595409705</v>
      </c>
      <c r="M72" s="3">
        <v>7.1316962476925099</v>
      </c>
      <c r="N72" s="3">
        <v>5.8772462474995404</v>
      </c>
      <c r="O72" s="3">
        <v>12.350840299986199</v>
      </c>
      <c r="P72" s="3">
        <v>10.535093077789099</v>
      </c>
      <c r="Q72" s="3">
        <v>11.306047033266999</v>
      </c>
      <c r="R72" s="3">
        <v>11.3753894697678</v>
      </c>
      <c r="S72" s="3">
        <v>4.6851681372377803</v>
      </c>
      <c r="T72" s="3">
        <v>8.9222100974343999</v>
      </c>
      <c r="U72" s="3">
        <v>10.519893881121</v>
      </c>
      <c r="V72" s="3">
        <v>13.077554894849801</v>
      </c>
    </row>
    <row r="73" spans="1:22" x14ac:dyDescent="0.35">
      <c r="A73" s="2">
        <v>43944</v>
      </c>
      <c r="B73" s="3">
        <v>12.5557303882646</v>
      </c>
      <c r="C73" s="3">
        <v>10.895955099249001</v>
      </c>
      <c r="D73" s="3">
        <v>10.955075441644301</v>
      </c>
      <c r="E73" s="3">
        <v>11.3503192523669</v>
      </c>
      <c r="F73" s="3">
        <v>11.0493585616824</v>
      </c>
      <c r="G73" s="3">
        <v>12.3128038282552</v>
      </c>
      <c r="H73" s="3">
        <v>15.767840148193599</v>
      </c>
      <c r="I73" s="3">
        <v>14.443566842567099</v>
      </c>
      <c r="J73" s="3">
        <v>11.829722649989501</v>
      </c>
      <c r="K73" s="3">
        <v>10.9458299401047</v>
      </c>
      <c r="L73" s="3">
        <v>12.6469326378755</v>
      </c>
      <c r="M73" s="3">
        <v>9.9162710247217394</v>
      </c>
      <c r="N73" s="3">
        <v>8.61603450371077</v>
      </c>
      <c r="O73" s="3">
        <v>16.9609883646866</v>
      </c>
      <c r="P73" s="3">
        <v>12.307546293822099</v>
      </c>
      <c r="Q73" s="3">
        <v>12.441323550288599</v>
      </c>
      <c r="R73" s="3">
        <v>15.5929597171559</v>
      </c>
      <c r="S73" s="3">
        <v>5.9076213306609802</v>
      </c>
      <c r="T73" s="3">
        <v>14.7813081500401</v>
      </c>
      <c r="U73" s="3">
        <v>14.0999319814277</v>
      </c>
      <c r="V73" s="3">
        <v>16.236983254153099</v>
      </c>
    </row>
    <row r="74" spans="1:22" x14ac:dyDescent="0.35">
      <c r="A74" s="2">
        <v>43973</v>
      </c>
      <c r="B74" s="3">
        <v>12.811087096188199</v>
      </c>
      <c r="C74" s="3">
        <v>13.111974970328999</v>
      </c>
      <c r="D74" s="3">
        <v>12.4799929929946</v>
      </c>
      <c r="E74" s="3">
        <v>13.0712789056667</v>
      </c>
      <c r="F74" s="3">
        <v>11.948184380321999</v>
      </c>
      <c r="G74" s="3">
        <v>16.041166286612199</v>
      </c>
      <c r="H74" s="3">
        <v>17.827419684661098</v>
      </c>
      <c r="I74" s="3">
        <v>15.167012302544601</v>
      </c>
      <c r="J74" s="3">
        <v>14.615444373549201</v>
      </c>
      <c r="K74" s="3">
        <v>11.802306883916501</v>
      </c>
      <c r="L74" s="3">
        <v>15.7830282045621</v>
      </c>
      <c r="M74" s="3">
        <v>10.6690055886314</v>
      </c>
      <c r="N74" s="3">
        <v>10.1118360239658</v>
      </c>
      <c r="O74" s="3">
        <v>18.431491499937</v>
      </c>
      <c r="P74" s="3">
        <v>12.2326058540704</v>
      </c>
      <c r="Q74" s="3">
        <v>13.873333531957</v>
      </c>
      <c r="R74" s="3">
        <v>18.2725166127032</v>
      </c>
      <c r="S74" s="3">
        <v>7.3034118079911599</v>
      </c>
      <c r="T74" s="3">
        <v>15.982513050575699</v>
      </c>
      <c r="U74" s="3">
        <v>15.0166721571069</v>
      </c>
      <c r="V74" s="3">
        <v>18.623590513252001</v>
      </c>
    </row>
    <row r="75" spans="1:22" x14ac:dyDescent="0.35">
      <c r="A75" s="2">
        <v>44005</v>
      </c>
      <c r="B75" s="3">
        <v>14.1683651729575</v>
      </c>
      <c r="C75" s="3">
        <v>14.829665792175099</v>
      </c>
      <c r="D75" s="3">
        <v>15.818904081852599</v>
      </c>
      <c r="E75" s="3">
        <v>15.7261435226596</v>
      </c>
      <c r="F75" s="3">
        <v>13.089950966038799</v>
      </c>
      <c r="G75" s="3">
        <v>19.3832220671081</v>
      </c>
      <c r="H75" s="3">
        <v>19.070888545092298</v>
      </c>
      <c r="I75" s="3">
        <v>16.3132170836674</v>
      </c>
      <c r="J75" s="3">
        <v>17.324939106111302</v>
      </c>
      <c r="K75" s="3">
        <v>12.630287312981199</v>
      </c>
      <c r="L75" s="3">
        <v>17.978397573051598</v>
      </c>
      <c r="M75" s="3">
        <v>11.522649716201601</v>
      </c>
      <c r="N75" s="3">
        <v>13.9262778598534</v>
      </c>
      <c r="O75" s="3">
        <v>22.3632473402897</v>
      </c>
      <c r="P75" s="3">
        <v>14.2750603498079</v>
      </c>
      <c r="Q75" s="3">
        <v>14.6222102637827</v>
      </c>
      <c r="R75" s="3">
        <v>19.245503584605402</v>
      </c>
      <c r="S75" s="3">
        <v>8.4747421324186991</v>
      </c>
      <c r="T75" s="3">
        <v>17.744545553005601</v>
      </c>
      <c r="U75" s="3">
        <v>14.738125559071101</v>
      </c>
      <c r="V75" s="3">
        <v>19.133803064289602</v>
      </c>
    </row>
    <row r="76" spans="1:22" x14ac:dyDescent="0.35">
      <c r="A76" s="2">
        <v>44035</v>
      </c>
      <c r="B76" s="3">
        <v>16.1320780546998</v>
      </c>
      <c r="C76" s="3">
        <v>14.8904086711243</v>
      </c>
      <c r="D76" s="3">
        <v>16.618557620079599</v>
      </c>
      <c r="E76" s="3">
        <v>15.163189376727299</v>
      </c>
      <c r="F76" s="3">
        <v>12.563972069015801</v>
      </c>
      <c r="G76" s="3">
        <v>20.052049931779401</v>
      </c>
      <c r="H76" s="3">
        <v>19.7446398756306</v>
      </c>
      <c r="I76" s="3">
        <v>16.949140684081399</v>
      </c>
      <c r="J76" s="3">
        <v>16.957258140642299</v>
      </c>
      <c r="K76" s="3">
        <v>12.5275411916347</v>
      </c>
      <c r="L76" s="3">
        <v>25.477468830986201</v>
      </c>
      <c r="M76" s="3">
        <v>11.805636666835699</v>
      </c>
      <c r="N76" s="3">
        <v>13.522154214309399</v>
      </c>
      <c r="O76" s="3">
        <v>23.896307317975602</v>
      </c>
      <c r="P76" s="3">
        <v>15.137193398151901</v>
      </c>
      <c r="Q76" s="3">
        <v>15.165605831851099</v>
      </c>
      <c r="R76" s="3">
        <v>19.668234861615399</v>
      </c>
      <c r="S76" s="3">
        <v>8.4341076174129306</v>
      </c>
      <c r="T76" s="3">
        <v>16.1270068871621</v>
      </c>
      <c r="U76" s="3">
        <v>14.938497143905799</v>
      </c>
      <c r="V76" s="3">
        <v>19.545126522069801</v>
      </c>
    </row>
    <row r="77" spans="1:22" x14ac:dyDescent="0.35">
      <c r="A77" s="2">
        <v>44064</v>
      </c>
      <c r="B77" s="3">
        <v>16.009886424990999</v>
      </c>
      <c r="C77" s="3">
        <v>16.0030431767279</v>
      </c>
      <c r="D77" s="3">
        <v>16.945888866682498</v>
      </c>
      <c r="E77" s="3">
        <v>16.074039877196199</v>
      </c>
      <c r="F77" s="3">
        <v>12.5184843061378</v>
      </c>
      <c r="G77" s="3">
        <v>23.2577469121372</v>
      </c>
      <c r="H77" s="3">
        <v>18.794059383905701</v>
      </c>
      <c r="I77" s="3">
        <v>16.1944772454348</v>
      </c>
      <c r="J77" s="3">
        <v>17.1048584954919</v>
      </c>
      <c r="K77" s="3">
        <v>12.740904807221501</v>
      </c>
      <c r="L77" s="3">
        <v>24.3015917340811</v>
      </c>
      <c r="M77" s="3">
        <v>11.161273647977101</v>
      </c>
      <c r="N77" s="3">
        <v>11.991386644678601</v>
      </c>
      <c r="O77" s="3">
        <v>23.4865381362292</v>
      </c>
      <c r="P77" s="3">
        <v>14.984686218287999</v>
      </c>
      <c r="Q77" s="3">
        <v>15.697138544781501</v>
      </c>
      <c r="R77" s="3">
        <v>18.984576094606201</v>
      </c>
      <c r="S77" s="3">
        <v>7.7789360739277198</v>
      </c>
      <c r="T77" s="3">
        <v>13.9547355724102</v>
      </c>
      <c r="U77" s="3">
        <v>14.439763967651301</v>
      </c>
      <c r="V77" s="3">
        <v>20.350880733216599</v>
      </c>
    </row>
    <row r="78" spans="1:22" x14ac:dyDescent="0.35">
      <c r="A78" s="2">
        <v>44097</v>
      </c>
      <c r="B78" s="3">
        <v>15.9369674748362</v>
      </c>
      <c r="C78" s="3">
        <v>13.522823772538599</v>
      </c>
      <c r="D78" s="3">
        <v>15.1047220305437</v>
      </c>
      <c r="E78" s="3">
        <v>15.687387287787701</v>
      </c>
      <c r="F78" s="3">
        <v>11.190559174199899</v>
      </c>
      <c r="G78" s="3">
        <v>20.563536181620002</v>
      </c>
      <c r="H78" s="3">
        <v>17.233851048347599</v>
      </c>
      <c r="I78" s="3">
        <v>15.267440852044601</v>
      </c>
      <c r="J78" s="3">
        <v>14.8628256306308</v>
      </c>
      <c r="K78" s="3">
        <v>12.4562193872093</v>
      </c>
      <c r="L78" s="3">
        <v>18.1451816904803</v>
      </c>
      <c r="M78" s="3">
        <v>10.294679737278001</v>
      </c>
      <c r="N78" s="3">
        <v>11.491100640359999</v>
      </c>
      <c r="O78" s="3">
        <v>22.3566263798538</v>
      </c>
      <c r="P78" s="3">
        <v>14.725070563335899</v>
      </c>
      <c r="Q78" s="3">
        <v>14.906991169562099</v>
      </c>
      <c r="R78" s="3">
        <v>18.474701573649199</v>
      </c>
      <c r="S78" s="3">
        <v>7.3484769284155904</v>
      </c>
      <c r="T78" s="3">
        <v>13.068263923878501</v>
      </c>
      <c r="U78" s="3">
        <v>15.5763621365964</v>
      </c>
      <c r="V78" s="3">
        <v>21.317969154593602</v>
      </c>
    </row>
    <row r="79" spans="1:22" x14ac:dyDescent="0.35">
      <c r="A79" s="2">
        <v>44127</v>
      </c>
      <c r="B79" s="3">
        <v>15.7426073170772</v>
      </c>
      <c r="C79" s="3">
        <v>14.358944394859799</v>
      </c>
      <c r="D79" s="3">
        <v>15.902061777344199</v>
      </c>
      <c r="E79" s="3">
        <v>16.998476890869402</v>
      </c>
      <c r="F79" s="3">
        <v>11.3236241562252</v>
      </c>
      <c r="G79" s="3">
        <v>18.639247841707299</v>
      </c>
      <c r="H79" s="3">
        <v>16.8412923728248</v>
      </c>
      <c r="I79" s="3">
        <v>15.170902469036699</v>
      </c>
      <c r="J79" s="3">
        <v>15.1061659983291</v>
      </c>
      <c r="K79" s="3">
        <v>12.0541120946283</v>
      </c>
      <c r="L79" s="3">
        <v>16.6096108254551</v>
      </c>
      <c r="M79" s="3">
        <v>10.551465657429601</v>
      </c>
      <c r="N79" s="3">
        <v>10.100281136518801</v>
      </c>
      <c r="O79" s="3">
        <v>22.7567227499583</v>
      </c>
      <c r="P79" s="3">
        <v>15.3942016797038</v>
      </c>
      <c r="Q79" s="3">
        <v>15.3161375258465</v>
      </c>
      <c r="R79" s="3">
        <v>17.342121923947701</v>
      </c>
      <c r="S79" s="3">
        <v>7.7987336613313998</v>
      </c>
      <c r="T79" s="3">
        <v>14.981253048225399</v>
      </c>
      <c r="U79" s="3">
        <v>15.6235126225309</v>
      </c>
      <c r="V79" s="3">
        <v>21.373409733889101</v>
      </c>
    </row>
    <row r="80" spans="1:22" x14ac:dyDescent="0.35">
      <c r="A80" s="2">
        <v>44158</v>
      </c>
      <c r="B80" s="3">
        <v>16.380600189838901</v>
      </c>
      <c r="C80" s="3">
        <v>14.9382516240907</v>
      </c>
      <c r="D80" s="3">
        <v>17.6224718776804</v>
      </c>
      <c r="E80" s="3">
        <v>17.908705693670701</v>
      </c>
      <c r="F80" s="3">
        <v>13.534367834814899</v>
      </c>
      <c r="G80" s="3">
        <v>17.512987310488601</v>
      </c>
      <c r="H80" s="3">
        <v>16.337986238305302</v>
      </c>
      <c r="I80" s="3">
        <v>15.642750663111499</v>
      </c>
      <c r="J80" s="3">
        <v>15.446698311399</v>
      </c>
      <c r="K80" s="3">
        <v>12.737110358452</v>
      </c>
      <c r="L80" s="3">
        <v>14.476723278370001</v>
      </c>
      <c r="M80" s="3">
        <v>10.1488146962266</v>
      </c>
      <c r="N80" s="3">
        <v>10.8612453271519</v>
      </c>
      <c r="O80" s="3">
        <v>22.767477415446699</v>
      </c>
      <c r="P80" s="3">
        <v>15.2728930117521</v>
      </c>
      <c r="Q80" s="3">
        <v>15.311512059904301</v>
      </c>
      <c r="R80" s="3">
        <v>19.331128415532799</v>
      </c>
      <c r="S80" s="3">
        <v>8.1652690219080597</v>
      </c>
      <c r="T80" s="3">
        <v>15.7626879993171</v>
      </c>
      <c r="U80" s="3">
        <v>15.5624772531948</v>
      </c>
      <c r="V80" s="3">
        <v>20.0370373744957</v>
      </c>
    </row>
    <row r="81" spans="1:22" x14ac:dyDescent="0.35">
      <c r="A81" s="2">
        <v>44188</v>
      </c>
      <c r="B81" s="3">
        <v>16.612184123974401</v>
      </c>
      <c r="C81" s="3">
        <v>13.842296796483099</v>
      </c>
      <c r="D81" s="3">
        <v>18.028458509620201</v>
      </c>
      <c r="E81" s="3">
        <v>16.6061707090937</v>
      </c>
      <c r="F81" s="3">
        <v>13.4690614291414</v>
      </c>
      <c r="G81" s="3">
        <v>15.137899920992</v>
      </c>
      <c r="H81" s="3">
        <v>15.2001932801598</v>
      </c>
      <c r="I81" s="3">
        <v>15.5499459995299</v>
      </c>
      <c r="J81" s="3">
        <v>15.052088096169699</v>
      </c>
      <c r="K81" s="3">
        <v>13.108884366958399</v>
      </c>
      <c r="L81" s="3">
        <v>13.097720533815499</v>
      </c>
      <c r="M81" s="3">
        <v>9.8639977521169904</v>
      </c>
      <c r="N81" s="3">
        <v>11.9106543561193</v>
      </c>
      <c r="O81" s="3">
        <v>23.8177662061332</v>
      </c>
      <c r="P81" s="3">
        <v>15.436976611946299</v>
      </c>
      <c r="Q81" s="3">
        <v>14.237489993916601</v>
      </c>
      <c r="R81" s="3">
        <v>19.1285594994918</v>
      </c>
      <c r="S81" s="3">
        <v>7.7293997701579302</v>
      </c>
      <c r="T81" s="3">
        <v>15.158083315233901</v>
      </c>
      <c r="U81" s="3">
        <v>16.7039558107898</v>
      </c>
      <c r="V81" s="3">
        <v>19.370696313672301</v>
      </c>
    </row>
    <row r="82" spans="1:22" x14ac:dyDescent="0.35">
      <c r="A82" s="2">
        <v>44218</v>
      </c>
      <c r="B82" s="3">
        <v>18.383634394609299</v>
      </c>
      <c r="C82" s="3">
        <v>14.575131509942899</v>
      </c>
      <c r="D82" s="3">
        <v>18.009611426709402</v>
      </c>
      <c r="E82" s="3">
        <v>16.4735059000033</v>
      </c>
      <c r="F82" s="3">
        <v>11.1285637807234</v>
      </c>
      <c r="G82" s="3">
        <v>14.5470868908491</v>
      </c>
      <c r="H82" s="3">
        <v>14.582253130367199</v>
      </c>
      <c r="I82" s="3">
        <v>16.921173996193399</v>
      </c>
      <c r="J82" s="3">
        <v>14.7931834628062</v>
      </c>
      <c r="K82" s="3">
        <v>14.5245398157449</v>
      </c>
      <c r="L82" s="3">
        <v>11.7114063697185</v>
      </c>
      <c r="M82" s="3">
        <v>10.0943648518816</v>
      </c>
      <c r="N82" s="3">
        <v>11.117417676533099</v>
      </c>
      <c r="O82" s="3">
        <v>24.023756597096501</v>
      </c>
      <c r="P82" s="3">
        <v>17.698868534440901</v>
      </c>
      <c r="Q82" s="3">
        <v>14.267755918221001</v>
      </c>
      <c r="R82" s="3">
        <v>19.5362276294765</v>
      </c>
      <c r="S82" s="3">
        <v>7.8347778863530104</v>
      </c>
      <c r="T82" s="3">
        <v>16.385807691406399</v>
      </c>
      <c r="U82" s="3">
        <v>17.226453362109101</v>
      </c>
      <c r="V82" s="3">
        <v>19.072717546275602</v>
      </c>
    </row>
    <row r="83" spans="1:22" x14ac:dyDescent="0.35">
      <c r="A83" s="2">
        <v>44250</v>
      </c>
      <c r="B83" s="3">
        <v>18.1071380904982</v>
      </c>
      <c r="C83" s="3">
        <v>14.156991177061</v>
      </c>
      <c r="D83" s="3">
        <v>17.4740797781424</v>
      </c>
      <c r="E83" s="3">
        <v>15.526501114211401</v>
      </c>
      <c r="F83" s="3">
        <v>10.8615451875947</v>
      </c>
      <c r="G83" s="3">
        <v>16.0097630481145</v>
      </c>
      <c r="H83" s="3">
        <v>13.8886894740562</v>
      </c>
      <c r="I83" s="3">
        <v>16.223139868357599</v>
      </c>
      <c r="J83" s="3">
        <v>14.414306818842601</v>
      </c>
      <c r="K83" s="3">
        <v>13.6220809347728</v>
      </c>
      <c r="L83" s="3">
        <v>10.6726319782342</v>
      </c>
      <c r="M83" s="3">
        <v>10.2043851230548</v>
      </c>
      <c r="N83" s="3">
        <v>11.556607361969901</v>
      </c>
      <c r="O83" s="3">
        <v>23.054070661811899</v>
      </c>
      <c r="P83" s="3">
        <v>17.906441427997098</v>
      </c>
      <c r="Q83" s="3">
        <v>13.1889784601355</v>
      </c>
      <c r="R83" s="3">
        <v>19.142404369881</v>
      </c>
      <c r="S83" s="3">
        <v>7.1749875039876301</v>
      </c>
      <c r="T83" s="3">
        <v>15.027446480694699</v>
      </c>
      <c r="U83" s="3">
        <v>17.126237107626299</v>
      </c>
      <c r="V83" s="3">
        <v>18.4814537890568</v>
      </c>
    </row>
    <row r="84" spans="1:22" x14ac:dyDescent="0.35">
      <c r="A84" s="2">
        <v>44278</v>
      </c>
      <c r="B84" s="3">
        <v>15.942865678352399</v>
      </c>
      <c r="C84" s="3">
        <v>14.414430623434701</v>
      </c>
      <c r="D84" s="3">
        <v>16.575206885327098</v>
      </c>
      <c r="E84" s="3">
        <v>14.866392117219</v>
      </c>
      <c r="F84" s="3">
        <v>12.082584835512399</v>
      </c>
      <c r="G84" s="3">
        <v>13.591033988170301</v>
      </c>
      <c r="H84" s="3">
        <v>14.1883724073704</v>
      </c>
      <c r="I84" s="3">
        <v>15.300387417574701</v>
      </c>
      <c r="J84" s="3">
        <v>14.6888675614227</v>
      </c>
      <c r="K84" s="3">
        <v>12.970775177911101</v>
      </c>
      <c r="L84" s="3">
        <v>9.2877201101679603</v>
      </c>
      <c r="M84" s="3">
        <v>9.8734663077150504</v>
      </c>
      <c r="N84" s="3">
        <v>11.8007514175249</v>
      </c>
      <c r="O84" s="3">
        <v>23.135089484895399</v>
      </c>
      <c r="P84" s="3">
        <v>16.305976134578898</v>
      </c>
      <c r="Q84" s="3">
        <v>13.3862100240834</v>
      </c>
      <c r="R84" s="3">
        <v>19.443664039604101</v>
      </c>
      <c r="S84" s="3">
        <v>6.4518557123618399</v>
      </c>
      <c r="T84" s="3">
        <v>15.2872720166274</v>
      </c>
      <c r="U84" s="3">
        <v>16.509004247877101</v>
      </c>
      <c r="V84" s="3">
        <v>18.439839398511701</v>
      </c>
    </row>
    <row r="85" spans="1:22" x14ac:dyDescent="0.35">
      <c r="A85" s="2">
        <v>44309</v>
      </c>
      <c r="B85" s="3">
        <v>16.306804385343099</v>
      </c>
      <c r="C85" s="3">
        <v>13.774036690175</v>
      </c>
      <c r="D85" s="3">
        <v>16.178789400771301</v>
      </c>
      <c r="E85" s="3">
        <v>14.6188803589932</v>
      </c>
      <c r="F85" s="3">
        <v>11.852963312343499</v>
      </c>
      <c r="G85" s="3">
        <v>11.0408084670627</v>
      </c>
      <c r="H85" s="3">
        <v>14.199870944226699</v>
      </c>
      <c r="I85" s="3">
        <v>15.238268669450999</v>
      </c>
      <c r="J85" s="3">
        <v>15.197082645982301</v>
      </c>
      <c r="K85" s="3">
        <v>12.8546640688718</v>
      </c>
      <c r="L85" s="3">
        <v>9.1247231891671401</v>
      </c>
      <c r="M85" s="3">
        <v>9.6419797652167603</v>
      </c>
      <c r="N85" s="3">
        <v>12.576568915184801</v>
      </c>
      <c r="O85" s="3">
        <v>21.9621030597425</v>
      </c>
      <c r="P85" s="3">
        <v>16.2419747825179</v>
      </c>
      <c r="Q85" s="3">
        <v>13.981606156458501</v>
      </c>
      <c r="R85" s="3">
        <v>18.6273254720724</v>
      </c>
      <c r="S85" s="3">
        <v>6.0246951388860701</v>
      </c>
      <c r="T85" s="3">
        <v>13.9933163135778</v>
      </c>
      <c r="U85" s="3">
        <v>16.936173712244901</v>
      </c>
      <c r="V85" s="3">
        <v>19.212710772320801</v>
      </c>
    </row>
    <row r="86" spans="1:22" x14ac:dyDescent="0.35">
      <c r="A86" s="2">
        <v>44337</v>
      </c>
      <c r="B86" s="3">
        <v>16.1327735953382</v>
      </c>
      <c r="C86" s="3">
        <v>11.123895126125801</v>
      </c>
      <c r="D86" s="3">
        <v>15.1097984665717</v>
      </c>
      <c r="E86" s="3">
        <v>14.6113582931472</v>
      </c>
      <c r="F86" s="3">
        <v>12.8549431502259</v>
      </c>
      <c r="G86" s="3">
        <v>11.0945255999452</v>
      </c>
      <c r="H86" s="3">
        <v>13.7703119095374</v>
      </c>
      <c r="I86" s="3">
        <v>13.1268104534066</v>
      </c>
      <c r="J86" s="3">
        <v>14.9805066187321</v>
      </c>
      <c r="K86" s="3">
        <v>11.0945928471748</v>
      </c>
      <c r="L86" s="3">
        <v>8.9691659590096506</v>
      </c>
      <c r="M86" s="3">
        <v>9.6024246578390091</v>
      </c>
      <c r="N86" s="3">
        <v>8.2610635372505499</v>
      </c>
      <c r="O86" s="3">
        <v>22.516442439594702</v>
      </c>
      <c r="P86" s="3">
        <v>15.353960091800699</v>
      </c>
      <c r="Q86" s="3">
        <v>13.738337343727601</v>
      </c>
      <c r="R86" s="3">
        <v>17.559144390666098</v>
      </c>
      <c r="S86" s="3">
        <v>6.2072404968294999</v>
      </c>
      <c r="T86" s="3">
        <v>14.449105071465301</v>
      </c>
      <c r="U86" s="3">
        <v>16.748580631307</v>
      </c>
      <c r="V86" s="3">
        <v>18.966327257994902</v>
      </c>
    </row>
    <row r="87" spans="1:22" x14ac:dyDescent="0.35">
      <c r="A87" s="2">
        <v>44370</v>
      </c>
      <c r="B87" s="3">
        <v>16.481308731681199</v>
      </c>
      <c r="C87" s="3">
        <v>11.3532926748849</v>
      </c>
      <c r="D87" s="3">
        <v>15.099173487486601</v>
      </c>
      <c r="E87" s="3">
        <v>16.462518565219899</v>
      </c>
      <c r="F87" s="3">
        <v>12.5453959249348</v>
      </c>
      <c r="G87" s="3">
        <v>8.8122172078373708</v>
      </c>
      <c r="H87" s="3">
        <v>13.8439072027825</v>
      </c>
      <c r="I87" s="3">
        <v>13.778408559005401</v>
      </c>
      <c r="J87" s="3">
        <v>14.9464024129406</v>
      </c>
      <c r="K87" s="3">
        <v>11.301443581334899</v>
      </c>
      <c r="L87" s="3">
        <v>9.2762622461495798</v>
      </c>
      <c r="M87" s="3">
        <v>9.4571544522728406</v>
      </c>
      <c r="N87" s="3">
        <v>12.583368928168101</v>
      </c>
      <c r="O87" s="3">
        <v>23.140683228145601</v>
      </c>
      <c r="P87" s="3">
        <v>15.9463419745961</v>
      </c>
      <c r="Q87" s="3">
        <v>13.6825084843541</v>
      </c>
      <c r="R87" s="3">
        <v>17.508692243449701</v>
      </c>
      <c r="S87" s="3">
        <v>5.8288693547617996</v>
      </c>
      <c r="T87" s="3">
        <v>14.9254181518334</v>
      </c>
      <c r="U87" s="3">
        <v>17.644628895861899</v>
      </c>
      <c r="V87" s="3">
        <v>19.433523197729802</v>
      </c>
    </row>
    <row r="88" spans="1:22" x14ac:dyDescent="0.35">
      <c r="A88" s="2">
        <v>44400</v>
      </c>
      <c r="B88" s="3">
        <v>15.9954244582533</v>
      </c>
      <c r="C88" s="3">
        <v>10.366915589189899</v>
      </c>
      <c r="D88" s="3">
        <v>14.7249865311438</v>
      </c>
      <c r="E88" s="3">
        <v>15.085161369746601</v>
      </c>
      <c r="F88" s="3">
        <v>11.887071136340699</v>
      </c>
      <c r="G88" s="3">
        <v>9.1244496129447406</v>
      </c>
      <c r="H88" s="3">
        <v>13.5858843135938</v>
      </c>
      <c r="I88" s="3">
        <v>13.6124777817877</v>
      </c>
      <c r="J88" s="3">
        <v>14.3645948587993</v>
      </c>
      <c r="K88" s="3">
        <v>10.8482100792677</v>
      </c>
      <c r="L88" s="3">
        <v>8.5306203755862295</v>
      </c>
      <c r="M88" s="3">
        <v>9.4006102551694593</v>
      </c>
      <c r="N88" s="3">
        <v>11.0256520276633</v>
      </c>
      <c r="O88" s="3">
        <v>23.186279562798202</v>
      </c>
      <c r="P88" s="3">
        <v>14.673548076260699</v>
      </c>
      <c r="Q88" s="3">
        <v>12.996765941314001</v>
      </c>
      <c r="R88" s="3">
        <v>16.816066728597399</v>
      </c>
      <c r="S88" s="3">
        <v>5.4637604153955497</v>
      </c>
      <c r="T88" s="3">
        <v>14.1591008406643</v>
      </c>
      <c r="U88" s="3">
        <v>16.3881073265335</v>
      </c>
      <c r="V88" s="3">
        <v>18.974320685756499</v>
      </c>
    </row>
    <row r="89" spans="1:22" x14ac:dyDescent="0.35">
      <c r="A89" s="2">
        <v>44431</v>
      </c>
      <c r="B89" s="3">
        <v>15.1230005759727</v>
      </c>
      <c r="C89" s="3">
        <v>10.121940115447501</v>
      </c>
      <c r="D89" s="3">
        <v>15.0959819118406</v>
      </c>
      <c r="E89" s="3">
        <v>15.051211202751601</v>
      </c>
      <c r="F89" s="3">
        <v>11.827420105700099</v>
      </c>
      <c r="G89" s="3">
        <v>8.8103200126352696</v>
      </c>
      <c r="H89" s="3">
        <v>13.5637582527298</v>
      </c>
      <c r="I89" s="3">
        <v>12.689472202746099</v>
      </c>
      <c r="J89" s="3">
        <v>14.561259080197599</v>
      </c>
      <c r="K89" s="3">
        <v>10.066887240317801</v>
      </c>
      <c r="L89" s="3">
        <v>7.7206351081615203</v>
      </c>
      <c r="M89" s="3">
        <v>8.8298022252942108</v>
      </c>
      <c r="N89" s="3">
        <v>10.8945335233681</v>
      </c>
      <c r="O89" s="3">
        <v>23.568914265889799</v>
      </c>
      <c r="P89" s="3">
        <v>13.0539768706756</v>
      </c>
      <c r="Q89" s="3">
        <v>13.5124834552067</v>
      </c>
      <c r="R89" s="3">
        <v>17.218189795618699</v>
      </c>
      <c r="S89" s="3">
        <v>5.5149396978960104</v>
      </c>
      <c r="T89" s="3">
        <v>14.410094032668299</v>
      </c>
      <c r="U89" s="3">
        <v>15.9596092528373</v>
      </c>
      <c r="V89" s="3">
        <v>18.566957523199999</v>
      </c>
    </row>
    <row r="90" spans="1:22" x14ac:dyDescent="0.35">
      <c r="A90" s="2">
        <v>44462</v>
      </c>
      <c r="B90" s="3">
        <v>15.3082540509112</v>
      </c>
      <c r="C90" s="3">
        <v>10.193759069182001</v>
      </c>
      <c r="D90" s="3">
        <v>14.8307479203939</v>
      </c>
      <c r="E90" s="3">
        <v>15.718243442192099</v>
      </c>
      <c r="F90" s="3">
        <v>11.480594896371001</v>
      </c>
      <c r="G90" s="3">
        <v>8.8368700411686607</v>
      </c>
      <c r="H90" s="3">
        <v>14.0139761924447</v>
      </c>
      <c r="I90" s="3">
        <v>12.962337910969399</v>
      </c>
      <c r="J90" s="3">
        <v>14.0476942154789</v>
      </c>
      <c r="K90" s="3">
        <v>10.3004859406043</v>
      </c>
      <c r="L90" s="3">
        <v>7.64876185923029</v>
      </c>
      <c r="M90" s="3">
        <v>9.1832383680810494</v>
      </c>
      <c r="N90" s="3">
        <v>10.3718080285583</v>
      </c>
      <c r="O90" s="3">
        <v>24.9854420520909</v>
      </c>
      <c r="P90" s="3">
        <v>13.252886152992</v>
      </c>
      <c r="Q90" s="3">
        <v>13.277463128397301</v>
      </c>
      <c r="R90" s="3">
        <v>17.477198193170501</v>
      </c>
      <c r="S90" s="3">
        <v>5.1438488056855904</v>
      </c>
      <c r="T90" s="3">
        <v>14.655947481661</v>
      </c>
      <c r="U90" s="3">
        <v>16.478523071211601</v>
      </c>
      <c r="V90" s="3">
        <v>18.627841181244399</v>
      </c>
    </row>
    <row r="91" spans="1:22" x14ac:dyDescent="0.35">
      <c r="A91" s="2">
        <v>44491</v>
      </c>
      <c r="B91" s="3">
        <v>15.4037651662945</v>
      </c>
      <c r="C91" s="3">
        <v>9.1478464092330096</v>
      </c>
      <c r="D91" s="3">
        <v>15.836599841105899</v>
      </c>
      <c r="E91" s="3">
        <v>16.765247557118901</v>
      </c>
      <c r="F91" s="3">
        <v>11.9897321250688</v>
      </c>
      <c r="G91" s="3">
        <v>10.203518423851801</v>
      </c>
      <c r="H91" s="3">
        <v>14.744265931836599</v>
      </c>
      <c r="I91" s="3">
        <v>12.717925651212999</v>
      </c>
      <c r="J91" s="3">
        <v>13.941405891332099</v>
      </c>
      <c r="K91" s="3">
        <v>10.0352124520935</v>
      </c>
      <c r="L91" s="3">
        <v>7.4562910122970596</v>
      </c>
      <c r="M91" s="3">
        <v>9.5714661107737395</v>
      </c>
      <c r="N91" s="3">
        <v>10.534153299546601</v>
      </c>
      <c r="O91" s="3">
        <v>24.2865305952417</v>
      </c>
      <c r="P91" s="3">
        <v>13.9382741242762</v>
      </c>
      <c r="Q91" s="3">
        <v>13.7352320280211</v>
      </c>
      <c r="R91" s="3">
        <v>17.4056424937679</v>
      </c>
      <c r="S91" s="3">
        <v>5.29964592857411</v>
      </c>
      <c r="T91" s="3">
        <v>14.6398229287188</v>
      </c>
      <c r="U91" s="3">
        <v>16.086826586243699</v>
      </c>
      <c r="V91" s="3">
        <v>19.449071720668702</v>
      </c>
    </row>
    <row r="92" spans="1:22" x14ac:dyDescent="0.35">
      <c r="A92" s="2">
        <v>44523</v>
      </c>
      <c r="B92" s="3">
        <v>15.3518624741524</v>
      </c>
      <c r="C92" s="3">
        <v>10.0222446451239</v>
      </c>
      <c r="D92" s="3">
        <v>15.2157340061892</v>
      </c>
      <c r="E92" s="3">
        <v>16.309650074603599</v>
      </c>
      <c r="F92" s="3">
        <v>11.2467776195826</v>
      </c>
      <c r="G92" s="3">
        <v>9.81089067701636</v>
      </c>
      <c r="H92" s="3">
        <v>14.1446084131947</v>
      </c>
      <c r="I92" s="3">
        <v>13.3321374906212</v>
      </c>
      <c r="J92" s="3">
        <v>13.291256098405899</v>
      </c>
      <c r="K92" s="3">
        <v>10.212222219168201</v>
      </c>
      <c r="L92" s="3">
        <v>7.3971066140811104</v>
      </c>
      <c r="M92" s="3">
        <v>9.4822727588245996</v>
      </c>
      <c r="N92" s="3">
        <v>10.690934158663399</v>
      </c>
      <c r="O92" s="3">
        <v>23.2523186449259</v>
      </c>
      <c r="P92" s="3">
        <v>13.0479368718347</v>
      </c>
      <c r="Q92" s="3">
        <v>13.4119842956816</v>
      </c>
      <c r="R92" s="3">
        <v>17.462097638266801</v>
      </c>
      <c r="S92" s="3">
        <v>5.9111877074993302</v>
      </c>
      <c r="T92" s="3">
        <v>15.30198425625</v>
      </c>
      <c r="U92" s="3">
        <v>16.1447852042538</v>
      </c>
      <c r="V92" s="3">
        <v>17.9189257790085</v>
      </c>
    </row>
    <row r="93" spans="1:22" x14ac:dyDescent="0.35">
      <c r="A93" s="2">
        <v>44553</v>
      </c>
      <c r="B93" s="3">
        <v>15.359572974450201</v>
      </c>
      <c r="C93" s="3">
        <v>9.2491528781191192</v>
      </c>
      <c r="D93" s="3">
        <v>14.4999396326669</v>
      </c>
      <c r="E93" s="3">
        <v>15.4444760689679</v>
      </c>
      <c r="F93" s="3">
        <v>10.2315774232564</v>
      </c>
      <c r="G93" s="3">
        <v>9.8426191088993793</v>
      </c>
      <c r="H93" s="3">
        <v>15.2440116502222</v>
      </c>
      <c r="I93" s="3">
        <v>13.575123171907901</v>
      </c>
      <c r="J93" s="3">
        <v>13.7680073519074</v>
      </c>
      <c r="K93" s="3">
        <v>10.3032740526114</v>
      </c>
      <c r="L93" s="3">
        <v>7.7262175038372298</v>
      </c>
      <c r="M93" s="3">
        <v>9.6276875691319503</v>
      </c>
      <c r="N93" s="3">
        <v>9.5933513457044004</v>
      </c>
      <c r="O93" s="3">
        <v>22.873687204623799</v>
      </c>
      <c r="P93" s="3">
        <v>12.410779460337</v>
      </c>
      <c r="Q93" s="3">
        <v>13.1211950483692</v>
      </c>
      <c r="R93" s="3">
        <v>17.1247725747785</v>
      </c>
      <c r="S93" s="3">
        <v>5.44404907577613</v>
      </c>
      <c r="T93" s="3">
        <v>15.535782029666599</v>
      </c>
      <c r="U93" s="3">
        <v>16.332129235515701</v>
      </c>
      <c r="V93" s="3">
        <v>17.740963145677799</v>
      </c>
    </row>
    <row r="94" spans="1:22" x14ac:dyDescent="0.35">
      <c r="A94" s="2">
        <v>44582</v>
      </c>
      <c r="B94" s="3">
        <v>14.5567493449067</v>
      </c>
      <c r="C94" s="3">
        <v>10.036654993136199</v>
      </c>
      <c r="D94" s="3">
        <v>14.949489268705699</v>
      </c>
      <c r="E94" s="3">
        <v>15.205829800579</v>
      </c>
      <c r="F94" s="3">
        <v>10.466685754012399</v>
      </c>
      <c r="G94" s="3">
        <v>11.258573678750601</v>
      </c>
      <c r="H94" s="3">
        <v>15.2573653664035</v>
      </c>
      <c r="I94" s="3">
        <v>12.869429578691699</v>
      </c>
      <c r="J94" s="3">
        <v>13.4265443356229</v>
      </c>
      <c r="K94" s="3">
        <v>9.6427700186426595</v>
      </c>
      <c r="L94" s="3">
        <v>7.8612260609772102</v>
      </c>
      <c r="M94" s="3">
        <v>9.8982148229643698</v>
      </c>
      <c r="N94" s="3">
        <v>9.8801381791555105</v>
      </c>
      <c r="O94" s="3">
        <v>22.973372320347099</v>
      </c>
      <c r="P94" s="3">
        <v>12.7386548676764</v>
      </c>
      <c r="Q94" s="3">
        <v>13.691955517172399</v>
      </c>
      <c r="R94" s="3">
        <v>17.147120149389199</v>
      </c>
      <c r="S94" s="3">
        <v>5.37538811905406</v>
      </c>
      <c r="T94" s="3">
        <v>16.0455537587066</v>
      </c>
      <c r="U94" s="3">
        <v>15.132053979358799</v>
      </c>
      <c r="V94" s="3">
        <v>19.227877260665799</v>
      </c>
    </row>
    <row r="95" spans="1:22" x14ac:dyDescent="0.35">
      <c r="A95" s="2">
        <v>44615</v>
      </c>
      <c r="B95" s="3">
        <v>13.916919691973501</v>
      </c>
      <c r="C95" s="3">
        <v>9.6141057904474092</v>
      </c>
      <c r="D95" s="3">
        <v>15.360497616413801</v>
      </c>
      <c r="E95" s="3">
        <v>15.262453181677101</v>
      </c>
      <c r="F95" s="3">
        <v>9.3620277868410895</v>
      </c>
      <c r="G95" s="3">
        <v>10.880118748326099</v>
      </c>
      <c r="H95" s="3">
        <v>15.381138945279799</v>
      </c>
      <c r="I95" s="3">
        <v>12.7634369337447</v>
      </c>
      <c r="J95" s="3">
        <v>13.188637189501099</v>
      </c>
      <c r="K95" s="3">
        <v>9.5079718946020098</v>
      </c>
      <c r="L95" s="3">
        <v>7.9944211450845</v>
      </c>
      <c r="M95" s="3">
        <v>9.9500046916201192</v>
      </c>
      <c r="N95" s="3">
        <v>10.1888670988613</v>
      </c>
      <c r="O95" s="3">
        <v>21.793332365228199</v>
      </c>
      <c r="P95" s="3">
        <v>11.677952439760601</v>
      </c>
      <c r="Q95" s="3">
        <v>13.7078993045763</v>
      </c>
      <c r="R95" s="3">
        <v>17.447854918044001</v>
      </c>
      <c r="S95" s="3">
        <v>4.5297984026978897</v>
      </c>
      <c r="T95" s="3">
        <v>15.690916251858701</v>
      </c>
      <c r="U95" s="3">
        <v>14.867932913771901</v>
      </c>
      <c r="V95" s="3">
        <v>19.2939004632</v>
      </c>
    </row>
    <row r="96" spans="1:22" x14ac:dyDescent="0.35">
      <c r="A96" s="2">
        <v>44643</v>
      </c>
      <c r="B96" s="3">
        <v>12.867105908570799</v>
      </c>
      <c r="C96" s="3">
        <v>9.69700848235391</v>
      </c>
      <c r="D96" s="3">
        <v>14.877977903923201</v>
      </c>
      <c r="E96" s="3">
        <v>14.4590986145282</v>
      </c>
      <c r="F96" s="3">
        <v>9.3531547633775602</v>
      </c>
      <c r="G96" s="3">
        <v>11.765350274549</v>
      </c>
      <c r="H96" s="3">
        <v>15.3699255722453</v>
      </c>
      <c r="I96" s="3">
        <v>12.4652163862139</v>
      </c>
      <c r="J96" s="3">
        <v>13.9135657999829</v>
      </c>
      <c r="K96" s="3">
        <v>9.3626213857538101</v>
      </c>
      <c r="L96" s="3">
        <v>7.6925048601500396</v>
      </c>
      <c r="M96" s="3">
        <v>9.9244141477246899</v>
      </c>
      <c r="N96" s="3">
        <v>9.5898982570916598</v>
      </c>
      <c r="O96" s="3">
        <v>21.8173904691281</v>
      </c>
      <c r="P96" s="3">
        <v>10.941720436833601</v>
      </c>
      <c r="Q96" s="3">
        <v>14.173598613507499</v>
      </c>
      <c r="R96" s="3">
        <v>17.242170661089201</v>
      </c>
      <c r="S96" s="3">
        <v>4.6777753954744901</v>
      </c>
      <c r="T96" s="3">
        <v>15.861862339246199</v>
      </c>
      <c r="U96" s="3">
        <v>14.780325622960101</v>
      </c>
      <c r="V96" s="3">
        <v>19.150283379543598</v>
      </c>
    </row>
    <row r="97" spans="1:22" x14ac:dyDescent="0.35">
      <c r="A97" s="2">
        <v>44673</v>
      </c>
      <c r="B97" s="3">
        <v>12.104685692362301</v>
      </c>
      <c r="C97" s="3">
        <v>9.2385651487600295</v>
      </c>
      <c r="D97" s="3">
        <v>14.503365985198201</v>
      </c>
      <c r="E97" s="3">
        <v>14.2673453735199</v>
      </c>
      <c r="F97" s="3">
        <v>8.0890768957968504</v>
      </c>
      <c r="G97" s="3">
        <v>9.5279052774635797</v>
      </c>
      <c r="H97" s="3">
        <v>15.1188756359054</v>
      </c>
      <c r="I97" s="3">
        <v>11.729184275809001</v>
      </c>
      <c r="J97" s="3">
        <v>13.347447736968199</v>
      </c>
      <c r="K97" s="3">
        <v>9.1432034225706804</v>
      </c>
      <c r="L97" s="3">
        <v>7.0295989948121598</v>
      </c>
      <c r="M97" s="3">
        <v>9.36270619486573</v>
      </c>
      <c r="N97" s="3">
        <v>10.5303065933153</v>
      </c>
      <c r="O97" s="3">
        <v>21.9155441530433</v>
      </c>
      <c r="P97" s="3">
        <v>10.053265879246799</v>
      </c>
      <c r="Q97" s="3">
        <v>14.077704499896999</v>
      </c>
      <c r="R97" s="3">
        <v>16.684121669216299</v>
      </c>
      <c r="S97" s="3">
        <v>4.8840058502610004</v>
      </c>
      <c r="T97" s="3">
        <v>16.515194995359401</v>
      </c>
      <c r="U97" s="3">
        <v>13.503757121616299</v>
      </c>
      <c r="V97" s="3">
        <v>19.189818334176099</v>
      </c>
    </row>
    <row r="98" spans="1:22" x14ac:dyDescent="0.35">
      <c r="A98" s="2">
        <v>44704</v>
      </c>
      <c r="B98" s="3">
        <v>12.695707588324</v>
      </c>
      <c r="C98" s="3">
        <v>8.9087282277069395</v>
      </c>
      <c r="D98" s="3">
        <v>13.1729434220891</v>
      </c>
      <c r="E98" s="3">
        <v>13.0489901683579</v>
      </c>
      <c r="F98" s="3">
        <v>6.98452817050243</v>
      </c>
      <c r="G98" s="3">
        <v>8.2466860052995408</v>
      </c>
      <c r="H98" s="3">
        <v>14.335725443784501</v>
      </c>
      <c r="I98" s="3">
        <v>11.403284350206601</v>
      </c>
      <c r="J98" s="3">
        <v>12.5635160391795</v>
      </c>
      <c r="K98" s="3">
        <v>8.9371625635798004</v>
      </c>
      <c r="L98" s="3">
        <v>6.7452841124238399</v>
      </c>
      <c r="M98" s="3">
        <v>8.9074899027420802</v>
      </c>
      <c r="N98" s="3">
        <v>9.0181451624139708</v>
      </c>
      <c r="O98" s="3">
        <v>20.315206613537899</v>
      </c>
      <c r="P98" s="3">
        <v>10.523754102065199</v>
      </c>
      <c r="Q98" s="3">
        <v>12.761406335468701</v>
      </c>
      <c r="R98" s="3">
        <v>16.2294174402344</v>
      </c>
      <c r="S98" s="3">
        <v>4.3611648497892999</v>
      </c>
      <c r="T98" s="3">
        <v>14.365676434199999</v>
      </c>
      <c r="U98" s="3">
        <v>12.082307677475001</v>
      </c>
      <c r="V98" s="3">
        <v>16.474280331171901</v>
      </c>
    </row>
    <row r="99" spans="1:22" x14ac:dyDescent="0.35">
      <c r="A99" s="2">
        <v>44735</v>
      </c>
      <c r="B99" s="3">
        <v>13.370649583833799</v>
      </c>
      <c r="C99" s="3">
        <v>6.4000421333637796</v>
      </c>
      <c r="D99" s="3">
        <v>12.7544624688546</v>
      </c>
      <c r="E99" s="3">
        <v>12.231270658429301</v>
      </c>
      <c r="F99" s="3">
        <v>6.4493784979803497</v>
      </c>
      <c r="G99" s="3">
        <v>7.2438724619911099</v>
      </c>
      <c r="H99" s="3">
        <v>13.346726100441201</v>
      </c>
      <c r="I99" s="3">
        <v>10.6762172698876</v>
      </c>
      <c r="J99" s="3">
        <v>11.4556196063283</v>
      </c>
      <c r="K99" s="3">
        <v>7.94339339857114</v>
      </c>
      <c r="L99" s="3">
        <v>5.9058688491963203</v>
      </c>
      <c r="M99" s="3">
        <v>8.40272741122536</v>
      </c>
      <c r="N99" s="3">
        <v>8.4531394343174693</v>
      </c>
      <c r="O99" s="3">
        <v>19.628267302803199</v>
      </c>
      <c r="P99" s="3">
        <v>11.758818096583401</v>
      </c>
      <c r="Q99" s="3">
        <v>11.7876807873369</v>
      </c>
      <c r="R99" s="3">
        <v>15.1050830067416</v>
      </c>
      <c r="S99" s="3">
        <v>4.7275191841027402</v>
      </c>
      <c r="T99" s="3">
        <v>12.950557302844199</v>
      </c>
      <c r="U99" s="3">
        <v>11.0661229080485</v>
      </c>
      <c r="V99" s="3">
        <v>15.100675975051599</v>
      </c>
    </row>
    <row r="100" spans="1:22" x14ac:dyDescent="0.35">
      <c r="A100" s="2">
        <v>44764</v>
      </c>
      <c r="B100" s="3">
        <v>13.030859450685901</v>
      </c>
      <c r="C100" s="3">
        <v>6.6078579585953801</v>
      </c>
      <c r="D100" s="3">
        <v>12.5487222108887</v>
      </c>
      <c r="E100" s="3">
        <v>12.629644209399601</v>
      </c>
      <c r="F100" s="3">
        <v>6.0818360730605496</v>
      </c>
      <c r="G100" s="3">
        <v>7.1996551372141804</v>
      </c>
      <c r="H100" s="3">
        <v>13.659143834985899</v>
      </c>
      <c r="I100" s="3">
        <v>10.5469649416459</v>
      </c>
      <c r="J100" s="3">
        <v>11.551897162028601</v>
      </c>
      <c r="K100" s="3">
        <v>8.3494847025513597</v>
      </c>
      <c r="L100" s="3">
        <v>5.9068380108081602</v>
      </c>
      <c r="M100" s="3">
        <v>8.8739083626942907</v>
      </c>
      <c r="N100" s="3">
        <v>7.9841637227368203</v>
      </c>
      <c r="O100" s="3">
        <v>21.281410126250499</v>
      </c>
      <c r="P100" s="3">
        <v>11.2886312627689</v>
      </c>
      <c r="Q100" s="3">
        <v>13.0247327802185</v>
      </c>
      <c r="R100" s="3">
        <v>14.9427828306178</v>
      </c>
      <c r="S100" s="3">
        <v>4.1997419415046</v>
      </c>
      <c r="T100" s="3">
        <v>13.4812634358151</v>
      </c>
      <c r="U100" s="3">
        <v>10.895726790245799</v>
      </c>
      <c r="V100" s="3">
        <v>16.328225922536198</v>
      </c>
    </row>
    <row r="101" spans="1:22" x14ac:dyDescent="0.35">
      <c r="A101" s="2">
        <v>44796</v>
      </c>
      <c r="B101" s="3">
        <v>12.7823535995275</v>
      </c>
      <c r="C101" s="3">
        <v>6.6386631775116403</v>
      </c>
      <c r="D101" s="3">
        <v>12.9396552785115</v>
      </c>
      <c r="E101" s="3">
        <v>12.816396635628699</v>
      </c>
      <c r="F101" s="3">
        <v>6.2170920012843496</v>
      </c>
      <c r="G101" s="3">
        <v>7.6373655287470497</v>
      </c>
      <c r="H101" s="3">
        <v>13.737029623668599</v>
      </c>
      <c r="I101" s="3">
        <v>11.080383233772601</v>
      </c>
      <c r="J101" s="3">
        <v>11.648484004214099</v>
      </c>
      <c r="K101" s="3">
        <v>8.5633091323625692</v>
      </c>
      <c r="L101" s="3">
        <v>6.4686285866921898</v>
      </c>
      <c r="M101" s="3">
        <v>8.6470490350311806</v>
      </c>
      <c r="N101" s="3">
        <v>8.2731829830710897</v>
      </c>
      <c r="O101" s="3">
        <v>22.484534764151899</v>
      </c>
      <c r="P101" s="3">
        <v>10.687213172552701</v>
      </c>
      <c r="Q101" s="3">
        <v>13.441588947324799</v>
      </c>
      <c r="R101" s="3">
        <v>15.5308305596942</v>
      </c>
      <c r="S101" s="3">
        <v>4.6032277850232797</v>
      </c>
      <c r="T101" s="3">
        <v>13.3626209971451</v>
      </c>
      <c r="U101" s="3">
        <v>11.438707025303</v>
      </c>
      <c r="V101" s="3">
        <v>16.331625701969401</v>
      </c>
    </row>
    <row r="102" spans="1:22" x14ac:dyDescent="0.35">
      <c r="A102" s="2">
        <v>44827</v>
      </c>
      <c r="B102" s="3">
        <v>11.798012354535</v>
      </c>
      <c r="C102" s="3">
        <v>7.2639214544785702</v>
      </c>
      <c r="D102" s="3">
        <v>13.0428293949601</v>
      </c>
      <c r="E102" s="3">
        <v>12.030677305425201</v>
      </c>
      <c r="F102" s="3">
        <v>5.7038240202847996</v>
      </c>
      <c r="G102" s="3">
        <v>7.7676708873551199</v>
      </c>
      <c r="H102" s="3">
        <v>13.073754891517799</v>
      </c>
      <c r="I102" s="3">
        <v>10.5288397006109</v>
      </c>
      <c r="J102" s="3">
        <v>11.225414931143799</v>
      </c>
      <c r="K102" s="3">
        <v>8.3539402472345508</v>
      </c>
      <c r="L102" s="3">
        <v>6.5724884906859504</v>
      </c>
      <c r="M102" s="3">
        <v>7.7701294863253896</v>
      </c>
      <c r="N102" s="3">
        <v>6.4651573682265404</v>
      </c>
      <c r="O102" s="3">
        <v>21.910536376389899</v>
      </c>
      <c r="P102" s="3">
        <v>9.9608454785834795</v>
      </c>
      <c r="Q102" s="3">
        <v>12.628436077109299</v>
      </c>
      <c r="R102" s="3">
        <v>15.408655637917199</v>
      </c>
      <c r="S102" s="3">
        <v>4.4974098131484599</v>
      </c>
      <c r="T102" s="3">
        <v>13.0305909415617</v>
      </c>
      <c r="U102" s="3">
        <v>11.1746103526014</v>
      </c>
      <c r="V102" s="3">
        <v>15.0234971910622</v>
      </c>
    </row>
    <row r="103" spans="1:22" x14ac:dyDescent="0.35">
      <c r="A103" s="2">
        <v>44855</v>
      </c>
      <c r="B103" s="3">
        <v>11.4103901213605</v>
      </c>
      <c r="C103" s="3">
        <v>7.2275521848524296</v>
      </c>
      <c r="D103" s="3">
        <v>12.5737530895028</v>
      </c>
      <c r="E103" s="3">
        <v>11.5140487000123</v>
      </c>
      <c r="F103" s="3">
        <v>6.4068045693437696</v>
      </c>
      <c r="G103" s="3">
        <v>8.5971529202865096</v>
      </c>
      <c r="H103" s="3">
        <v>13.171454967810099</v>
      </c>
      <c r="I103" s="3">
        <v>10.198141546476</v>
      </c>
      <c r="J103" s="3">
        <v>11.650134017459299</v>
      </c>
      <c r="K103" s="3">
        <v>8.8951302073176706</v>
      </c>
      <c r="L103" s="3">
        <v>7.3185121284444801</v>
      </c>
      <c r="M103" s="3">
        <v>8.1739478661855802</v>
      </c>
      <c r="N103" s="3">
        <v>6.9957408687897296</v>
      </c>
      <c r="O103" s="3">
        <v>21.826145947878398</v>
      </c>
      <c r="P103" s="3">
        <v>9.1170747431077892</v>
      </c>
      <c r="Q103" s="3">
        <v>12.605898267876499</v>
      </c>
      <c r="R103" s="3">
        <v>15.1415072616806</v>
      </c>
      <c r="S103" s="3">
        <v>4.8849374212905996</v>
      </c>
      <c r="T103" s="3">
        <v>12.540847955439601</v>
      </c>
      <c r="U103" s="3">
        <v>10.173573804178901</v>
      </c>
      <c r="V103" s="3">
        <v>15.6122793118007</v>
      </c>
    </row>
    <row r="104" spans="1:22" x14ac:dyDescent="0.35">
      <c r="A104" s="2">
        <v>44888</v>
      </c>
      <c r="B104" s="3">
        <v>11.675725574805799</v>
      </c>
      <c r="C104" s="3">
        <v>7.0068221689500003</v>
      </c>
      <c r="D104" s="3">
        <v>12.6605220643686</v>
      </c>
      <c r="E104" s="3">
        <v>12.1177660067231</v>
      </c>
      <c r="F104" s="3">
        <v>7.2076991374205797</v>
      </c>
      <c r="G104" s="3">
        <v>9.6944599592741394</v>
      </c>
      <c r="H104" s="3">
        <v>13.0613507844427</v>
      </c>
      <c r="I104" s="3">
        <v>12.6410455550512</v>
      </c>
      <c r="J104" s="3">
        <v>12.711746525226101</v>
      </c>
      <c r="K104" s="3">
        <v>10.556106617501699</v>
      </c>
      <c r="L104" s="3">
        <v>6.6028401088978104</v>
      </c>
      <c r="M104" s="3">
        <v>9.0972322416697207</v>
      </c>
      <c r="N104" s="3">
        <v>6.87404632561024</v>
      </c>
      <c r="O104" s="3">
        <v>22.2995432689812</v>
      </c>
      <c r="P104" s="3">
        <v>9.7957370897164893</v>
      </c>
      <c r="Q104" s="3">
        <v>12.4091518784466</v>
      </c>
      <c r="R104" s="3">
        <v>15.603153544149199</v>
      </c>
      <c r="S104" s="3">
        <v>5.6091628582146802</v>
      </c>
      <c r="T104" s="3">
        <v>12.3044631930248</v>
      </c>
      <c r="U104" s="3">
        <v>10.1914810897227</v>
      </c>
      <c r="V104" s="3">
        <v>14.7399837542409</v>
      </c>
    </row>
    <row r="105" spans="1:22" x14ac:dyDescent="0.35">
      <c r="A105" s="2">
        <v>44918</v>
      </c>
      <c r="B105" s="3">
        <v>11.6196799056726</v>
      </c>
      <c r="C105" s="3">
        <v>7.3135008006810098</v>
      </c>
      <c r="D105" s="3">
        <v>12.215275280656501</v>
      </c>
      <c r="E105" s="3">
        <v>12.400337467362</v>
      </c>
      <c r="F105" s="3">
        <v>7.5764406342422097</v>
      </c>
      <c r="G105" s="3">
        <v>9.0973291622954093</v>
      </c>
      <c r="H105" s="3">
        <v>13.4007227639379</v>
      </c>
      <c r="I105" s="3">
        <v>12.6052965503499</v>
      </c>
      <c r="J105" s="3">
        <v>12.212078016183</v>
      </c>
      <c r="K105" s="3">
        <v>10.6706752560083</v>
      </c>
      <c r="L105" s="3">
        <v>6.9695896794741001</v>
      </c>
      <c r="M105" s="3">
        <v>8.9830010159822908</v>
      </c>
      <c r="N105" s="3">
        <v>6.6922481600607</v>
      </c>
      <c r="O105" s="3">
        <v>21.596070789353998</v>
      </c>
      <c r="P105" s="3">
        <v>10.640015711709299</v>
      </c>
      <c r="Q105" s="3">
        <v>11.425931269785799</v>
      </c>
      <c r="R105" s="3">
        <v>15.518060143349899</v>
      </c>
      <c r="S105" s="3">
        <v>5.8315840691171301</v>
      </c>
      <c r="T105" s="3">
        <v>12.136221073381</v>
      </c>
      <c r="U105" s="3">
        <v>10.9978462706108</v>
      </c>
      <c r="V105" s="3">
        <v>14.0077731710369</v>
      </c>
    </row>
    <row r="106" spans="1:22" x14ac:dyDescent="0.35">
      <c r="A106" s="2">
        <v>44949</v>
      </c>
      <c r="B106" s="3">
        <v>12.651507789215801</v>
      </c>
      <c r="C106" s="3">
        <v>7.70782389969321</v>
      </c>
      <c r="D106" s="3">
        <v>12.1694821146354</v>
      </c>
      <c r="E106" s="3">
        <v>13.395577379266401</v>
      </c>
      <c r="F106" s="3">
        <v>8.0360295596336506</v>
      </c>
      <c r="G106" s="3">
        <v>10.299886646580999</v>
      </c>
      <c r="H106" s="3">
        <v>13.6150694283162</v>
      </c>
      <c r="I106" s="3">
        <v>13.807441691779401</v>
      </c>
      <c r="J106" s="3">
        <v>13.0049963394227</v>
      </c>
      <c r="K106" s="3">
        <v>11.5940223725942</v>
      </c>
      <c r="L106" s="3">
        <v>7.0281821007302003</v>
      </c>
      <c r="M106" s="3">
        <v>9.5537071039689199</v>
      </c>
      <c r="N106" s="3">
        <v>6.7003075143906496</v>
      </c>
      <c r="O106" s="3">
        <v>21.7003919184449</v>
      </c>
      <c r="P106" s="3">
        <v>12.0481547304706</v>
      </c>
      <c r="Q106" s="3">
        <v>11.604378332823901</v>
      </c>
      <c r="R106" s="3">
        <v>15.997959863369999</v>
      </c>
      <c r="S106" s="3">
        <v>5.5120559425313198</v>
      </c>
      <c r="T106" s="3">
        <v>12.1001547837354</v>
      </c>
      <c r="U106" s="3">
        <v>11.6858660890778</v>
      </c>
      <c r="V106" s="3">
        <v>14.928631972868899</v>
      </c>
    </row>
    <row r="107" spans="1:22" x14ac:dyDescent="0.35">
      <c r="A107" s="2">
        <v>44980</v>
      </c>
      <c r="B107" s="3">
        <v>12.3698637566771</v>
      </c>
      <c r="C107" s="3">
        <v>7.8678143701383796</v>
      </c>
      <c r="D107" s="3">
        <v>12.2378423419367</v>
      </c>
      <c r="E107" s="3">
        <v>12.359333613971</v>
      </c>
      <c r="F107" s="3">
        <v>7.5828497773996997</v>
      </c>
      <c r="G107" s="3">
        <v>9.5125491904914306</v>
      </c>
      <c r="H107" s="3">
        <v>13.300142954849299</v>
      </c>
      <c r="I107" s="3">
        <v>14.4765890071161</v>
      </c>
      <c r="J107" s="3">
        <v>12.6507745605129</v>
      </c>
      <c r="K107" s="3">
        <v>12.800202248147301</v>
      </c>
      <c r="L107" s="3">
        <v>7.0181735327098496</v>
      </c>
      <c r="M107" s="3">
        <v>8.9835139665082906</v>
      </c>
      <c r="N107" s="3">
        <v>7.9760808941552002</v>
      </c>
      <c r="O107" s="3">
        <v>20.490498951631601</v>
      </c>
      <c r="P107" s="3">
        <v>10.981796206329699</v>
      </c>
      <c r="Q107" s="3">
        <v>11.0010548386</v>
      </c>
      <c r="R107" s="3">
        <v>15.8127486543325</v>
      </c>
      <c r="S107" s="3">
        <v>4.9652038072765796</v>
      </c>
      <c r="T107" s="3">
        <v>11.725936670949901</v>
      </c>
      <c r="U107" s="3">
        <v>12.269991803254401</v>
      </c>
      <c r="V107" s="3">
        <v>14.469891040682199</v>
      </c>
    </row>
    <row r="108" spans="1:22" x14ac:dyDescent="0.35">
      <c r="A108" s="2">
        <v>45008</v>
      </c>
      <c r="B108" s="3">
        <v>11.991794745682901</v>
      </c>
      <c r="C108" s="3">
        <v>7.3373758686877304</v>
      </c>
      <c r="D108" s="3">
        <v>11.6498665188684</v>
      </c>
      <c r="E108" s="3">
        <v>11.654053551993099</v>
      </c>
      <c r="F108" s="3">
        <v>6.9606080514152202</v>
      </c>
      <c r="G108" s="3">
        <v>9.4472507725263899</v>
      </c>
      <c r="H108" s="3">
        <v>12.929540713007601</v>
      </c>
      <c r="I108" s="3">
        <v>15.0971747187057</v>
      </c>
      <c r="J108" s="3">
        <v>12.4593604329747</v>
      </c>
      <c r="K108" s="3">
        <v>13.1428508835772</v>
      </c>
      <c r="L108" s="3">
        <v>6.3175515028405602</v>
      </c>
      <c r="M108" s="3">
        <v>8.8280086469279304</v>
      </c>
      <c r="N108" s="3">
        <v>7.1832210255515898</v>
      </c>
      <c r="O108" s="3">
        <v>19.734764099429398</v>
      </c>
      <c r="P108" s="3">
        <v>10.7872657506088</v>
      </c>
      <c r="Q108" s="3">
        <v>10.590801358724599</v>
      </c>
      <c r="R108" s="3">
        <v>15.672636869660501</v>
      </c>
      <c r="S108" s="3">
        <v>4.9013489814184599</v>
      </c>
      <c r="T108" s="3">
        <v>10.9282316563044</v>
      </c>
      <c r="U108" s="3">
        <v>13.3955024551001</v>
      </c>
      <c r="V108" s="3">
        <v>15.177417134299199</v>
      </c>
    </row>
    <row r="109" spans="1:22" x14ac:dyDescent="0.35">
      <c r="A109" s="2">
        <v>45037</v>
      </c>
      <c r="B109" s="3">
        <v>12.123192344839</v>
      </c>
      <c r="C109" s="3">
        <v>7.5534498118349704</v>
      </c>
      <c r="D109" s="3">
        <v>12.1518242395953</v>
      </c>
      <c r="E109" s="3">
        <v>11.469028095165999</v>
      </c>
      <c r="F109" s="3">
        <v>7.1135637832421796</v>
      </c>
      <c r="G109" s="3">
        <v>9.7901607027956192</v>
      </c>
      <c r="H109" s="3">
        <v>13.073385835081201</v>
      </c>
      <c r="I109" s="3">
        <v>14.862813467421001</v>
      </c>
      <c r="J109" s="3">
        <v>12.5103734695812</v>
      </c>
      <c r="K109" s="3">
        <v>14.015328119949499</v>
      </c>
      <c r="L109" s="3">
        <v>6.9303477279951498</v>
      </c>
      <c r="M109" s="3">
        <v>9.1163390091180592</v>
      </c>
      <c r="N109" s="3">
        <v>7.2985098753775004</v>
      </c>
      <c r="O109" s="3">
        <v>20.097361296522799</v>
      </c>
      <c r="P109" s="3">
        <v>10.6617623685031</v>
      </c>
      <c r="Q109" s="3">
        <v>10.466807828140899</v>
      </c>
      <c r="R109" s="3">
        <v>15.488433043669</v>
      </c>
      <c r="S109" s="3">
        <v>4.6381102121948601</v>
      </c>
      <c r="T109" s="3">
        <v>11.246328523881299</v>
      </c>
      <c r="U109" s="3">
        <v>13.533054638864501</v>
      </c>
      <c r="V109" s="3">
        <v>16.3773079314916</v>
      </c>
    </row>
    <row r="110" spans="1:22" x14ac:dyDescent="0.35">
      <c r="A110" s="2">
        <v>45069</v>
      </c>
      <c r="B110" s="3">
        <v>11.863467068615201</v>
      </c>
      <c r="C110" s="3">
        <v>8.4560912808836903</v>
      </c>
      <c r="D110" s="3">
        <v>12.0088211752392</v>
      </c>
      <c r="E110" s="3">
        <v>11.011341999526101</v>
      </c>
      <c r="F110" s="3">
        <v>7.4956326964262301</v>
      </c>
      <c r="G110" s="3">
        <v>9.3330336268926093</v>
      </c>
      <c r="H110" s="3">
        <v>13.024755951325201</v>
      </c>
      <c r="I110" s="3">
        <v>15.884761332921601</v>
      </c>
      <c r="J110" s="3">
        <v>11.952028717575599</v>
      </c>
      <c r="K110" s="3">
        <v>13.173789442692501</v>
      </c>
      <c r="L110" s="3">
        <v>7.1279723096639396</v>
      </c>
      <c r="M110" s="3">
        <v>8.7839069538019796</v>
      </c>
      <c r="N110" s="3">
        <v>7.4867292886857104</v>
      </c>
      <c r="O110" s="3">
        <v>20.9208425071763</v>
      </c>
      <c r="P110" s="3">
        <v>10.2797810875404</v>
      </c>
      <c r="Q110" s="3">
        <v>11.252211343094</v>
      </c>
      <c r="R110" s="3">
        <v>15.559225769149601</v>
      </c>
      <c r="S110" s="3">
        <v>3.9614902808417098</v>
      </c>
      <c r="T110" s="3">
        <v>10.9590954771986</v>
      </c>
      <c r="U110" s="3">
        <v>14.5419738557464</v>
      </c>
      <c r="V110" s="3">
        <v>16.6152748238794</v>
      </c>
    </row>
    <row r="111" spans="1:22" x14ac:dyDescent="0.35">
      <c r="A111" s="2">
        <v>45100</v>
      </c>
      <c r="B111" s="3">
        <v>11.8841833724897</v>
      </c>
      <c r="C111" s="3">
        <v>8.4106801518261296</v>
      </c>
      <c r="D111" s="3">
        <v>13.275161512285599</v>
      </c>
      <c r="E111" s="3">
        <v>10.023959958511</v>
      </c>
      <c r="F111" s="3">
        <v>7.9819617421186999</v>
      </c>
      <c r="G111" s="3">
        <v>9.8895963099979394</v>
      </c>
      <c r="H111" s="3">
        <v>13.331197853908</v>
      </c>
      <c r="I111" s="3">
        <v>16.4658405826947</v>
      </c>
      <c r="J111" s="3">
        <v>11.670883166895999</v>
      </c>
      <c r="K111" s="3">
        <v>12.2788371876906</v>
      </c>
      <c r="L111" s="3">
        <v>7.8693112123634599</v>
      </c>
      <c r="M111" s="3">
        <v>8.9482290328237504</v>
      </c>
      <c r="N111" s="3">
        <v>7.8037116279706797</v>
      </c>
      <c r="O111" s="3">
        <v>21.319359516927602</v>
      </c>
      <c r="P111" s="3">
        <v>10.1450151704462</v>
      </c>
      <c r="Q111" s="3">
        <v>11.0271506523173</v>
      </c>
      <c r="R111" s="3">
        <v>15.367668355544501</v>
      </c>
      <c r="S111" s="3">
        <v>4.9033558354830404</v>
      </c>
      <c r="T111" s="3">
        <v>11.2190667613249</v>
      </c>
      <c r="U111" s="3">
        <v>15.0694515944682</v>
      </c>
      <c r="V111" s="3">
        <v>17.069703183409899</v>
      </c>
    </row>
    <row r="112" spans="1:22" x14ac:dyDescent="0.35">
      <c r="A112" s="2">
        <v>45128</v>
      </c>
      <c r="B112" s="3">
        <v>11.6811161475572</v>
      </c>
      <c r="C112" s="3">
        <v>9.2907502038863896</v>
      </c>
      <c r="D112" s="3">
        <v>13.655835373920301</v>
      </c>
      <c r="E112" s="3">
        <v>10.356975928356</v>
      </c>
      <c r="F112" s="3">
        <v>8.1088192070176106</v>
      </c>
      <c r="G112" s="3">
        <v>10.5548834318486</v>
      </c>
      <c r="H112" s="3">
        <v>13.5222550800425</v>
      </c>
      <c r="I112" s="3">
        <v>16.6577763547822</v>
      </c>
      <c r="J112" s="3">
        <v>11.85950624598</v>
      </c>
      <c r="K112" s="3">
        <v>12.0867857461688</v>
      </c>
      <c r="L112" s="3">
        <v>8.0221190979354091</v>
      </c>
      <c r="M112" s="3">
        <v>9.8452725514134105</v>
      </c>
      <c r="N112" s="3">
        <v>8.2702972666477592</v>
      </c>
      <c r="O112" s="3">
        <v>21.613929532618101</v>
      </c>
      <c r="P112" s="3">
        <v>10.315957277092201</v>
      </c>
      <c r="Q112" s="3">
        <v>11.3940409705686</v>
      </c>
      <c r="R112" s="3">
        <v>15.790584406930099</v>
      </c>
      <c r="S112" s="3">
        <v>5.4721477102415399</v>
      </c>
      <c r="T112" s="3">
        <v>11.3350726728168</v>
      </c>
      <c r="U112" s="3">
        <v>13.8223088344141</v>
      </c>
      <c r="V112" s="3">
        <v>17.5216609685429</v>
      </c>
    </row>
    <row r="113" spans="1:37" x14ac:dyDescent="0.35">
      <c r="A113" s="2">
        <v>45161</v>
      </c>
      <c r="B113" s="3">
        <v>11.401913305027501</v>
      </c>
      <c r="C113" s="3">
        <v>9.2291546050262596</v>
      </c>
      <c r="D113" s="3">
        <v>13.684662113117399</v>
      </c>
      <c r="E113" s="3">
        <v>9.3446151393162395</v>
      </c>
      <c r="F113" s="3">
        <v>8.1812172975684199</v>
      </c>
      <c r="G113" s="3">
        <v>10.4804555962248</v>
      </c>
      <c r="H113" s="3">
        <v>13.7295849714243</v>
      </c>
      <c r="I113" s="3">
        <v>15.8840887346309</v>
      </c>
      <c r="J113" s="3">
        <v>11.802815754748201</v>
      </c>
      <c r="K113" s="3">
        <v>11.012476765117</v>
      </c>
      <c r="L113" s="3">
        <v>7.9620769300571297</v>
      </c>
      <c r="M113" s="3">
        <v>9.5578772232229205</v>
      </c>
      <c r="N113" s="3">
        <v>7.4658134760689299</v>
      </c>
      <c r="O113" s="3">
        <v>20.852390966283501</v>
      </c>
      <c r="P113" s="3">
        <v>9.93270697257568</v>
      </c>
      <c r="Q113" s="3">
        <v>11.1196841703354</v>
      </c>
      <c r="R113" s="3">
        <v>16.033606544311102</v>
      </c>
      <c r="S113" s="3">
        <v>5.9513499489444399</v>
      </c>
      <c r="T113" s="3">
        <v>11.1834442103697</v>
      </c>
      <c r="U113" s="3">
        <v>13.849996739933299</v>
      </c>
      <c r="V113" s="3">
        <v>17.033047291115398</v>
      </c>
    </row>
    <row r="114" spans="1:37" x14ac:dyDescent="0.35">
      <c r="A114" s="2">
        <v>45191</v>
      </c>
      <c r="B114" s="3">
        <v>11.7901959672232</v>
      </c>
      <c r="C114" s="3">
        <v>8.47415627009687</v>
      </c>
      <c r="D114" s="3">
        <v>13.3804438984761</v>
      </c>
      <c r="E114" s="3">
        <v>9.6924184532089601</v>
      </c>
      <c r="F114" s="3">
        <v>7.93854479364337</v>
      </c>
      <c r="G114" s="3">
        <v>9.8899353158320409</v>
      </c>
      <c r="H114" s="3">
        <v>13.801641937342101</v>
      </c>
      <c r="I114" s="3">
        <v>15.355403367989901</v>
      </c>
      <c r="J114" s="3">
        <v>11.5237266290903</v>
      </c>
      <c r="K114" s="3">
        <v>10.8531016126986</v>
      </c>
      <c r="L114" s="3">
        <v>7.6967479119222597</v>
      </c>
      <c r="M114" s="3">
        <v>9.5029009385553191</v>
      </c>
      <c r="N114" s="3">
        <v>6.8658610116604697</v>
      </c>
      <c r="O114" s="3">
        <v>20.674492408518098</v>
      </c>
      <c r="P114" s="3">
        <v>10.1384542117189</v>
      </c>
      <c r="Q114" s="3">
        <v>10.890910491590001</v>
      </c>
      <c r="R114" s="3">
        <v>15.628652251608999</v>
      </c>
      <c r="S114" s="3">
        <v>5.8099114932912697</v>
      </c>
      <c r="T114" s="3">
        <v>11.2601852997329</v>
      </c>
      <c r="U114" s="3">
        <v>13.0974586887946</v>
      </c>
      <c r="V114" s="3">
        <v>16.153873631773902</v>
      </c>
    </row>
    <row r="115" spans="1:37" x14ac:dyDescent="0.35">
      <c r="A115" s="2">
        <v>45222</v>
      </c>
      <c r="B115" s="3">
        <v>10.851098853226301</v>
      </c>
      <c r="C115" s="3">
        <v>8.2774816362815091</v>
      </c>
      <c r="D115" s="3">
        <v>12.3343161870019</v>
      </c>
      <c r="E115" s="3">
        <v>9.5655866929315199</v>
      </c>
      <c r="F115" s="3">
        <v>8.08174030252016</v>
      </c>
      <c r="G115" s="3">
        <v>9.4804636400258797</v>
      </c>
      <c r="H115" s="3">
        <v>13.581388112577599</v>
      </c>
      <c r="I115" s="3">
        <v>14.909191591727399</v>
      </c>
      <c r="J115" s="3">
        <v>10.8602215517052</v>
      </c>
      <c r="K115" s="3">
        <v>9.8933902924077195</v>
      </c>
      <c r="L115" s="3">
        <v>7.2029675551379304</v>
      </c>
      <c r="M115" s="3">
        <v>9.1823980141648995</v>
      </c>
      <c r="N115" s="3">
        <v>6.5096607880962702</v>
      </c>
      <c r="O115" s="3">
        <v>19.979345995857699</v>
      </c>
      <c r="P115" s="3">
        <v>9.4012797834344806</v>
      </c>
      <c r="Q115" s="3">
        <v>10.251169260202101</v>
      </c>
      <c r="R115" s="3">
        <v>14.3336108292022</v>
      </c>
      <c r="S115" s="3">
        <v>5.12436706100672</v>
      </c>
      <c r="T115" s="3">
        <v>9.7040817451387298</v>
      </c>
      <c r="U115" s="3">
        <v>13.360337514976999</v>
      </c>
      <c r="V115" s="3">
        <v>15.0076003749703</v>
      </c>
    </row>
    <row r="116" spans="1:37" x14ac:dyDescent="0.35">
      <c r="A116" s="2">
        <v>45252</v>
      </c>
      <c r="B116" s="3">
        <v>11.523445803574599</v>
      </c>
      <c r="C116" s="3">
        <v>8.8919281520374707</v>
      </c>
      <c r="D116" s="3">
        <v>12.348744413385299</v>
      </c>
      <c r="E116" s="3">
        <v>9.5384242573427809</v>
      </c>
      <c r="F116" s="3">
        <v>8.37965015289193</v>
      </c>
      <c r="G116" s="3">
        <v>10.1682477827013</v>
      </c>
      <c r="H116" s="3">
        <v>13.621309981344</v>
      </c>
      <c r="I116" s="3">
        <v>15.7169918794601</v>
      </c>
      <c r="J116" s="3">
        <v>11.9746951610637</v>
      </c>
      <c r="K116" s="3">
        <v>10.269569752064699</v>
      </c>
      <c r="L116" s="3">
        <v>7.7997944718551304</v>
      </c>
      <c r="M116" s="3">
        <v>9.6690736168329892</v>
      </c>
      <c r="N116" s="3">
        <v>6.8072510204817203</v>
      </c>
      <c r="O116" s="3">
        <v>20.405691034167202</v>
      </c>
      <c r="P116" s="3">
        <v>9.7218004418677406</v>
      </c>
      <c r="Q116" s="3">
        <v>10.678574735704</v>
      </c>
      <c r="R116" s="3">
        <v>14.517907793059599</v>
      </c>
      <c r="S116" s="3">
        <v>4.92938108675449</v>
      </c>
      <c r="T116" s="3">
        <v>10.323136409018799</v>
      </c>
      <c r="U116" s="3">
        <v>14.3479882344463</v>
      </c>
      <c r="V116" s="3">
        <v>16.437235949237799</v>
      </c>
    </row>
    <row r="117" spans="1:37" x14ac:dyDescent="0.35">
      <c r="A117" s="2">
        <v>45282</v>
      </c>
      <c r="B117" s="3">
        <v>11.100403736516199</v>
      </c>
      <c r="C117" s="3">
        <v>8.1100316066480502</v>
      </c>
      <c r="D117" s="3">
        <v>12.730119892926099</v>
      </c>
      <c r="E117" s="3">
        <v>9.4041315766059697</v>
      </c>
      <c r="F117" s="3">
        <v>8.5401316480388907</v>
      </c>
      <c r="G117" s="3">
        <v>11.874057025345801</v>
      </c>
      <c r="H117" s="3">
        <v>13.658715695770599</v>
      </c>
      <c r="I117" s="3">
        <v>15.9318789727586</v>
      </c>
      <c r="J117" s="3">
        <v>12.9491638996742</v>
      </c>
      <c r="K117" s="3">
        <v>10.2044133471889</v>
      </c>
      <c r="L117" s="3">
        <v>7.92424807936258</v>
      </c>
      <c r="M117" s="3">
        <v>9.7228849152598595</v>
      </c>
      <c r="N117" s="3">
        <v>6.6186194160017902</v>
      </c>
      <c r="O117" s="3">
        <v>21.6872204061562</v>
      </c>
      <c r="P117" s="3">
        <v>8.9328081261727306</v>
      </c>
      <c r="Q117" s="3">
        <v>10.6289552454553</v>
      </c>
      <c r="R117" s="3">
        <v>14.517062172897999</v>
      </c>
      <c r="S117" s="3">
        <v>4.4813633140459803</v>
      </c>
      <c r="T117" s="3">
        <v>10.3834621323028</v>
      </c>
      <c r="U117" s="3">
        <v>14.187229548943201</v>
      </c>
      <c r="V117" s="3">
        <v>17.542011574487699</v>
      </c>
    </row>
    <row r="118" spans="1:37" x14ac:dyDescent="0.35">
      <c r="A118" s="2">
        <v>45314</v>
      </c>
      <c r="B118" s="3">
        <v>10.5765189904071</v>
      </c>
      <c r="C118" s="3">
        <v>7.9809876069271999</v>
      </c>
      <c r="D118" s="3">
        <v>12.702261041864199</v>
      </c>
      <c r="E118" s="3">
        <v>9.5600046756888908</v>
      </c>
      <c r="F118" s="3">
        <v>8.0362855354675595</v>
      </c>
      <c r="G118" s="3">
        <v>11.238580455468099</v>
      </c>
      <c r="H118" s="3">
        <v>13.7609079101645</v>
      </c>
      <c r="I118" s="3">
        <v>15.882111909889</v>
      </c>
      <c r="J118" s="3">
        <v>12.4610789161701</v>
      </c>
      <c r="K118" s="3">
        <v>9.5868773606748299</v>
      </c>
      <c r="L118" s="3">
        <v>7.5711569957803802</v>
      </c>
      <c r="M118" s="3">
        <v>9.3248698545626301</v>
      </c>
      <c r="N118" s="3">
        <v>6.8166472845393704</v>
      </c>
      <c r="O118" s="3">
        <v>21.6620898727823</v>
      </c>
      <c r="P118" s="3">
        <v>8.4905541628175705</v>
      </c>
      <c r="Q118" s="3">
        <v>10.718508247470201</v>
      </c>
      <c r="R118" s="3">
        <v>13.9854728237171</v>
      </c>
      <c r="S118" s="3">
        <v>4.6843273306915103</v>
      </c>
      <c r="T118" s="3">
        <v>10.629964020294601</v>
      </c>
      <c r="U118" s="3">
        <v>14.524037947948299</v>
      </c>
      <c r="V118" s="3">
        <v>18.5276659381218</v>
      </c>
    </row>
    <row r="119" spans="1:37" x14ac:dyDescent="0.35">
      <c r="A119" s="2">
        <v>45345</v>
      </c>
      <c r="B119" s="3">
        <v>11.4520274436066</v>
      </c>
      <c r="C119" s="3">
        <v>7.2782448420756696</v>
      </c>
      <c r="D119" s="3">
        <v>13.0518388286209</v>
      </c>
      <c r="E119" s="3">
        <v>10.0632758918828</v>
      </c>
      <c r="F119" s="3">
        <v>9.3695823368175901</v>
      </c>
      <c r="G119" s="3">
        <v>11.730998863151999</v>
      </c>
      <c r="H119" s="3">
        <v>14.207045638177</v>
      </c>
      <c r="I119" s="3">
        <v>16.4707322337213</v>
      </c>
      <c r="J119" s="3">
        <v>12.722172149023599</v>
      </c>
      <c r="K119" s="3">
        <v>10.4758086677995</v>
      </c>
      <c r="L119" s="3">
        <v>7.9499453363148502</v>
      </c>
      <c r="M119" s="3">
        <v>9.4111845926883895</v>
      </c>
      <c r="N119" s="3">
        <v>7.0691305583494897</v>
      </c>
      <c r="O119" s="3">
        <v>22.749087945160401</v>
      </c>
      <c r="P119" s="3">
        <v>9.2874975316228596</v>
      </c>
      <c r="Q119" s="3">
        <v>10.5309275478562</v>
      </c>
      <c r="R119" s="3">
        <v>14.5180426752489</v>
      </c>
      <c r="S119" s="3">
        <v>5.2467296245414197</v>
      </c>
      <c r="T119" s="3">
        <v>10.0100549333131</v>
      </c>
      <c r="U119" s="3">
        <v>16.085407552459198</v>
      </c>
      <c r="V119" s="3">
        <v>19.166959377632701</v>
      </c>
    </row>
    <row r="120" spans="1:37" x14ac:dyDescent="0.35">
      <c r="A120" s="2">
        <v>45373</v>
      </c>
      <c r="B120" s="3">
        <v>11.750450355984601</v>
      </c>
      <c r="C120" s="3">
        <v>8.1401651603175402</v>
      </c>
      <c r="D120" s="3">
        <v>13.022313565392199</v>
      </c>
      <c r="E120" s="3">
        <v>9.4504686572978098</v>
      </c>
      <c r="F120" s="3">
        <v>9.0106207148334008</v>
      </c>
      <c r="G120" s="3">
        <v>12.939895656513301</v>
      </c>
      <c r="H120" s="3">
        <v>13.9722655845202</v>
      </c>
      <c r="I120" s="3">
        <v>17.544349366920599</v>
      </c>
      <c r="J120" s="3">
        <v>12.539364402228401</v>
      </c>
      <c r="K120" s="3">
        <v>10.7542669908101</v>
      </c>
      <c r="L120" s="3">
        <v>7.6947003116174502</v>
      </c>
      <c r="M120" s="3">
        <v>9.3597070869111896</v>
      </c>
      <c r="N120" s="3">
        <v>7.0759540528134499</v>
      </c>
      <c r="O120" s="3">
        <v>22.175725580300501</v>
      </c>
      <c r="P120" s="3">
        <v>9.2235402045787893</v>
      </c>
      <c r="Q120" s="3">
        <v>10.519068835952201</v>
      </c>
      <c r="R120" s="3">
        <v>14.262489470431801</v>
      </c>
      <c r="S120" s="3">
        <v>5.1744940899107803</v>
      </c>
      <c r="T120" s="3">
        <v>9.7297765038892692</v>
      </c>
      <c r="U120" s="3">
        <v>16.985772907270299</v>
      </c>
      <c r="V120" s="3">
        <v>18.686221808113402</v>
      </c>
    </row>
    <row r="121" spans="1:37" x14ac:dyDescent="0.35">
      <c r="A121" s="2">
        <v>45405</v>
      </c>
      <c r="B121" s="3">
        <v>12.142172867880699</v>
      </c>
      <c r="C121" s="3">
        <v>7.8670013715963796</v>
      </c>
      <c r="D121" s="3">
        <v>12.0631370497006</v>
      </c>
      <c r="E121" s="3">
        <v>8.9089898294595304</v>
      </c>
      <c r="F121" s="3">
        <v>8.7066755234343507</v>
      </c>
      <c r="G121" s="3">
        <v>12.794646188387601</v>
      </c>
      <c r="H121" s="3">
        <v>14.076555773951499</v>
      </c>
      <c r="I121" s="3">
        <v>16.488106010481001</v>
      </c>
      <c r="J121" s="3">
        <v>12.5185324231851</v>
      </c>
      <c r="K121" s="3">
        <v>9.9854506719731209</v>
      </c>
      <c r="L121" s="3">
        <v>7.5336737772549904</v>
      </c>
      <c r="M121" s="3">
        <v>9.0580622018810502</v>
      </c>
      <c r="N121" s="3">
        <v>7.2428010952294901</v>
      </c>
      <c r="O121" s="3">
        <v>22.4314658615307</v>
      </c>
      <c r="P121" s="3">
        <v>9.4823387870090805</v>
      </c>
      <c r="Q121" s="3">
        <v>10.005740221625</v>
      </c>
      <c r="R121" s="3">
        <v>14.059408142416199</v>
      </c>
      <c r="S121" s="3">
        <v>5.4257316357496901</v>
      </c>
      <c r="T121" s="3">
        <v>9.0885470453340105</v>
      </c>
      <c r="U121" s="3">
        <v>14.691069941966299</v>
      </c>
      <c r="V121" s="3">
        <v>17.737675565018801</v>
      </c>
    </row>
    <row r="122" spans="1:37" x14ac:dyDescent="0.35">
      <c r="A122" s="2">
        <v>45433</v>
      </c>
      <c r="B122" s="3">
        <v>13.0415360098746</v>
      </c>
      <c r="C122" s="3">
        <v>7.9173943782004299</v>
      </c>
      <c r="D122" s="3">
        <v>11.9398710714717</v>
      </c>
      <c r="E122" s="3">
        <v>8.9501161295470109</v>
      </c>
      <c r="F122" s="3">
        <v>9.0224493319026902</v>
      </c>
      <c r="G122" s="3">
        <v>14.2227670864903</v>
      </c>
      <c r="H122" s="3">
        <v>14.5061298747999</v>
      </c>
      <c r="I122" s="3">
        <v>17.741531183271299</v>
      </c>
      <c r="J122" s="3">
        <v>12.551081905159601</v>
      </c>
      <c r="K122" s="3">
        <v>9.9287177133695899</v>
      </c>
      <c r="L122" s="3">
        <v>7.5092260509129796</v>
      </c>
      <c r="M122" s="3">
        <v>9.9683201117465003</v>
      </c>
      <c r="N122" s="3">
        <v>7.36628405726902</v>
      </c>
      <c r="O122" s="3">
        <v>22.635482181038601</v>
      </c>
      <c r="P122" s="3">
        <v>10.692598022338</v>
      </c>
      <c r="Q122" s="3">
        <v>9.8896379677601391</v>
      </c>
      <c r="R122" s="3">
        <v>14.170813163966599</v>
      </c>
      <c r="S122" s="3">
        <v>5.9602356118199298</v>
      </c>
      <c r="T122" s="3">
        <v>8.6563238486538001</v>
      </c>
      <c r="U122" s="3">
        <v>16.1772971924727</v>
      </c>
      <c r="V122" s="3">
        <v>17.015185172089399</v>
      </c>
    </row>
    <row r="124" spans="1:37" x14ac:dyDescent="0.35">
      <c r="A124" s="2" t="s">
        <v>91</v>
      </c>
      <c r="B124" s="3" cm="1">
        <f t="array" ref="B124">MIN(_xlfn._xlws.FILTER(B1:B122, ISNUMBER(B1:B122)))</f>
        <v>9.4781886287691108</v>
      </c>
      <c r="C124" s="3" cm="1">
        <f t="array" ref="C124">MIN(_xlfn._xlws.FILTER(C1:C122, ISNUMBER(C1:C122)))</f>
        <v>6.4000421333637796</v>
      </c>
      <c r="D124" s="3" cm="1">
        <f t="array" ref="D124">MIN(_xlfn._xlws.FILTER(D1:D122, ISNUMBER(D1:D122)))</f>
        <v>8.9363820274406205</v>
      </c>
      <c r="E124" s="3" cm="1">
        <f t="array" ref="E124">MIN(_xlfn._xlws.FILTER(E1:E122, ISNUMBER(E1:E122)))</f>
        <v>8.6633659514278403</v>
      </c>
      <c r="F124" s="3" cm="1">
        <f t="array" ref="F124">MIN(_xlfn._xlws.FILTER(F1:F122, ISNUMBER(F1:F122)))</f>
        <v>5.7038240202847996</v>
      </c>
      <c r="G124" s="3" cm="1">
        <f t="array" ref="G124">MIN(_xlfn._xlws.FILTER(G1:G122, ISNUMBER(G1:G122)))</f>
        <v>7.1996551372141804</v>
      </c>
      <c r="H124" s="3" cm="1">
        <f t="array" ref="H124">MIN(_xlfn._xlws.FILTER(H1:H122, ISNUMBER(H1:H122)))</f>
        <v>12.929540713007601</v>
      </c>
      <c r="I124" s="3" cm="1">
        <f t="array" ref="I124">MIN(_xlfn._xlws.FILTER(I1:I122, ISNUMBER(I1:I122)))</f>
        <v>10.198141546476</v>
      </c>
      <c r="J124" s="3" cm="1">
        <f t="array" ref="J124">MIN(_xlfn._xlws.FILTER(J1:J122, ISNUMBER(J1:J122)))</f>
        <v>9.8594884573964201</v>
      </c>
      <c r="K124" s="3" cm="1">
        <f t="array" ref="K124">MIN(_xlfn._xlws.FILTER(K1:K122, ISNUMBER(K1:K122)))</f>
        <v>7.6568815220233999</v>
      </c>
      <c r="L124" s="3" cm="1">
        <f t="array" ref="L124">MIN(_xlfn._xlws.FILTER(L1:L122, ISNUMBER(L1:L122)))</f>
        <v>5.9058688491963203</v>
      </c>
      <c r="M124" s="3" cm="1">
        <f t="array" ref="M124">MIN(_xlfn._xlws.FILTER(M1:M122, ISNUMBER(M1:M122)))</f>
        <v>7.1316962476925099</v>
      </c>
      <c r="N124" s="3" cm="1">
        <f t="array" ref="N124">MIN(_xlfn._xlws.FILTER(N1:N122, ISNUMBER(N1:N122)))</f>
        <v>4.1736324926839403</v>
      </c>
      <c r="O124" s="3" cm="1">
        <f t="array" ref="O124">MIN(_xlfn._xlws.FILTER(O1:O122, ISNUMBER(O1:O122)))</f>
        <v>12.350840299986199</v>
      </c>
      <c r="P124" s="3" cm="1">
        <f t="array" ref="P124">MIN(_xlfn._xlws.FILTER(P1:P122, ISNUMBER(P1:P122)))</f>
        <v>8.4905541628175705</v>
      </c>
      <c r="Q124" s="3" cm="1">
        <f t="array" ref="Q124">MIN(_xlfn._xlws.FILTER(Q1:Q122, ISNUMBER(Q1:Q122)))</f>
        <v>9.7220311448308507</v>
      </c>
      <c r="R124" s="3" cm="1">
        <f t="array" ref="R124">MIN(_xlfn._xlws.FILTER(R1:R122, ISNUMBER(R1:R122)))</f>
        <v>11.3753894697678</v>
      </c>
      <c r="S124" s="3" cm="1">
        <f t="array" ref="S124">MIN(_xlfn._xlws.FILTER(S1:S122, ISNUMBER(S1:S122)))</f>
        <v>3.9614902808417098</v>
      </c>
      <c r="T124" s="3" cm="1">
        <f t="array" ref="T124">MIN(_xlfn._xlws.FILTER(T1:T122, ISNUMBER(T1:T122)))</f>
        <v>8.6563238486538001</v>
      </c>
      <c r="U124" s="3" cm="1">
        <f t="array" ref="U124">MIN(_xlfn._xlws.FILTER(U1:U122, ISNUMBER(U1:U122)))</f>
        <v>10.173573804178901</v>
      </c>
      <c r="V124" s="3" cm="1">
        <f t="array" ref="V124">MIN(_xlfn._xlws.FILTER(V1:V122, ISNUMBER(V1:V122)))</f>
        <v>10.655542033693701</v>
      </c>
    </row>
    <row r="125" spans="1:37" x14ac:dyDescent="0.35">
      <c r="A125" s="2" t="s">
        <v>92</v>
      </c>
      <c r="B125" s="3" cm="1">
        <f t="array" ref="B125">MAX(_xlfn._xlws.FILTER(B1:B122, ISNUMBER(B1:B122)))</f>
        <v>18.383634394609299</v>
      </c>
      <c r="C125" s="3" cm="1">
        <f t="array" ref="C125">MAX(_xlfn._xlws.FILTER(C1:C122, ISNUMBER(C1:C122)))</f>
        <v>19.229781489654801</v>
      </c>
      <c r="D125" s="3" cm="1">
        <f t="array" ref="D125">MAX(_xlfn._xlws.FILTER(D1:D122, ISNUMBER(D1:D122)))</f>
        <v>18.028458509620201</v>
      </c>
      <c r="E125" s="3" cm="1">
        <f t="array" ref="E125">MAX(_xlfn._xlws.FILTER(E1:E122, ISNUMBER(E1:E122)))</f>
        <v>18.330503791719899</v>
      </c>
      <c r="F125" s="3" cm="1">
        <f t="array" ref="F125">MAX(_xlfn._xlws.FILTER(F1:F122, ISNUMBER(F1:F122)))</f>
        <v>14.928122424004499</v>
      </c>
      <c r="G125" s="3" cm="1">
        <f t="array" ref="G125">MAX(_xlfn._xlws.FILTER(G1:G122, ISNUMBER(G1:G122)))</f>
        <v>23.2577469121372</v>
      </c>
      <c r="H125" s="3" cm="1">
        <f t="array" ref="H125">MAX(_xlfn._xlws.FILTER(H1:H122, ISNUMBER(H1:H122)))</f>
        <v>19.7446398756306</v>
      </c>
      <c r="I125" s="3" cm="1">
        <f t="array" ref="I125">MAX(_xlfn._xlws.FILTER(I1:I122, ISNUMBER(I1:I122)))</f>
        <v>17.741531183271299</v>
      </c>
      <c r="J125" s="3" cm="1">
        <f t="array" ref="J125">MAX(_xlfn._xlws.FILTER(J1:J122, ISNUMBER(J1:J122)))</f>
        <v>19.5008745897367</v>
      </c>
      <c r="K125" s="3" cm="1">
        <f t="array" ref="K125">MAX(_xlfn._xlws.FILTER(K1:K122, ISNUMBER(K1:K122)))</f>
        <v>14.5245398157449</v>
      </c>
      <c r="L125" s="3" cm="1">
        <f t="array" ref="L125">MAX(_xlfn._xlws.FILTER(L1:L122, ISNUMBER(L1:L122)))</f>
        <v>25.477468830986201</v>
      </c>
      <c r="M125" s="3" cm="1">
        <f t="array" ref="M125">MAX(_xlfn._xlws.FILTER(M1:M122, ISNUMBER(M1:M122)))</f>
        <v>17.733928823369599</v>
      </c>
      <c r="N125" s="3" cm="1">
        <f t="array" ref="N125">MAX(_xlfn._xlws.FILTER(N1:N122, ISNUMBER(N1:N122)))</f>
        <v>18.289064429925201</v>
      </c>
      <c r="O125" s="3" cm="1">
        <f t="array" ref="O125">MAX(_xlfn._xlws.FILTER(O1:O122, ISNUMBER(O1:O122)))</f>
        <v>24.9854420520909</v>
      </c>
      <c r="P125" s="3" cm="1">
        <f t="array" ref="P125">MAX(_xlfn._xlws.FILTER(P1:P122, ISNUMBER(P1:P122)))</f>
        <v>17.906441427997098</v>
      </c>
      <c r="Q125" s="3" cm="1">
        <f t="array" ref="Q125">MAX(_xlfn._xlws.FILTER(Q1:Q122, ISNUMBER(Q1:Q122)))</f>
        <v>16.1720399489386</v>
      </c>
      <c r="R125" s="3" cm="1">
        <f t="array" ref="R125">MAX(_xlfn._xlws.FILTER(R1:R122, ISNUMBER(R1:R122)))</f>
        <v>19.668234861615399</v>
      </c>
      <c r="S125" s="3" cm="1">
        <f t="array" ref="S125">MAX(_xlfn._xlws.FILTER(S1:S122, ISNUMBER(S1:S122)))</f>
        <v>11.1348163878487</v>
      </c>
      <c r="T125" s="3" cm="1">
        <f t="array" ref="T125">MAX(_xlfn._xlws.FILTER(T1:T122, ISNUMBER(T1:T122)))</f>
        <v>17.744545553005601</v>
      </c>
      <c r="U125" s="3" cm="1">
        <f t="array" ref="U125">MAX(_xlfn._xlws.FILTER(U1:U122, ISNUMBER(U1:U122)))</f>
        <v>21.293479892228401</v>
      </c>
      <c r="V125" s="3" cm="1">
        <f t="array" ref="V125">MAX(_xlfn._xlws.FILTER(V1:V122, ISNUMBER(V1:V122)))</f>
        <v>21.373409733889101</v>
      </c>
    </row>
    <row r="127" spans="1:37" x14ac:dyDescent="0.35">
      <c r="A127" s="2" t="s">
        <v>93</v>
      </c>
      <c r="B127" s="9" cm="1">
        <f t="array" ref="B127">_xlfn.PERCENTRANK.EXC(_xlfn._xlws.FILTER(B1:B122, ISNUMBER(B1:B122)),B122)</f>
        <v>0.55200000000000005</v>
      </c>
      <c r="C127" s="9" cm="1">
        <f t="array" ref="C127">_xlfn.PERCENTRANK.EXC(_xlfn._xlws.FILTER(C1:C122, ISNUMBER(C1:C122)),C122)</f>
        <v>0.114</v>
      </c>
      <c r="D127" s="9" cm="1">
        <f t="array" ref="D127">_xlfn.PERCENTRANK.EXC(_xlfn._xlws.FILTER(D1:D122, ISNUMBER(D1:D122)),D122)</f>
        <v>3.2000000000000001E-2</v>
      </c>
      <c r="E127" s="9" cm="1">
        <f t="array" ref="E127">_xlfn.PERCENTRANK.EXC(_xlfn._xlws.FILTER(E1:E122, ISNUMBER(E1:E122)),E122)</f>
        <v>2.4E-2</v>
      </c>
      <c r="F127" s="9" cm="1">
        <f t="array" ref="F127">_xlfn.PERCENTRANK.EXC(_xlfn._xlws.FILTER(F1:F122, ISNUMBER(F1:F122)),F122)</f>
        <v>0.21299999999999999</v>
      </c>
      <c r="G127" s="9" cm="1">
        <f t="array" ref="G127">_xlfn.PERCENTRANK.EXC(_xlfn._xlws.FILTER(G1:G122, ISNUMBER(G1:G122)),G122)</f>
        <v>0.78600000000000003</v>
      </c>
      <c r="H127" s="9" cm="1">
        <f t="array" ref="H127">_xlfn.PERCENTRANK.EXC(_xlfn._xlws.FILTER(H1:H122, ISNUMBER(H1:H122)),H122)</f>
        <v>0.29499999999999998</v>
      </c>
      <c r="I127" s="9" cm="1">
        <f t="array" ref="I127">_xlfn.PERCENTRANK.EXC(_xlfn._xlws.FILTER(I1:I122, ISNUMBER(I1:I122)),I122)</f>
        <v>0.99099999999999999</v>
      </c>
      <c r="J127" s="9" cm="1">
        <f t="array" ref="J127">_xlfn.PERCENTRANK.EXC(_xlfn._xlws.FILTER(J1:J122, ISNUMBER(J1:J122)),J122)</f>
        <v>0.245</v>
      </c>
      <c r="K127" s="9" cm="1">
        <f t="array" ref="K127">_xlfn.PERCENTRANK.EXC(_xlfn._xlws.FILTER(K1:K122, ISNUMBER(K1:K122)),K122)</f>
        <v>0.45</v>
      </c>
      <c r="L127" s="9" cm="1">
        <f t="array" ref="L127">_xlfn.PERCENTRANK.EXC(_xlfn._xlws.FILTER(L1:L122, ISNUMBER(L1:L122)),L122)</f>
        <v>0.14699999999999999</v>
      </c>
      <c r="M127" s="9" cm="1">
        <f t="array" ref="M127">_xlfn.PERCENTRANK.EXC(_xlfn._xlws.FILTER(M1:M122, ISNUMBER(M1:M122)),M122)</f>
        <v>0.34399999999999997</v>
      </c>
      <c r="N127" s="9" cm="1">
        <f t="array" ref="N127">_xlfn.PERCENTRANK.EXC(_xlfn._xlws.FILTER(N1:N122, ISNUMBER(N1:N122)),N122)</f>
        <v>0.26200000000000001</v>
      </c>
      <c r="O127" s="9" cm="1">
        <f t="array" ref="O127">_xlfn.PERCENTRANK.EXC(_xlfn._xlws.FILTER(O1:O122, ISNUMBER(O1:O122)),O122)</f>
        <v>0.85199999999999998</v>
      </c>
      <c r="P127" s="9" cm="1">
        <f t="array" ref="P127">_xlfn.PERCENTRANK.EXC(_xlfn._xlws.FILTER(P1:P122, ISNUMBER(P1:P122)),P122)</f>
        <v>0.39300000000000002</v>
      </c>
      <c r="Q127" s="9" cm="1">
        <f t="array" ref="Q127">_xlfn.PERCENTRANK.EXC(_xlfn._xlws.FILTER(Q1:Q122, ISNUMBER(Q1:Q122)),Q122)</f>
        <v>1.6E-2</v>
      </c>
      <c r="R127" s="9" cm="1">
        <f t="array" ref="R127">_xlfn.PERCENTRANK.EXC(_xlfn._xlws.FILTER(R1:R122, ISNUMBER(R1:R122)),R122)</f>
        <v>0.122</v>
      </c>
      <c r="S127" s="9" cm="1">
        <f t="array" ref="S127">_xlfn.PERCENTRANK.EXC(_xlfn._xlws.FILTER(S1:S122, ISNUMBER(S1:S122)),S122)</f>
        <v>0.34399999999999997</v>
      </c>
      <c r="T127" s="9" cm="1">
        <f t="array" ref="T127">_xlfn.PERCENTRANK.EXC(_xlfn._xlws.FILTER(T1:T122, ISNUMBER(T1:T122)),T122)</f>
        <v>8.0000000000000002E-3</v>
      </c>
      <c r="U127" s="9" cm="1">
        <f t="array" ref="U127">_xlfn.PERCENTRANK.EXC(_xlfn._xlws.FILTER(U1:U122, ISNUMBER(U1:U122)),U122)</f>
        <v>0.76200000000000001</v>
      </c>
      <c r="V127" s="9" cm="1">
        <f t="array" ref="V127">_xlfn.PERCENTRANK.EXC(_xlfn._xlws.FILTER(V1:V122, ISNUMBER(V1:V122)),V122)</f>
        <v>0.65700000000000003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8"/>
  <sheetViews>
    <sheetView topLeftCell="P1" workbookViewId="0">
      <selection activeCell="W1" sqref="W1:AE104857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22" x14ac:dyDescent="0.35">
      <c r="A2" s="2" cm="1">
        <f t="array" ref="A2:A122">_xll.FDS(C1,"JULIAN(FMA_DIV_YLD(NTMA,-10AY,0,AM,""PORTAGG"",""MEANR"").dates)")</f>
        <v>41782</v>
      </c>
      <c r="B2" s="3" t="e" cm="1">
        <f t="array" ref="B2:B122">_xll.FDS(B1,"FMA_DIV_YLD(NTMA,-10AY,0,AM,""PORTAGG"",""MEANR"")")</f>
        <v>#N/A</v>
      </c>
      <c r="C2" s="3" cm="1">
        <f t="array" ref="C2:C122">_xll.FDS(C1,"FMA_DIV_YLD(NTMA,-10AY,0,AM,""PORTAGG"",""MEANR"")")</f>
        <v>3.0087102199353102</v>
      </c>
      <c r="D2" s="3" cm="1">
        <f t="array" ref="D2:D122">_xll.FDS(D1,"FMA_DIV_YLD(NTMA,-10AY,0,AM,""PORTAGG"",""MEANR"")")</f>
        <v>2.4908919618300098</v>
      </c>
      <c r="E2" s="3" cm="1">
        <f t="array" ref="E2:E122">_xll.FDS(E1,"FMA_DIV_YLD(NTMA,-10AY,0,AM,""PORTAGG"",""MEANR"")")</f>
        <v>2.0697986108470898</v>
      </c>
      <c r="F2" s="3" cm="1">
        <f t="array" ref="F2:F122">_xll.FDS(F1,"FMA_DIV_YLD(NTMA,-10AY,0,AM,""PORTAGG"",""MEANR"")")</f>
        <v>3.9433134006141102</v>
      </c>
      <c r="G2" s="3" cm="1">
        <f t="array" ref="G2:G122">_xll.FDS(G1,"FMA_DIV_YLD(NTMA,-10AY,0,AM,""PORTAGG"",""MEANR"")")</f>
        <v>2.3714664200625002</v>
      </c>
      <c r="H2" s="3" cm="1">
        <f t="array" ref="H2:H122">_xll.FDS(H1,"FMA_DIV_YLD(NTMA,-10AY,0,AM,""PORTAGG"",""MEANR"")")</f>
        <v>3.1103619345077802</v>
      </c>
      <c r="I2" s="3" cm="1">
        <f t="array" ref="I2:I122">_xll.FDS(I1,"FMA_DIV_YLD(NTMA,-10AY,0,AM,""PORTAGG"",""MEANR"")")</f>
        <v>3.23357430628641</v>
      </c>
      <c r="J2" s="3" t="e" cm="1">
        <f t="array" ref="J2:J122">_xll.FDS(J1,"FMA_DIV_YLD(NTMA,-10AY,0,AM,""PORTAGG"",""MEANR"")")</f>
        <v>#N/A</v>
      </c>
      <c r="K2" s="3" cm="1">
        <f t="array" ref="K2:K122">_xll.FDS(K1,"FMA_DIV_YLD(NTMA,-10AY,0,AM,""PORTAGG"",""MEANR"")")</f>
        <v>1.2469353077830101</v>
      </c>
      <c r="L2" s="3" cm="1">
        <f t="array" ref="L2:L122">_xll.FDS(L1,"FMA_DIV_YLD(NTMA,-10AY,0,AM,""PORTAGG"",""MEANR"")")</f>
        <v>4.0919303122188202</v>
      </c>
      <c r="M2" s="3" cm="1">
        <f t="array" ref="M2:M122">_xll.FDS(M1,"FMA_DIV_YLD(NTMA,-10AY,0,AM,""PORTAGG"",""MEANR"")")</f>
        <v>3.3234731679874501</v>
      </c>
      <c r="N2" s="3" cm="1">
        <f t="array" ref="N2:N122">_xll.FDS(N1,"FMA_DIV_YLD(NTMA,-10AY,0,AM,""PORTAGG"",""MEANR"")")</f>
        <v>2.1651471325652998</v>
      </c>
      <c r="O2" s="3" cm="1">
        <f t="array" ref="O2:O122">_xll.FDS(O1,"FMA_DIV_YLD(NTMA,-10AY,0,AM,""PORTAGG"",""MEANR"")")</f>
        <v>1.58750452759689</v>
      </c>
      <c r="P2" s="3" cm="1">
        <f t="array" ref="P2:P122">_xll.FDS(P1,"FMA_DIV_YLD(NTMA,-10AY,0,AM,""PORTAGG"",""MEANR"")")</f>
        <v>3.70869435695219</v>
      </c>
      <c r="Q2" s="3" t="e" cm="1">
        <f t="array" ref="Q2:Q122">_xll.FDS(Q1,"FMA_DIV_YLD(NTMA,-10AY,0,AM,""PORTAGG"",""MEANR"")")</f>
        <v>#N/A</v>
      </c>
      <c r="R2" s="3" cm="1">
        <f t="array" ref="R2:R122">_xll.FDS(R1,"FMA_DIV_YLD(NTMA,-10AY,0,AM,""PORTAGG"",""MEANR"")")</f>
        <v>3.7965740993802002</v>
      </c>
      <c r="S2" s="3" cm="1">
        <f t="array" ref="S2:S122">_xll.FDS(S1,"FMA_DIV_YLD(NTMA,-10AY,0,AM,""PORTAGG"",""MEANR"")")</f>
        <v>2.8545981679490202</v>
      </c>
      <c r="T2" s="3" t="e" cm="1">
        <f t="array" ref="T2:T122">_xll.FDS(T1,"FMA_DIV_YLD(NTMA,-10AY,0,AM,""PORTAGG"",""MEANR"")")</f>
        <v>#N/A</v>
      </c>
      <c r="U2" s="3" cm="1">
        <f t="array" ref="U2:U122">_xll.FDS(U1,"FMA_DIV_YLD(NTMA,-10AY,0,AM,""PORTAGG"",""MEANR"")")</f>
        <v>3.52111632947372</v>
      </c>
      <c r="V2" s="3" t="e" cm="1">
        <f t="array" ref="V2:V122">_xll.FDS(V1,"FMA_DIV_YLD(NTMA,-10AY,0,AM,""PORTAGG"",""MEANR"")")</f>
        <v>#N/A</v>
      </c>
    </row>
    <row r="3" spans="1:22" x14ac:dyDescent="0.35">
      <c r="A3" s="2">
        <v>41813</v>
      </c>
      <c r="B3" s="3" t="e">
        <v>#N/A</v>
      </c>
      <c r="C3" s="3">
        <v>3.0528131266612299</v>
      </c>
      <c r="D3" s="3">
        <v>2.6489889641800599</v>
      </c>
      <c r="E3" s="3">
        <v>2.1933192499696199</v>
      </c>
      <c r="F3" s="3">
        <v>3.9712187127215799</v>
      </c>
      <c r="G3" s="3">
        <v>2.1950385530667198</v>
      </c>
      <c r="H3" s="3">
        <v>3.1110023661166402</v>
      </c>
      <c r="I3" s="3">
        <v>3.1908573167482901</v>
      </c>
      <c r="J3" s="3" t="e">
        <v>#N/A</v>
      </c>
      <c r="K3" s="3">
        <v>1.28535681095523</v>
      </c>
      <c r="L3" s="3">
        <v>4.0183218835538002</v>
      </c>
      <c r="M3" s="3">
        <v>3.3062811654569702</v>
      </c>
      <c r="N3" s="3">
        <v>1.86056594508087</v>
      </c>
      <c r="O3" s="3">
        <v>1.57001819578261</v>
      </c>
      <c r="P3" s="3">
        <v>3.7393734439315902</v>
      </c>
      <c r="Q3" s="3">
        <v>4.1351631920293004</v>
      </c>
      <c r="R3" s="3">
        <v>5.5077538671806696</v>
      </c>
      <c r="S3" s="3">
        <v>2.9531317301687698</v>
      </c>
      <c r="T3" s="3">
        <v>2.6514196728625099</v>
      </c>
      <c r="U3" s="3">
        <v>3.06067882310247</v>
      </c>
      <c r="V3" s="3" t="e">
        <v>#N/A</v>
      </c>
    </row>
    <row r="4" spans="1:22" x14ac:dyDescent="0.35">
      <c r="A4" s="2">
        <v>41843</v>
      </c>
      <c r="B4" s="3" t="e">
        <v>#N/A</v>
      </c>
      <c r="C4" s="3">
        <v>3.1114572027146998</v>
      </c>
      <c r="D4" s="3">
        <v>2.53048698524232</v>
      </c>
      <c r="E4" s="3">
        <v>2.08138536770673</v>
      </c>
      <c r="F4" s="3">
        <v>4.0912807128587598</v>
      </c>
      <c r="G4" s="3">
        <v>2.1538539455758201</v>
      </c>
      <c r="H4" s="3">
        <v>3.1670435626186899</v>
      </c>
      <c r="I4" s="3">
        <v>3.1281334681981399</v>
      </c>
      <c r="J4" s="3" t="e">
        <v>#N/A</v>
      </c>
      <c r="K4" s="3">
        <v>1.2822772737872501</v>
      </c>
      <c r="L4" s="3">
        <v>3.7560603575555498</v>
      </c>
      <c r="M4" s="3">
        <v>3.2253725448087098</v>
      </c>
      <c r="N4" s="3">
        <v>2.1126577621238898</v>
      </c>
      <c r="O4" s="3">
        <v>1.5597270571809401</v>
      </c>
      <c r="P4" s="3">
        <v>3.5210822444873902</v>
      </c>
      <c r="Q4" s="3">
        <v>3.9838561839559801</v>
      </c>
      <c r="R4" s="3">
        <v>5.5533111791190404</v>
      </c>
      <c r="S4" s="3">
        <v>2.68071758962249</v>
      </c>
      <c r="T4" s="3">
        <v>2.7201882646439501</v>
      </c>
      <c r="U4" s="3">
        <v>3.46826793947691</v>
      </c>
      <c r="V4" s="3" t="e">
        <v>#N/A</v>
      </c>
    </row>
    <row r="5" spans="1:22" x14ac:dyDescent="0.35">
      <c r="A5" s="2">
        <v>41873</v>
      </c>
      <c r="B5" s="3" t="e">
        <v>#N/A</v>
      </c>
      <c r="C5" s="3">
        <v>3.09490434248691</v>
      </c>
      <c r="D5" s="3">
        <v>2.4841659978442499</v>
      </c>
      <c r="E5" s="3">
        <v>2.0140009355386801</v>
      </c>
      <c r="F5" s="3">
        <v>4.1485754015644103</v>
      </c>
      <c r="G5" s="3">
        <v>2.1418065404239002</v>
      </c>
      <c r="H5" s="3">
        <v>3.1457989021485302</v>
      </c>
      <c r="I5" s="3">
        <v>3.2219314122287299</v>
      </c>
      <c r="J5" s="3" t="e">
        <v>#N/A</v>
      </c>
      <c r="K5" s="3">
        <v>1.2912613835187301</v>
      </c>
      <c r="L5" s="3">
        <v>3.67675860840491</v>
      </c>
      <c r="M5" s="3">
        <v>3.2563576817956799</v>
      </c>
      <c r="N5" s="3">
        <v>2.0507439126088398</v>
      </c>
      <c r="O5" s="3">
        <v>1.57381543384016</v>
      </c>
      <c r="P5" s="3">
        <v>3.4652981013834698</v>
      </c>
      <c r="Q5" s="3">
        <v>3.8905287470104</v>
      </c>
      <c r="R5" s="3">
        <v>3.41482837894858</v>
      </c>
      <c r="S5" s="3">
        <v>3.0847433793460901</v>
      </c>
      <c r="T5" s="3">
        <v>2.5814932615083102</v>
      </c>
      <c r="U5" s="3">
        <v>3.0240251990790101</v>
      </c>
      <c r="V5" s="3" t="e">
        <v>#N/A</v>
      </c>
    </row>
    <row r="6" spans="1:22" x14ac:dyDescent="0.35">
      <c r="A6" s="2">
        <v>41905</v>
      </c>
      <c r="B6" s="3" t="e">
        <v>#N/A</v>
      </c>
      <c r="C6" s="3">
        <v>3.0834372986096099</v>
      </c>
      <c r="D6" s="3">
        <v>2.50827574760459</v>
      </c>
      <c r="E6" s="3">
        <v>1.9498014947433</v>
      </c>
      <c r="F6" s="3">
        <v>4.1670963155305101</v>
      </c>
      <c r="G6" s="3">
        <v>2.19641521074128</v>
      </c>
      <c r="H6" s="3">
        <v>3.2156670034063701</v>
      </c>
      <c r="I6" s="3">
        <v>3.4204758332451801</v>
      </c>
      <c r="J6" s="3" t="e">
        <v>#N/A</v>
      </c>
      <c r="K6" s="3">
        <v>1.340168937359</v>
      </c>
      <c r="L6" s="3">
        <v>3.8117292484092302</v>
      </c>
      <c r="M6" s="3">
        <v>3.4358705262431899</v>
      </c>
      <c r="N6" s="3">
        <v>2.2432694042733701</v>
      </c>
      <c r="O6" s="3">
        <v>1.5711131895143999</v>
      </c>
      <c r="P6" s="3">
        <v>3.67335133618601</v>
      </c>
      <c r="Q6" s="3">
        <v>3.9729779546214199</v>
      </c>
      <c r="R6" s="3">
        <v>3.3367518751517302</v>
      </c>
      <c r="S6" s="3">
        <v>3.1208862523635501</v>
      </c>
      <c r="T6" s="3">
        <v>2.4918494379294902</v>
      </c>
      <c r="U6" s="3">
        <v>3.38843093842253</v>
      </c>
      <c r="V6" s="3" t="e">
        <v>#N/A</v>
      </c>
    </row>
    <row r="7" spans="1:22" x14ac:dyDescent="0.35">
      <c r="A7" s="2">
        <v>41935</v>
      </c>
      <c r="B7" s="3" t="e">
        <v>#N/A</v>
      </c>
      <c r="C7" s="3">
        <v>3.1789550275590002</v>
      </c>
      <c r="D7" s="3">
        <v>2.5752567652162002</v>
      </c>
      <c r="E7" s="3">
        <v>2.2502381472382802</v>
      </c>
      <c r="F7" s="3">
        <v>4.00376763929936</v>
      </c>
      <c r="G7" s="3">
        <v>2.3005498703468099</v>
      </c>
      <c r="H7" s="3">
        <v>3.27132898953601</v>
      </c>
      <c r="I7" s="3">
        <v>3.56261356746993</v>
      </c>
      <c r="J7" s="3" t="e">
        <v>#N/A</v>
      </c>
      <c r="K7" s="3">
        <v>1.4708591137633</v>
      </c>
      <c r="L7" s="3">
        <v>4.0796101559368898</v>
      </c>
      <c r="M7" s="3">
        <v>3.5004212184578698</v>
      </c>
      <c r="N7" s="3">
        <v>2.44911592436085</v>
      </c>
      <c r="O7" s="3">
        <v>1.6041230195976</v>
      </c>
      <c r="P7" s="3">
        <v>3.7594620403238501</v>
      </c>
      <c r="Q7" s="3">
        <v>4.0827524861420699</v>
      </c>
      <c r="R7" s="3">
        <v>3.48264475537857</v>
      </c>
      <c r="S7" s="3">
        <v>2.9871989786582298</v>
      </c>
      <c r="T7" s="3">
        <v>2.8149818998304301</v>
      </c>
      <c r="U7" s="3">
        <v>2.8861524611361702</v>
      </c>
      <c r="V7" s="3" t="e">
        <v>#N/A</v>
      </c>
    </row>
    <row r="8" spans="1:22" x14ac:dyDescent="0.35">
      <c r="A8" s="2">
        <v>41964</v>
      </c>
      <c r="B8" s="3" t="e">
        <v>#N/A</v>
      </c>
      <c r="C8" s="3">
        <v>2.9418708613343099</v>
      </c>
      <c r="D8" s="3">
        <v>2.51319597553382</v>
      </c>
      <c r="E8" s="3">
        <v>2.1599538311289201</v>
      </c>
      <c r="F8" s="3">
        <v>3.9780618212894501</v>
      </c>
      <c r="G8" s="3">
        <v>2.18448524117998</v>
      </c>
      <c r="H8" s="3">
        <v>3.2515165382139499</v>
      </c>
      <c r="I8" s="3">
        <v>3.3998349925141502</v>
      </c>
      <c r="J8" s="3" t="e">
        <v>#N/A</v>
      </c>
      <c r="K8" s="3">
        <v>1.4091618835161801</v>
      </c>
      <c r="L8" s="3">
        <v>3.6121845897089302</v>
      </c>
      <c r="M8" s="3">
        <v>3.2455221341637199</v>
      </c>
      <c r="N8" s="3">
        <v>2.4922703479275001</v>
      </c>
      <c r="O8" s="3">
        <v>1.5343332359367099</v>
      </c>
      <c r="P8" s="3">
        <v>3.71980316038211</v>
      </c>
      <c r="Q8" s="3">
        <v>3.8483789255951102</v>
      </c>
      <c r="R8" s="3">
        <v>3.3453301417854702</v>
      </c>
      <c r="S8" s="3">
        <v>2.81407700426566</v>
      </c>
      <c r="T8" s="3">
        <v>2.9011702393424499</v>
      </c>
      <c r="U8" s="3">
        <v>3.0011467986059199</v>
      </c>
      <c r="V8" s="3" t="e">
        <v>#N/A</v>
      </c>
    </row>
    <row r="9" spans="1:22" x14ac:dyDescent="0.35">
      <c r="A9" s="2">
        <v>41996</v>
      </c>
      <c r="B9" s="3" t="e">
        <v>#N/A</v>
      </c>
      <c r="C9" s="3">
        <v>3.1949447708937999</v>
      </c>
      <c r="D9" s="3">
        <v>2.49739256137849</v>
      </c>
      <c r="E9" s="3">
        <v>2.1674636726762699</v>
      </c>
      <c r="F9" s="3">
        <v>4.0285848018142199</v>
      </c>
      <c r="G9" s="3">
        <v>2.1764319503067</v>
      </c>
      <c r="H9" s="3">
        <v>3.3175527382915</v>
      </c>
      <c r="I9" s="3">
        <v>3.4350695600957799</v>
      </c>
      <c r="J9" s="3" t="e">
        <v>#N/A</v>
      </c>
      <c r="K9" s="3">
        <v>1.4046951692637399</v>
      </c>
      <c r="L9" s="3">
        <v>4.06541739669085</v>
      </c>
      <c r="M9" s="3">
        <v>3.3478039464334399</v>
      </c>
      <c r="N9" s="3">
        <v>2.9937245262804999</v>
      </c>
      <c r="O9" s="3">
        <v>1.5901085169559499</v>
      </c>
      <c r="P9" s="3">
        <v>3.4563233821630899</v>
      </c>
      <c r="Q9" s="3">
        <v>4.4965579932111499</v>
      </c>
      <c r="R9" s="3">
        <v>3.4187588703012799</v>
      </c>
      <c r="S9" s="3">
        <v>2.7645890904085801</v>
      </c>
      <c r="T9" s="3">
        <v>3.39344253349921</v>
      </c>
      <c r="U9" s="3">
        <v>3.3740716313953101</v>
      </c>
      <c r="V9" s="3" t="e">
        <v>#N/A</v>
      </c>
    </row>
    <row r="10" spans="1:22" x14ac:dyDescent="0.35">
      <c r="A10" s="2">
        <v>42027</v>
      </c>
      <c r="B10" s="3" t="e">
        <v>#N/A</v>
      </c>
      <c r="C10" s="3">
        <v>3.1725454435124698</v>
      </c>
      <c r="D10" s="3">
        <v>2.4255891201458399</v>
      </c>
      <c r="E10" s="3">
        <v>2.0841676381593901</v>
      </c>
      <c r="F10" s="3">
        <v>4.01201249714613</v>
      </c>
      <c r="G10" s="3">
        <v>2.2743139578585998</v>
      </c>
      <c r="H10" s="3">
        <v>3.23339951243344</v>
      </c>
      <c r="I10" s="3">
        <v>3.4007130173830702</v>
      </c>
      <c r="J10" s="3" t="e">
        <v>#N/A</v>
      </c>
      <c r="K10" s="3">
        <v>1.5425187224571999</v>
      </c>
      <c r="L10" s="3">
        <v>4.0746692134164704</v>
      </c>
      <c r="M10" s="3">
        <v>3.2032511604534699</v>
      </c>
      <c r="N10" s="3">
        <v>2.9940623325226401</v>
      </c>
      <c r="O10" s="3">
        <v>1.4831476716148899</v>
      </c>
      <c r="P10" s="3">
        <v>3.13865607657003</v>
      </c>
      <c r="Q10" s="3">
        <v>4.5483882451616404</v>
      </c>
      <c r="R10" s="3">
        <v>3.2051932212853802</v>
      </c>
      <c r="S10" s="3">
        <v>2.6635122713384201</v>
      </c>
      <c r="T10" s="3">
        <v>3.4262098711208799</v>
      </c>
      <c r="U10" s="3">
        <v>3.01278040437768</v>
      </c>
      <c r="V10" s="3" t="e">
        <v>#N/A</v>
      </c>
    </row>
    <row r="11" spans="1:22" x14ac:dyDescent="0.35">
      <c r="A11" s="2">
        <v>42058</v>
      </c>
      <c r="B11" s="3" t="e">
        <v>#N/A</v>
      </c>
      <c r="C11" s="3">
        <v>3.13459816456347</v>
      </c>
      <c r="D11" s="3">
        <v>2.3263656518199198</v>
      </c>
      <c r="E11" s="3">
        <v>1.9609962038076001</v>
      </c>
      <c r="F11" s="3">
        <v>3.7533060104570302</v>
      </c>
      <c r="G11" s="3">
        <v>2.2177373316968301</v>
      </c>
      <c r="H11" s="3">
        <v>3.2051873002739302</v>
      </c>
      <c r="I11" s="3">
        <v>3.4152438776470899</v>
      </c>
      <c r="J11" s="3" t="e">
        <v>#N/A</v>
      </c>
      <c r="K11" s="3">
        <v>1.5845663727079899</v>
      </c>
      <c r="L11" s="3">
        <v>3.95571661712725</v>
      </c>
      <c r="M11" s="3">
        <v>3.0333890383112601</v>
      </c>
      <c r="N11" s="3">
        <v>3.2700844335198598</v>
      </c>
      <c r="O11" s="3">
        <v>1.4861934080419399</v>
      </c>
      <c r="P11" s="3">
        <v>3.1083352356176501</v>
      </c>
      <c r="Q11" s="3">
        <v>4.1004488117058502</v>
      </c>
      <c r="R11" s="3">
        <v>3.17658966771311</v>
      </c>
      <c r="S11" s="3">
        <v>2.8468710654531399</v>
      </c>
      <c r="T11" s="3">
        <v>3.4399263623717</v>
      </c>
      <c r="U11" s="3">
        <v>3.0679026218542602</v>
      </c>
      <c r="V11" s="3" t="e">
        <v>#N/A</v>
      </c>
    </row>
    <row r="12" spans="1:22" x14ac:dyDescent="0.35">
      <c r="A12" s="2">
        <v>42086</v>
      </c>
      <c r="B12" s="3" t="e">
        <v>#N/A</v>
      </c>
      <c r="C12" s="3">
        <v>3.31340807178562</v>
      </c>
      <c r="D12" s="3">
        <v>2.31211967064168</v>
      </c>
      <c r="E12" s="3">
        <v>1.9047330369616</v>
      </c>
      <c r="F12" s="3">
        <v>3.67268852058106</v>
      </c>
      <c r="G12" s="3">
        <v>2.3290111140748899</v>
      </c>
      <c r="H12" s="3">
        <v>3.22873819282953</v>
      </c>
      <c r="I12" s="3">
        <v>3.4111867191058001</v>
      </c>
      <c r="J12" s="3" t="e">
        <v>#N/A</v>
      </c>
      <c r="K12" s="3">
        <v>1.53186898201384</v>
      </c>
      <c r="L12" s="3">
        <v>3.8190572935796898</v>
      </c>
      <c r="M12" s="3">
        <v>3.0667512458882502</v>
      </c>
      <c r="N12" s="3">
        <v>3.4279332854100102</v>
      </c>
      <c r="O12" s="3">
        <v>1.5197202562623899</v>
      </c>
      <c r="P12" s="3">
        <v>3.0832751713229798</v>
      </c>
      <c r="Q12" s="3">
        <v>4.5326984051189498</v>
      </c>
      <c r="R12" s="3">
        <v>3.4065245159660198</v>
      </c>
      <c r="S12" s="3">
        <v>2.9140688498566298</v>
      </c>
      <c r="T12" s="3">
        <v>3.7093995973352101</v>
      </c>
      <c r="U12" s="3">
        <v>3.0522920094238102</v>
      </c>
      <c r="V12" s="3" t="e">
        <v>#N/A</v>
      </c>
    </row>
    <row r="13" spans="1:22" x14ac:dyDescent="0.35">
      <c r="A13" s="2">
        <v>42117</v>
      </c>
      <c r="B13" s="3" t="e">
        <v>#N/A</v>
      </c>
      <c r="C13" s="3">
        <v>3.1324671341822099</v>
      </c>
      <c r="D13" s="3">
        <v>2.3020115102345402</v>
      </c>
      <c r="E13" s="3">
        <v>1.9075340916590899</v>
      </c>
      <c r="F13" s="3">
        <v>3.3081971739142402</v>
      </c>
      <c r="G13" s="3">
        <v>2.2307542978840198</v>
      </c>
      <c r="H13" s="3">
        <v>3.1071931516662499</v>
      </c>
      <c r="I13" s="3">
        <v>3.5010114712998002</v>
      </c>
      <c r="J13" s="3" t="e">
        <v>#N/A</v>
      </c>
      <c r="K13" s="3">
        <v>1.4720487362203001</v>
      </c>
      <c r="L13" s="3">
        <v>3.6366829948842798</v>
      </c>
      <c r="M13" s="3">
        <v>2.9471218296032999</v>
      </c>
      <c r="N13" s="3">
        <v>3.6469574121352801</v>
      </c>
      <c r="O13" s="3">
        <v>1.5957173133096301</v>
      </c>
      <c r="P13" s="3">
        <v>2.5042102424296599</v>
      </c>
      <c r="Q13" s="3">
        <v>4.5612096214353102</v>
      </c>
      <c r="R13" s="3">
        <v>3.3559128844264299</v>
      </c>
      <c r="S13" s="3">
        <v>2.89338091935661</v>
      </c>
      <c r="T13" s="3">
        <v>3.1576043746572502</v>
      </c>
      <c r="U13" s="3">
        <v>2.7024137717425498</v>
      </c>
      <c r="V13" s="3" t="e">
        <v>#N/A</v>
      </c>
    </row>
    <row r="14" spans="1:22" x14ac:dyDescent="0.35">
      <c r="A14" s="2">
        <v>42146</v>
      </c>
      <c r="B14" s="3" t="e">
        <v>#N/A</v>
      </c>
      <c r="C14" s="3">
        <v>3.2107231900311999</v>
      </c>
      <c r="D14" s="3">
        <v>2.3145645709634302</v>
      </c>
      <c r="E14" s="3">
        <v>1.93393327375071</v>
      </c>
      <c r="F14" s="3">
        <v>3.33738133246464</v>
      </c>
      <c r="G14" s="3">
        <v>1.8206851295509101</v>
      </c>
      <c r="H14" s="3">
        <v>3.1909853101788399</v>
      </c>
      <c r="I14" s="3">
        <v>3.7277103918260099</v>
      </c>
      <c r="J14" s="3" t="e">
        <v>#N/A</v>
      </c>
      <c r="K14" s="3">
        <v>1.5536882708634301</v>
      </c>
      <c r="L14" s="3">
        <v>3.7394643210627998</v>
      </c>
      <c r="M14" s="3">
        <v>3.1047634240587798</v>
      </c>
      <c r="N14" s="3">
        <v>3.2137656990604002</v>
      </c>
      <c r="O14" s="3">
        <v>1.60828198355695</v>
      </c>
      <c r="P14" s="3">
        <v>2.5763728436010198</v>
      </c>
      <c r="Q14" s="3">
        <v>4.5335249934792596</v>
      </c>
      <c r="R14" s="3">
        <v>3.3776445510281801</v>
      </c>
      <c r="S14" s="3">
        <v>2.82959245961802</v>
      </c>
      <c r="T14" s="3">
        <v>3.2291683986322401</v>
      </c>
      <c r="U14" s="3">
        <v>2.75007752245472</v>
      </c>
      <c r="V14" s="3" t="e">
        <v>#N/A</v>
      </c>
    </row>
    <row r="15" spans="1:22" x14ac:dyDescent="0.35">
      <c r="A15" s="2">
        <v>42178</v>
      </c>
      <c r="B15" s="3" t="e">
        <v>#N/A</v>
      </c>
      <c r="C15" s="3">
        <v>3.4112285741839701</v>
      </c>
      <c r="D15" s="3">
        <v>2.46929259922848</v>
      </c>
      <c r="E15" s="3">
        <v>1.9835686498924501</v>
      </c>
      <c r="F15" s="3">
        <v>3.59381918308438</v>
      </c>
      <c r="G15" s="3">
        <v>1.98914945080036</v>
      </c>
      <c r="H15" s="3">
        <v>3.26378188815558</v>
      </c>
      <c r="I15" s="3">
        <v>3.8228460637618502</v>
      </c>
      <c r="J15" s="3" t="e">
        <v>#N/A</v>
      </c>
      <c r="K15" s="3">
        <v>1.6522253643128599</v>
      </c>
      <c r="L15" s="3">
        <v>3.8996106353943598</v>
      </c>
      <c r="M15" s="3">
        <v>3.1925667753679901</v>
      </c>
      <c r="N15" s="3">
        <v>3.4246150194910001</v>
      </c>
      <c r="O15" s="3">
        <v>1.65284143633797</v>
      </c>
      <c r="P15" s="3">
        <v>2.71056624250825</v>
      </c>
      <c r="Q15" s="3">
        <v>4.6481967721581396</v>
      </c>
      <c r="R15" s="3">
        <v>3.4470524199253298</v>
      </c>
      <c r="S15" s="3">
        <v>2.98600831175695</v>
      </c>
      <c r="T15" s="3">
        <v>3.4382983566254999</v>
      </c>
      <c r="U15" s="3">
        <v>2.73111149723213</v>
      </c>
      <c r="V15" s="3" t="e">
        <v>#N/A</v>
      </c>
    </row>
    <row r="16" spans="1:22" x14ac:dyDescent="0.35">
      <c r="A16" s="2">
        <v>42208</v>
      </c>
      <c r="B16" s="3" t="e">
        <v>#N/A</v>
      </c>
      <c r="C16" s="3">
        <v>3.56754871512703</v>
      </c>
      <c r="D16" s="3">
        <v>2.4549199184772599</v>
      </c>
      <c r="E16" s="3">
        <v>1.8805857236612</v>
      </c>
      <c r="F16" s="3">
        <v>3.7054640138350798</v>
      </c>
      <c r="G16" s="3">
        <v>2.0768067634096501</v>
      </c>
      <c r="H16" s="3">
        <v>3.2728703186028301</v>
      </c>
      <c r="I16" s="3">
        <v>4.14577136561602</v>
      </c>
      <c r="J16" s="3" t="e">
        <v>#N/A</v>
      </c>
      <c r="K16" s="3">
        <v>1.7297118003352601</v>
      </c>
      <c r="L16" s="3">
        <v>4.0439806589617699</v>
      </c>
      <c r="M16" s="3">
        <v>3.1718200765117999</v>
      </c>
      <c r="N16" s="3">
        <v>3.3097144635671798</v>
      </c>
      <c r="O16" s="3">
        <v>1.5299969676527301</v>
      </c>
      <c r="P16" s="3">
        <v>3.0648037495753901</v>
      </c>
      <c r="Q16" s="3">
        <v>4.6710970515274601</v>
      </c>
      <c r="R16" s="3">
        <v>3.53742170572996</v>
      </c>
      <c r="S16" s="3">
        <v>3.13508116360721</v>
      </c>
      <c r="T16" s="3">
        <v>3.4888536617303698</v>
      </c>
      <c r="U16" s="3">
        <v>4.0552852470361902</v>
      </c>
      <c r="V16" s="3" t="e">
        <v>#N/A</v>
      </c>
    </row>
    <row r="17" spans="1:22" x14ac:dyDescent="0.35">
      <c r="A17" s="2">
        <v>42237</v>
      </c>
      <c r="B17" s="3" t="e">
        <v>#N/A</v>
      </c>
      <c r="C17" s="3">
        <v>3.67679831215648</v>
      </c>
      <c r="D17" s="3">
        <v>2.82722945997679</v>
      </c>
      <c r="E17" s="3">
        <v>1.9872208063016501</v>
      </c>
      <c r="F17" s="3">
        <v>3.6980808670115999</v>
      </c>
      <c r="G17" s="3">
        <v>2.4204896436688599</v>
      </c>
      <c r="H17" s="3">
        <v>3.5945213761021</v>
      </c>
      <c r="I17" s="3">
        <v>4.56310745669846</v>
      </c>
      <c r="J17" s="3" t="e">
        <v>#N/A</v>
      </c>
      <c r="K17" s="3">
        <v>1.88496917044646</v>
      </c>
      <c r="L17" s="3">
        <v>4.2514243436535297</v>
      </c>
      <c r="M17" s="3">
        <v>3.4497694586902599</v>
      </c>
      <c r="N17" s="3">
        <v>4.3183116907296402</v>
      </c>
      <c r="O17" s="3">
        <v>1.5812805718182401</v>
      </c>
      <c r="P17" s="3">
        <v>3.4245876238241801</v>
      </c>
      <c r="Q17" s="3">
        <v>4.9931173180956003</v>
      </c>
      <c r="R17" s="3">
        <v>3.7091754992078001</v>
      </c>
      <c r="S17" s="3">
        <v>3.3489300843631802</v>
      </c>
      <c r="T17" s="3">
        <v>3.9390385958342802</v>
      </c>
      <c r="U17" s="3">
        <v>4.15037679148476</v>
      </c>
      <c r="V17" s="3" t="e">
        <v>#N/A</v>
      </c>
    </row>
    <row r="18" spans="1:22" x14ac:dyDescent="0.35">
      <c r="A18" s="2">
        <v>42270</v>
      </c>
      <c r="B18" s="3" t="e">
        <v>#N/A</v>
      </c>
      <c r="C18" s="3">
        <v>3.7260982108935501</v>
      </c>
      <c r="D18" s="3">
        <v>2.8692425192640698</v>
      </c>
      <c r="E18" s="3">
        <v>2.0894885141006099</v>
      </c>
      <c r="F18" s="3">
        <v>3.6909409771913801</v>
      </c>
      <c r="G18" s="3">
        <v>2.5853893254112799</v>
      </c>
      <c r="H18" s="3">
        <v>3.4332942404437401</v>
      </c>
      <c r="I18" s="3">
        <v>4.3776011107264203</v>
      </c>
      <c r="J18" s="3" t="e">
        <v>#N/A</v>
      </c>
      <c r="K18" s="3">
        <v>1.84282994212871</v>
      </c>
      <c r="L18" s="3">
        <v>4.45796706573012</v>
      </c>
      <c r="M18" s="3">
        <v>3.43003126781446</v>
      </c>
      <c r="N18" s="3">
        <v>3.2465108361710602</v>
      </c>
      <c r="O18" s="3">
        <v>1.70098691089001</v>
      </c>
      <c r="P18" s="3">
        <v>3.4860235812453801</v>
      </c>
      <c r="Q18" s="3">
        <v>4.9325579756658202</v>
      </c>
      <c r="R18" s="3">
        <v>3.66861663600208</v>
      </c>
      <c r="S18" s="3">
        <v>3.4338776143048801</v>
      </c>
      <c r="T18" s="3">
        <v>4.0367094619107098</v>
      </c>
      <c r="U18" s="3">
        <v>3.3202110505445699</v>
      </c>
      <c r="V18" s="3" t="e">
        <v>#N/A</v>
      </c>
    </row>
    <row r="19" spans="1:22" x14ac:dyDescent="0.35">
      <c r="A19" s="2">
        <v>42300</v>
      </c>
      <c r="B19" s="3" t="e">
        <v>#N/A</v>
      </c>
      <c r="C19" s="3">
        <v>3.4529642459289702</v>
      </c>
      <c r="D19" s="3">
        <v>2.5006417749632499</v>
      </c>
      <c r="E19" s="3">
        <v>1.9464969934655501</v>
      </c>
      <c r="F19" s="3">
        <v>3.63268107847398</v>
      </c>
      <c r="G19" s="3">
        <v>2.5180009594728898</v>
      </c>
      <c r="H19" s="3">
        <v>3.2281190032814902</v>
      </c>
      <c r="I19" s="3">
        <v>4.0748284380444701</v>
      </c>
      <c r="J19" s="3" t="e">
        <v>#N/A</v>
      </c>
      <c r="K19" s="3">
        <v>1.7227388210444401</v>
      </c>
      <c r="L19" s="3">
        <v>4.0026862864455</v>
      </c>
      <c r="M19" s="3">
        <v>3.1848318988219599</v>
      </c>
      <c r="N19" s="3">
        <v>2.7434020355621498</v>
      </c>
      <c r="O19" s="3">
        <v>1.63714756442971</v>
      </c>
      <c r="P19" s="3">
        <v>3.1548211925965002</v>
      </c>
      <c r="Q19" s="3">
        <v>4.85031846800225</v>
      </c>
      <c r="R19" s="3">
        <v>3.5614267650490201</v>
      </c>
      <c r="S19" s="3">
        <v>3.1509627800742201</v>
      </c>
      <c r="T19" s="3">
        <v>3.9786323002036301</v>
      </c>
      <c r="U19" s="3">
        <v>3.16492505452476</v>
      </c>
      <c r="V19" s="3">
        <v>4.4830296175828703</v>
      </c>
    </row>
    <row r="20" spans="1:22" x14ac:dyDescent="0.35">
      <c r="A20" s="2">
        <v>42331</v>
      </c>
      <c r="B20" s="3" t="e">
        <v>#N/A</v>
      </c>
      <c r="C20" s="3">
        <v>3.5821349687763999</v>
      </c>
      <c r="D20" s="3">
        <v>2.54285667650336</v>
      </c>
      <c r="E20" s="3">
        <v>2.0128256763755599</v>
      </c>
      <c r="F20" s="3">
        <v>3.9194634384278202</v>
      </c>
      <c r="G20" s="3">
        <v>2.4266482202145299</v>
      </c>
      <c r="H20" s="3">
        <v>3.3048622715046299</v>
      </c>
      <c r="I20" s="3">
        <v>4.1242178798617504</v>
      </c>
      <c r="J20" s="3" t="e">
        <v>#N/A</v>
      </c>
      <c r="K20" s="3">
        <v>1.86303613922241</v>
      </c>
      <c r="L20" s="3">
        <v>3.9055087813484</v>
      </c>
      <c r="M20" s="3">
        <v>3.2934747599495302</v>
      </c>
      <c r="N20" s="3">
        <v>3.1928151223979202</v>
      </c>
      <c r="O20" s="3">
        <v>1.7380626239105701</v>
      </c>
      <c r="P20" s="3">
        <v>3.1909573354423002</v>
      </c>
      <c r="Q20" s="3">
        <v>5.3253615183902401</v>
      </c>
      <c r="R20" s="3">
        <v>3.6164537024919601</v>
      </c>
      <c r="S20" s="3">
        <v>3.2257072534906799</v>
      </c>
      <c r="T20" s="3">
        <v>4.2897355532672004</v>
      </c>
      <c r="U20" s="3">
        <v>2.9603809997111101</v>
      </c>
      <c r="V20" s="3">
        <v>4.6004170914138802</v>
      </c>
    </row>
    <row r="21" spans="1:22" x14ac:dyDescent="0.35">
      <c r="A21" s="2">
        <v>42361</v>
      </c>
      <c r="B21" s="3" t="e">
        <v>#N/A</v>
      </c>
      <c r="C21" s="3">
        <v>3.7810660714424</v>
      </c>
      <c r="D21" s="3">
        <v>2.5395304219855901</v>
      </c>
      <c r="E21" s="3">
        <v>1.9473805448070201</v>
      </c>
      <c r="F21" s="3">
        <v>4.0407594937832902</v>
      </c>
      <c r="G21" s="3">
        <v>2.4949113024113601</v>
      </c>
      <c r="H21" s="3">
        <v>3.2935943341852099</v>
      </c>
      <c r="I21" s="3">
        <v>4.21198550945401</v>
      </c>
      <c r="J21" s="3" t="e">
        <v>#N/A</v>
      </c>
      <c r="K21" s="3">
        <v>1.9120496067186801</v>
      </c>
      <c r="L21" s="3">
        <v>4.1009900959626</v>
      </c>
      <c r="M21" s="3">
        <v>3.4234731571506001</v>
      </c>
      <c r="N21" s="3">
        <v>2.9315205690168402</v>
      </c>
      <c r="O21" s="3">
        <v>1.7179878970973901</v>
      </c>
      <c r="P21" s="3">
        <v>3.23915600451984</v>
      </c>
      <c r="Q21" s="3">
        <v>5.5443285309156103</v>
      </c>
      <c r="R21" s="3">
        <v>3.8993683452479702</v>
      </c>
      <c r="S21" s="3">
        <v>3.5294113619412499</v>
      </c>
      <c r="T21" s="3">
        <v>4.1056586368475996</v>
      </c>
      <c r="U21" s="3">
        <v>2.6732600807782601</v>
      </c>
      <c r="V21" s="3">
        <v>4.7345300769598202</v>
      </c>
    </row>
    <row r="22" spans="1:22" x14ac:dyDescent="0.35">
      <c r="A22" s="2">
        <v>42391</v>
      </c>
      <c r="B22" s="3" t="e">
        <v>#N/A</v>
      </c>
      <c r="C22" s="3">
        <v>3.95331665448444</v>
      </c>
      <c r="D22" s="3">
        <v>2.56109581042426</v>
      </c>
      <c r="E22" s="3">
        <v>2.2008835502422701</v>
      </c>
      <c r="F22" s="3">
        <v>4.3307444803144701</v>
      </c>
      <c r="G22" s="3">
        <v>2.8805630999113498</v>
      </c>
      <c r="H22" s="3">
        <v>3.3781455313701101</v>
      </c>
      <c r="I22" s="3">
        <v>4.60846035853855</v>
      </c>
      <c r="J22" s="3">
        <v>2.1968351608889001</v>
      </c>
      <c r="K22" s="3">
        <v>2.0535092827554702</v>
      </c>
      <c r="L22" s="3">
        <v>4.9387147058590299</v>
      </c>
      <c r="M22" s="3">
        <v>3.7506265035529802</v>
      </c>
      <c r="N22" s="3">
        <v>2.7367077300037601</v>
      </c>
      <c r="O22" s="3">
        <v>1.8050325834761101</v>
      </c>
      <c r="P22" s="3">
        <v>3.28969094250149</v>
      </c>
      <c r="Q22" s="3">
        <v>6.3355340681380197</v>
      </c>
      <c r="R22" s="3">
        <v>3.7991978374831499</v>
      </c>
      <c r="S22" s="3">
        <v>3.72153681759651</v>
      </c>
      <c r="T22" s="3">
        <v>5.0289504594890699</v>
      </c>
      <c r="U22" s="3" t="e">
        <v>#N/A</v>
      </c>
      <c r="V22" s="3">
        <v>5.6340924772525502</v>
      </c>
    </row>
    <row r="23" spans="1:22" x14ac:dyDescent="0.35">
      <c r="A23" s="2">
        <v>42423</v>
      </c>
      <c r="B23" s="3" t="e">
        <v>#N/A</v>
      </c>
      <c r="C23" s="3">
        <v>3.6890982372252101</v>
      </c>
      <c r="D23" s="3">
        <v>2.4928372752759902</v>
      </c>
      <c r="E23" s="3">
        <v>1.9778511277045101</v>
      </c>
      <c r="F23" s="3">
        <v>4.0104079123215701</v>
      </c>
      <c r="G23" s="3">
        <v>2.4183015772040499</v>
      </c>
      <c r="H23" s="3">
        <v>3.1892415279030701</v>
      </c>
      <c r="I23" s="3">
        <v>4.3119590580537901</v>
      </c>
      <c r="J23" s="3">
        <v>2.14442714579849</v>
      </c>
      <c r="K23" s="3">
        <v>1.9544588828340701</v>
      </c>
      <c r="L23" s="3">
        <v>4.1730832109072598</v>
      </c>
      <c r="M23" s="3">
        <v>3.5600405282544698</v>
      </c>
      <c r="N23" s="3">
        <v>2.8058925130813099</v>
      </c>
      <c r="O23" s="3">
        <v>1.8442581396967099</v>
      </c>
      <c r="P23" s="3">
        <v>3.2322522212766098</v>
      </c>
      <c r="Q23" s="3">
        <v>5.0341719114762098</v>
      </c>
      <c r="R23" s="3">
        <v>3.5619450134980801</v>
      </c>
      <c r="S23" s="3">
        <v>3.43942939873526</v>
      </c>
      <c r="T23" s="3">
        <v>4.3754775569587503</v>
      </c>
      <c r="U23" s="3" t="e">
        <v>#N/A</v>
      </c>
      <c r="V23" s="3">
        <v>5.03554296960119</v>
      </c>
    </row>
    <row r="24" spans="1:22" x14ac:dyDescent="0.35">
      <c r="A24" s="2">
        <v>42452</v>
      </c>
      <c r="B24" s="3" t="e">
        <v>#N/A</v>
      </c>
      <c r="C24" s="3">
        <v>3.4057296880904699</v>
      </c>
      <c r="D24" s="3">
        <v>2.3456425499431499</v>
      </c>
      <c r="E24" s="3">
        <v>1.7760874577891099</v>
      </c>
      <c r="F24" s="3">
        <v>3.6924061917300302</v>
      </c>
      <c r="G24" s="3">
        <v>2.1115001109466802</v>
      </c>
      <c r="H24" s="3">
        <v>3.0433375293353002</v>
      </c>
      <c r="I24" s="3">
        <v>4.0895992091436897</v>
      </c>
      <c r="J24" s="3">
        <v>2.0749567580128598</v>
      </c>
      <c r="K24" s="3">
        <v>1.89523291487274</v>
      </c>
      <c r="L24" s="3">
        <v>3.29914353197664</v>
      </c>
      <c r="M24" s="3">
        <v>3.2943603850045799</v>
      </c>
      <c r="N24" s="3">
        <v>3.4329982373998398</v>
      </c>
      <c r="O24" s="3">
        <v>1.7304262099138099</v>
      </c>
      <c r="P24" s="3">
        <v>2.9579119731488999</v>
      </c>
      <c r="Q24" s="3">
        <v>4.1837222979627198</v>
      </c>
      <c r="R24" s="3">
        <v>3.3396378968969298</v>
      </c>
      <c r="S24" s="3">
        <v>3.2022446738516801</v>
      </c>
      <c r="T24" s="3">
        <v>3.9993757408537101</v>
      </c>
      <c r="U24" s="3">
        <v>2.8515474306723001</v>
      </c>
      <c r="V24" s="3">
        <v>4.5120220900922101</v>
      </c>
    </row>
    <row r="25" spans="1:22" x14ac:dyDescent="0.35">
      <c r="A25" s="2">
        <v>42482</v>
      </c>
      <c r="B25" s="3" t="e">
        <v>#N/A</v>
      </c>
      <c r="C25" s="3">
        <v>3.30856041949975</v>
      </c>
      <c r="D25" s="3">
        <v>2.3553925636777802</v>
      </c>
      <c r="E25" s="3">
        <v>1.8082721684049701</v>
      </c>
      <c r="F25" s="3">
        <v>3.6165759682922598</v>
      </c>
      <c r="G25" s="3">
        <v>1.93729472615966</v>
      </c>
      <c r="H25" s="3">
        <v>3.0607859404390401</v>
      </c>
      <c r="I25" s="3">
        <v>4.3219900234343598</v>
      </c>
      <c r="J25" s="3">
        <v>2.0469324893917902</v>
      </c>
      <c r="K25" s="3">
        <v>1.9136631908621999</v>
      </c>
      <c r="L25" s="3">
        <v>3.1326707881911</v>
      </c>
      <c r="M25" s="3">
        <v>3.2380895325094601</v>
      </c>
      <c r="N25" s="3">
        <v>2.8317430055665298</v>
      </c>
      <c r="O25" s="3">
        <v>1.69325148523192</v>
      </c>
      <c r="P25" s="3">
        <v>2.8461285262229299</v>
      </c>
      <c r="Q25" s="3">
        <v>4.2969527601934603</v>
      </c>
      <c r="R25" s="3">
        <v>3.3587576650330302</v>
      </c>
      <c r="S25" s="3">
        <v>3.16121406318265</v>
      </c>
      <c r="T25" s="3">
        <v>3.96563887343649</v>
      </c>
      <c r="U25" s="3">
        <v>3.0766415253945301</v>
      </c>
      <c r="V25" s="3">
        <v>4.2227827910116602</v>
      </c>
    </row>
    <row r="26" spans="1:22" x14ac:dyDescent="0.35">
      <c r="A26" s="2">
        <v>42513</v>
      </c>
      <c r="B26" s="3" t="e">
        <v>#N/A</v>
      </c>
      <c r="C26" s="3">
        <v>3.36994057891794</v>
      </c>
      <c r="D26" s="3">
        <v>2.4536821776745401</v>
      </c>
      <c r="E26" s="3">
        <v>1.7737186390045601</v>
      </c>
      <c r="F26" s="3">
        <v>3.88564329704711</v>
      </c>
      <c r="G26" s="3">
        <v>1.76293397150619</v>
      </c>
      <c r="H26" s="3">
        <v>3.20124215322853</v>
      </c>
      <c r="I26" s="3">
        <v>4.40570478011968</v>
      </c>
      <c r="J26" s="3">
        <v>2.0869644653840602</v>
      </c>
      <c r="K26" s="3">
        <v>2.0071313943347699</v>
      </c>
      <c r="L26" s="3">
        <v>3.4501938564922199</v>
      </c>
      <c r="M26" s="3">
        <v>3.3609675918317201</v>
      </c>
      <c r="N26" s="3">
        <v>2.2251916351528598</v>
      </c>
      <c r="O26" s="3">
        <v>1.7352211835311799</v>
      </c>
      <c r="P26" s="3">
        <v>3.0656312153044398</v>
      </c>
      <c r="Q26" s="3">
        <v>4.4027559371177603</v>
      </c>
      <c r="R26" s="3">
        <v>3.4474353581908801</v>
      </c>
      <c r="S26" s="3">
        <v>3.5283368605166001</v>
      </c>
      <c r="T26" s="3">
        <v>4.0980713348839597</v>
      </c>
      <c r="U26" s="3">
        <v>3.2400830222825401</v>
      </c>
      <c r="V26" s="3">
        <v>4.2164407955782899</v>
      </c>
    </row>
    <row r="27" spans="1:22" x14ac:dyDescent="0.35">
      <c r="A27" s="2">
        <v>42544</v>
      </c>
      <c r="B27" s="3" t="e">
        <v>#N/A</v>
      </c>
      <c r="C27" s="3">
        <v>3.18262543746201</v>
      </c>
      <c r="D27" s="3">
        <v>2.3460400498571099</v>
      </c>
      <c r="E27" s="3">
        <v>1.6636536501238599</v>
      </c>
      <c r="F27" s="3">
        <v>3.7470938191868002</v>
      </c>
      <c r="G27" s="3">
        <v>1.77458364943276</v>
      </c>
      <c r="H27" s="3">
        <v>3.0694400218683802</v>
      </c>
      <c r="I27" s="3">
        <v>4.1759372885731896</v>
      </c>
      <c r="J27" s="3">
        <v>2.1060658548009101</v>
      </c>
      <c r="K27" s="3">
        <v>1.9478019708368399</v>
      </c>
      <c r="L27" s="3">
        <v>3.3159010199855898</v>
      </c>
      <c r="M27" s="3">
        <v>3.05524961171507</v>
      </c>
      <c r="N27" s="3">
        <v>2.4986457433228302</v>
      </c>
      <c r="O27" s="3">
        <v>1.59522753586793</v>
      </c>
      <c r="P27" s="3">
        <v>2.6101275404655802</v>
      </c>
      <c r="Q27" s="3">
        <v>4.2024025941265597</v>
      </c>
      <c r="R27" s="3">
        <v>3.3071356057341199</v>
      </c>
      <c r="S27" s="3">
        <v>3.5313515193690201</v>
      </c>
      <c r="T27" s="3">
        <v>3.8558952601460801</v>
      </c>
      <c r="U27" s="3">
        <v>3.2761703975238499</v>
      </c>
      <c r="V27" s="3">
        <v>4.1327305969656498</v>
      </c>
    </row>
    <row r="28" spans="1:22" x14ac:dyDescent="0.35">
      <c r="A28" s="2">
        <v>42573</v>
      </c>
      <c r="B28" s="3">
        <v>2.2384687561663599</v>
      </c>
      <c r="C28" s="3">
        <v>2.8729878950696901</v>
      </c>
      <c r="D28" s="3">
        <v>2.1846352232908899</v>
      </c>
      <c r="E28" s="3">
        <v>1.6340974636432299</v>
      </c>
      <c r="F28" s="3">
        <v>3.6271651142909098</v>
      </c>
      <c r="G28" s="3">
        <v>1.7073137416767401</v>
      </c>
      <c r="H28" s="3">
        <v>3.0251938423418601</v>
      </c>
      <c r="I28" s="3">
        <v>4.0715555218053696</v>
      </c>
      <c r="J28" s="3">
        <v>2.03915218163755</v>
      </c>
      <c r="K28" s="3">
        <v>1.9448247286140199</v>
      </c>
      <c r="L28" s="3">
        <v>2.9416713265260301</v>
      </c>
      <c r="M28" s="3">
        <v>2.9633736832012501</v>
      </c>
      <c r="N28" s="3">
        <v>2.89075019694747</v>
      </c>
      <c r="O28" s="3">
        <v>1.5488460640409401</v>
      </c>
      <c r="P28" s="3">
        <v>2.4736702503071299</v>
      </c>
      <c r="Q28" s="3">
        <v>4.0686582288398503</v>
      </c>
      <c r="R28" s="3">
        <v>3.16078149970591</v>
      </c>
      <c r="S28" s="3">
        <v>3.8182803954134399</v>
      </c>
      <c r="T28" s="3">
        <v>3.7422791129311501</v>
      </c>
      <c r="U28" s="3">
        <v>3.2288997133693398</v>
      </c>
      <c r="V28" s="3">
        <v>4.2139707567753604</v>
      </c>
    </row>
    <row r="29" spans="1:22" x14ac:dyDescent="0.35">
      <c r="A29" s="2">
        <v>42605</v>
      </c>
      <c r="B29" s="3">
        <v>2.19923014036122</v>
      </c>
      <c r="C29" s="3">
        <v>2.8619458014374599</v>
      </c>
      <c r="D29" s="3">
        <v>2.1615201032372902</v>
      </c>
      <c r="E29" s="3">
        <v>1.6036600425016101</v>
      </c>
      <c r="F29" s="3">
        <v>3.5597500505087898</v>
      </c>
      <c r="G29" s="3">
        <v>1.4557496803349099</v>
      </c>
      <c r="H29" s="3">
        <v>2.9673862880627402</v>
      </c>
      <c r="I29" s="3">
        <v>4.0817044902821502</v>
      </c>
      <c r="J29" s="3">
        <v>2.0610918149302702</v>
      </c>
      <c r="K29" s="3">
        <v>1.8666867159556599</v>
      </c>
      <c r="L29" s="3">
        <v>3.1215900001477701</v>
      </c>
      <c r="M29" s="3">
        <v>2.9715216382365801</v>
      </c>
      <c r="N29" s="3">
        <v>2.97349499131969</v>
      </c>
      <c r="O29" s="3">
        <v>1.5492987646409899</v>
      </c>
      <c r="P29" s="3">
        <v>2.3382012241222601</v>
      </c>
      <c r="Q29" s="3">
        <v>3.6351880054451602</v>
      </c>
      <c r="R29" s="3">
        <v>3.1294677339506598</v>
      </c>
      <c r="S29" s="3">
        <v>3.5123078394725802</v>
      </c>
      <c r="T29" s="3">
        <v>3.7552809716260702</v>
      </c>
      <c r="U29" s="3">
        <v>3.0488917802756199</v>
      </c>
      <c r="V29" s="3">
        <v>4.6728476649866701</v>
      </c>
    </row>
    <row r="30" spans="1:22" x14ac:dyDescent="0.35">
      <c r="A30" s="2">
        <v>42636</v>
      </c>
      <c r="B30" s="3">
        <v>2.2575845019233598</v>
      </c>
      <c r="C30" s="3">
        <v>3.0208159487978601</v>
      </c>
      <c r="D30" s="3">
        <v>2.1837159401534798</v>
      </c>
      <c r="E30" s="3">
        <v>1.64005338598793</v>
      </c>
      <c r="F30" s="3">
        <v>3.5444540535984301</v>
      </c>
      <c r="G30" s="3">
        <v>1.52826060885298</v>
      </c>
      <c r="H30" s="3">
        <v>2.94656929548524</v>
      </c>
      <c r="I30" s="3">
        <v>3.9824575718879101</v>
      </c>
      <c r="J30" s="3">
        <v>2.0621640825095602</v>
      </c>
      <c r="K30" s="3">
        <v>1.8621590434697499</v>
      </c>
      <c r="L30" s="3">
        <v>3.1222039784480198</v>
      </c>
      <c r="M30" s="3">
        <v>3.1281562413070501</v>
      </c>
      <c r="N30" s="3">
        <v>3.1615499725758398</v>
      </c>
      <c r="O30" s="3">
        <v>1.5149820168499999</v>
      </c>
      <c r="P30" s="3">
        <v>2.2197113600157401</v>
      </c>
      <c r="Q30" s="3">
        <v>3.94447718189471</v>
      </c>
      <c r="R30" s="3">
        <v>3.2832987649507199</v>
      </c>
      <c r="S30" s="3">
        <v>3.4903703669801001</v>
      </c>
      <c r="T30" s="3">
        <v>3.64632688581331</v>
      </c>
      <c r="U30" s="3">
        <v>2.6905140805738501</v>
      </c>
      <c r="V30" s="3">
        <v>4.7777986664778496</v>
      </c>
    </row>
    <row r="31" spans="1:22" x14ac:dyDescent="0.35">
      <c r="A31" s="2">
        <v>42664</v>
      </c>
      <c r="B31" s="3">
        <v>2.26969493364237</v>
      </c>
      <c r="C31" s="3">
        <v>2.6703879324667401</v>
      </c>
      <c r="D31" s="3">
        <v>2.2430545484405302</v>
      </c>
      <c r="E31" s="3">
        <v>1.6312718824335499</v>
      </c>
      <c r="F31" s="3">
        <v>3.3895198270446598</v>
      </c>
      <c r="G31" s="3">
        <v>1.5038808254456999</v>
      </c>
      <c r="H31" s="3">
        <v>2.9447017293637101</v>
      </c>
      <c r="I31" s="3">
        <v>3.9866586144749201</v>
      </c>
      <c r="J31" s="3">
        <v>2.0630748940536798</v>
      </c>
      <c r="K31" s="3">
        <v>1.9324245550250501</v>
      </c>
      <c r="L31" s="3">
        <v>2.85653885684544</v>
      </c>
      <c r="M31" s="3">
        <v>3.2022763504184</v>
      </c>
      <c r="N31" s="3">
        <v>2.9593418443299102</v>
      </c>
      <c r="O31" s="3">
        <v>1.5456456762317701</v>
      </c>
      <c r="P31" s="3">
        <v>2.25453316170156</v>
      </c>
      <c r="Q31" s="3">
        <v>3.8976074832218601</v>
      </c>
      <c r="R31" s="3">
        <v>3.2820497087395299</v>
      </c>
      <c r="S31" s="3">
        <v>3.55983281701636</v>
      </c>
      <c r="T31" s="3">
        <v>3.7281459311896001</v>
      </c>
      <c r="U31" s="3">
        <v>2.5935455547326201</v>
      </c>
      <c r="V31" s="3">
        <v>4.9129978445069602</v>
      </c>
    </row>
    <row r="32" spans="1:22" x14ac:dyDescent="0.35">
      <c r="A32" s="2">
        <v>42697</v>
      </c>
      <c r="B32" s="3">
        <v>2.1947519148664201</v>
      </c>
      <c r="C32" s="3">
        <v>2.87254692501222</v>
      </c>
      <c r="D32" s="3">
        <v>2.4490042809158998</v>
      </c>
      <c r="E32" s="3">
        <v>1.7927117050619801</v>
      </c>
      <c r="F32" s="3">
        <v>3.2152429035540799</v>
      </c>
      <c r="G32" s="3">
        <v>1.93966861234496</v>
      </c>
      <c r="H32" s="3">
        <v>3.02892440260353</v>
      </c>
      <c r="I32" s="3">
        <v>4.1671064525357604</v>
      </c>
      <c r="J32" s="3">
        <v>2.2989437321389201</v>
      </c>
      <c r="K32" s="3">
        <v>1.97787214009323</v>
      </c>
      <c r="L32" s="3">
        <v>3.123895910346</v>
      </c>
      <c r="M32" s="3">
        <v>3.3286601206386002</v>
      </c>
      <c r="N32" s="3">
        <v>2.65684338712241</v>
      </c>
      <c r="O32" s="3">
        <v>1.7142201101380801</v>
      </c>
      <c r="P32" s="3">
        <v>2.3276070188373499</v>
      </c>
      <c r="Q32" s="3">
        <v>4.2113517887203598</v>
      </c>
      <c r="R32" s="3">
        <v>3.2847330350275001</v>
      </c>
      <c r="S32" s="3">
        <v>3.7920176417151001</v>
      </c>
      <c r="T32" s="3">
        <v>4.0466446444521997</v>
      </c>
      <c r="U32" s="3" t="e">
        <v>#N/A</v>
      </c>
      <c r="V32" s="3">
        <v>4.0340773327529096</v>
      </c>
    </row>
    <row r="33" spans="1:22" x14ac:dyDescent="0.35">
      <c r="A33" s="2">
        <v>42727</v>
      </c>
      <c r="B33" s="3">
        <v>2.32787349277474</v>
      </c>
      <c r="C33" s="3">
        <v>2.9690856018469098</v>
      </c>
      <c r="D33" s="3">
        <v>2.6084128182958302</v>
      </c>
      <c r="E33" s="3">
        <v>1.8360677154962599</v>
      </c>
      <c r="F33" s="3">
        <v>3.1028513978505399</v>
      </c>
      <c r="G33" s="3">
        <v>2.3125364523267899</v>
      </c>
      <c r="H33" s="3">
        <v>3.0632236809976199</v>
      </c>
      <c r="I33" s="3">
        <v>4.2895294460849698</v>
      </c>
      <c r="J33" s="3">
        <v>2.3973285578037302</v>
      </c>
      <c r="K33" s="3">
        <v>1.9501025796714699</v>
      </c>
      <c r="L33" s="3">
        <v>3.6465211832536202</v>
      </c>
      <c r="M33" s="3">
        <v>3.3356719202954102</v>
      </c>
      <c r="N33" s="3">
        <v>2.91423991387571</v>
      </c>
      <c r="O33" s="3">
        <v>1.73389399231897</v>
      </c>
      <c r="P33" s="3">
        <v>2.4622199826654598</v>
      </c>
      <c r="Q33" s="3">
        <v>3.8511033209344698</v>
      </c>
      <c r="R33" s="3">
        <v>3.2871355701948199</v>
      </c>
      <c r="S33" s="3">
        <v>3.8258647177994298</v>
      </c>
      <c r="T33" s="3">
        <v>4.1838257506758101</v>
      </c>
      <c r="U33" s="3">
        <v>2.8774359787789701</v>
      </c>
      <c r="V33" s="3">
        <v>3.8972296140179101</v>
      </c>
    </row>
    <row r="34" spans="1:22" x14ac:dyDescent="0.35">
      <c r="A34" s="2">
        <v>42758</v>
      </c>
      <c r="B34" s="3">
        <v>2.2887776503825701</v>
      </c>
      <c r="C34" s="3">
        <v>2.93717285828698</v>
      </c>
      <c r="D34" s="3">
        <v>2.46599414380962</v>
      </c>
      <c r="E34" s="3">
        <v>1.6148755171657201</v>
      </c>
      <c r="F34" s="3">
        <v>2.8611784638672</v>
      </c>
      <c r="G34" s="3">
        <v>2.15970863696778</v>
      </c>
      <c r="H34" s="3">
        <v>3.0081962860017701</v>
      </c>
      <c r="I34" s="3">
        <v>4.1726965956258102</v>
      </c>
      <c r="J34" s="3">
        <v>2.3301456856698501</v>
      </c>
      <c r="K34" s="3">
        <v>1.95741739687526</v>
      </c>
      <c r="L34" s="3">
        <v>3.3218951590450998</v>
      </c>
      <c r="M34" s="3">
        <v>3.1458739444659201</v>
      </c>
      <c r="N34" s="3">
        <v>2.9273559575475798</v>
      </c>
      <c r="O34" s="3">
        <v>1.6603799222517399</v>
      </c>
      <c r="P34" s="3">
        <v>2.3481725186156299</v>
      </c>
      <c r="Q34" s="3">
        <v>3.5212781818767702</v>
      </c>
      <c r="R34" s="3">
        <v>3.1586833378054902</v>
      </c>
      <c r="S34" s="3">
        <v>3.62606269731172</v>
      </c>
      <c r="T34" s="3">
        <v>4.0615875443561897</v>
      </c>
      <c r="U34" s="3">
        <v>2.8725469001858901</v>
      </c>
      <c r="V34" s="3">
        <v>3.81943308913187</v>
      </c>
    </row>
    <row r="35" spans="1:22" x14ac:dyDescent="0.35">
      <c r="A35" s="2">
        <v>42789</v>
      </c>
      <c r="B35" s="3">
        <v>2.28414869002895</v>
      </c>
      <c r="C35" s="3">
        <v>2.7552976207525899</v>
      </c>
      <c r="D35" s="3">
        <v>2.4248375917680902</v>
      </c>
      <c r="E35" s="3">
        <v>1.6206685930078399</v>
      </c>
      <c r="F35" s="3">
        <v>2.5366954261976402</v>
      </c>
      <c r="G35" s="3">
        <v>1.99200272960364</v>
      </c>
      <c r="H35" s="3">
        <v>2.9940336748985499</v>
      </c>
      <c r="I35" s="3">
        <v>4.0955592676118702</v>
      </c>
      <c r="J35" s="3">
        <v>2.3599555172762998</v>
      </c>
      <c r="K35" s="3">
        <v>1.9097430374815101</v>
      </c>
      <c r="L35" s="3">
        <v>3.3188241245343901</v>
      </c>
      <c r="M35" s="3">
        <v>3.14778992750119</v>
      </c>
      <c r="N35" s="3">
        <v>3.0122297507612199</v>
      </c>
      <c r="O35" s="3">
        <v>1.5785297616230201</v>
      </c>
      <c r="P35" s="3">
        <v>2.21944273355001</v>
      </c>
      <c r="Q35" s="3">
        <v>3.6675091777881499</v>
      </c>
      <c r="R35" s="3">
        <v>3.1379059711400399</v>
      </c>
      <c r="S35" s="3">
        <v>3.4470356224217</v>
      </c>
      <c r="T35" s="3">
        <v>4.0909227289587999</v>
      </c>
      <c r="U35" s="3">
        <v>3.1332444425300401</v>
      </c>
      <c r="V35" s="3">
        <v>3.8019618435640399</v>
      </c>
    </row>
    <row r="36" spans="1:22" x14ac:dyDescent="0.35">
      <c r="A36" s="2">
        <v>42817</v>
      </c>
      <c r="B36" s="3">
        <v>2.2967859507574699</v>
      </c>
      <c r="C36" s="3">
        <v>2.60625708790639</v>
      </c>
      <c r="D36" s="3">
        <v>2.4042889844211399</v>
      </c>
      <c r="E36" s="3">
        <v>1.65085707430915</v>
      </c>
      <c r="F36" s="3">
        <v>2.44045618640753</v>
      </c>
      <c r="G36" s="3">
        <v>2.1084370265950798</v>
      </c>
      <c r="H36" s="3">
        <v>2.9579299101924201</v>
      </c>
      <c r="I36" s="3">
        <v>4.0912473101448601</v>
      </c>
      <c r="J36" s="3">
        <v>2.3676907098837199</v>
      </c>
      <c r="K36" s="3">
        <v>1.8758122961655599</v>
      </c>
      <c r="L36" s="3">
        <v>3.6762211079190998</v>
      </c>
      <c r="M36" s="3">
        <v>3.14824791365068</v>
      </c>
      <c r="N36" s="3">
        <v>3.0451672845455202</v>
      </c>
      <c r="O36" s="3">
        <v>1.5636497342429101</v>
      </c>
      <c r="P36" s="3">
        <v>2.2207892077869</v>
      </c>
      <c r="Q36" s="3">
        <v>3.89731424272816</v>
      </c>
      <c r="R36" s="3">
        <v>3.14428302904268</v>
      </c>
      <c r="S36" s="3">
        <v>3.55878201795755</v>
      </c>
      <c r="T36" s="3">
        <v>4.1811790069147099</v>
      </c>
      <c r="U36" s="3">
        <v>2.6774924048421398</v>
      </c>
      <c r="V36" s="3">
        <v>4.0483998223680597</v>
      </c>
    </row>
    <row r="37" spans="1:22" x14ac:dyDescent="0.35">
      <c r="A37" s="2">
        <v>42846</v>
      </c>
      <c r="B37" s="3">
        <v>2.2731745851082001</v>
      </c>
      <c r="C37" s="3">
        <v>2.4893772460074701</v>
      </c>
      <c r="D37" s="3">
        <v>2.4364424155436799</v>
      </c>
      <c r="E37" s="3">
        <v>1.5966767247733999</v>
      </c>
      <c r="F37" s="3">
        <v>2.4427261485874201</v>
      </c>
      <c r="G37" s="3">
        <v>2.1228842886193302</v>
      </c>
      <c r="H37" s="3">
        <v>2.97002939331048</v>
      </c>
      <c r="I37" s="3">
        <v>4.1667212029562002</v>
      </c>
      <c r="J37" s="3">
        <v>2.3988416345442398</v>
      </c>
      <c r="K37" s="3">
        <v>1.9374394767205401</v>
      </c>
      <c r="L37" s="3">
        <v>3.6436113739971501</v>
      </c>
      <c r="M37" s="3">
        <v>3.1559343574497598</v>
      </c>
      <c r="N37" s="3">
        <v>2.6722019596795699</v>
      </c>
      <c r="O37" s="3">
        <v>1.58350495777856</v>
      </c>
      <c r="P37" s="3">
        <v>2.28944381778757</v>
      </c>
      <c r="Q37" s="3">
        <v>3.9291938213916802</v>
      </c>
      <c r="R37" s="3">
        <v>3.1492778738471499</v>
      </c>
      <c r="S37" s="3">
        <v>3.6290524201492498</v>
      </c>
      <c r="T37" s="3">
        <v>4.04635797807176</v>
      </c>
      <c r="U37" s="3">
        <v>2.6644751680540302</v>
      </c>
      <c r="V37" s="3">
        <v>4.0148913330117599</v>
      </c>
    </row>
    <row r="38" spans="1:22" x14ac:dyDescent="0.35">
      <c r="A38" s="2">
        <v>42878</v>
      </c>
      <c r="B38" s="3">
        <v>2.24668410787437</v>
      </c>
      <c r="C38" s="3">
        <v>2.4174229681824002</v>
      </c>
      <c r="D38" s="3">
        <v>2.4701010444032798</v>
      </c>
      <c r="E38" s="3">
        <v>1.5987192665869401</v>
      </c>
      <c r="F38" s="3">
        <v>2.4882886346234701</v>
      </c>
      <c r="G38" s="3">
        <v>2.24810257014158</v>
      </c>
      <c r="H38" s="3">
        <v>2.9702707598748299</v>
      </c>
      <c r="I38" s="3">
        <v>4.0857773535171704</v>
      </c>
      <c r="J38" s="3">
        <v>2.3991198533373299</v>
      </c>
      <c r="K38" s="3">
        <v>1.8089803483325</v>
      </c>
      <c r="L38" s="3">
        <v>3.7744304392602102</v>
      </c>
      <c r="M38" s="3">
        <v>2.9992753756019201</v>
      </c>
      <c r="N38" s="3">
        <v>2.5532939443028</v>
      </c>
      <c r="O38" s="3">
        <v>1.60949376347222</v>
      </c>
      <c r="P38" s="3">
        <v>2.1815563804428399</v>
      </c>
      <c r="Q38" s="3">
        <v>3.9073635548316599</v>
      </c>
      <c r="R38" s="3">
        <v>3.18096969735848</v>
      </c>
      <c r="S38" s="3">
        <v>3.61220634231291</v>
      </c>
      <c r="T38" s="3">
        <v>3.9915068857401299</v>
      </c>
      <c r="U38" s="3">
        <v>2.3920763260523499</v>
      </c>
      <c r="V38" s="3">
        <v>4.0695029701871102</v>
      </c>
    </row>
    <row r="39" spans="1:22" x14ac:dyDescent="0.35">
      <c r="A39" s="2">
        <v>42909</v>
      </c>
      <c r="B39" s="3">
        <v>2.1166258895968499</v>
      </c>
      <c r="C39" s="3">
        <v>2.6932869006304201</v>
      </c>
      <c r="D39" s="3">
        <v>2.5293594969781901</v>
      </c>
      <c r="E39" s="3">
        <v>1.5714872953252299</v>
      </c>
      <c r="F39" s="3">
        <v>2.5362794544317402</v>
      </c>
      <c r="G39" s="3">
        <v>2.2485304431692601</v>
      </c>
      <c r="H39" s="3">
        <v>3.0117628512878301</v>
      </c>
      <c r="I39" s="3">
        <v>3.9775075441458498</v>
      </c>
      <c r="J39" s="3">
        <v>2.4957940877578002</v>
      </c>
      <c r="K39" s="3">
        <v>1.76065664825631</v>
      </c>
      <c r="L39" s="3">
        <v>3.7339931456880202</v>
      </c>
      <c r="M39" s="3">
        <v>3.34965562229808</v>
      </c>
      <c r="N39" s="3">
        <v>2.5336630869256598</v>
      </c>
      <c r="O39" s="3">
        <v>1.63005184604772</v>
      </c>
      <c r="P39" s="3">
        <v>2.1527553071616801</v>
      </c>
      <c r="Q39" s="3">
        <v>4.4576986084951704</v>
      </c>
      <c r="R39" s="3">
        <v>3.18871074576656</v>
      </c>
      <c r="S39" s="3">
        <v>3.5772855029186701</v>
      </c>
      <c r="T39" s="3">
        <v>4.1569923128750501</v>
      </c>
      <c r="U39" s="3">
        <v>1.89867576368111</v>
      </c>
      <c r="V39" s="3">
        <v>3.64873965347536</v>
      </c>
    </row>
    <row r="40" spans="1:22" x14ac:dyDescent="0.35">
      <c r="A40" s="2">
        <v>42937</v>
      </c>
      <c r="B40" s="3">
        <v>2.1329393740784601</v>
      </c>
      <c r="C40" s="3">
        <v>2.5745186350432498</v>
      </c>
      <c r="D40" s="3">
        <v>2.5899615426303799</v>
      </c>
      <c r="E40" s="3">
        <v>1.5725533623464201</v>
      </c>
      <c r="F40" s="3">
        <v>2.2898290684881002</v>
      </c>
      <c r="G40" s="3">
        <v>2.28171289599248</v>
      </c>
      <c r="H40" s="3">
        <v>3.0503637206286198</v>
      </c>
      <c r="I40" s="3">
        <v>3.9862767939544499</v>
      </c>
      <c r="J40" s="3">
        <v>2.3495792844621799</v>
      </c>
      <c r="K40" s="3">
        <v>1.74033149120338</v>
      </c>
      <c r="L40" s="3">
        <v>3.52139961813136</v>
      </c>
      <c r="M40" s="3">
        <v>3.2020560584967601</v>
      </c>
      <c r="N40" s="3">
        <v>2.43888361670377</v>
      </c>
      <c r="O40" s="3">
        <v>1.54520560305677</v>
      </c>
      <c r="P40" s="3">
        <v>2.1053696216515401</v>
      </c>
      <c r="Q40" s="3">
        <v>4.1420433567840602</v>
      </c>
      <c r="R40" s="3">
        <v>3.2582282466116301</v>
      </c>
      <c r="S40" s="3">
        <v>3.4995750209304499</v>
      </c>
      <c r="T40" s="3">
        <v>3.91853389813325</v>
      </c>
      <c r="U40" s="3">
        <v>1.55463628285472</v>
      </c>
      <c r="V40" s="3">
        <v>3.7327680765965998</v>
      </c>
    </row>
    <row r="41" spans="1:22" x14ac:dyDescent="0.35">
      <c r="A41" s="2">
        <v>42970</v>
      </c>
      <c r="B41" s="3">
        <v>2.17904342802297</v>
      </c>
      <c r="C41" s="3">
        <v>2.5231335183402201</v>
      </c>
      <c r="D41" s="3">
        <v>2.5386573085296802</v>
      </c>
      <c r="E41" s="3">
        <v>1.5573973525723701</v>
      </c>
      <c r="F41" s="3">
        <v>2.4352184979787799</v>
      </c>
      <c r="G41" s="3">
        <v>2.0784533350810901</v>
      </c>
      <c r="H41" s="3">
        <v>3.0366105719064</v>
      </c>
      <c r="I41" s="3">
        <v>4.0646249317656702</v>
      </c>
      <c r="J41" s="3">
        <v>2.3617342095185498</v>
      </c>
      <c r="K41" s="3">
        <v>1.8305543114578899</v>
      </c>
      <c r="L41" s="3">
        <v>3.3046291517939999</v>
      </c>
      <c r="M41" s="3">
        <v>3.13100842417303</v>
      </c>
      <c r="N41" s="3">
        <v>2.5192453524154899</v>
      </c>
      <c r="O41" s="3">
        <v>1.5580399125495901</v>
      </c>
      <c r="P41" s="3">
        <v>2.10984075272173</v>
      </c>
      <c r="Q41" s="3">
        <v>4.3798150452371303</v>
      </c>
      <c r="R41" s="3">
        <v>3.2214250486110698</v>
      </c>
      <c r="S41" s="3">
        <v>3.7463379381590598</v>
      </c>
      <c r="T41" s="3">
        <v>4.0112665231367801</v>
      </c>
      <c r="U41" s="3">
        <v>1.7685300528812899</v>
      </c>
      <c r="V41" s="3">
        <v>4.0170747012040797</v>
      </c>
    </row>
    <row r="42" spans="1:22" x14ac:dyDescent="0.35">
      <c r="A42" s="2">
        <v>43000</v>
      </c>
      <c r="B42" s="3">
        <v>2.1496256930705999</v>
      </c>
      <c r="C42" s="3">
        <v>2.4371731750980201</v>
      </c>
      <c r="D42" s="3">
        <v>2.57148311653512</v>
      </c>
      <c r="E42" s="3">
        <v>1.4947673870893901</v>
      </c>
      <c r="F42" s="3">
        <v>2.5274292516263199</v>
      </c>
      <c r="G42" s="3">
        <v>2.26072235093614</v>
      </c>
      <c r="H42" s="3">
        <v>3.03507559376028</v>
      </c>
      <c r="I42" s="3">
        <v>4.1205243804533103</v>
      </c>
      <c r="J42" s="3">
        <v>2.44849376999252</v>
      </c>
      <c r="K42" s="3">
        <v>1.79720370053399</v>
      </c>
      <c r="L42" s="3">
        <v>3.1620461092408698</v>
      </c>
      <c r="M42" s="3">
        <v>3.3358240032927502</v>
      </c>
      <c r="N42" s="3">
        <v>2.7189714041944999</v>
      </c>
      <c r="O42" s="3">
        <v>1.5499448126466899</v>
      </c>
      <c r="P42" s="3">
        <v>2.09155402714824</v>
      </c>
      <c r="Q42" s="3">
        <v>4.6935300842172998</v>
      </c>
      <c r="R42" s="3">
        <v>3.033143319883</v>
      </c>
      <c r="S42" s="3">
        <v>3.9937564654992199</v>
      </c>
      <c r="T42" s="3">
        <v>4.1595968278547604</v>
      </c>
      <c r="U42" s="3">
        <v>1.72335697639089</v>
      </c>
      <c r="V42" s="3">
        <v>4.3050484613165496</v>
      </c>
    </row>
    <row r="43" spans="1:22" x14ac:dyDescent="0.35">
      <c r="A43" s="2">
        <v>43031</v>
      </c>
      <c r="B43" s="3">
        <v>2.1476221994951201</v>
      </c>
      <c r="C43" s="3">
        <v>2.7988596867789099</v>
      </c>
      <c r="D43" s="3">
        <v>2.55309625316149</v>
      </c>
      <c r="E43" s="3">
        <v>1.4510896382460501</v>
      </c>
      <c r="F43" s="3">
        <v>2.4396806689371999</v>
      </c>
      <c r="G43" s="3">
        <v>2.2991926822950801</v>
      </c>
      <c r="H43" s="3">
        <v>3.1174248281083599</v>
      </c>
      <c r="I43" s="3">
        <v>4.0280685841292501</v>
      </c>
      <c r="J43" s="3">
        <v>2.50262021998594</v>
      </c>
      <c r="K43" s="3">
        <v>1.71563247145609</v>
      </c>
      <c r="L43" s="3">
        <v>3.2128542357396399</v>
      </c>
      <c r="M43" s="3">
        <v>3.2525051052451501</v>
      </c>
      <c r="N43" s="3">
        <v>2.9096445325250699</v>
      </c>
      <c r="O43" s="3">
        <v>1.53316808889398</v>
      </c>
      <c r="P43" s="3">
        <v>2.0686933160042602</v>
      </c>
      <c r="Q43" s="3">
        <v>4.5013453374052004</v>
      </c>
      <c r="R43" s="3">
        <v>3.0300429159515798</v>
      </c>
      <c r="S43" s="3">
        <v>4.1396100270289002</v>
      </c>
      <c r="T43" s="3">
        <v>4.2135542126763701</v>
      </c>
      <c r="U43" s="3">
        <v>1.84449839082455</v>
      </c>
      <c r="V43" s="3">
        <v>4.4714609097792497</v>
      </c>
    </row>
    <row r="44" spans="1:22" x14ac:dyDescent="0.35">
      <c r="A44" s="2">
        <v>43061</v>
      </c>
      <c r="B44" s="3">
        <v>2.03850998062752</v>
      </c>
      <c r="C44" s="3">
        <v>3.1377088665499002</v>
      </c>
      <c r="D44" s="3">
        <v>2.5862128435749998</v>
      </c>
      <c r="E44" s="3">
        <v>1.5256747634264101</v>
      </c>
      <c r="F44" s="3">
        <v>2.4569577307970998</v>
      </c>
      <c r="G44" s="3">
        <v>2.65366097170324</v>
      </c>
      <c r="H44" s="3">
        <v>3.2716254464005399</v>
      </c>
      <c r="I44" s="3">
        <v>4.0240213284594502</v>
      </c>
      <c r="J44" s="3">
        <v>2.51099365242862</v>
      </c>
      <c r="K44" s="3">
        <v>1.9619706987838299</v>
      </c>
      <c r="L44" s="3">
        <v>3.40120351560694</v>
      </c>
      <c r="M44" s="3">
        <v>3.0921916637665201</v>
      </c>
      <c r="N44" s="3">
        <v>3.1725239662345599</v>
      </c>
      <c r="O44" s="3">
        <v>1.5223018273139799</v>
      </c>
      <c r="P44" s="3">
        <v>1.96698940248878</v>
      </c>
      <c r="Q44" s="3">
        <v>4.6423575706615496</v>
      </c>
      <c r="R44" s="3">
        <v>3.0297373518342798</v>
      </c>
      <c r="S44" s="3">
        <v>4.2994987580428301</v>
      </c>
      <c r="T44" s="3">
        <v>4.4828646734356399</v>
      </c>
      <c r="U44" s="3">
        <v>2.0415595858927</v>
      </c>
      <c r="V44" s="3">
        <v>4.4472940482566203</v>
      </c>
    </row>
    <row r="45" spans="1:22" x14ac:dyDescent="0.35">
      <c r="A45" s="2">
        <v>43091</v>
      </c>
      <c r="B45" s="3">
        <v>2.1976354170725698</v>
      </c>
      <c r="C45" s="3">
        <v>2.9849944139453601</v>
      </c>
      <c r="D45" s="3">
        <v>2.57528731149565</v>
      </c>
      <c r="E45" s="3">
        <v>1.5547949417198199</v>
      </c>
      <c r="F45" s="3">
        <v>2.8257740719642501</v>
      </c>
      <c r="G45" s="3">
        <v>2.7688975268415801</v>
      </c>
      <c r="H45" s="3">
        <v>3.2132263920198301</v>
      </c>
      <c r="I45" s="3">
        <v>4.1811861726372896</v>
      </c>
      <c r="J45" s="3">
        <v>2.5460975285368299</v>
      </c>
      <c r="K45" s="3">
        <v>2.08336975521431</v>
      </c>
      <c r="L45" s="3">
        <v>3.4713909003021399</v>
      </c>
      <c r="M45" s="3">
        <v>3.36468261017054</v>
      </c>
      <c r="N45" s="3">
        <v>2.5812527684667401</v>
      </c>
      <c r="O45" s="3">
        <v>1.51394026800362</v>
      </c>
      <c r="P45" s="3">
        <v>2.0705181362198699</v>
      </c>
      <c r="Q45" s="3">
        <v>4.2699543024402802</v>
      </c>
      <c r="R45" s="3">
        <v>3.0049253289127398</v>
      </c>
      <c r="S45" s="3">
        <v>4.2097700209165696</v>
      </c>
      <c r="T45" s="3">
        <v>4.5052451755792404</v>
      </c>
      <c r="U45" s="3">
        <v>1.6315249389553199</v>
      </c>
      <c r="V45" s="3">
        <v>4.2983037568771296</v>
      </c>
    </row>
    <row r="46" spans="1:22" x14ac:dyDescent="0.35">
      <c r="A46" s="2">
        <v>43123</v>
      </c>
      <c r="B46" s="3">
        <v>2.0606891771888498</v>
      </c>
      <c r="C46" s="3">
        <v>2.78940300215111</v>
      </c>
      <c r="D46" s="3">
        <v>2.4149670278250901</v>
      </c>
      <c r="E46" s="3">
        <v>1.49382473266027</v>
      </c>
      <c r="F46" s="3">
        <v>2.7324314288675899</v>
      </c>
      <c r="G46" s="3">
        <v>2.5545731028827299</v>
      </c>
      <c r="H46" s="3">
        <v>3.1000864534227701</v>
      </c>
      <c r="I46" s="3">
        <v>4.0004818162228704</v>
      </c>
      <c r="J46" s="3">
        <v>2.4717194679414698</v>
      </c>
      <c r="K46" s="3">
        <v>2.0034508485170299</v>
      </c>
      <c r="L46" s="3">
        <v>3.3106555619962501</v>
      </c>
      <c r="M46" s="3">
        <v>3.2420083155078898</v>
      </c>
      <c r="N46" s="3">
        <v>2.4917246338928298</v>
      </c>
      <c r="O46" s="3">
        <v>1.43823402862822</v>
      </c>
      <c r="P46" s="3">
        <v>1.9089785704383899</v>
      </c>
      <c r="Q46" s="3">
        <v>4.0599254758099903</v>
      </c>
      <c r="R46" s="3">
        <v>2.8635375193161599</v>
      </c>
      <c r="S46" s="3">
        <v>3.9710844956307199</v>
      </c>
      <c r="T46" s="3">
        <v>4.2174191335140501</v>
      </c>
      <c r="U46" s="3">
        <v>1.4938003950237899</v>
      </c>
      <c r="V46" s="3">
        <v>4.1865520619801</v>
      </c>
    </row>
    <row r="47" spans="1:22" x14ac:dyDescent="0.35">
      <c r="A47" s="2">
        <v>43154</v>
      </c>
      <c r="B47" s="3">
        <v>2.2627157679303802</v>
      </c>
      <c r="C47" s="3">
        <v>2.9595607510830302</v>
      </c>
      <c r="D47" s="3">
        <v>2.4682132017326599</v>
      </c>
      <c r="E47" s="3">
        <v>1.56999752168493</v>
      </c>
      <c r="F47" s="3">
        <v>3.0112803652845699</v>
      </c>
      <c r="G47" s="3">
        <v>2.3555765161346298</v>
      </c>
      <c r="H47" s="3">
        <v>3.0982664706821299</v>
      </c>
      <c r="I47" s="3">
        <v>4.1858795343291497</v>
      </c>
      <c r="J47" s="3">
        <v>2.59283500202777</v>
      </c>
      <c r="K47" s="3">
        <v>2.1468044127282502</v>
      </c>
      <c r="L47" s="3">
        <v>3.27659955191583</v>
      </c>
      <c r="M47" s="3">
        <v>3.3083850613271202</v>
      </c>
      <c r="N47" s="3">
        <v>2.8699701223426</v>
      </c>
      <c r="O47" s="3">
        <v>1.5720570129078399</v>
      </c>
      <c r="P47" s="3">
        <v>2.0445313043990399</v>
      </c>
      <c r="Q47" s="3">
        <v>4.6016519330514898</v>
      </c>
      <c r="R47" s="3">
        <v>2.9772695560233502</v>
      </c>
      <c r="S47" s="3">
        <v>4.1667240847959004</v>
      </c>
      <c r="T47" s="3">
        <v>4.4698191181217402</v>
      </c>
      <c r="U47" s="3">
        <v>1.7178483993863201</v>
      </c>
      <c r="V47" s="3">
        <v>4.2990663089982402</v>
      </c>
    </row>
    <row r="48" spans="1:22" x14ac:dyDescent="0.35">
      <c r="A48" s="2">
        <v>43182</v>
      </c>
      <c r="B48" s="3">
        <v>2.42983457804494</v>
      </c>
      <c r="C48" s="3">
        <v>3.1429374529591598</v>
      </c>
      <c r="D48" s="3">
        <v>2.6829249307606799</v>
      </c>
      <c r="E48" s="3">
        <v>1.66241734549603</v>
      </c>
      <c r="F48" s="3">
        <v>3.1375766912550902</v>
      </c>
      <c r="G48" s="3">
        <v>2.2383298431625298</v>
      </c>
      <c r="H48" s="3">
        <v>3.17735026779259</v>
      </c>
      <c r="I48" s="3">
        <v>4.2024719790932998</v>
      </c>
      <c r="J48" s="3">
        <v>2.6763649501906599</v>
      </c>
      <c r="K48" s="3">
        <v>2.2144370930192099</v>
      </c>
      <c r="L48" s="3">
        <v>3.5175320952838001</v>
      </c>
      <c r="M48" s="3">
        <v>3.2227994351763498</v>
      </c>
      <c r="N48" s="3">
        <v>3.2418911784818398</v>
      </c>
      <c r="O48" s="3">
        <v>1.6327930108025599</v>
      </c>
      <c r="P48" s="3">
        <v>2.2348004620221702</v>
      </c>
      <c r="Q48" s="3">
        <v>4.8402107224728903</v>
      </c>
      <c r="R48" s="3">
        <v>3.0149075802318199</v>
      </c>
      <c r="S48" s="3">
        <v>4.4088310973227101</v>
      </c>
      <c r="T48" s="3">
        <v>4.5654603293282197</v>
      </c>
      <c r="U48" s="3">
        <v>1.7519338348159901</v>
      </c>
      <c r="V48" s="3">
        <v>3.91879321442249</v>
      </c>
    </row>
    <row r="49" spans="1:22" x14ac:dyDescent="0.35">
      <c r="A49" s="2">
        <v>43213</v>
      </c>
      <c r="B49" s="3">
        <v>2.5493316253231302</v>
      </c>
      <c r="C49" s="3">
        <v>3.0703228474925601</v>
      </c>
      <c r="D49" s="3">
        <v>2.7011140111897101</v>
      </c>
      <c r="E49" s="3">
        <v>1.7430390294254201</v>
      </c>
      <c r="F49" s="3">
        <v>3.04731509465985</v>
      </c>
      <c r="G49" s="3">
        <v>2.1118691599100501</v>
      </c>
      <c r="H49" s="3">
        <v>3.1696503215918201</v>
      </c>
      <c r="I49" s="3">
        <v>4.3156974693159498</v>
      </c>
      <c r="J49" s="3">
        <v>2.62571838882943</v>
      </c>
      <c r="K49" s="3">
        <v>2.2009512469730601</v>
      </c>
      <c r="L49" s="3">
        <v>3.6428977297241301</v>
      </c>
      <c r="M49" s="3">
        <v>3.27556429162225</v>
      </c>
      <c r="N49" s="3">
        <v>2.98494190204124</v>
      </c>
      <c r="O49" s="3">
        <v>1.6038288091364401</v>
      </c>
      <c r="P49" s="3">
        <v>2.3410721391801701</v>
      </c>
      <c r="Q49" s="3">
        <v>4.6492132662637999</v>
      </c>
      <c r="R49" s="3">
        <v>3.0351197373605801</v>
      </c>
      <c r="S49" s="3">
        <v>4.7597610348367398</v>
      </c>
      <c r="T49" s="3">
        <v>4.8163207217636304</v>
      </c>
      <c r="U49" s="3">
        <v>1.9563165679882699</v>
      </c>
      <c r="V49" s="3">
        <v>3.7041251362353398</v>
      </c>
    </row>
    <row r="50" spans="1:22" x14ac:dyDescent="0.35">
      <c r="A50" s="2">
        <v>43243</v>
      </c>
      <c r="B50" s="3">
        <v>2.69852866546336</v>
      </c>
      <c r="C50" s="3">
        <v>3.19419525218566</v>
      </c>
      <c r="D50" s="3">
        <v>3.1315271986567099</v>
      </c>
      <c r="E50" s="3">
        <v>1.77997567676371</v>
      </c>
      <c r="F50" s="3">
        <v>3.12692175094897</v>
      </c>
      <c r="G50" s="3">
        <v>4.6379946154509204</v>
      </c>
      <c r="H50" s="3">
        <v>3.2799762651189699</v>
      </c>
      <c r="I50" s="3">
        <v>4.3404681307644699</v>
      </c>
      <c r="J50" s="3">
        <v>2.90307993507838</v>
      </c>
      <c r="K50" s="3">
        <v>2.21720366414044</v>
      </c>
      <c r="L50" s="3">
        <v>3.95187773638099</v>
      </c>
      <c r="M50" s="3">
        <v>3.43994603711604</v>
      </c>
      <c r="N50" s="3">
        <v>3.2966290328589598</v>
      </c>
      <c r="O50" s="3">
        <v>1.66084061433312</v>
      </c>
      <c r="P50" s="3">
        <v>2.2668263849554098</v>
      </c>
      <c r="Q50" s="3">
        <v>4.7934511542031499</v>
      </c>
      <c r="R50" s="3">
        <v>3.12931397918363</v>
      </c>
      <c r="S50" s="3">
        <v>5.2777453878521898</v>
      </c>
      <c r="T50" s="3">
        <v>4.86775238650627</v>
      </c>
      <c r="U50" s="3">
        <v>1.79535593167479</v>
      </c>
      <c r="V50" s="3">
        <v>3.8328529169727701</v>
      </c>
    </row>
    <row r="51" spans="1:22" x14ac:dyDescent="0.35">
      <c r="A51" s="2">
        <v>43273</v>
      </c>
      <c r="B51" s="3">
        <v>2.8511973289519998</v>
      </c>
      <c r="C51" s="3">
        <v>3.3693247381713398</v>
      </c>
      <c r="D51" s="3">
        <v>3.1263814251748001</v>
      </c>
      <c r="E51" s="3">
        <v>1.8864767760224701</v>
      </c>
      <c r="F51" s="3">
        <v>3.13817259447092</v>
      </c>
      <c r="G51" s="3">
        <v>2.0096027652412398</v>
      </c>
      <c r="H51" s="3">
        <v>3.3622404148288001</v>
      </c>
      <c r="I51" s="3">
        <v>4.3863905750459304</v>
      </c>
      <c r="J51" s="3">
        <v>2.83711152102051</v>
      </c>
      <c r="K51" s="3">
        <v>2.30236853544621</v>
      </c>
      <c r="L51" s="3">
        <v>4.57961030849654</v>
      </c>
      <c r="M51" s="3">
        <v>3.53384919951292</v>
      </c>
      <c r="N51" s="3">
        <v>3.3365900074931498</v>
      </c>
      <c r="O51" s="3">
        <v>1.5975213487668201</v>
      </c>
      <c r="P51" s="3">
        <v>2.3405353095536001</v>
      </c>
      <c r="Q51" s="3">
        <v>4.9511819303108702</v>
      </c>
      <c r="R51" s="3">
        <v>3.3734796872711299</v>
      </c>
      <c r="S51" s="3">
        <v>5.4788925487405997</v>
      </c>
      <c r="T51" s="3">
        <v>4.9028202055046499</v>
      </c>
      <c r="U51" s="3">
        <v>1.6150608205410899</v>
      </c>
      <c r="V51" s="3">
        <v>3.82050959584295</v>
      </c>
    </row>
    <row r="52" spans="1:22" x14ac:dyDescent="0.35">
      <c r="A52" s="2">
        <v>43304</v>
      </c>
      <c r="B52" s="3">
        <v>2.9915827270405</v>
      </c>
      <c r="C52" s="3">
        <v>3.29461465231878</v>
      </c>
      <c r="D52" s="3">
        <v>3.0838002924299599</v>
      </c>
      <c r="E52" s="3">
        <v>1.8017626919936101</v>
      </c>
      <c r="F52" s="3">
        <v>2.9316508490061</v>
      </c>
      <c r="G52" s="3">
        <v>2.1054153210556699</v>
      </c>
      <c r="H52" s="3">
        <v>3.2369378535863098</v>
      </c>
      <c r="I52" s="3">
        <v>4.3574854890880701</v>
      </c>
      <c r="J52" s="3">
        <v>2.72081947989779</v>
      </c>
      <c r="K52" s="3">
        <v>2.3822751582037101</v>
      </c>
      <c r="L52" s="3">
        <v>4.2098581358593403</v>
      </c>
      <c r="M52" s="3">
        <v>3.6156951606148202</v>
      </c>
      <c r="N52" s="3">
        <v>3.4815783292453699</v>
      </c>
      <c r="O52" s="3">
        <v>1.5708768510376101</v>
      </c>
      <c r="P52" s="3">
        <v>2.4133801909307802</v>
      </c>
      <c r="Q52" s="3">
        <v>4.63493730587893</v>
      </c>
      <c r="R52" s="3">
        <v>3.3043809125434098</v>
      </c>
      <c r="S52" s="3">
        <v>5.4291721075678696</v>
      </c>
      <c r="T52" s="3">
        <v>4.7670278138183599</v>
      </c>
      <c r="U52" s="3">
        <v>1.6621852804683299</v>
      </c>
      <c r="V52" s="3">
        <v>3.77482877627651</v>
      </c>
    </row>
    <row r="53" spans="1:22" x14ac:dyDescent="0.35">
      <c r="A53" s="2">
        <v>43335</v>
      </c>
      <c r="B53" s="3">
        <v>3.2346521871092602</v>
      </c>
      <c r="C53" s="3">
        <v>3.4809897498966298</v>
      </c>
      <c r="D53" s="3">
        <v>2.9775691442151602</v>
      </c>
      <c r="E53" s="3">
        <v>1.72320853289142</v>
      </c>
      <c r="F53" s="3">
        <v>2.8113885441897</v>
      </c>
      <c r="G53" s="3">
        <v>2.4611921242262098</v>
      </c>
      <c r="H53" s="3">
        <v>3.1528756956084099</v>
      </c>
      <c r="I53" s="3">
        <v>4.3728848747588698</v>
      </c>
      <c r="J53" s="3">
        <v>2.7462122747474602</v>
      </c>
      <c r="K53" s="3">
        <v>2.4030576639496699</v>
      </c>
      <c r="L53" s="3">
        <v>4.39619174887582</v>
      </c>
      <c r="M53" s="3">
        <v>3.55410410031386</v>
      </c>
      <c r="N53" s="3">
        <v>3.60504637788652</v>
      </c>
      <c r="O53" s="3">
        <v>1.4860469321002501</v>
      </c>
      <c r="P53" s="3">
        <v>2.52601510927839</v>
      </c>
      <c r="Q53" s="3">
        <v>4.5783503184020304</v>
      </c>
      <c r="R53" s="3">
        <v>3.25135044160367</v>
      </c>
      <c r="S53" s="3">
        <v>5.7187897841218396</v>
      </c>
      <c r="T53" s="3">
        <v>4.7578010662609902</v>
      </c>
      <c r="U53" s="3">
        <v>1.6495274284400201</v>
      </c>
      <c r="V53" s="3">
        <v>4.13739927730545</v>
      </c>
    </row>
    <row r="54" spans="1:22" x14ac:dyDescent="0.35">
      <c r="A54" s="2">
        <v>43364</v>
      </c>
      <c r="B54" s="3">
        <v>3.0852583863704099</v>
      </c>
      <c r="C54" s="3">
        <v>3.24168074001587</v>
      </c>
      <c r="D54" s="3">
        <v>2.99593090569953</v>
      </c>
      <c r="E54" s="3">
        <v>1.81367439695864</v>
      </c>
      <c r="F54" s="3">
        <v>2.9713156443331501</v>
      </c>
      <c r="G54" s="3">
        <v>2.2939148809027001</v>
      </c>
      <c r="H54" s="3">
        <v>3.1881890794223802</v>
      </c>
      <c r="I54" s="3">
        <v>4.4074640710852604</v>
      </c>
      <c r="J54" s="3">
        <v>2.7756681353668</v>
      </c>
      <c r="K54" s="3">
        <v>2.3744458625023199</v>
      </c>
      <c r="L54" s="3">
        <v>4.2667377879793502</v>
      </c>
      <c r="M54" s="3">
        <v>3.7136316824896101</v>
      </c>
      <c r="N54" s="3">
        <v>3.73607128298644</v>
      </c>
      <c r="O54" s="3">
        <v>1.55241834954122</v>
      </c>
      <c r="P54" s="3">
        <v>2.56463664674548</v>
      </c>
      <c r="Q54" s="3">
        <v>4.4257430436988203</v>
      </c>
      <c r="R54" s="3">
        <v>3.18440195752139</v>
      </c>
      <c r="S54" s="3">
        <v>5.49277177722219</v>
      </c>
      <c r="T54" s="3">
        <v>4.8404985249645396</v>
      </c>
      <c r="U54" s="3">
        <v>1.7484781280545301</v>
      </c>
      <c r="V54" s="3">
        <v>4.2934118662554299</v>
      </c>
    </row>
    <row r="55" spans="1:22" x14ac:dyDescent="0.35">
      <c r="A55" s="2">
        <v>43396</v>
      </c>
      <c r="B55" s="3">
        <v>3.3515665051769701</v>
      </c>
      <c r="C55" s="3">
        <v>3.0392444614171601</v>
      </c>
      <c r="D55" s="3">
        <v>3.11536432599901</v>
      </c>
      <c r="E55" s="3">
        <v>1.8838971970209899</v>
      </c>
      <c r="F55" s="3">
        <v>3.2163428203525299</v>
      </c>
      <c r="G55" s="3">
        <v>2.5459095175180102</v>
      </c>
      <c r="H55" s="3">
        <v>3.41989669456775</v>
      </c>
      <c r="I55" s="3">
        <v>5.0086167520088898</v>
      </c>
      <c r="J55" s="3">
        <v>3.0206444385892999</v>
      </c>
      <c r="K55" s="3">
        <v>2.6098401351159999</v>
      </c>
      <c r="L55" s="3">
        <v>4.0265062473767301</v>
      </c>
      <c r="M55" s="3">
        <v>4.2166976478909097</v>
      </c>
      <c r="N55" s="3">
        <v>4.2512705270101803</v>
      </c>
      <c r="O55" s="3">
        <v>1.7392815951851599</v>
      </c>
      <c r="P55" s="3">
        <v>2.8921534120419099</v>
      </c>
      <c r="Q55" s="3">
        <v>4.2491413467631798</v>
      </c>
      <c r="R55" s="3">
        <v>3.3800993329509699</v>
      </c>
      <c r="S55" s="3">
        <v>5.53765232944997</v>
      </c>
      <c r="T55" s="3">
        <v>4.9223241277831997</v>
      </c>
      <c r="U55" s="3">
        <v>1.74737633722024</v>
      </c>
      <c r="V55" s="3">
        <v>4.4018529013102201</v>
      </c>
    </row>
    <row r="56" spans="1:22" x14ac:dyDescent="0.35">
      <c r="A56" s="2">
        <v>43427</v>
      </c>
      <c r="B56" s="3">
        <v>3.3221567596328101</v>
      </c>
      <c r="C56" s="3">
        <v>3.0682571864845798</v>
      </c>
      <c r="D56" s="3">
        <v>2.9196430034173901</v>
      </c>
      <c r="E56" s="3">
        <v>1.83998086914745</v>
      </c>
      <c r="F56" s="3">
        <v>3.1150183675564098</v>
      </c>
      <c r="G56" s="3">
        <v>2.3313499566147899</v>
      </c>
      <c r="H56" s="3">
        <v>3.38527734375287</v>
      </c>
      <c r="I56" s="3">
        <v>4.9636523418294702</v>
      </c>
      <c r="J56" s="3">
        <v>3.5154860892734501</v>
      </c>
      <c r="K56" s="3">
        <v>2.66578037638704</v>
      </c>
      <c r="L56" s="3">
        <v>4.03186880563167</v>
      </c>
      <c r="M56" s="3">
        <v>4.0895267742394603</v>
      </c>
      <c r="N56" s="3">
        <v>4.4441849227292396</v>
      </c>
      <c r="O56" s="3">
        <v>1.67649331519795</v>
      </c>
      <c r="P56" s="3">
        <v>2.8197703008395898</v>
      </c>
      <c r="Q56" s="3">
        <v>4.3210777531692699</v>
      </c>
      <c r="R56" s="3">
        <v>3.4856504139504598</v>
      </c>
      <c r="S56" s="3">
        <v>5.3403350199559698</v>
      </c>
      <c r="T56" s="3">
        <v>4.8708545564649297</v>
      </c>
      <c r="U56" s="3">
        <v>1.79629018343445</v>
      </c>
      <c r="V56" s="3">
        <v>4.4408119062220104</v>
      </c>
    </row>
    <row r="57" spans="1:22" x14ac:dyDescent="0.35">
      <c r="A57" s="2">
        <v>43455</v>
      </c>
      <c r="B57" s="3">
        <v>3.3716268171800201</v>
      </c>
      <c r="C57" s="3">
        <v>3.2026136013158899</v>
      </c>
      <c r="D57" s="3">
        <v>2.8652161707500898</v>
      </c>
      <c r="E57" s="3">
        <v>1.77977679441336</v>
      </c>
      <c r="F57" s="3">
        <v>3.1698210202036501</v>
      </c>
      <c r="G57" s="3">
        <v>2.4020507530222002</v>
      </c>
      <c r="H57" s="3">
        <v>3.3335459076095102</v>
      </c>
      <c r="I57" s="3">
        <v>4.96039550146729</v>
      </c>
      <c r="J57" s="3">
        <v>3.4523302239166398</v>
      </c>
      <c r="K57" s="3">
        <v>2.6225469755813098</v>
      </c>
      <c r="L57" s="3">
        <v>4.0912464969689202</v>
      </c>
      <c r="M57" s="3">
        <v>3.97164425333066</v>
      </c>
      <c r="N57" s="3">
        <v>4.52734861411927</v>
      </c>
      <c r="O57" s="3">
        <v>1.65561396580306</v>
      </c>
      <c r="P57" s="3">
        <v>2.8639036136054599</v>
      </c>
      <c r="Q57" s="3">
        <v>4.5323552908022702</v>
      </c>
      <c r="R57" s="3">
        <v>3.5229294888089502</v>
      </c>
      <c r="S57" s="3">
        <v>5.2967903096180802</v>
      </c>
      <c r="T57" s="3">
        <v>5.1881505117671001</v>
      </c>
      <c r="U57" s="3">
        <v>1.60750070723921</v>
      </c>
      <c r="V57" s="3">
        <v>4.2862547666344097</v>
      </c>
    </row>
    <row r="58" spans="1:22" x14ac:dyDescent="0.35">
      <c r="A58" s="2">
        <v>43488</v>
      </c>
      <c r="B58" s="3">
        <v>3.2428981595343802</v>
      </c>
      <c r="C58" s="3">
        <v>2.9719730008544798</v>
      </c>
      <c r="D58" s="3">
        <v>2.7631538559139601</v>
      </c>
      <c r="E58" s="3">
        <v>1.6727442898408</v>
      </c>
      <c r="F58" s="3">
        <v>2.96687841562572</v>
      </c>
      <c r="G58" s="3">
        <v>2.3791335299870102</v>
      </c>
      <c r="H58" s="3">
        <v>3.26807938216341</v>
      </c>
      <c r="I58" s="3">
        <v>4.7169585528991398</v>
      </c>
      <c r="J58" s="3">
        <v>3.3011687756466199</v>
      </c>
      <c r="K58" s="3">
        <v>2.55303224417688</v>
      </c>
      <c r="L58" s="3">
        <v>3.6894558576663101</v>
      </c>
      <c r="M58" s="3">
        <v>3.7188373849739298</v>
      </c>
      <c r="N58" s="3">
        <v>4.3385733636489601</v>
      </c>
      <c r="O58" s="3">
        <v>1.6596329139055299</v>
      </c>
      <c r="P58" s="3">
        <v>2.6831900055419302</v>
      </c>
      <c r="Q58" s="3">
        <v>4.40414063931083</v>
      </c>
      <c r="R58" s="3">
        <v>3.4060644994421101</v>
      </c>
      <c r="S58" s="3">
        <v>4.5326191459739702</v>
      </c>
      <c r="T58" s="3">
        <v>5.2101876404450103</v>
      </c>
      <c r="U58" s="3">
        <v>1.8075202151393399</v>
      </c>
      <c r="V58" s="3">
        <v>3.94916632055787</v>
      </c>
    </row>
    <row r="59" spans="1:22" x14ac:dyDescent="0.35">
      <c r="A59" s="2">
        <v>43518</v>
      </c>
      <c r="B59" s="3">
        <v>2.9325028373956998</v>
      </c>
      <c r="C59" s="3">
        <v>2.9112416141334201</v>
      </c>
      <c r="D59" s="3">
        <v>2.8387493121212901</v>
      </c>
      <c r="E59" s="3">
        <v>1.6864821548559199</v>
      </c>
      <c r="F59" s="3">
        <v>3.0169192313856001</v>
      </c>
      <c r="G59" s="3">
        <v>2.1606402598265002</v>
      </c>
      <c r="H59" s="3">
        <v>3.2224901717250898</v>
      </c>
      <c r="I59" s="3">
        <v>4.4629949382119296</v>
      </c>
      <c r="J59" s="3">
        <v>3.2998023182384899</v>
      </c>
      <c r="K59" s="3">
        <v>2.4387595920418601</v>
      </c>
      <c r="L59" s="3">
        <v>3.4541601502107202</v>
      </c>
      <c r="M59" s="3">
        <v>3.7694785848198702</v>
      </c>
      <c r="N59" s="3">
        <v>4.0205034783398101</v>
      </c>
      <c r="O59" s="3">
        <v>1.65625118932476</v>
      </c>
      <c r="P59" s="3">
        <v>2.5020992521747099</v>
      </c>
      <c r="Q59" s="3">
        <v>4.6051274529761601</v>
      </c>
      <c r="R59" s="3">
        <v>3.2432778251875898</v>
      </c>
      <c r="S59" s="3">
        <v>4.7701623719753403</v>
      </c>
      <c r="T59" s="3">
        <v>5.1098963280746901</v>
      </c>
      <c r="U59" s="3">
        <v>1.5370298532956299</v>
      </c>
      <c r="V59" s="3">
        <v>3.9152967350883401</v>
      </c>
    </row>
    <row r="60" spans="1:22" x14ac:dyDescent="0.35">
      <c r="A60" s="2">
        <v>43546</v>
      </c>
      <c r="B60" s="3">
        <v>2.7505932080326101</v>
      </c>
      <c r="C60" s="3">
        <v>3.0976138796537298</v>
      </c>
      <c r="D60" s="3">
        <v>2.7767141869189702</v>
      </c>
      <c r="E60" s="3">
        <v>1.70487969480006</v>
      </c>
      <c r="F60" s="3">
        <v>3.0438763316151598</v>
      </c>
      <c r="G60" s="3">
        <v>2.2317536436221199</v>
      </c>
      <c r="H60" s="3">
        <v>3.3400379845937298</v>
      </c>
      <c r="I60" s="3">
        <v>4.2798810201834003</v>
      </c>
      <c r="J60" s="3">
        <v>3.4678908786603002</v>
      </c>
      <c r="K60" s="3">
        <v>2.4737399323077098</v>
      </c>
      <c r="L60" s="3">
        <v>3.4317469786372299</v>
      </c>
      <c r="M60" s="3">
        <v>3.9341987202470099</v>
      </c>
      <c r="N60" s="3">
        <v>3.8392093088368799</v>
      </c>
      <c r="O60" s="3">
        <v>1.58897920923789</v>
      </c>
      <c r="P60" s="3">
        <v>2.42887950889989</v>
      </c>
      <c r="Q60" s="3">
        <v>4.5844410009984502</v>
      </c>
      <c r="R60" s="3">
        <v>3.2924141497992001</v>
      </c>
      <c r="S60" s="3">
        <v>4.5323788088206598</v>
      </c>
      <c r="T60" s="3">
        <v>5.2135820946924696</v>
      </c>
      <c r="U60" s="3">
        <v>1.5650744952596001</v>
      </c>
      <c r="V60" s="3">
        <v>3.83397317390037</v>
      </c>
    </row>
    <row r="61" spans="1:22" x14ac:dyDescent="0.35">
      <c r="A61" s="2">
        <v>43578</v>
      </c>
      <c r="B61" s="3">
        <v>2.6380938695888401</v>
      </c>
      <c r="C61" s="3">
        <v>2.9760677543140899</v>
      </c>
      <c r="D61" s="3">
        <v>2.7991532221675799</v>
      </c>
      <c r="E61" s="3">
        <v>1.7341345855102399</v>
      </c>
      <c r="F61" s="3">
        <v>3.0463398433171198</v>
      </c>
      <c r="G61" s="3">
        <v>2.4036510460892702</v>
      </c>
      <c r="H61" s="3">
        <v>3.4007485634883801</v>
      </c>
      <c r="I61" s="3">
        <v>4.1779461264236</v>
      </c>
      <c r="J61" s="3">
        <v>3.2936801538047802</v>
      </c>
      <c r="K61" s="3">
        <v>2.4543796508633999</v>
      </c>
      <c r="L61" s="3">
        <v>3.4371803368385501</v>
      </c>
      <c r="M61" s="3">
        <v>3.62646506391888</v>
      </c>
      <c r="N61" s="3">
        <v>3.5971850052162901</v>
      </c>
      <c r="O61" s="3">
        <v>1.6337133738856</v>
      </c>
      <c r="P61" s="3">
        <v>2.34433411114617</v>
      </c>
      <c r="Q61" s="3">
        <v>4.2571677401995798</v>
      </c>
      <c r="R61" s="3">
        <v>3.24761107314206</v>
      </c>
      <c r="S61" s="3">
        <v>5.0875712477351502</v>
      </c>
      <c r="T61" s="3">
        <v>4.74892398699044</v>
      </c>
      <c r="U61" s="3">
        <v>1.6030070018823199</v>
      </c>
      <c r="V61" s="3">
        <v>3.6626856524217701</v>
      </c>
    </row>
    <row r="62" spans="1:22" x14ac:dyDescent="0.35">
      <c r="A62" s="2">
        <v>43608</v>
      </c>
      <c r="B62" s="3">
        <v>2.9440571463414802</v>
      </c>
      <c r="C62" s="3">
        <v>3.31343736384239</v>
      </c>
      <c r="D62" s="3">
        <v>3.08828112296553</v>
      </c>
      <c r="E62" s="3">
        <v>1.7773414534359</v>
      </c>
      <c r="F62" s="3">
        <v>3.3611563424928499</v>
      </c>
      <c r="G62" s="3">
        <v>2.7877211388382799</v>
      </c>
      <c r="H62" s="3">
        <v>3.49854606669316</v>
      </c>
      <c r="I62" s="3">
        <v>4.56630004140185</v>
      </c>
      <c r="J62" s="3">
        <v>3.5625264823580798</v>
      </c>
      <c r="K62" s="3">
        <v>2.5895471369627199</v>
      </c>
      <c r="L62" s="3">
        <v>3.5002470328366799</v>
      </c>
      <c r="M62" s="3">
        <v>4.0788727722194</v>
      </c>
      <c r="N62" s="3">
        <v>3.9254921897774802</v>
      </c>
      <c r="O62" s="3">
        <v>1.67991153769973</v>
      </c>
      <c r="P62" s="3">
        <v>2.68455024916631</v>
      </c>
      <c r="Q62" s="3">
        <v>4.5321307229703898</v>
      </c>
      <c r="R62" s="3">
        <v>3.3604526848158098</v>
      </c>
      <c r="S62" s="3">
        <v>5.6927307433169698</v>
      </c>
      <c r="T62" s="3">
        <v>5.2830850851360101</v>
      </c>
      <c r="U62" s="3">
        <v>1.5377633440959</v>
      </c>
      <c r="V62" s="3">
        <v>3.93188577033954</v>
      </c>
    </row>
    <row r="63" spans="1:22" x14ac:dyDescent="0.35">
      <c r="A63" s="2">
        <v>43637</v>
      </c>
      <c r="B63" s="3">
        <v>2.6705609051530499</v>
      </c>
      <c r="C63" s="3">
        <v>3.2866095518982399</v>
      </c>
      <c r="D63" s="3">
        <v>2.7896137673147199</v>
      </c>
      <c r="E63" s="3">
        <v>1.7486710707453501</v>
      </c>
      <c r="F63" s="3">
        <v>3.2588840858217201</v>
      </c>
      <c r="G63" s="3">
        <v>2.6533542216875099</v>
      </c>
      <c r="H63" s="3">
        <v>3.41339658923527</v>
      </c>
      <c r="I63" s="3">
        <v>4.3336948507676398</v>
      </c>
      <c r="J63" s="3">
        <v>3.50365442316612</v>
      </c>
      <c r="K63" s="3">
        <v>2.5147255321720099</v>
      </c>
      <c r="L63" s="3">
        <v>3.0373342500991498</v>
      </c>
      <c r="M63" s="3">
        <v>3.7091930930530999</v>
      </c>
      <c r="N63" s="3">
        <v>3.3330026689782</v>
      </c>
      <c r="O63" s="3">
        <v>1.7002747064000701</v>
      </c>
      <c r="P63" s="3">
        <v>2.4915059943216602</v>
      </c>
      <c r="Q63" s="3">
        <v>3.97244434070396</v>
      </c>
      <c r="R63" s="3">
        <v>3.1356011113807698</v>
      </c>
      <c r="S63" s="3">
        <v>5.0326554840500899</v>
      </c>
      <c r="T63" s="3">
        <v>5.1328549237318297</v>
      </c>
      <c r="U63" s="3">
        <v>1.63767757699863</v>
      </c>
      <c r="V63" s="3">
        <v>3.8404771535194699</v>
      </c>
    </row>
    <row r="64" spans="1:22" x14ac:dyDescent="0.35">
      <c r="A64" s="2">
        <v>43669</v>
      </c>
      <c r="B64" s="3">
        <v>2.7316825130514601</v>
      </c>
      <c r="C64" s="3">
        <v>3.2115834402341101</v>
      </c>
      <c r="D64" s="3">
        <v>2.6995755868857101</v>
      </c>
      <c r="E64" s="3">
        <v>1.69312732054902</v>
      </c>
      <c r="F64" s="3">
        <v>3.3249203625858699</v>
      </c>
      <c r="G64" s="3">
        <v>2.6695605783802101</v>
      </c>
      <c r="H64" s="3">
        <v>3.43223157741703</v>
      </c>
      <c r="I64" s="3">
        <v>4.2224973807617197</v>
      </c>
      <c r="J64" s="3">
        <v>3.7326345710059399</v>
      </c>
      <c r="K64" s="3">
        <v>2.5138988793646901</v>
      </c>
      <c r="L64" s="3">
        <v>3.12757505279514</v>
      </c>
      <c r="M64" s="3">
        <v>3.8088906834357101</v>
      </c>
      <c r="N64" s="3">
        <v>3.22914700079372</v>
      </c>
      <c r="O64" s="3">
        <v>1.7787541887425</v>
      </c>
      <c r="P64" s="3">
        <v>2.4691582914748702</v>
      </c>
      <c r="Q64" s="3">
        <v>4.1398115988335196</v>
      </c>
      <c r="R64" s="3">
        <v>3.1264965190384801</v>
      </c>
      <c r="S64" s="3">
        <v>4.40622915727071</v>
      </c>
      <c r="T64" s="3">
        <v>4.9031511722191299</v>
      </c>
      <c r="U64" s="3">
        <v>1.75761886441574</v>
      </c>
      <c r="V64" s="3">
        <v>3.8907919793153098</v>
      </c>
    </row>
    <row r="65" spans="1:22" x14ac:dyDescent="0.35">
      <c r="A65" s="2">
        <v>43700</v>
      </c>
      <c r="B65" s="3">
        <v>2.7206598397592301</v>
      </c>
      <c r="C65" s="3">
        <v>3.72025862756694</v>
      </c>
      <c r="D65" s="3">
        <v>2.8172706883347001</v>
      </c>
      <c r="E65" s="3">
        <v>1.8211626506401599</v>
      </c>
      <c r="F65" s="3">
        <v>3.82129037995159</v>
      </c>
      <c r="G65" s="3">
        <v>2.9877041873760901</v>
      </c>
      <c r="H65" s="3">
        <v>3.48474882487253</v>
      </c>
      <c r="I65" s="3">
        <v>4.4186698660688002</v>
      </c>
      <c r="J65" s="3">
        <v>3.8989631827676599</v>
      </c>
      <c r="K65" s="3">
        <v>2.69400037256879</v>
      </c>
      <c r="L65" s="3">
        <v>3.4717458683377602</v>
      </c>
      <c r="M65" s="3">
        <v>4.1272932207562096</v>
      </c>
      <c r="N65" s="3">
        <v>3.3922281755282802</v>
      </c>
      <c r="O65" s="3">
        <v>1.83456082570316</v>
      </c>
      <c r="P65" s="3">
        <v>2.58254862850906</v>
      </c>
      <c r="Q65" s="3">
        <v>4.3380402577238701</v>
      </c>
      <c r="R65" s="3">
        <v>3.2598177478168102</v>
      </c>
      <c r="S65" s="3">
        <v>4.93448459474061</v>
      </c>
      <c r="T65" s="3">
        <v>5.1038096130195498</v>
      </c>
      <c r="U65" s="3">
        <v>1.91060029428943</v>
      </c>
      <c r="V65" s="3">
        <v>3.9707855919493</v>
      </c>
    </row>
    <row r="66" spans="1:22" x14ac:dyDescent="0.35">
      <c r="A66" s="2">
        <v>43731</v>
      </c>
      <c r="B66" s="3">
        <v>2.67920720366455</v>
      </c>
      <c r="C66" s="3">
        <v>3.29464027999044</v>
      </c>
      <c r="D66" s="3">
        <v>2.8299248267618902</v>
      </c>
      <c r="E66" s="3">
        <v>1.85712046209496</v>
      </c>
      <c r="F66" s="3">
        <v>3.6491826533498699</v>
      </c>
      <c r="G66" s="3">
        <v>2.9789845640456498</v>
      </c>
      <c r="H66" s="3">
        <v>3.5277801551030699</v>
      </c>
      <c r="I66" s="3">
        <v>4.2293616695243399</v>
      </c>
      <c r="J66" s="3">
        <v>3.5684204550218599</v>
      </c>
      <c r="K66" s="3">
        <v>2.4760731605637099</v>
      </c>
      <c r="L66" s="3">
        <v>3.23204067516214</v>
      </c>
      <c r="M66" s="3">
        <v>4.2582113951211404</v>
      </c>
      <c r="N66" s="3">
        <v>3.32721565268369</v>
      </c>
      <c r="O66" s="3">
        <v>1.7580578110724701</v>
      </c>
      <c r="P66" s="3">
        <v>2.5022158676569002</v>
      </c>
      <c r="Q66" s="3">
        <v>4.1423095163837598</v>
      </c>
      <c r="R66" s="3">
        <v>3.2937614934777799</v>
      </c>
      <c r="S66" s="3">
        <v>5.0479129856022302</v>
      </c>
      <c r="T66" s="3">
        <v>4.8651794961138997</v>
      </c>
      <c r="U66" s="3">
        <v>1.7711820664749001</v>
      </c>
      <c r="V66" s="3">
        <v>4.1876066751280696</v>
      </c>
    </row>
    <row r="67" spans="1:22" x14ac:dyDescent="0.35">
      <c r="A67" s="2">
        <v>43761</v>
      </c>
      <c r="B67" s="3">
        <v>2.7310891674671698</v>
      </c>
      <c r="C67" s="3">
        <v>3.3357797447861</v>
      </c>
      <c r="D67" s="3">
        <v>2.7433370564322801</v>
      </c>
      <c r="E67" s="3">
        <v>1.8489133622810601</v>
      </c>
      <c r="F67" s="3">
        <v>3.42599638449544</v>
      </c>
      <c r="G67" s="3">
        <v>3.04863199269067</v>
      </c>
      <c r="H67" s="3">
        <v>3.5681120173774499</v>
      </c>
      <c r="I67" s="3">
        <v>4.1613526542779704</v>
      </c>
      <c r="J67" s="3">
        <v>3.4667670515747799</v>
      </c>
      <c r="K67" s="3">
        <v>2.4781686191810102</v>
      </c>
      <c r="L67" s="3">
        <v>3.2648218007442802</v>
      </c>
      <c r="M67" s="3">
        <v>4.2227615050006904</v>
      </c>
      <c r="N67" s="3">
        <v>3.2226098733849899</v>
      </c>
      <c r="O67" s="3">
        <v>1.8033054711093</v>
      </c>
      <c r="P67" s="3">
        <v>2.5456103786294402</v>
      </c>
      <c r="Q67" s="3">
        <v>4.0867753979814196</v>
      </c>
      <c r="R67" s="3">
        <v>3.2549575507053001</v>
      </c>
      <c r="S67" s="3">
        <v>5.0430081309474</v>
      </c>
      <c r="T67" s="3">
        <v>4.65267154414411</v>
      </c>
      <c r="U67" s="3">
        <v>1.8189678958355699</v>
      </c>
      <c r="V67" s="3">
        <v>4.21460569493631</v>
      </c>
    </row>
    <row r="68" spans="1:22" x14ac:dyDescent="0.35">
      <c r="A68" s="2">
        <v>43791</v>
      </c>
      <c r="B68" s="3">
        <v>2.82130137457778</v>
      </c>
      <c r="C68" s="3">
        <v>3.5249438853002601</v>
      </c>
      <c r="D68" s="3">
        <v>2.8292842460166399</v>
      </c>
      <c r="E68" s="3">
        <v>1.8766768619340399</v>
      </c>
      <c r="F68" s="3">
        <v>3.40058665764177</v>
      </c>
      <c r="G68" s="3">
        <v>2.9514301606587301</v>
      </c>
      <c r="H68" s="3">
        <v>3.48164180992327</v>
      </c>
      <c r="I68" s="3">
        <v>4.0648305045673601</v>
      </c>
      <c r="J68" s="3">
        <v>3.5097001438309099</v>
      </c>
      <c r="K68" s="3">
        <v>2.4414124822124599</v>
      </c>
      <c r="L68" s="3">
        <v>3.2491693158925998</v>
      </c>
      <c r="M68" s="3">
        <v>4.1351966013233801</v>
      </c>
      <c r="N68" s="3">
        <v>3.2113838248195399</v>
      </c>
      <c r="O68" s="3">
        <v>1.7550792618723601</v>
      </c>
      <c r="P68" s="3">
        <v>2.4964311932828398</v>
      </c>
      <c r="Q68" s="3">
        <v>4.0962527259642902</v>
      </c>
      <c r="R68" s="3">
        <v>3.2182730880769399</v>
      </c>
      <c r="S68" s="3">
        <v>4.4987847967735703</v>
      </c>
      <c r="T68" s="3">
        <v>4.9884568733201</v>
      </c>
      <c r="U68" s="3">
        <v>1.5955030971088</v>
      </c>
      <c r="V68" s="3">
        <v>4.0548616950311098</v>
      </c>
    </row>
    <row r="69" spans="1:22" x14ac:dyDescent="0.35">
      <c r="A69" s="2">
        <v>43822</v>
      </c>
      <c r="B69" s="3">
        <v>2.5254463675182901</v>
      </c>
      <c r="C69" s="3">
        <v>3.6838570640180399</v>
      </c>
      <c r="D69" s="3">
        <v>2.7761267013459001</v>
      </c>
      <c r="E69" s="3">
        <v>1.83120336582577</v>
      </c>
      <c r="F69" s="3">
        <v>3.5378439605228</v>
      </c>
      <c r="G69" s="3">
        <v>2.63884777512577</v>
      </c>
      <c r="H69" s="3">
        <v>3.42341114757411</v>
      </c>
      <c r="I69" s="3">
        <v>3.9636919506906301</v>
      </c>
      <c r="J69" s="3">
        <v>3.44930447987345</v>
      </c>
      <c r="K69" s="3">
        <v>2.3137809600854302</v>
      </c>
      <c r="L69" s="3">
        <v>3.1308067559022801</v>
      </c>
      <c r="M69" s="3">
        <v>3.7213540688781301</v>
      </c>
      <c r="N69" s="3">
        <v>2.96284805263898</v>
      </c>
      <c r="O69" s="3">
        <v>1.65476813218811</v>
      </c>
      <c r="P69" s="3">
        <v>2.2659184076539698</v>
      </c>
      <c r="Q69" s="3">
        <v>3.9859151494015799</v>
      </c>
      <c r="R69" s="3">
        <v>3.2442565792463798</v>
      </c>
      <c r="S69" s="3">
        <v>4.3569211834211998</v>
      </c>
      <c r="T69" s="3">
        <v>5.0252364518021997</v>
      </c>
      <c r="U69" s="3">
        <v>1.51541100125383</v>
      </c>
      <c r="V69" s="3">
        <v>3.9277951515865199</v>
      </c>
    </row>
    <row r="70" spans="1:22" x14ac:dyDescent="0.35">
      <c r="A70" s="2">
        <v>43853</v>
      </c>
      <c r="B70" s="3">
        <v>2.5075405749947199</v>
      </c>
      <c r="C70" s="3">
        <v>3.7832054574092502</v>
      </c>
      <c r="D70" s="3">
        <v>2.7057946051469899</v>
      </c>
      <c r="E70" s="3">
        <v>1.8649106516585601</v>
      </c>
      <c r="F70" s="3">
        <v>3.63151654441597</v>
      </c>
      <c r="G70" s="3">
        <v>2.6449003139059202</v>
      </c>
      <c r="H70" s="3">
        <v>3.5202146013713</v>
      </c>
      <c r="I70" s="3">
        <v>3.9705162453408498</v>
      </c>
      <c r="J70" s="3">
        <v>3.3704511376509201</v>
      </c>
      <c r="K70" s="3">
        <v>2.2756932998585802</v>
      </c>
      <c r="L70" s="3">
        <v>2.9952633100038999</v>
      </c>
      <c r="M70" s="3">
        <v>3.77339152364386</v>
      </c>
      <c r="N70" s="3">
        <v>2.8999216904236098</v>
      </c>
      <c r="O70" s="3">
        <v>1.6498318666104399</v>
      </c>
      <c r="P70" s="3">
        <v>2.2792047879029602</v>
      </c>
      <c r="Q70" s="3">
        <v>4.0022439683636399</v>
      </c>
      <c r="R70" s="3">
        <v>3.2515452812985401</v>
      </c>
      <c r="S70" s="3">
        <v>4.3816040249765402</v>
      </c>
      <c r="T70" s="3">
        <v>5.1370457044240503</v>
      </c>
      <c r="U70" s="3">
        <v>1.4909228785928199</v>
      </c>
      <c r="V70" s="3">
        <v>4.0143221381064498</v>
      </c>
    </row>
    <row r="71" spans="1:22" x14ac:dyDescent="0.35">
      <c r="A71" s="2">
        <v>43882</v>
      </c>
      <c r="B71" s="3">
        <v>2.3897935071871701</v>
      </c>
      <c r="C71" s="3">
        <v>3.85088635641273</v>
      </c>
      <c r="D71" s="3">
        <v>2.8983882101718401</v>
      </c>
      <c r="E71" s="3">
        <v>1.9257346115162499</v>
      </c>
      <c r="F71" s="3">
        <v>3.7166533483243702</v>
      </c>
      <c r="G71" s="3">
        <v>2.9487453754733801</v>
      </c>
      <c r="H71" s="3">
        <v>3.6373417273873798</v>
      </c>
      <c r="I71" s="3">
        <v>4.0998326070185902</v>
      </c>
      <c r="J71" s="3">
        <v>3.3555266124748999</v>
      </c>
      <c r="K71" s="3">
        <v>2.2964919860625002</v>
      </c>
      <c r="L71" s="3">
        <v>3.17445760501908</v>
      </c>
      <c r="M71" s="3">
        <v>3.8172932858747699</v>
      </c>
      <c r="N71" s="3">
        <v>2.9221369094316199</v>
      </c>
      <c r="O71" s="3">
        <v>1.6625531845618899</v>
      </c>
      <c r="P71" s="3">
        <v>2.2368792008541498</v>
      </c>
      <c r="Q71" s="3">
        <v>4.3038825857155398</v>
      </c>
      <c r="R71" s="3">
        <v>3.3426954478401298</v>
      </c>
      <c r="S71" s="3">
        <v>4.5315645253469699</v>
      </c>
      <c r="T71" s="3">
        <v>5.1795411447611901</v>
      </c>
      <c r="U71" s="3">
        <v>1.5846227895618401</v>
      </c>
      <c r="V71" s="3">
        <v>4.3138636892977296</v>
      </c>
    </row>
    <row r="72" spans="1:22" x14ac:dyDescent="0.35">
      <c r="A72" s="2">
        <v>43913</v>
      </c>
      <c r="B72" s="3">
        <v>2.7727044617012</v>
      </c>
      <c r="C72" s="3">
        <v>5.7526492021684499</v>
      </c>
      <c r="D72" s="3">
        <v>4.8033543538685501</v>
      </c>
      <c r="E72" s="3">
        <v>3.01646289910243</v>
      </c>
      <c r="F72" s="3">
        <v>5.0691244130951896</v>
      </c>
      <c r="G72" s="3">
        <v>4.8499222535529203</v>
      </c>
      <c r="H72" s="3">
        <v>4.3654366960714901</v>
      </c>
      <c r="I72" s="3">
        <v>5.2461645515486701</v>
      </c>
      <c r="J72" s="3">
        <v>4.84928221220376</v>
      </c>
      <c r="K72" s="3">
        <v>3.3458098197897201</v>
      </c>
      <c r="L72" s="3">
        <v>5.4251519583175503</v>
      </c>
      <c r="M72" s="3">
        <v>6.0643328482969698</v>
      </c>
      <c r="N72" s="3">
        <v>5.5555078270148401</v>
      </c>
      <c r="O72" s="3">
        <v>2.6237262012429099</v>
      </c>
      <c r="P72" s="3">
        <v>2.6133135300183201</v>
      </c>
      <c r="Q72" s="3">
        <v>4.7605449802212698</v>
      </c>
      <c r="R72" s="3">
        <v>4.6597795429000799</v>
      </c>
      <c r="S72" s="3">
        <v>6.1479958269711403</v>
      </c>
      <c r="T72" s="3">
        <v>7.7502242073876397</v>
      </c>
      <c r="U72" s="3">
        <v>2.1736793452616499</v>
      </c>
      <c r="V72" s="3">
        <v>5.6772252823972904</v>
      </c>
    </row>
    <row r="73" spans="1:22" x14ac:dyDescent="0.35">
      <c r="A73" s="2">
        <v>43944</v>
      </c>
      <c r="B73" s="3">
        <v>2.4605543037731801</v>
      </c>
      <c r="C73" s="3">
        <v>4.27731664952102</v>
      </c>
      <c r="D73" s="3">
        <v>4.0076941247936499</v>
      </c>
      <c r="E73" s="3">
        <v>2.5072258555279099</v>
      </c>
      <c r="F73" s="3">
        <v>3.5705532008335701</v>
      </c>
      <c r="G73" s="3">
        <v>3.58758759079371</v>
      </c>
      <c r="H73" s="3">
        <v>3.8130084361768102</v>
      </c>
      <c r="I73" s="3">
        <v>4.3361154442245002</v>
      </c>
      <c r="J73" s="3">
        <v>4.32639868620039</v>
      </c>
      <c r="K73" s="3">
        <v>2.5426900283074798</v>
      </c>
      <c r="L73" s="3">
        <v>3.9522846009799402</v>
      </c>
      <c r="M73" s="3">
        <v>4.1801889026953196</v>
      </c>
      <c r="N73" s="3">
        <v>4.6985385610711097</v>
      </c>
      <c r="O73" s="3">
        <v>2.0203956365345599</v>
      </c>
      <c r="P73" s="3">
        <v>2.2291454420604899</v>
      </c>
      <c r="Q73" s="3">
        <v>4.4982072152657198</v>
      </c>
      <c r="R73" s="3">
        <v>3.4243931015331599</v>
      </c>
      <c r="S73" s="3">
        <v>4.5481801615740904</v>
      </c>
      <c r="T73" s="3">
        <v>5.2655012727113002</v>
      </c>
      <c r="U73" s="3">
        <v>1.7587911695056599</v>
      </c>
      <c r="V73" s="3">
        <v>4.7108675872308803</v>
      </c>
    </row>
    <row r="74" spans="1:22" x14ac:dyDescent="0.35">
      <c r="A74" s="2">
        <v>43973</v>
      </c>
      <c r="B74" s="3">
        <v>2.3902421036714001</v>
      </c>
      <c r="C74" s="3">
        <v>3.6968434774236099</v>
      </c>
      <c r="D74" s="3">
        <v>3.8005940115716301</v>
      </c>
      <c r="E74" s="3">
        <v>2.4322105811513501</v>
      </c>
      <c r="F74" s="3">
        <v>2.8294639219920299</v>
      </c>
      <c r="G74" s="3">
        <v>3.1921388145942702</v>
      </c>
      <c r="H74" s="3">
        <v>3.3821610133615398</v>
      </c>
      <c r="I74" s="3">
        <v>4.1874900146128304</v>
      </c>
      <c r="J74" s="3">
        <v>3.4643033844737099</v>
      </c>
      <c r="K74" s="3">
        <v>2.4345889744263798</v>
      </c>
      <c r="L74" s="3">
        <v>3.5399941873219301</v>
      </c>
      <c r="M74" s="3">
        <v>3.5452424737509101</v>
      </c>
      <c r="N74" s="3">
        <v>4.1436427601685502</v>
      </c>
      <c r="O74" s="3">
        <v>1.93916505827772</v>
      </c>
      <c r="P74" s="3">
        <v>2.2317861717676601</v>
      </c>
      <c r="Q74" s="3">
        <v>4.1999971406223802</v>
      </c>
      <c r="R74" s="3">
        <v>3.1716822312702302</v>
      </c>
      <c r="S74" s="3">
        <v>4.0159658832510896</v>
      </c>
      <c r="T74" s="3">
        <v>4.6139845863566196</v>
      </c>
      <c r="U74" s="3">
        <v>1.35124513492926</v>
      </c>
      <c r="V74" s="3">
        <v>4.3103249721461703</v>
      </c>
    </row>
    <row r="75" spans="1:22" x14ac:dyDescent="0.35">
      <c r="A75" s="2">
        <v>44005</v>
      </c>
      <c r="B75" s="3">
        <v>2.15269642700471</v>
      </c>
      <c r="C75" s="3">
        <v>3.3339125276575499</v>
      </c>
      <c r="D75" s="3">
        <v>3.0387020699335001</v>
      </c>
      <c r="E75" s="3">
        <v>2.08130792252638</v>
      </c>
      <c r="F75" s="3">
        <v>2.4155464026793498</v>
      </c>
      <c r="G75" s="3">
        <v>3.0969479098949599</v>
      </c>
      <c r="H75" s="3">
        <v>3.1363371519382501</v>
      </c>
      <c r="I75" s="3">
        <v>3.8983201474912299</v>
      </c>
      <c r="J75" s="3">
        <v>3.0355815731525899</v>
      </c>
      <c r="K75" s="3">
        <v>2.26375058346729</v>
      </c>
      <c r="L75" s="3">
        <v>2.9245760193184598</v>
      </c>
      <c r="M75" s="3">
        <v>3.35425011710127</v>
      </c>
      <c r="N75" s="3">
        <v>3.5981238399363402</v>
      </c>
      <c r="O75" s="3">
        <v>1.6357372380115001</v>
      </c>
      <c r="P75" s="3">
        <v>1.8879011369898799</v>
      </c>
      <c r="Q75" s="3">
        <v>3.91598384734823</v>
      </c>
      <c r="R75" s="3">
        <v>3.0452633521555899</v>
      </c>
      <c r="S75" s="3">
        <v>3.2107878496779598</v>
      </c>
      <c r="T75" s="3">
        <v>4.3945342899324</v>
      </c>
      <c r="U75" s="3">
        <v>1.3365651780007199</v>
      </c>
      <c r="V75" s="3">
        <v>3.8866883106255599</v>
      </c>
    </row>
    <row r="76" spans="1:22" x14ac:dyDescent="0.35">
      <c r="A76" s="2">
        <v>44035</v>
      </c>
      <c r="B76" s="3">
        <v>1.91730030550441</v>
      </c>
      <c r="C76" s="3">
        <v>3.28858770348688</v>
      </c>
      <c r="D76" s="3">
        <v>2.8674435494049701</v>
      </c>
      <c r="E76" s="3">
        <v>2.1351944156862901</v>
      </c>
      <c r="F76" s="3">
        <v>2.4509655189950599</v>
      </c>
      <c r="G76" s="3">
        <v>2.8679836773334499</v>
      </c>
      <c r="H76" s="3">
        <v>3.0101365695353501</v>
      </c>
      <c r="I76" s="3">
        <v>3.67416592616578</v>
      </c>
      <c r="J76" s="3">
        <v>3.0280802236622</v>
      </c>
      <c r="K76" s="3">
        <v>2.2275228881314999</v>
      </c>
      <c r="L76" s="3">
        <v>2.6872531379135398</v>
      </c>
      <c r="M76" s="3">
        <v>3.3510527797820702</v>
      </c>
      <c r="N76" s="3">
        <v>3.5791235965552501</v>
      </c>
      <c r="O76" s="3">
        <v>1.5316765602008999</v>
      </c>
      <c r="P76" s="3">
        <v>1.77955791892708</v>
      </c>
      <c r="Q76" s="3">
        <v>3.7143309320715701</v>
      </c>
      <c r="R76" s="3">
        <v>2.9993386612878101</v>
      </c>
      <c r="S76" s="3">
        <v>3.38320980220377</v>
      </c>
      <c r="T76" s="3">
        <v>4.6360571110197997</v>
      </c>
      <c r="U76" s="3">
        <v>1.3646436776742801</v>
      </c>
      <c r="V76" s="3">
        <v>3.85108275989354</v>
      </c>
    </row>
    <row r="77" spans="1:22" x14ac:dyDescent="0.35">
      <c r="A77" s="2">
        <v>44064</v>
      </c>
      <c r="B77" s="3">
        <v>1.9535803686620501</v>
      </c>
      <c r="C77" s="3">
        <v>3.3240353465905801</v>
      </c>
      <c r="D77" s="3">
        <v>2.7606848007639</v>
      </c>
      <c r="E77" s="3">
        <v>2.07984093653597</v>
      </c>
      <c r="F77" s="3">
        <v>2.7772204153769802</v>
      </c>
      <c r="G77" s="3">
        <v>2.5365355290920601</v>
      </c>
      <c r="H77" s="3">
        <v>3.1466554677132299</v>
      </c>
      <c r="I77" s="3">
        <v>3.7712630017917999</v>
      </c>
      <c r="J77" s="3">
        <v>3.0524917510784202</v>
      </c>
      <c r="K77" s="3">
        <v>2.1490143464635398</v>
      </c>
      <c r="L77" s="3">
        <v>2.8116738124893899</v>
      </c>
      <c r="M77" s="3">
        <v>3.44279878182591</v>
      </c>
      <c r="N77" s="3">
        <v>3.6333277595471198</v>
      </c>
      <c r="O77" s="3">
        <v>1.5203994066164901</v>
      </c>
      <c r="P77" s="3">
        <v>1.77617755067299</v>
      </c>
      <c r="Q77" s="3">
        <v>3.5125601279413998</v>
      </c>
      <c r="R77" s="3">
        <v>3.13602672276147</v>
      </c>
      <c r="S77" s="3">
        <v>4.0212257494208004</v>
      </c>
      <c r="T77" s="3">
        <v>4.4838858906742303</v>
      </c>
      <c r="U77" s="3">
        <v>1.3927257326881599</v>
      </c>
      <c r="V77" s="3">
        <v>3.57206961730571</v>
      </c>
    </row>
    <row r="78" spans="1:22" x14ac:dyDescent="0.35">
      <c r="A78" s="2">
        <v>44097</v>
      </c>
      <c r="B78" s="3">
        <v>1.9606521121329099</v>
      </c>
      <c r="C78" s="3">
        <v>3.96318168090583</v>
      </c>
      <c r="D78" s="3">
        <v>3.0212933666230102</v>
      </c>
      <c r="E78" s="3">
        <v>2.08820457389356</v>
      </c>
      <c r="F78" s="3">
        <v>3.05514837012633</v>
      </c>
      <c r="G78" s="3">
        <v>2.7533457317685901</v>
      </c>
      <c r="H78" s="3">
        <v>3.3352034685912901</v>
      </c>
      <c r="I78" s="3">
        <v>3.8981276654747599</v>
      </c>
      <c r="J78" s="3">
        <v>3.4527387403785998</v>
      </c>
      <c r="K78" s="3">
        <v>2.15557856717531</v>
      </c>
      <c r="L78" s="3">
        <v>3.4763613074854498</v>
      </c>
      <c r="M78" s="3">
        <v>3.6388973649138698</v>
      </c>
      <c r="N78" s="3">
        <v>3.7059726030229299</v>
      </c>
      <c r="O78" s="3">
        <v>1.57663894502452</v>
      </c>
      <c r="P78" s="3">
        <v>1.80196095393932</v>
      </c>
      <c r="Q78" s="3">
        <v>3.57664198404709</v>
      </c>
      <c r="R78" s="3">
        <v>3.19666608606031</v>
      </c>
      <c r="S78" s="3">
        <v>4.7166984179362199</v>
      </c>
      <c r="T78" s="3">
        <v>4.4193958266136004</v>
      </c>
      <c r="U78" s="3">
        <v>1.3109609408391401</v>
      </c>
      <c r="V78" s="3">
        <v>3.4469803234323702</v>
      </c>
    </row>
    <row r="79" spans="1:22" x14ac:dyDescent="0.35">
      <c r="A79" s="2">
        <v>44127</v>
      </c>
      <c r="B79" s="3">
        <v>1.9781961258415099</v>
      </c>
      <c r="C79" s="3">
        <v>3.6636350126232999</v>
      </c>
      <c r="D79" s="3">
        <v>2.8329914595543202</v>
      </c>
      <c r="E79" s="3">
        <v>1.7951034979957801</v>
      </c>
      <c r="F79" s="3">
        <v>3.4566344587962701</v>
      </c>
      <c r="G79" s="3">
        <v>2.51621638903032</v>
      </c>
      <c r="H79" s="3">
        <v>3.3859787231474399</v>
      </c>
      <c r="I79" s="3">
        <v>3.8534027628503198</v>
      </c>
      <c r="J79" s="3">
        <v>3.2731234042244299</v>
      </c>
      <c r="K79" s="3">
        <v>2.1641983364439201</v>
      </c>
      <c r="L79" s="3">
        <v>3.3903505413038801</v>
      </c>
      <c r="M79" s="3">
        <v>3.5541281935388902</v>
      </c>
      <c r="N79" s="3">
        <v>3.9347943295087702</v>
      </c>
      <c r="O79" s="3">
        <v>1.52113168135666</v>
      </c>
      <c r="P79" s="3">
        <v>1.719200057238</v>
      </c>
      <c r="Q79" s="3">
        <v>3.6023482664586401</v>
      </c>
      <c r="R79" s="3">
        <v>3.2811526106418198</v>
      </c>
      <c r="S79" s="3">
        <v>4.2520779021453698</v>
      </c>
      <c r="T79" s="3">
        <v>4.1136849672194797</v>
      </c>
      <c r="U79" s="3">
        <v>1.32991524794756</v>
      </c>
      <c r="V79" s="3">
        <v>3.28515634086772</v>
      </c>
    </row>
    <row r="80" spans="1:22" x14ac:dyDescent="0.35">
      <c r="A80" s="2">
        <v>44158</v>
      </c>
      <c r="B80" s="3">
        <v>1.9003129435221</v>
      </c>
      <c r="C80" s="3">
        <v>3.3185306284232299</v>
      </c>
      <c r="D80" s="3">
        <v>2.4355137131629201</v>
      </c>
      <c r="E80" s="3">
        <v>1.6075279952389501</v>
      </c>
      <c r="F80" s="3">
        <v>2.5544766713777198</v>
      </c>
      <c r="G80" s="3">
        <v>2.0894352968197301</v>
      </c>
      <c r="H80" s="3">
        <v>3.4122613936881798</v>
      </c>
      <c r="I80" s="3">
        <v>3.7181872671696499</v>
      </c>
      <c r="J80" s="3">
        <v>3.2084497371671201</v>
      </c>
      <c r="K80" s="3">
        <v>1.96309486507436</v>
      </c>
      <c r="L80" s="3">
        <v>3.4233896794964198</v>
      </c>
      <c r="M80" s="3">
        <v>3.6304387527769801</v>
      </c>
      <c r="N80" s="3">
        <v>3.46180858916432</v>
      </c>
      <c r="O80" s="3">
        <v>1.46432097037218</v>
      </c>
      <c r="P80" s="3">
        <v>1.70689389836076</v>
      </c>
      <c r="Q80" s="3">
        <v>3.62198284937327</v>
      </c>
      <c r="R80" s="3">
        <v>2.7611983307339001</v>
      </c>
      <c r="S80" s="3">
        <v>3.9719159741453498</v>
      </c>
      <c r="T80" s="3">
        <v>4.4096067883735603</v>
      </c>
      <c r="U80" s="3">
        <v>1.32216596281607</v>
      </c>
      <c r="V80" s="3">
        <v>3.4208524253011001</v>
      </c>
    </row>
    <row r="81" spans="1:22" x14ac:dyDescent="0.35">
      <c r="A81" s="2">
        <v>44188</v>
      </c>
      <c r="B81" s="3">
        <v>1.8331567539433</v>
      </c>
      <c r="C81" s="3">
        <v>3.1685334037051498</v>
      </c>
      <c r="D81" s="3">
        <v>2.2730279865387502</v>
      </c>
      <c r="E81" s="3">
        <v>1.6941935069104901</v>
      </c>
      <c r="F81" s="3">
        <v>2.7803927841943201</v>
      </c>
      <c r="G81" s="3">
        <v>1.70120755981724</v>
      </c>
      <c r="H81" s="3">
        <v>3.5431207803360398</v>
      </c>
      <c r="I81" s="3">
        <v>3.7074174156525701</v>
      </c>
      <c r="J81" s="3">
        <v>3.4984324772325701</v>
      </c>
      <c r="K81" s="3">
        <v>1.86279580916673</v>
      </c>
      <c r="L81" s="3">
        <v>3.3645357711579398</v>
      </c>
      <c r="M81" s="3">
        <v>3.8586311012661199</v>
      </c>
      <c r="N81" s="3">
        <v>3.2503215710566198</v>
      </c>
      <c r="O81" s="3">
        <v>1.3702005243323601</v>
      </c>
      <c r="P81" s="3">
        <v>1.67097072977306</v>
      </c>
      <c r="Q81" s="3">
        <v>3.6880525856832498</v>
      </c>
      <c r="R81" s="3">
        <v>2.8805913199767801</v>
      </c>
      <c r="S81" s="3">
        <v>3.9266880683209999</v>
      </c>
      <c r="T81" s="3">
        <v>4.49001887848992</v>
      </c>
      <c r="U81" s="3">
        <v>1.22234562052679</v>
      </c>
      <c r="V81" s="3">
        <v>3.4877425115201901</v>
      </c>
    </row>
    <row r="82" spans="1:22" x14ac:dyDescent="0.35">
      <c r="A82" s="2">
        <v>44218</v>
      </c>
      <c r="B82" s="3">
        <v>1.65620090358921</v>
      </c>
      <c r="C82" s="3">
        <v>3.1383019401572501</v>
      </c>
      <c r="D82" s="3">
        <v>2.2438836810953999</v>
      </c>
      <c r="E82" s="3">
        <v>1.7202803595718199</v>
      </c>
      <c r="F82" s="3">
        <v>2.7868924889877298</v>
      </c>
      <c r="G82" s="3">
        <v>1.75590524119026</v>
      </c>
      <c r="H82" s="3">
        <v>3.7231655836733202</v>
      </c>
      <c r="I82" s="3">
        <v>3.3689021969341302</v>
      </c>
      <c r="J82" s="3">
        <v>3.5334964822099302</v>
      </c>
      <c r="K82" s="3">
        <v>1.63717970145553</v>
      </c>
      <c r="L82" s="3">
        <v>3.5694691471101598</v>
      </c>
      <c r="M82" s="3">
        <v>3.8984663318875201</v>
      </c>
      <c r="N82" s="3">
        <v>3.3484590193655701</v>
      </c>
      <c r="O82" s="3">
        <v>1.32650638015094</v>
      </c>
      <c r="P82" s="3">
        <v>1.41328465687681</v>
      </c>
      <c r="Q82" s="3">
        <v>3.7673972066827202</v>
      </c>
      <c r="R82" s="3">
        <v>2.7628536259986398</v>
      </c>
      <c r="S82" s="3">
        <v>3.95760387916595</v>
      </c>
      <c r="T82" s="3">
        <v>4.1248109828041901</v>
      </c>
      <c r="U82" s="3">
        <v>1.1722769143229099</v>
      </c>
      <c r="V82" s="3">
        <v>3.4655077182610401</v>
      </c>
    </row>
    <row r="83" spans="1:22" x14ac:dyDescent="0.35">
      <c r="A83" s="2">
        <v>44250</v>
      </c>
      <c r="B83" s="3">
        <v>1.6683608088700801</v>
      </c>
      <c r="C83" s="3">
        <v>3.0850982229135</v>
      </c>
      <c r="D83" s="3">
        <v>2.4556127078753498</v>
      </c>
      <c r="E83" s="3">
        <v>1.80930464457372</v>
      </c>
      <c r="F83" s="3">
        <v>2.9413556224563</v>
      </c>
      <c r="G83" s="3">
        <v>1.68043251015628</v>
      </c>
      <c r="H83" s="3">
        <v>3.9290928494272701</v>
      </c>
      <c r="I83" s="3">
        <v>3.4524318856490299</v>
      </c>
      <c r="J83" s="3">
        <v>3.4390288543563199</v>
      </c>
      <c r="K83" s="3">
        <v>1.67458927182523</v>
      </c>
      <c r="L83" s="3">
        <v>3.9261830038424201</v>
      </c>
      <c r="M83" s="3">
        <v>3.84952196009989</v>
      </c>
      <c r="N83" s="3">
        <v>3.4775558527541302</v>
      </c>
      <c r="O83" s="3">
        <v>1.36747412913153</v>
      </c>
      <c r="P83" s="3">
        <v>1.3755391198109399</v>
      </c>
      <c r="Q83" s="3">
        <v>3.9863787532576498</v>
      </c>
      <c r="R83" s="3">
        <v>2.8312309303377399</v>
      </c>
      <c r="S83" s="3">
        <v>4.6420984630840101</v>
      </c>
      <c r="T83" s="3">
        <v>4.4389565428607298</v>
      </c>
      <c r="U83" s="3">
        <v>1.18712875645575</v>
      </c>
      <c r="V83" s="3">
        <v>3.47635252156795</v>
      </c>
    </row>
    <row r="84" spans="1:22" x14ac:dyDescent="0.35">
      <c r="A84" s="2">
        <v>44278</v>
      </c>
      <c r="B84" s="3">
        <v>1.9139581673399899</v>
      </c>
      <c r="C84" s="3">
        <v>2.9350850770382499</v>
      </c>
      <c r="D84" s="3">
        <v>2.5862294115301001</v>
      </c>
      <c r="E84" s="3">
        <v>1.8806830774329399</v>
      </c>
      <c r="F84" s="3">
        <v>2.9489611082736502</v>
      </c>
      <c r="G84" s="3">
        <v>2.1256214848495101</v>
      </c>
      <c r="H84" s="3">
        <v>4.04003553202043</v>
      </c>
      <c r="I84" s="3">
        <v>3.6752352156428301</v>
      </c>
      <c r="J84" s="3">
        <v>3.4181987808944698</v>
      </c>
      <c r="K84" s="3">
        <v>1.71594749817112</v>
      </c>
      <c r="L84" s="3">
        <v>4.4955001784896398</v>
      </c>
      <c r="M84" s="3">
        <v>3.8876844378337601</v>
      </c>
      <c r="N84" s="3">
        <v>3.6835879315158802</v>
      </c>
      <c r="O84" s="3">
        <v>1.3651747321193199</v>
      </c>
      <c r="P84" s="3">
        <v>1.53334561061728</v>
      </c>
      <c r="Q84" s="3">
        <v>3.9271229510514298</v>
      </c>
      <c r="R84" s="3">
        <v>2.7793274538719301</v>
      </c>
      <c r="S84" s="3">
        <v>5.1490970712170698</v>
      </c>
      <c r="T84" s="3">
        <v>4.4347693747157297</v>
      </c>
      <c r="U84" s="3">
        <v>1.24607241530414</v>
      </c>
      <c r="V84" s="3">
        <v>3.4877139471018999</v>
      </c>
    </row>
    <row r="85" spans="1:22" x14ac:dyDescent="0.35">
      <c r="A85" s="2">
        <v>44309</v>
      </c>
      <c r="B85" s="3">
        <v>1.8945703572752199</v>
      </c>
      <c r="C85" s="3">
        <v>3.1625897780313998</v>
      </c>
      <c r="D85" s="3">
        <v>2.73335926665859</v>
      </c>
      <c r="E85" s="3">
        <v>1.96291130217325</v>
      </c>
      <c r="F85" s="3">
        <v>2.90332775618905</v>
      </c>
      <c r="G85" s="3">
        <v>2.3886663915872899</v>
      </c>
      <c r="H85" s="3">
        <v>3.9693689793454499</v>
      </c>
      <c r="I85" s="3">
        <v>3.6431925963774501</v>
      </c>
      <c r="J85" s="3">
        <v>3.0780027847591298</v>
      </c>
      <c r="K85" s="3">
        <v>1.6992149684717699</v>
      </c>
      <c r="L85" s="3">
        <v>4.5945309087534101</v>
      </c>
      <c r="M85" s="3">
        <v>4.2508268581019504</v>
      </c>
      <c r="N85" s="3">
        <v>3.4562129697251298</v>
      </c>
      <c r="O85" s="3">
        <v>1.42314373793174</v>
      </c>
      <c r="P85" s="3">
        <v>1.58346869789237</v>
      </c>
      <c r="Q85" s="3">
        <v>3.7740009654000399</v>
      </c>
      <c r="R85" s="3">
        <v>2.8869470479468902</v>
      </c>
      <c r="S85" s="3">
        <v>5.5519292147363002</v>
      </c>
      <c r="T85" s="3">
        <v>4.4703170976452098</v>
      </c>
      <c r="U85" s="3">
        <v>1.1281101008324701</v>
      </c>
      <c r="V85" s="3">
        <v>3.29157295056969</v>
      </c>
    </row>
    <row r="86" spans="1:22" x14ac:dyDescent="0.35">
      <c r="A86" s="2">
        <v>44337</v>
      </c>
      <c r="B86" s="3">
        <v>1.8887263828525001</v>
      </c>
      <c r="C86" s="3">
        <v>4.0262257851999097</v>
      </c>
      <c r="D86" s="3">
        <v>2.8775830264964499</v>
      </c>
      <c r="E86" s="3">
        <v>2.1543315137447201</v>
      </c>
      <c r="F86" s="3">
        <v>2.8321738576708602</v>
      </c>
      <c r="G86" s="3">
        <v>2.4149049660553001</v>
      </c>
      <c r="H86" s="3">
        <v>4.1001203659977996</v>
      </c>
      <c r="I86" s="3">
        <v>4.1912237852585603</v>
      </c>
      <c r="J86" s="3">
        <v>3.0923296144289001</v>
      </c>
      <c r="K86" s="3">
        <v>1.7519562615324999</v>
      </c>
      <c r="L86" s="3">
        <v>4.7387524535077397</v>
      </c>
      <c r="M86" s="3">
        <v>4.3410484708734298</v>
      </c>
      <c r="N86" s="3">
        <v>3.25384363897563</v>
      </c>
      <c r="O86" s="3">
        <v>1.4137158157004901</v>
      </c>
      <c r="P86" s="3">
        <v>1.69127103501084</v>
      </c>
      <c r="Q86" s="3">
        <v>3.84211745205454</v>
      </c>
      <c r="R86" s="3">
        <v>2.9357535936937902</v>
      </c>
      <c r="S86" s="3">
        <v>5.5403512655429097</v>
      </c>
      <c r="T86" s="3">
        <v>4.3029112462681898</v>
      </c>
      <c r="U86" s="3">
        <v>1.20117743136288</v>
      </c>
      <c r="V86" s="3">
        <v>3.3297977165075201</v>
      </c>
    </row>
    <row r="87" spans="1:22" x14ac:dyDescent="0.35">
      <c r="A87" s="2">
        <v>44370</v>
      </c>
      <c r="B87" s="3">
        <v>1.8448623567784099</v>
      </c>
      <c r="C87" s="3">
        <v>3.9017400982991499</v>
      </c>
      <c r="D87" s="3">
        <v>2.9468486036472998</v>
      </c>
      <c r="E87" s="3">
        <v>1.9160201830989501</v>
      </c>
      <c r="F87" s="3">
        <v>3.0102792197108901</v>
      </c>
      <c r="G87" s="3">
        <v>2.8784796485484998</v>
      </c>
      <c r="H87" s="3">
        <v>4.14819590018715</v>
      </c>
      <c r="I87" s="3">
        <v>4.0371167576010798</v>
      </c>
      <c r="J87" s="3">
        <v>3.1575200347092198</v>
      </c>
      <c r="K87" s="3">
        <v>1.6582290443955501</v>
      </c>
      <c r="L87" s="3">
        <v>4.8699869808141898</v>
      </c>
      <c r="M87" s="3">
        <v>4.3543595122709498</v>
      </c>
      <c r="N87" s="3">
        <v>2.9996756228214099</v>
      </c>
      <c r="O87" s="3">
        <v>1.4089281192912599</v>
      </c>
      <c r="P87" s="3">
        <v>1.6185848905931599</v>
      </c>
      <c r="Q87" s="3">
        <v>3.8081163373522502</v>
      </c>
      <c r="R87" s="3">
        <v>2.87933552322297</v>
      </c>
      <c r="S87" s="3">
        <v>5.6008186682975403</v>
      </c>
      <c r="T87" s="3">
        <v>4.5284153618677596</v>
      </c>
      <c r="U87" s="3">
        <v>1.3769797114464299</v>
      </c>
      <c r="V87" s="3">
        <v>3.1988264700560101</v>
      </c>
    </row>
    <row r="88" spans="1:22" x14ac:dyDescent="0.35">
      <c r="A88" s="2">
        <v>44400</v>
      </c>
      <c r="B88" s="3">
        <v>1.8713402044324099</v>
      </c>
      <c r="C88" s="3">
        <v>4.7383618047673401</v>
      </c>
      <c r="D88" s="3">
        <v>3.0829613702977801</v>
      </c>
      <c r="E88" s="3">
        <v>2.0378602203987</v>
      </c>
      <c r="F88" s="3">
        <v>3.0742144562461502</v>
      </c>
      <c r="G88" s="3">
        <v>3.0503649083956699</v>
      </c>
      <c r="H88" s="3">
        <v>4.2251351940336797</v>
      </c>
      <c r="I88" s="3">
        <v>4.1100852863715804</v>
      </c>
      <c r="J88" s="3">
        <v>3.15987715123955</v>
      </c>
      <c r="K88" s="3">
        <v>1.71162893943409</v>
      </c>
      <c r="L88" s="3">
        <v>5.4384180717691004</v>
      </c>
      <c r="M88" s="3">
        <v>4.4537886568656999</v>
      </c>
      <c r="N88" s="3">
        <v>3.0316222675602198</v>
      </c>
      <c r="O88" s="3">
        <v>1.3887180827215699</v>
      </c>
      <c r="P88" s="3">
        <v>1.7546175452806001</v>
      </c>
      <c r="Q88" s="3">
        <v>3.9124130527076399</v>
      </c>
      <c r="R88" s="3">
        <v>3.0018322420538102</v>
      </c>
      <c r="S88" s="3">
        <v>6.0803282478685503</v>
      </c>
      <c r="T88" s="3">
        <v>4.7252635813864199</v>
      </c>
      <c r="U88" s="3">
        <v>1.43640568805332</v>
      </c>
      <c r="V88" s="3">
        <v>3.3161894596948698</v>
      </c>
    </row>
    <row r="89" spans="1:22" x14ac:dyDescent="0.35">
      <c r="A89" s="2">
        <v>44431</v>
      </c>
      <c r="B89" s="3">
        <v>2.0110306267491702</v>
      </c>
      <c r="C89" s="3">
        <v>4.7473949266576296</v>
      </c>
      <c r="D89" s="3">
        <v>3.0261334025267201</v>
      </c>
      <c r="E89" s="3">
        <v>2.0543329562477202</v>
      </c>
      <c r="F89" s="3">
        <v>2.9913510093317699</v>
      </c>
      <c r="G89" s="3">
        <v>3.61749959703765</v>
      </c>
      <c r="H89" s="3">
        <v>4.1867150209558002</v>
      </c>
      <c r="I89" s="3">
        <v>4.3938771452421301</v>
      </c>
      <c r="J89" s="3">
        <v>3.1419151361558102</v>
      </c>
      <c r="K89" s="3">
        <v>1.8606947045311899</v>
      </c>
      <c r="L89" s="3">
        <v>6.0156017806645803</v>
      </c>
      <c r="M89" s="3">
        <v>5.1024982141064497</v>
      </c>
      <c r="N89" s="3">
        <v>3.2062133106420601</v>
      </c>
      <c r="O89" s="3">
        <v>1.3518155209528799</v>
      </c>
      <c r="P89" s="3">
        <v>1.9905247686952201</v>
      </c>
      <c r="Q89" s="3">
        <v>3.8545281749633</v>
      </c>
      <c r="R89" s="3">
        <v>2.9038406136794599</v>
      </c>
      <c r="S89" s="3">
        <v>5.7802139625419899</v>
      </c>
      <c r="T89" s="3">
        <v>4.4856218010793603</v>
      </c>
      <c r="U89" s="3">
        <v>1.4500443064617801</v>
      </c>
      <c r="V89" s="3">
        <v>3.2298024786105302</v>
      </c>
    </row>
    <row r="90" spans="1:22" x14ac:dyDescent="0.35">
      <c r="A90" s="2">
        <v>44462</v>
      </c>
      <c r="B90" s="3">
        <v>1.99302859807939</v>
      </c>
      <c r="C90" s="3">
        <v>4.6685457230274201</v>
      </c>
      <c r="D90" s="3">
        <v>3.15433136144497</v>
      </c>
      <c r="E90" s="3">
        <v>1.8656979764142501</v>
      </c>
      <c r="F90" s="3">
        <v>3.0136569933294499</v>
      </c>
      <c r="G90" s="3">
        <v>3.6887562813477701</v>
      </c>
      <c r="H90" s="3">
        <v>4.0731758754421499</v>
      </c>
      <c r="I90" s="3">
        <v>4.3269887018727697</v>
      </c>
      <c r="J90" s="3">
        <v>3.2011672816577001</v>
      </c>
      <c r="K90" s="3">
        <v>1.8427818510852501</v>
      </c>
      <c r="L90" s="3">
        <v>6.2947717832940402</v>
      </c>
      <c r="M90" s="3">
        <v>4.8438660262534503</v>
      </c>
      <c r="N90" s="3">
        <v>3.0338353928525499</v>
      </c>
      <c r="O90" s="3">
        <v>1.2578795597316199</v>
      </c>
      <c r="P90" s="3">
        <v>1.95393685049677</v>
      </c>
      <c r="Q90" s="3">
        <v>4.0442795537612399</v>
      </c>
      <c r="R90" s="3">
        <v>2.84104075760643</v>
      </c>
      <c r="S90" s="3">
        <v>6.1096208944690398</v>
      </c>
      <c r="T90" s="3">
        <v>4.1064289412050199</v>
      </c>
      <c r="U90" s="3">
        <v>1.4208418090263499</v>
      </c>
      <c r="V90" s="3">
        <v>3.0942227166688498</v>
      </c>
    </row>
    <row r="91" spans="1:22" x14ac:dyDescent="0.35">
      <c r="A91" s="2">
        <v>44491</v>
      </c>
      <c r="B91" s="3">
        <v>1.9883952127420299</v>
      </c>
      <c r="C91" s="3">
        <v>5.0388746897301502</v>
      </c>
      <c r="D91" s="3">
        <v>2.8753719683039698</v>
      </c>
      <c r="E91" s="3">
        <v>1.79034031219624</v>
      </c>
      <c r="F91" s="3">
        <v>2.8791864799830398</v>
      </c>
      <c r="G91" s="3">
        <v>3.4575883471262601</v>
      </c>
      <c r="H91" s="3">
        <v>3.8662686646806499</v>
      </c>
      <c r="I91" s="3">
        <v>4.4483694001773202</v>
      </c>
      <c r="J91" s="3">
        <v>3.35044288707926</v>
      </c>
      <c r="K91" s="3">
        <v>1.9411659154656999</v>
      </c>
      <c r="L91" s="3">
        <v>6.9741919812862001</v>
      </c>
      <c r="M91" s="3">
        <v>4.7104562804526502</v>
      </c>
      <c r="N91" s="3">
        <v>3.0157989565462802</v>
      </c>
      <c r="O91" s="3">
        <v>1.30720828052867</v>
      </c>
      <c r="P91" s="3">
        <v>1.87200155318512</v>
      </c>
      <c r="Q91" s="3">
        <v>3.71317822035705</v>
      </c>
      <c r="R91" s="3">
        <v>2.8241365668151501</v>
      </c>
      <c r="S91" s="3">
        <v>5.8992003841405003</v>
      </c>
      <c r="T91" s="3">
        <v>4.0516488006936804</v>
      </c>
      <c r="U91" s="3">
        <v>1.42471943157331</v>
      </c>
      <c r="V91" s="3">
        <v>2.8392375342782099</v>
      </c>
    </row>
    <row r="92" spans="1:22" x14ac:dyDescent="0.35">
      <c r="A92" s="2">
        <v>44523</v>
      </c>
      <c r="B92" s="3">
        <v>1.98151601158289</v>
      </c>
      <c r="C92" s="3">
        <v>4.7530877085110399</v>
      </c>
      <c r="D92" s="3">
        <v>3.02116415309166</v>
      </c>
      <c r="E92" s="3">
        <v>1.7301355102667899</v>
      </c>
      <c r="F92" s="3">
        <v>3.23488260361064</v>
      </c>
      <c r="G92" s="3">
        <v>3.9009973588575102</v>
      </c>
      <c r="H92" s="3">
        <v>4.0262567237626099</v>
      </c>
      <c r="I92" s="3">
        <v>4.2584747306926696</v>
      </c>
      <c r="J92" s="3">
        <v>3.5279772737805501</v>
      </c>
      <c r="K92" s="3">
        <v>1.95832453955021</v>
      </c>
      <c r="L92" s="3">
        <v>7.6484402131362899</v>
      </c>
      <c r="M92" s="3">
        <v>4.5600251065673598</v>
      </c>
      <c r="N92" s="3">
        <v>2.9163798512420001</v>
      </c>
      <c r="O92" s="3">
        <v>1.3719652123352799</v>
      </c>
      <c r="P92" s="3">
        <v>2.0200253364869498</v>
      </c>
      <c r="Q92" s="3">
        <v>3.8672419464990901</v>
      </c>
      <c r="R92" s="3">
        <v>2.8116724248969298</v>
      </c>
      <c r="S92" s="3">
        <v>5.0585228696281401</v>
      </c>
      <c r="T92" s="3">
        <v>3.76085592737385</v>
      </c>
      <c r="U92" s="3">
        <v>1.4457027848858</v>
      </c>
      <c r="V92" s="3">
        <v>3.1803093348135398</v>
      </c>
    </row>
    <row r="93" spans="1:22" x14ac:dyDescent="0.35">
      <c r="A93" s="2">
        <v>44553</v>
      </c>
      <c r="B93" s="3">
        <v>1.96672618635209</v>
      </c>
      <c r="C93" s="3">
        <v>5.5732849489724297</v>
      </c>
      <c r="D93" s="3">
        <v>3.1816283516311601</v>
      </c>
      <c r="E93" s="3">
        <v>1.7671284716701301</v>
      </c>
      <c r="F93" s="3">
        <v>3.3802520302928398</v>
      </c>
      <c r="G93" s="3">
        <v>4.1900552462887699</v>
      </c>
      <c r="H93" s="3">
        <v>3.83828567723471</v>
      </c>
      <c r="I93" s="3">
        <v>4.1597463302488702</v>
      </c>
      <c r="J93" s="3">
        <v>3.3875750231448598</v>
      </c>
      <c r="K93" s="3">
        <v>1.9321514142815399</v>
      </c>
      <c r="L93" s="3">
        <v>7.5413306120810404</v>
      </c>
      <c r="M93" s="3">
        <v>4.6267209678520897</v>
      </c>
      <c r="N93" s="3">
        <v>3.2023250373441798</v>
      </c>
      <c r="O93" s="3">
        <v>1.3825062287958201</v>
      </c>
      <c r="P93" s="3">
        <v>2.1385495449234901</v>
      </c>
      <c r="Q93" s="3">
        <v>4.0532848055341697</v>
      </c>
      <c r="R93" s="3">
        <v>2.8862664702387399</v>
      </c>
      <c r="S93" s="3">
        <v>5.5224093638640097</v>
      </c>
      <c r="T93" s="3">
        <v>4.3727961873979897</v>
      </c>
      <c r="U93" s="3">
        <v>1.5806209066301</v>
      </c>
      <c r="V93" s="3">
        <v>3.2163039922608898</v>
      </c>
    </row>
    <row r="94" spans="1:22" x14ac:dyDescent="0.35">
      <c r="A94" s="2">
        <v>44582</v>
      </c>
      <c r="B94" s="3">
        <v>2.10024243989207</v>
      </c>
      <c r="C94" s="3">
        <v>4.7970907674946401</v>
      </c>
      <c r="D94" s="3">
        <v>3.09220989794927</v>
      </c>
      <c r="E94" s="3">
        <v>1.78941371430469</v>
      </c>
      <c r="F94" s="3">
        <v>3.1788283624565499</v>
      </c>
      <c r="G94" s="3">
        <v>3.6112215013712099</v>
      </c>
      <c r="H94" s="3">
        <v>3.8465738989813798</v>
      </c>
      <c r="I94" s="3">
        <v>4.30622806325532</v>
      </c>
      <c r="J94" s="3">
        <v>3.53820551896625</v>
      </c>
      <c r="K94" s="3">
        <v>2.0545443600431801</v>
      </c>
      <c r="L94" s="3">
        <v>7.0735975228251204</v>
      </c>
      <c r="M94" s="3">
        <v>4.4023316821735401</v>
      </c>
      <c r="N94" s="3">
        <v>3.09985943898752</v>
      </c>
      <c r="O94" s="3">
        <v>1.3670314024471</v>
      </c>
      <c r="P94" s="3">
        <v>2.1188363894020101</v>
      </c>
      <c r="Q94" s="3">
        <v>3.9388951490338702</v>
      </c>
      <c r="R94" s="3">
        <v>2.8768979312744198</v>
      </c>
      <c r="S94" s="3">
        <v>5.7294280982701302</v>
      </c>
      <c r="T94" s="3">
        <v>4.2395617648674202</v>
      </c>
      <c r="U94" s="3">
        <v>1.58985197383122</v>
      </c>
      <c r="V94" s="3">
        <v>3.0067804974705901</v>
      </c>
    </row>
    <row r="95" spans="1:22" x14ac:dyDescent="0.35">
      <c r="A95" s="2">
        <v>44615</v>
      </c>
      <c r="B95" s="3">
        <v>2.1888461895043099</v>
      </c>
      <c r="C95" s="3">
        <v>4.8965427412878597</v>
      </c>
      <c r="D95" s="3">
        <v>3.0802681440901201</v>
      </c>
      <c r="E95" s="3">
        <v>1.8218372248802699</v>
      </c>
      <c r="F95" s="3">
        <v>3.62808497704602</v>
      </c>
      <c r="G95" s="3">
        <v>3.5018471618299101</v>
      </c>
      <c r="H95" s="3">
        <v>3.8048030975652098</v>
      </c>
      <c r="I95" s="3">
        <v>4.3234864811574898</v>
      </c>
      <c r="J95" s="3">
        <v>3.7229438769294001</v>
      </c>
      <c r="K95" s="3">
        <v>2.2002314014009898</v>
      </c>
      <c r="L95" s="3">
        <v>6.9226579605547602</v>
      </c>
      <c r="M95" s="3">
        <v>4.4632872398286798</v>
      </c>
      <c r="N95" s="3">
        <v>2.9128361719992499</v>
      </c>
      <c r="O95" s="3">
        <v>1.47657752263102</v>
      </c>
      <c r="P95" s="3">
        <v>2.3028195047683901</v>
      </c>
      <c r="Q95" s="3">
        <v>3.9007669881428702</v>
      </c>
      <c r="R95" s="3">
        <v>2.85687695928514</v>
      </c>
      <c r="S95" s="3">
        <v>6.0122568275589803</v>
      </c>
      <c r="T95" s="3">
        <v>4.1965918372314697</v>
      </c>
      <c r="U95" s="3">
        <v>1.7075545081243999</v>
      </c>
      <c r="V95" s="3">
        <v>2.9261186051588002</v>
      </c>
    </row>
    <row r="96" spans="1:22" x14ac:dyDescent="0.35">
      <c r="A96" s="2">
        <v>44643</v>
      </c>
      <c r="B96" s="3">
        <v>2.3524144088216601</v>
      </c>
      <c r="C96" s="3">
        <v>4.7269910959883097</v>
      </c>
      <c r="D96" s="3">
        <v>3.2467674890785498</v>
      </c>
      <c r="E96" s="3">
        <v>1.9716968220828199</v>
      </c>
      <c r="F96" s="3">
        <v>3.4867504988093598</v>
      </c>
      <c r="G96" s="3">
        <v>3.5138550415783398</v>
      </c>
      <c r="H96" s="3">
        <v>3.7862907286180301</v>
      </c>
      <c r="I96" s="3">
        <v>4.4496069831340304</v>
      </c>
      <c r="J96" s="3">
        <v>3.4144163959831899</v>
      </c>
      <c r="K96" s="3">
        <v>2.2119828218910298</v>
      </c>
      <c r="L96" s="3">
        <v>8.3610118536252003</v>
      </c>
      <c r="M96" s="3">
        <v>4.38875327379455</v>
      </c>
      <c r="N96" s="3">
        <v>3.0885718593465201</v>
      </c>
      <c r="O96" s="3">
        <v>1.4692221449646199</v>
      </c>
      <c r="P96" s="3">
        <v>2.4619093063378901</v>
      </c>
      <c r="Q96" s="3">
        <v>3.7114003981905301</v>
      </c>
      <c r="R96" s="3">
        <v>2.90290249908429</v>
      </c>
      <c r="S96" s="3">
        <v>5.8300184568810502</v>
      </c>
      <c r="T96" s="3">
        <v>3.6995813216586502</v>
      </c>
      <c r="U96" s="3">
        <v>1.5273720097093</v>
      </c>
      <c r="V96" s="3">
        <v>2.8872311753648798</v>
      </c>
    </row>
    <row r="97" spans="1:22" x14ac:dyDescent="0.35">
      <c r="A97" s="2">
        <v>44673</v>
      </c>
      <c r="B97" s="3">
        <v>2.52666335754579</v>
      </c>
      <c r="C97" s="3">
        <v>4.9275107150527102</v>
      </c>
      <c r="D97" s="3">
        <v>3.2804311581343</v>
      </c>
      <c r="E97" s="3">
        <v>2.06394268630793</v>
      </c>
      <c r="F97" s="3">
        <v>3.622932009096</v>
      </c>
      <c r="G97" s="3">
        <v>4.00738205095558</v>
      </c>
      <c r="H97" s="3">
        <v>3.8232807231405399</v>
      </c>
      <c r="I97" s="3">
        <v>4.6593313294724998</v>
      </c>
      <c r="J97" s="3">
        <v>3.59942590195157</v>
      </c>
      <c r="K97" s="3">
        <v>2.2768686124764499</v>
      </c>
      <c r="L97" s="3">
        <v>8.7463573916429098</v>
      </c>
      <c r="M97" s="3">
        <v>4.6714547559080204</v>
      </c>
      <c r="N97" s="3">
        <v>3.0553351970643599</v>
      </c>
      <c r="O97" s="3">
        <v>1.4876689193650099</v>
      </c>
      <c r="P97" s="3">
        <v>2.7341485044808298</v>
      </c>
      <c r="Q97" s="3">
        <v>3.6992311309744101</v>
      </c>
      <c r="R97" s="3">
        <v>2.96936815343083</v>
      </c>
      <c r="S97" s="3">
        <v>5.4143449163478703</v>
      </c>
      <c r="T97" s="3">
        <v>3.4555049323504199</v>
      </c>
      <c r="U97" s="3">
        <v>1.69705203382263</v>
      </c>
      <c r="V97" s="3">
        <v>2.7115401049975598</v>
      </c>
    </row>
    <row r="98" spans="1:22" x14ac:dyDescent="0.35">
      <c r="A98" s="2">
        <v>44704</v>
      </c>
      <c r="B98" s="3">
        <v>2.4330411790835198</v>
      </c>
      <c r="C98" s="3">
        <v>5.4751073883874799</v>
      </c>
      <c r="D98" s="3">
        <v>3.5762546333730798</v>
      </c>
      <c r="E98" s="3">
        <v>2.4181703241296701</v>
      </c>
      <c r="F98" s="3">
        <v>3.9042214884145401</v>
      </c>
      <c r="G98" s="3">
        <v>4.5676998475650201</v>
      </c>
      <c r="H98" s="3">
        <v>4.0307745559688897</v>
      </c>
      <c r="I98" s="3">
        <v>4.8337918020666502</v>
      </c>
      <c r="J98" s="3">
        <v>3.7403508196290098</v>
      </c>
      <c r="K98" s="3">
        <v>2.3334308442722702</v>
      </c>
      <c r="L98" s="3">
        <v>9.8628882972051297</v>
      </c>
      <c r="M98" s="3">
        <v>4.9368296543802499</v>
      </c>
      <c r="N98" s="3">
        <v>3.5804915718122698</v>
      </c>
      <c r="O98" s="3">
        <v>1.66916616903246</v>
      </c>
      <c r="P98" s="3">
        <v>2.6352060199039702</v>
      </c>
      <c r="Q98" s="3">
        <v>4.1339701018409496</v>
      </c>
      <c r="R98" s="3">
        <v>3.02247782443761</v>
      </c>
      <c r="S98" s="3">
        <v>5.6530257662969197</v>
      </c>
      <c r="T98" s="3">
        <v>4.04359212261169</v>
      </c>
      <c r="U98" s="3">
        <v>1.8878687803869101</v>
      </c>
      <c r="V98" s="3">
        <v>3.0394701909080499</v>
      </c>
    </row>
    <row r="99" spans="1:22" x14ac:dyDescent="0.35">
      <c r="A99" s="2">
        <v>44735</v>
      </c>
      <c r="B99" s="3">
        <v>2.29343072031772</v>
      </c>
      <c r="C99" s="3">
        <v>7.1455898638169399</v>
      </c>
      <c r="D99" s="3">
        <v>3.5420257856770401</v>
      </c>
      <c r="E99" s="3">
        <v>2.4407176555627101</v>
      </c>
      <c r="F99" s="3">
        <v>4.4884898440439098</v>
      </c>
      <c r="G99" s="3">
        <v>5.1680505407957797</v>
      </c>
      <c r="H99" s="3">
        <v>4.2576476021584497</v>
      </c>
      <c r="I99" s="3">
        <v>5.0803417370505599</v>
      </c>
      <c r="J99" s="3">
        <v>4.22814672729268</v>
      </c>
      <c r="K99" s="3">
        <v>2.6558246091084201</v>
      </c>
      <c r="L99" s="3">
        <v>11.141703635857001</v>
      </c>
      <c r="M99" s="3">
        <v>5.2182560786147301</v>
      </c>
      <c r="N99" s="3">
        <v>4.1150313924142603</v>
      </c>
      <c r="O99" s="3">
        <v>1.7120399273248399</v>
      </c>
      <c r="P99" s="3">
        <v>2.3749365763171499</v>
      </c>
      <c r="Q99" s="3">
        <v>4.4918012999977703</v>
      </c>
      <c r="R99" s="3">
        <v>3.18447484023892</v>
      </c>
      <c r="S99" s="3">
        <v>5.8802577490284698</v>
      </c>
      <c r="T99" s="3">
        <v>4.4219608635415399</v>
      </c>
      <c r="U99" s="3">
        <v>1.97351277940639</v>
      </c>
      <c r="V99" s="3">
        <v>3.3203462527124699</v>
      </c>
    </row>
    <row r="100" spans="1:22" x14ac:dyDescent="0.35">
      <c r="A100" s="2">
        <v>44764</v>
      </c>
      <c r="B100" s="3">
        <v>2.39085647589238</v>
      </c>
      <c r="C100" s="3">
        <v>7.35966574668796</v>
      </c>
      <c r="D100" s="3">
        <v>3.6594332174308701</v>
      </c>
      <c r="E100" s="3">
        <v>2.4553806999174999</v>
      </c>
      <c r="F100" s="3">
        <v>4.2652487534449799</v>
      </c>
      <c r="G100" s="3">
        <v>5.1977096851120796</v>
      </c>
      <c r="H100" s="3">
        <v>4.1235942940513004</v>
      </c>
      <c r="I100" s="3">
        <v>5.0995859787594497</v>
      </c>
      <c r="J100" s="3">
        <v>4.0988931249823697</v>
      </c>
      <c r="K100" s="3">
        <v>2.5867000689486899</v>
      </c>
      <c r="L100" s="3">
        <v>11.4287167484067</v>
      </c>
      <c r="M100" s="3">
        <v>4.9332380716949196</v>
      </c>
      <c r="N100" s="3">
        <v>4.2097714380008497</v>
      </c>
      <c r="O100" s="3">
        <v>1.57540445786304</v>
      </c>
      <c r="P100" s="3">
        <v>2.4842475164036899</v>
      </c>
      <c r="Q100" s="3">
        <v>4.0418069130007899</v>
      </c>
      <c r="R100" s="3">
        <v>3.2005647161147999</v>
      </c>
      <c r="S100" s="3">
        <v>6.1059277753325203</v>
      </c>
      <c r="T100" s="3">
        <v>4.1398386284638304</v>
      </c>
      <c r="U100" s="3">
        <v>1.9320610845409101</v>
      </c>
      <c r="V100" s="3">
        <v>3.2241186633173902</v>
      </c>
    </row>
    <row r="101" spans="1:22" x14ac:dyDescent="0.35">
      <c r="A101" s="2">
        <v>44796</v>
      </c>
      <c r="B101" s="3">
        <v>2.38419693402586</v>
      </c>
      <c r="C101" s="3">
        <v>7.3978748213273704</v>
      </c>
      <c r="D101" s="3">
        <v>3.6434656192379902</v>
      </c>
      <c r="E101" s="3">
        <v>2.3270997170969898</v>
      </c>
      <c r="F101" s="3">
        <v>4.3582525879984297</v>
      </c>
      <c r="G101" s="3">
        <v>5.2490892012758499</v>
      </c>
      <c r="H101" s="3">
        <v>4.1079231682350601</v>
      </c>
      <c r="I101" s="3">
        <v>4.9602040088222097</v>
      </c>
      <c r="J101" s="3">
        <v>4.04041711731346</v>
      </c>
      <c r="K101" s="3">
        <v>2.5775039612902799</v>
      </c>
      <c r="L101" s="3">
        <v>10.4499431669269</v>
      </c>
      <c r="M101" s="3">
        <v>5.0294153462126898</v>
      </c>
      <c r="N101" s="3">
        <v>3.93750819629587</v>
      </c>
      <c r="O101" s="3">
        <v>1.4875797596090601</v>
      </c>
      <c r="P101" s="3">
        <v>2.5881899645012898</v>
      </c>
      <c r="Q101" s="3">
        <v>3.8443562337311201</v>
      </c>
      <c r="R101" s="3">
        <v>3.0866843644399999</v>
      </c>
      <c r="S101" s="3">
        <v>4.8016513024685699</v>
      </c>
      <c r="T101" s="3">
        <v>4.0812553948001096</v>
      </c>
      <c r="U101" s="3">
        <v>1.94703438695417</v>
      </c>
      <c r="V101" s="3">
        <v>3.0953824385740898</v>
      </c>
    </row>
    <row r="102" spans="1:22" x14ac:dyDescent="0.35">
      <c r="A102" s="2">
        <v>44827</v>
      </c>
      <c r="B102" s="3">
        <v>2.6312427066472099</v>
      </c>
      <c r="C102" s="3">
        <v>7.0761860942197501</v>
      </c>
      <c r="D102" s="3">
        <v>3.6537058379422098</v>
      </c>
      <c r="E102" s="3">
        <v>2.532631944956</v>
      </c>
      <c r="F102" s="3">
        <v>4.6861618907551099</v>
      </c>
      <c r="G102" s="3">
        <v>5.2950894962630199</v>
      </c>
      <c r="H102" s="3">
        <v>4.3196437785612503</v>
      </c>
      <c r="I102" s="3">
        <v>5.2405341239759302</v>
      </c>
      <c r="J102" s="3">
        <v>4.1683834055241302</v>
      </c>
      <c r="K102" s="3">
        <v>2.7503998996210601</v>
      </c>
      <c r="L102" s="3">
        <v>10.355368272539</v>
      </c>
      <c r="M102" s="3">
        <v>5.6179479648117203</v>
      </c>
      <c r="N102" s="3">
        <v>4.7308414249127297</v>
      </c>
      <c r="O102" s="3">
        <v>1.5294329085340801</v>
      </c>
      <c r="P102" s="3">
        <v>2.7278630333543799</v>
      </c>
      <c r="Q102" s="3">
        <v>4.0574627727794796</v>
      </c>
      <c r="R102" s="3">
        <v>3.0870330560030901</v>
      </c>
      <c r="S102" s="3">
        <v>4.9623133303798896</v>
      </c>
      <c r="T102" s="3">
        <v>4.2261680319882</v>
      </c>
      <c r="U102" s="3">
        <v>2.1807035162778798</v>
      </c>
      <c r="V102" s="3">
        <v>3.4225440862229202</v>
      </c>
    </row>
    <row r="103" spans="1:22" x14ac:dyDescent="0.35">
      <c r="A103" s="2">
        <v>44855</v>
      </c>
      <c r="B103" s="3">
        <v>2.7115919593443301</v>
      </c>
      <c r="C103" s="3">
        <v>7.1094414824658596</v>
      </c>
      <c r="D103" s="3">
        <v>3.8805089493700602</v>
      </c>
      <c r="E103" s="3">
        <v>2.66776847475069</v>
      </c>
      <c r="F103" s="3">
        <v>4.87354918613583</v>
      </c>
      <c r="G103" s="3">
        <v>5.0569984075851204</v>
      </c>
      <c r="H103" s="3">
        <v>4.2885644407052101</v>
      </c>
      <c r="I103" s="3">
        <v>5.3963887477789898</v>
      </c>
      <c r="J103" s="3">
        <v>4.0233878528334399</v>
      </c>
      <c r="K103" s="3">
        <v>2.7510121515115999</v>
      </c>
      <c r="L103" s="3">
        <v>8.9507559905273908</v>
      </c>
      <c r="M103" s="3">
        <v>5.5355887854334798</v>
      </c>
      <c r="N103" s="3">
        <v>4.3325305561827401</v>
      </c>
      <c r="O103" s="3">
        <v>1.51467739527401</v>
      </c>
      <c r="P103" s="3">
        <v>2.9579566984230499</v>
      </c>
      <c r="Q103" s="3">
        <v>4.0345682400673901</v>
      </c>
      <c r="R103" s="3">
        <v>3.16697710787999</v>
      </c>
      <c r="S103" s="3">
        <v>5.0232205773962502</v>
      </c>
      <c r="T103" s="3">
        <v>4.3700749184397001</v>
      </c>
      <c r="U103" s="3">
        <v>2.5638315523961501</v>
      </c>
      <c r="V103" s="3">
        <v>3.2602966373000202</v>
      </c>
    </row>
    <row r="104" spans="1:22" x14ac:dyDescent="0.35">
      <c r="A104" s="2">
        <v>44888</v>
      </c>
      <c r="B104" s="3">
        <v>2.6295242498451499</v>
      </c>
      <c r="C104" s="3">
        <v>8.9084497046011197</v>
      </c>
      <c r="D104" s="3">
        <v>3.9102408011054002</v>
      </c>
      <c r="E104" s="3">
        <v>2.4568725104143501</v>
      </c>
      <c r="F104" s="3">
        <v>4.2486182989501398</v>
      </c>
      <c r="G104" s="3">
        <v>3.7349324794859502</v>
      </c>
      <c r="H104" s="3">
        <v>4.2806168381711602</v>
      </c>
      <c r="I104" s="3">
        <v>4.4602554668737797</v>
      </c>
      <c r="J104" s="3">
        <v>3.6943615645337999</v>
      </c>
      <c r="K104" s="3">
        <v>2.5438450856971602</v>
      </c>
      <c r="L104" s="3">
        <v>7.7966834704736296</v>
      </c>
      <c r="M104" s="3">
        <v>4.8940816998292496</v>
      </c>
      <c r="N104" s="3">
        <v>4.4964269503767103</v>
      </c>
      <c r="O104" s="3">
        <v>1.4907447872467701</v>
      </c>
      <c r="P104" s="3">
        <v>2.73752039780357</v>
      </c>
      <c r="Q104" s="3">
        <v>4.2886534328230397</v>
      </c>
      <c r="R104" s="3">
        <v>3.0538412803601198</v>
      </c>
      <c r="S104" s="3">
        <v>4.7564467807786297</v>
      </c>
      <c r="T104" s="3">
        <v>4.3635289395852004</v>
      </c>
      <c r="U104" s="3">
        <v>2.6480125649970501</v>
      </c>
      <c r="V104" s="3">
        <v>3.5143651967181802</v>
      </c>
    </row>
    <row r="105" spans="1:22" x14ac:dyDescent="0.35">
      <c r="A105" s="2">
        <v>44918</v>
      </c>
      <c r="B105" s="3">
        <v>2.58984422133409</v>
      </c>
      <c r="C105" s="3">
        <v>8.4854109975588106</v>
      </c>
      <c r="D105" s="3">
        <v>4.0731918197261603</v>
      </c>
      <c r="E105" s="3">
        <v>2.3753169740647802</v>
      </c>
      <c r="F105" s="3">
        <v>4.1995283448973897</v>
      </c>
      <c r="G105" s="3">
        <v>3.8612984202546099</v>
      </c>
      <c r="H105" s="3">
        <v>4.22198913521144</v>
      </c>
      <c r="I105" s="3">
        <v>4.5092102040006798</v>
      </c>
      <c r="J105" s="3">
        <v>3.83534792389798</v>
      </c>
      <c r="K105" s="3">
        <v>2.5899341700299399</v>
      </c>
      <c r="L105" s="3">
        <v>6.7771945217556704</v>
      </c>
      <c r="M105" s="3">
        <v>4.8801252895059202</v>
      </c>
      <c r="N105" s="3">
        <v>4.46800286071666</v>
      </c>
      <c r="O105" s="3">
        <v>1.52059096115882</v>
      </c>
      <c r="P105" s="3">
        <v>2.4850038665144201</v>
      </c>
      <c r="Q105" s="3">
        <v>4.6966009740776604</v>
      </c>
      <c r="R105" s="3">
        <v>3.04947098446481</v>
      </c>
      <c r="S105" s="3">
        <v>4.4249872929766596</v>
      </c>
      <c r="T105" s="3">
        <v>4.7083822345605002</v>
      </c>
      <c r="U105" s="3">
        <v>2.7044080681434099</v>
      </c>
      <c r="V105" s="3">
        <v>3.8551346338946</v>
      </c>
    </row>
    <row r="106" spans="1:22" x14ac:dyDescent="0.35">
      <c r="A106" s="2">
        <v>44949</v>
      </c>
      <c r="B106" s="3">
        <v>2.3728889602543002</v>
      </c>
      <c r="C106" s="3">
        <v>7.8186620906828201</v>
      </c>
      <c r="D106" s="3">
        <v>4.1970783028342797</v>
      </c>
      <c r="E106" s="3">
        <v>2.23410599573001</v>
      </c>
      <c r="F106" s="3">
        <v>3.9139819632614201</v>
      </c>
      <c r="G106" s="3">
        <v>3.7435481611238401</v>
      </c>
      <c r="H106" s="3">
        <v>4.1670325798365901</v>
      </c>
      <c r="I106" s="3">
        <v>4.2089617222087101</v>
      </c>
      <c r="J106" s="3">
        <v>3.5821537631220499</v>
      </c>
      <c r="K106" s="3">
        <v>2.4959207949487099</v>
      </c>
      <c r="L106" s="3">
        <v>6.60663192680469</v>
      </c>
      <c r="M106" s="3">
        <v>4.52023663539845</v>
      </c>
      <c r="N106" s="3">
        <v>4.3606550260373904</v>
      </c>
      <c r="O106" s="3">
        <v>1.5102441543942899</v>
      </c>
      <c r="P106" s="3">
        <v>2.1764469744513799</v>
      </c>
      <c r="Q106" s="3">
        <v>4.5348688279126197</v>
      </c>
      <c r="R106" s="3">
        <v>2.9554345931540298</v>
      </c>
      <c r="S106" s="3">
        <v>4.8057706999055201</v>
      </c>
      <c r="T106" s="3">
        <v>4.7193067202788903</v>
      </c>
      <c r="U106" s="3">
        <v>2.6339740202301098</v>
      </c>
      <c r="V106" s="3">
        <v>3.67291022859854</v>
      </c>
    </row>
    <row r="107" spans="1:22" x14ac:dyDescent="0.35">
      <c r="A107" s="2">
        <v>44980</v>
      </c>
      <c r="B107" s="3">
        <v>2.4125909167573898</v>
      </c>
      <c r="C107" s="3">
        <v>8.0492172429996192</v>
      </c>
      <c r="D107" s="3">
        <v>4.1795450737097601</v>
      </c>
      <c r="E107" s="3">
        <v>2.4127298861305602</v>
      </c>
      <c r="F107" s="3">
        <v>4.3230784887944296</v>
      </c>
      <c r="G107" s="3">
        <v>4.2857529061385797</v>
      </c>
      <c r="H107" s="3">
        <v>4.2972059069700599</v>
      </c>
      <c r="I107" s="3">
        <v>3.9712020246577802</v>
      </c>
      <c r="J107" s="3">
        <v>3.5374394424073698</v>
      </c>
      <c r="K107" s="3">
        <v>2.4791035718167702</v>
      </c>
      <c r="L107" s="3">
        <v>6.4055328849863402</v>
      </c>
      <c r="M107" s="3">
        <v>4.6598666771967601</v>
      </c>
      <c r="N107" s="3">
        <v>3.91139272115104</v>
      </c>
      <c r="O107" s="3">
        <v>1.57788588507684</v>
      </c>
      <c r="P107" s="3">
        <v>2.3806253254970899</v>
      </c>
      <c r="Q107" s="3">
        <v>4.7850964675593604</v>
      </c>
      <c r="R107" s="3">
        <v>3.0621937716567702</v>
      </c>
      <c r="S107" s="3">
        <v>5.2567794357558499</v>
      </c>
      <c r="T107" s="3">
        <v>4.7013604522393502</v>
      </c>
      <c r="U107" s="3">
        <v>2.5674118250522602</v>
      </c>
      <c r="V107" s="3">
        <v>3.8564152336465498</v>
      </c>
    </row>
    <row r="108" spans="1:22" x14ac:dyDescent="0.35">
      <c r="A108" s="2">
        <v>45008</v>
      </c>
      <c r="B108" s="3">
        <v>2.4819409408712199</v>
      </c>
      <c r="C108" s="3">
        <v>8.9070722468766697</v>
      </c>
      <c r="D108" s="3">
        <v>4.3952314285761496</v>
      </c>
      <c r="E108" s="3">
        <v>2.7032925633779601</v>
      </c>
      <c r="F108" s="3">
        <v>4.8419143462185898</v>
      </c>
      <c r="G108" s="3">
        <v>4.7000381848594799</v>
      </c>
      <c r="H108" s="3">
        <v>4.4921161191591601</v>
      </c>
      <c r="I108" s="3">
        <v>3.8630577751987598</v>
      </c>
      <c r="J108" s="3">
        <v>3.7575495230712899</v>
      </c>
      <c r="K108" s="3">
        <v>2.4610272754407299</v>
      </c>
      <c r="L108" s="3">
        <v>7.0295320788709104</v>
      </c>
      <c r="M108" s="3">
        <v>4.7356803995310504</v>
      </c>
      <c r="N108" s="3">
        <v>4.3539479364912301</v>
      </c>
      <c r="O108" s="3">
        <v>1.6378659747155699</v>
      </c>
      <c r="P108" s="3">
        <v>2.4377999654059299</v>
      </c>
      <c r="Q108" s="3">
        <v>4.9936212775496696</v>
      </c>
      <c r="R108" s="3">
        <v>3.1301567710645299</v>
      </c>
      <c r="S108" s="3">
        <v>4.9539230676713899</v>
      </c>
      <c r="T108" s="3">
        <v>4.8463438263262004</v>
      </c>
      <c r="U108" s="3">
        <v>2.5968242370407499</v>
      </c>
      <c r="V108" s="3">
        <v>3.70531200672457</v>
      </c>
    </row>
    <row r="109" spans="1:22" x14ac:dyDescent="0.35">
      <c r="A109" s="2">
        <v>45037</v>
      </c>
      <c r="B109" s="3">
        <v>2.4924426657413701</v>
      </c>
      <c r="C109" s="3">
        <v>8.4886160679101597</v>
      </c>
      <c r="D109" s="3">
        <v>4.3237308841381301</v>
      </c>
      <c r="E109" s="3">
        <v>2.7677935214281999</v>
      </c>
      <c r="F109" s="3">
        <v>4.33859289737764</v>
      </c>
      <c r="G109" s="3">
        <v>4.6710948966792998</v>
      </c>
      <c r="H109" s="3">
        <v>4.41872310200048</v>
      </c>
      <c r="I109" s="3">
        <v>3.90784252555309</v>
      </c>
      <c r="J109" s="3">
        <v>3.6370049270347899</v>
      </c>
      <c r="K109" s="3">
        <v>2.3309470130859302</v>
      </c>
      <c r="L109" s="3">
        <v>6.6824636921450802</v>
      </c>
      <c r="M109" s="3">
        <v>4.5228890515476898</v>
      </c>
      <c r="N109" s="3">
        <v>4.10848452037422</v>
      </c>
      <c r="O109" s="3">
        <v>1.6243231914990499</v>
      </c>
      <c r="P109" s="3">
        <v>2.4935739871999698</v>
      </c>
      <c r="Q109" s="3">
        <v>5.0745336170056703</v>
      </c>
      <c r="R109" s="3">
        <v>3.1737596022473098</v>
      </c>
      <c r="S109" s="3">
        <v>5.1317693873372203</v>
      </c>
      <c r="T109" s="3">
        <v>4.4841529970160998</v>
      </c>
      <c r="U109" s="3">
        <v>2.5283983265458501</v>
      </c>
      <c r="V109" s="3">
        <v>3.4153339076687002</v>
      </c>
    </row>
    <row r="110" spans="1:22" x14ac:dyDescent="0.35">
      <c r="A110" s="2">
        <v>45069</v>
      </c>
      <c r="B110" s="3">
        <v>2.5765297795492001</v>
      </c>
      <c r="C110" s="3">
        <v>7.1146828899285097</v>
      </c>
      <c r="D110" s="3">
        <v>4.6072362169266103</v>
      </c>
      <c r="E110" s="3">
        <v>2.8532856079017601</v>
      </c>
      <c r="F110" s="3">
        <v>4.2386202070119996</v>
      </c>
      <c r="G110" s="3">
        <v>5.1669216224937298</v>
      </c>
      <c r="H110" s="3">
        <v>4.4420357910496202</v>
      </c>
      <c r="I110" s="3">
        <v>3.6367226439869702</v>
      </c>
      <c r="J110" s="3">
        <v>3.7186746393964198</v>
      </c>
      <c r="K110" s="3">
        <v>2.3713219064291402</v>
      </c>
      <c r="L110" s="3">
        <v>6.5513123966430404</v>
      </c>
      <c r="M110" s="3">
        <v>4.7236544483482401</v>
      </c>
      <c r="N110" s="3">
        <v>3.87020606313046</v>
      </c>
      <c r="O110" s="3">
        <v>1.6108355045725</v>
      </c>
      <c r="P110" s="3">
        <v>2.5772065131408701</v>
      </c>
      <c r="Q110" s="3">
        <v>4.6529062909483798</v>
      </c>
      <c r="R110" s="3">
        <v>3.16093632891952</v>
      </c>
      <c r="S110" s="3">
        <v>5.7895601490464204</v>
      </c>
      <c r="T110" s="3">
        <v>4.5643561461597004</v>
      </c>
      <c r="U110" s="3">
        <v>2.5568465553681001</v>
      </c>
      <c r="V110" s="3">
        <v>3.4913444909754099</v>
      </c>
    </row>
    <row r="111" spans="1:22" x14ac:dyDescent="0.35">
      <c r="A111" s="2">
        <v>45100</v>
      </c>
      <c r="B111" s="3">
        <v>2.5915358206250398</v>
      </c>
      <c r="C111" s="3">
        <v>7.0147064287159004</v>
      </c>
      <c r="D111" s="3">
        <v>4.3588958185795104</v>
      </c>
      <c r="E111" s="3">
        <v>2.9808657389931099</v>
      </c>
      <c r="F111" s="3">
        <v>3.9762225137299798</v>
      </c>
      <c r="G111" s="3">
        <v>5.0683466347422996</v>
      </c>
      <c r="H111" s="3">
        <v>4.4341121876625804</v>
      </c>
      <c r="I111" s="3">
        <v>3.4547969168286299</v>
      </c>
      <c r="J111" s="3">
        <v>3.8055784337138001</v>
      </c>
      <c r="K111" s="3">
        <v>2.3590124097033098</v>
      </c>
      <c r="L111" s="3">
        <v>6.0570962094888303</v>
      </c>
      <c r="M111" s="3">
        <v>4.5878841656361704</v>
      </c>
      <c r="N111" s="3">
        <v>3.9109716561711099</v>
      </c>
      <c r="O111" s="3">
        <v>1.5552817372011301</v>
      </c>
      <c r="P111" s="3">
        <v>2.5644789951237299</v>
      </c>
      <c r="Q111" s="3">
        <v>4.7571852141636102</v>
      </c>
      <c r="R111" s="3">
        <v>3.2143339583521202</v>
      </c>
      <c r="S111" s="3">
        <v>4.7114315906046702</v>
      </c>
      <c r="T111" s="3">
        <v>4.3916350587270099</v>
      </c>
      <c r="U111" s="3">
        <v>2.5374282177505401</v>
      </c>
      <c r="V111" s="3">
        <v>3.4613571424390801</v>
      </c>
    </row>
    <row r="112" spans="1:22" x14ac:dyDescent="0.35">
      <c r="A112" s="2">
        <v>45128</v>
      </c>
      <c r="B112" s="3">
        <v>2.6178978718673598</v>
      </c>
      <c r="C112" s="3">
        <v>6.4545493750803198</v>
      </c>
      <c r="D112" s="3">
        <v>4.1531931951430199</v>
      </c>
      <c r="E112" s="3">
        <v>2.91122780736753</v>
      </c>
      <c r="F112" s="3">
        <v>3.78036103493785</v>
      </c>
      <c r="G112" s="3">
        <v>4.4341327428682398</v>
      </c>
      <c r="H112" s="3">
        <v>4.3620169559396302</v>
      </c>
      <c r="I112" s="3">
        <v>3.45461554033428</v>
      </c>
      <c r="J112" s="3">
        <v>3.7783533924399402</v>
      </c>
      <c r="K112" s="3">
        <v>2.33530814037473</v>
      </c>
      <c r="L112" s="3">
        <v>5.9313257474646397</v>
      </c>
      <c r="M112" s="3">
        <v>4.2429382641842501</v>
      </c>
      <c r="N112" s="3">
        <v>3.9689478473597601</v>
      </c>
      <c r="O112" s="3">
        <v>1.4771961798375</v>
      </c>
      <c r="P112" s="3">
        <v>2.4966921084503499</v>
      </c>
      <c r="Q112" s="3">
        <v>4.5792731261514499</v>
      </c>
      <c r="R112" s="3">
        <v>3.1196122951675598</v>
      </c>
      <c r="S112" s="3">
        <v>3.8476268402059399</v>
      </c>
      <c r="T112" s="3">
        <v>4.3041004557148304</v>
      </c>
      <c r="U112" s="3">
        <v>2.6328931749366</v>
      </c>
      <c r="V112" s="3">
        <v>3.37615509275407</v>
      </c>
    </row>
    <row r="113" spans="1:37" x14ac:dyDescent="0.35">
      <c r="A113" s="2">
        <v>45161</v>
      </c>
      <c r="B113" s="3">
        <v>2.6955279355227999</v>
      </c>
      <c r="C113" s="3">
        <v>6.2109091033674204</v>
      </c>
      <c r="D113" s="3">
        <v>4.1165339279545901</v>
      </c>
      <c r="E113" s="3">
        <v>3.1123777575904099</v>
      </c>
      <c r="F113" s="3">
        <v>4.0176504682146303</v>
      </c>
      <c r="G113" s="3">
        <v>4.60385342229843</v>
      </c>
      <c r="H113" s="3">
        <v>4.26311947681313</v>
      </c>
      <c r="I113" s="3">
        <v>3.5877027230922902</v>
      </c>
      <c r="J113" s="3">
        <v>3.9652801270068299</v>
      </c>
      <c r="K113" s="3">
        <v>2.48588675939815</v>
      </c>
      <c r="L113" s="3">
        <v>5.9046747051688397</v>
      </c>
      <c r="M113" s="3">
        <v>4.4454418338057602</v>
      </c>
      <c r="N113" s="3">
        <v>4.4048193082786797</v>
      </c>
      <c r="O113" s="3">
        <v>1.5068104391669299</v>
      </c>
      <c r="P113" s="3">
        <v>2.5696174638076399</v>
      </c>
      <c r="Q113" s="3">
        <v>4.6095811734170997</v>
      </c>
      <c r="R113" s="3">
        <v>3.0788820269750401</v>
      </c>
      <c r="S113" s="3">
        <v>3.7701717534099499</v>
      </c>
      <c r="T113" s="3">
        <v>4.2446481302327603</v>
      </c>
      <c r="U113" s="3">
        <v>2.5310660421544702</v>
      </c>
      <c r="V113" s="3">
        <v>3.5977227065496402</v>
      </c>
    </row>
    <row r="114" spans="1:37" x14ac:dyDescent="0.35">
      <c r="A114" s="2">
        <v>45191</v>
      </c>
      <c r="B114" s="3">
        <v>2.6179399398579002</v>
      </c>
      <c r="C114" s="3">
        <v>6.8497783575561204</v>
      </c>
      <c r="D114" s="3">
        <v>4.1247583223816404</v>
      </c>
      <c r="E114" s="3">
        <v>2.8804576716472701</v>
      </c>
      <c r="F114" s="3">
        <v>4.3111743026614704</v>
      </c>
      <c r="G114" s="3">
        <v>4.9131688898586097</v>
      </c>
      <c r="H114" s="3">
        <v>4.2864729711678597</v>
      </c>
      <c r="I114" s="3">
        <v>3.6480292145124098</v>
      </c>
      <c r="J114" s="3">
        <v>4.1366150363853302</v>
      </c>
      <c r="K114" s="3">
        <v>2.4262245318635101</v>
      </c>
      <c r="L114" s="3">
        <v>5.9770973130982998</v>
      </c>
      <c r="M114" s="3">
        <v>4.4670004982751896</v>
      </c>
      <c r="N114" s="3">
        <v>4.6076368251923201</v>
      </c>
      <c r="O114" s="3">
        <v>1.5186122024050701</v>
      </c>
      <c r="P114" s="3">
        <v>2.5186925345734599</v>
      </c>
      <c r="Q114" s="3">
        <v>4.6898100803253202</v>
      </c>
      <c r="R114" s="3">
        <v>3.15022575133254</v>
      </c>
      <c r="S114" s="3">
        <v>3.78279163550447</v>
      </c>
      <c r="T114" s="3">
        <v>4.2807153985746096</v>
      </c>
      <c r="U114" s="3">
        <v>2.7080472384974499</v>
      </c>
      <c r="V114" s="3">
        <v>3.7537364423027499</v>
      </c>
    </row>
    <row r="115" spans="1:37" x14ac:dyDescent="0.35">
      <c r="A115" s="2">
        <v>45222</v>
      </c>
      <c r="B115" s="3">
        <v>2.8386887035173598</v>
      </c>
      <c r="C115" s="3">
        <v>7.0026245145164001</v>
      </c>
      <c r="D115" s="3">
        <v>4.3702210109875601</v>
      </c>
      <c r="E115" s="3">
        <v>2.9644260089924601</v>
      </c>
      <c r="F115" s="3">
        <v>4.2636003120386503</v>
      </c>
      <c r="G115" s="3">
        <v>5.1974564243783599</v>
      </c>
      <c r="H115" s="3">
        <v>4.3252531968944901</v>
      </c>
      <c r="I115" s="3">
        <v>3.6578167560170001</v>
      </c>
      <c r="J115" s="3">
        <v>4.46071206596456</v>
      </c>
      <c r="K115" s="3">
        <v>2.5967184936651999</v>
      </c>
      <c r="L115" s="3">
        <v>6.3661395403305603</v>
      </c>
      <c r="M115" s="3">
        <v>4.5896334853531497</v>
      </c>
      <c r="N115" s="3">
        <v>5.0864133023394604</v>
      </c>
      <c r="O115" s="3">
        <v>1.53388375323704</v>
      </c>
      <c r="P115" s="3">
        <v>2.6904933728005198</v>
      </c>
      <c r="Q115" s="3">
        <v>4.9782740439738697</v>
      </c>
      <c r="R115" s="3">
        <v>3.4442398016351201</v>
      </c>
      <c r="S115" s="3">
        <v>4.2348057873406599</v>
      </c>
      <c r="T115" s="3">
        <v>4.8697238679172603</v>
      </c>
      <c r="U115" s="3">
        <v>3.1475849076540698</v>
      </c>
      <c r="V115" s="3">
        <v>4.0559592514114602</v>
      </c>
    </row>
    <row r="116" spans="1:37" x14ac:dyDescent="0.35">
      <c r="A116" s="2">
        <v>45252</v>
      </c>
      <c r="B116" s="3">
        <v>2.7244278852555901</v>
      </c>
      <c r="C116" s="3">
        <v>6.6730088009572199</v>
      </c>
      <c r="D116" s="3">
        <v>4.2152122655568398</v>
      </c>
      <c r="E116" s="3">
        <v>3.0640903311552399</v>
      </c>
      <c r="F116" s="3">
        <v>4.4724031368201898</v>
      </c>
      <c r="G116" s="3">
        <v>4.2904810722137796</v>
      </c>
      <c r="H116" s="3">
        <v>4.26805673009458</v>
      </c>
      <c r="I116" s="3">
        <v>3.4327896107282099</v>
      </c>
      <c r="J116" s="3">
        <v>4.06874457801998</v>
      </c>
      <c r="K116" s="3">
        <v>2.3972393576739202</v>
      </c>
      <c r="L116" s="3">
        <v>6.15297187288553</v>
      </c>
      <c r="M116" s="3">
        <v>4.3489192642167396</v>
      </c>
      <c r="N116" s="3">
        <v>4.4348057402422203</v>
      </c>
      <c r="O116" s="3">
        <v>1.4978551950414201</v>
      </c>
      <c r="P116" s="3">
        <v>2.6095142548946599</v>
      </c>
      <c r="Q116" s="3">
        <v>4.8557803956807399</v>
      </c>
      <c r="R116" s="3">
        <v>3.3620880581009498</v>
      </c>
      <c r="S116" s="3">
        <v>4.4204297070828602</v>
      </c>
      <c r="T116" s="3">
        <v>4.6871695372996598</v>
      </c>
      <c r="U116" s="3">
        <v>2.77619165315514</v>
      </c>
      <c r="V116" s="3">
        <v>3.76615082129269</v>
      </c>
    </row>
    <row r="117" spans="1:37" x14ac:dyDescent="0.35">
      <c r="A117" s="2">
        <v>45282</v>
      </c>
      <c r="B117" s="3">
        <v>2.8414605200120699</v>
      </c>
      <c r="C117" s="3">
        <v>6.4500460795694297</v>
      </c>
      <c r="D117" s="3">
        <v>4.14284880686274</v>
      </c>
      <c r="E117" s="3">
        <v>3.1908308353831401</v>
      </c>
      <c r="F117" s="3">
        <v>4.6863061395872103</v>
      </c>
      <c r="G117" s="3">
        <v>3.6393997939057998</v>
      </c>
      <c r="H117" s="3">
        <v>4.3040038019257203</v>
      </c>
      <c r="I117" s="3">
        <v>3.3790907219022199</v>
      </c>
      <c r="J117" s="3">
        <v>3.7465836900179901</v>
      </c>
      <c r="K117" s="3">
        <v>2.3080620507115399</v>
      </c>
      <c r="L117" s="3">
        <v>5.7555534379848803</v>
      </c>
      <c r="M117" s="3">
        <v>4.23178691446134</v>
      </c>
      <c r="N117" s="3">
        <v>4.5510789859221301</v>
      </c>
      <c r="O117" s="3">
        <v>1.3929022542702301</v>
      </c>
      <c r="P117" s="3">
        <v>2.8150064239100598</v>
      </c>
      <c r="Q117" s="3">
        <v>4.8466052795336498</v>
      </c>
      <c r="R117" s="3">
        <v>3.38190964362138</v>
      </c>
      <c r="S117" s="3">
        <v>4.8004674455020799</v>
      </c>
      <c r="T117" s="3">
        <v>4.6432443813055304</v>
      </c>
      <c r="U117" s="3">
        <v>2.8971874830267499</v>
      </c>
      <c r="V117" s="3">
        <v>3.5581052526617301</v>
      </c>
    </row>
    <row r="118" spans="1:37" x14ac:dyDescent="0.35">
      <c r="A118" s="2">
        <v>45314</v>
      </c>
      <c r="B118" s="3">
        <v>2.9673201911958902</v>
      </c>
      <c r="C118" s="3">
        <v>6.5465820473990703</v>
      </c>
      <c r="D118" s="3">
        <v>4.0938657683189499</v>
      </c>
      <c r="E118" s="3">
        <v>3.0928618769779201</v>
      </c>
      <c r="F118" s="3">
        <v>5.1757895739785997</v>
      </c>
      <c r="G118" s="3">
        <v>3.5259164781994001</v>
      </c>
      <c r="H118" s="3">
        <v>4.2675438102621097</v>
      </c>
      <c r="I118" s="3">
        <v>3.3807568925403801</v>
      </c>
      <c r="J118" s="3">
        <v>3.86399389112063</v>
      </c>
      <c r="K118" s="3">
        <v>2.4161170913116501</v>
      </c>
      <c r="L118" s="3">
        <v>5.8144463860915296</v>
      </c>
      <c r="M118" s="3">
        <v>4.3850416023371404</v>
      </c>
      <c r="N118" s="3">
        <v>4.58870080348012</v>
      </c>
      <c r="O118" s="3">
        <v>1.4085352778742499</v>
      </c>
      <c r="P118" s="3">
        <v>2.9295463864253102</v>
      </c>
      <c r="Q118" s="3">
        <v>4.8102727604298403</v>
      </c>
      <c r="R118" s="3">
        <v>3.5685034533789599</v>
      </c>
      <c r="S118" s="3">
        <v>4.3759402843434003</v>
      </c>
      <c r="T118" s="3">
        <v>4.4954359768793397</v>
      </c>
      <c r="U118" s="3">
        <v>2.7483978625933201</v>
      </c>
      <c r="V118" s="3">
        <v>3.4114560101318498</v>
      </c>
    </row>
    <row r="119" spans="1:37" x14ac:dyDescent="0.35">
      <c r="A119" s="2">
        <v>45345</v>
      </c>
      <c r="B119" s="3">
        <v>2.7365048566758401</v>
      </c>
      <c r="C119" s="3">
        <v>7.4080223542136103</v>
      </c>
      <c r="D119" s="3">
        <v>4.1045694668656596</v>
      </c>
      <c r="E119" s="3">
        <v>2.6773834590291501</v>
      </c>
      <c r="F119" s="3">
        <v>4.6137815901714303</v>
      </c>
      <c r="G119" s="3">
        <v>3.8058646681894901</v>
      </c>
      <c r="H119" s="3">
        <v>4.1144899974659603</v>
      </c>
      <c r="I119" s="3">
        <v>3.2641263652932602</v>
      </c>
      <c r="J119" s="3">
        <v>3.8045008311112598</v>
      </c>
      <c r="K119" s="3">
        <v>2.2377145012392399</v>
      </c>
      <c r="L119" s="3">
        <v>5.9612992697269904</v>
      </c>
      <c r="M119" s="3">
        <v>4.3284973550850001</v>
      </c>
      <c r="N119" s="3">
        <v>4.5463448923115797</v>
      </c>
      <c r="O119" s="3">
        <v>1.3414553708658601</v>
      </c>
      <c r="P119" s="3">
        <v>2.8372223125063001</v>
      </c>
      <c r="Q119" s="3">
        <v>4.7982025888019404</v>
      </c>
      <c r="R119" s="3">
        <v>3.4116221598115399</v>
      </c>
      <c r="S119" s="3">
        <v>4.0670182643790103</v>
      </c>
      <c r="T119" s="3">
        <v>4.9932796196258202</v>
      </c>
      <c r="U119" s="3">
        <v>2.8514613857052198</v>
      </c>
      <c r="V119" s="3">
        <v>3.2266687561143201</v>
      </c>
    </row>
    <row r="120" spans="1:37" x14ac:dyDescent="0.35">
      <c r="A120" s="2">
        <v>45373</v>
      </c>
      <c r="B120" s="3">
        <v>2.7568766316825801</v>
      </c>
      <c r="C120" s="3">
        <v>6.79525559968683</v>
      </c>
      <c r="D120" s="3">
        <v>4.0422389665830201</v>
      </c>
      <c r="E120" s="3">
        <v>2.7213223885230899</v>
      </c>
      <c r="F120" s="3">
        <v>5.0439071327355203</v>
      </c>
      <c r="G120" s="3">
        <v>3.3867558690955399</v>
      </c>
      <c r="H120" s="3">
        <v>4.1592154603342504</v>
      </c>
      <c r="I120" s="3">
        <v>3.0821491608110598</v>
      </c>
      <c r="J120" s="3">
        <v>4.0524745436433696</v>
      </c>
      <c r="K120" s="3">
        <v>2.1602649125158302</v>
      </c>
      <c r="L120" s="3">
        <v>6.3131558152318199</v>
      </c>
      <c r="M120" s="3">
        <v>4.23895110587139</v>
      </c>
      <c r="N120" s="3">
        <v>4.97161419314605</v>
      </c>
      <c r="O120" s="3">
        <v>1.36174854359294</v>
      </c>
      <c r="P120" s="3">
        <v>2.9884903841289598</v>
      </c>
      <c r="Q120" s="3">
        <v>4.8303846519495401</v>
      </c>
      <c r="R120" s="3">
        <v>3.5040411739374</v>
      </c>
      <c r="S120" s="3">
        <v>4.1825513506530498</v>
      </c>
      <c r="T120" s="3">
        <v>5.2935533756452804</v>
      </c>
      <c r="U120" s="3">
        <v>2.2401564313317102</v>
      </c>
      <c r="V120" s="3">
        <v>3.2774141225829099</v>
      </c>
    </row>
    <row r="121" spans="1:37" x14ac:dyDescent="0.35">
      <c r="A121" s="2">
        <v>45405</v>
      </c>
      <c r="B121" s="3">
        <v>2.8726882419838198</v>
      </c>
      <c r="C121" s="3">
        <v>6.6178622191876402</v>
      </c>
      <c r="D121" s="3">
        <v>4.3839486142033399</v>
      </c>
      <c r="E121" s="3">
        <v>2.93329229672818</v>
      </c>
      <c r="F121" s="3">
        <v>4.9905183166220004</v>
      </c>
      <c r="G121" s="3">
        <v>3.4468208771775299</v>
      </c>
      <c r="H121" s="3">
        <v>4.1283639689651102</v>
      </c>
      <c r="I121" s="3">
        <v>3.2844713762223998</v>
      </c>
      <c r="J121" s="3">
        <v>4.1169116308935196</v>
      </c>
      <c r="K121" s="3">
        <v>2.2555859653467798</v>
      </c>
      <c r="L121" s="3">
        <v>6.3786584084194704</v>
      </c>
      <c r="M121" s="3">
        <v>4.2643592981165703</v>
      </c>
      <c r="N121" s="3">
        <v>5.10957478266198</v>
      </c>
      <c r="O121" s="3">
        <v>1.3488851758242499</v>
      </c>
      <c r="P121" s="3">
        <v>2.9853485191575002</v>
      </c>
      <c r="Q121" s="3">
        <v>5.7803640882359302</v>
      </c>
      <c r="R121" s="3">
        <v>3.5965729224219598</v>
      </c>
      <c r="S121" s="3">
        <v>4.3286636679744204</v>
      </c>
      <c r="T121" s="3">
        <v>5.6785295387322199</v>
      </c>
      <c r="U121" s="3">
        <v>2.4647019735769198</v>
      </c>
      <c r="V121" s="3">
        <v>3.4556588652410101</v>
      </c>
    </row>
    <row r="122" spans="1:37" x14ac:dyDescent="0.35">
      <c r="A122" s="2">
        <v>45433</v>
      </c>
      <c r="B122" s="3">
        <v>2.77375962942337</v>
      </c>
      <c r="C122" s="3">
        <v>5.0639925837846098</v>
      </c>
      <c r="D122" s="3">
        <v>4.47681347669924</v>
      </c>
      <c r="E122" s="3">
        <v>3.1439239529099599</v>
      </c>
      <c r="F122" s="3">
        <v>5.0091259033117197</v>
      </c>
      <c r="G122" s="3">
        <v>3.3408513879798498</v>
      </c>
      <c r="H122" s="3">
        <v>4.0138671350589403</v>
      </c>
      <c r="I122" s="3">
        <v>3.0638637590656801</v>
      </c>
      <c r="J122" s="3">
        <v>4.1414141818538202</v>
      </c>
      <c r="K122" s="3">
        <v>2.18158618007861</v>
      </c>
      <c r="L122" s="3">
        <v>6.71727214705155</v>
      </c>
      <c r="M122" s="3">
        <v>3.88795402401602</v>
      </c>
      <c r="N122" s="3">
        <v>5.2407125358187399</v>
      </c>
      <c r="O122" s="3">
        <v>1.34482800196986</v>
      </c>
      <c r="P122" s="3">
        <v>2.6713122481582401</v>
      </c>
      <c r="Q122" s="3">
        <v>5.8111769737097401</v>
      </c>
      <c r="R122" s="3">
        <v>3.66113896309334</v>
      </c>
      <c r="S122" s="3">
        <v>4.1552764189038198</v>
      </c>
      <c r="T122" s="3">
        <v>5.7371543804266096</v>
      </c>
      <c r="U122" s="3">
        <v>1.9324748193032</v>
      </c>
      <c r="V122" s="3">
        <v>3.60485211154396</v>
      </c>
    </row>
    <row r="125" spans="1:37" x14ac:dyDescent="0.35">
      <c r="A125" s="2" t="s">
        <v>91</v>
      </c>
      <c r="B125" s="3" cm="1">
        <f t="array" ref="B125">MIN(_xlfn._xlws.FILTER(B1:B122, ISNUMBER(B1:B122)))</f>
        <v>1.65620090358921</v>
      </c>
      <c r="C125" s="3" cm="1">
        <f t="array" ref="C125">MIN(_xlfn._xlws.FILTER(C1:C122, ISNUMBER(C1:C122)))</f>
        <v>2.4174229681824002</v>
      </c>
      <c r="D125" s="3" cm="1">
        <f t="array" ref="D125">MIN(_xlfn._xlws.FILTER(D1:D122, ISNUMBER(D1:D122)))</f>
        <v>2.1615201032372902</v>
      </c>
      <c r="E125" s="3" cm="1">
        <f t="array" ref="E125">MIN(_xlfn._xlws.FILTER(E1:E122, ISNUMBER(E1:E122)))</f>
        <v>1.4510896382460501</v>
      </c>
      <c r="F125" s="3" cm="1">
        <f t="array" ref="F125">MIN(_xlfn._xlws.FILTER(F1:F122, ISNUMBER(F1:F122)))</f>
        <v>2.2898290684881002</v>
      </c>
      <c r="G125" s="3" cm="1">
        <f t="array" ref="G125">MIN(_xlfn._xlws.FILTER(G1:G122, ISNUMBER(G1:G122)))</f>
        <v>1.4557496803349099</v>
      </c>
      <c r="H125" s="3" cm="1">
        <f t="array" ref="H125">MIN(_xlfn._xlws.FILTER(H1:H122, ISNUMBER(H1:H122)))</f>
        <v>2.9447017293637101</v>
      </c>
      <c r="I125" s="3" cm="1">
        <f t="array" ref="I125">MIN(_xlfn._xlws.FILTER(I1:I122, ISNUMBER(I1:I122)))</f>
        <v>3.0638637590656801</v>
      </c>
      <c r="J125" s="3" cm="1">
        <f t="array" ref="J125">MIN(_xlfn._xlws.FILTER(J1:J122, ISNUMBER(J1:J122)))</f>
        <v>2.03915218163755</v>
      </c>
      <c r="K125" s="3" cm="1">
        <f t="array" ref="K125">MIN(_xlfn._xlws.FILTER(K1:K122, ISNUMBER(K1:K122)))</f>
        <v>1.2469353077830101</v>
      </c>
      <c r="L125" s="3" cm="1">
        <f t="array" ref="L125">MIN(_xlfn._xlws.FILTER(L1:L122, ISNUMBER(L1:L122)))</f>
        <v>2.6872531379135398</v>
      </c>
      <c r="M125" s="3" cm="1">
        <f t="array" ref="M125">MIN(_xlfn._xlws.FILTER(M1:M122, ISNUMBER(M1:M122)))</f>
        <v>2.9471218296032999</v>
      </c>
      <c r="N125" s="3" cm="1">
        <f t="array" ref="N125">MIN(_xlfn._xlws.FILTER(N1:N122, ISNUMBER(N1:N122)))</f>
        <v>1.86056594508087</v>
      </c>
      <c r="O125" s="3" cm="1">
        <f t="array" ref="O125">MIN(_xlfn._xlws.FILTER(O1:O122, ISNUMBER(O1:O122)))</f>
        <v>1.2578795597316199</v>
      </c>
      <c r="P125" s="3" cm="1">
        <f t="array" ref="P125">MIN(_xlfn._xlws.FILTER(P1:P122, ISNUMBER(P1:P122)))</f>
        <v>1.3755391198109399</v>
      </c>
      <c r="Q125" s="3" cm="1">
        <f t="array" ref="Q125">MIN(_xlfn._xlws.FILTER(Q1:Q122, ISNUMBER(Q1:Q122)))</f>
        <v>3.5125601279413998</v>
      </c>
      <c r="R125" s="3" cm="1">
        <f t="array" ref="R125">MIN(_xlfn._xlws.FILTER(R1:R122, ISNUMBER(R1:R122)))</f>
        <v>2.7611983307339001</v>
      </c>
      <c r="S125" s="3" cm="1">
        <f t="array" ref="S125">MIN(_xlfn._xlws.FILTER(S1:S122, ISNUMBER(S1:S122)))</f>
        <v>2.6635122713384201</v>
      </c>
      <c r="T125" s="3" cm="1">
        <f t="array" ref="T125">MIN(_xlfn._xlws.FILTER(T1:T122, ISNUMBER(T1:T122)))</f>
        <v>2.4918494379294902</v>
      </c>
      <c r="U125" s="3" cm="1">
        <f t="array" ref="U125">MIN(_xlfn._xlws.FILTER(U1:U122, ISNUMBER(U1:U122)))</f>
        <v>1.1281101008324701</v>
      </c>
      <c r="V125" s="3" cm="1">
        <f t="array" ref="V125">MIN(_xlfn._xlws.FILTER(V1:V122, ISNUMBER(V1:V122)))</f>
        <v>2.7115401049975598</v>
      </c>
    </row>
    <row r="126" spans="1:37" x14ac:dyDescent="0.35">
      <c r="A126" s="2" t="s">
        <v>92</v>
      </c>
      <c r="B126" s="3" cm="1">
        <f t="array" ref="B126">MAX(_xlfn._xlws.FILTER(B1:B122, ISNUMBER(B1:B122)))</f>
        <v>3.3716268171800201</v>
      </c>
      <c r="C126" s="3" cm="1">
        <f t="array" ref="C126">MAX(_xlfn._xlws.FILTER(C1:C122, ISNUMBER(C1:C122)))</f>
        <v>8.9084497046011197</v>
      </c>
      <c r="D126" s="3" cm="1">
        <f t="array" ref="D126">MAX(_xlfn._xlws.FILTER(D1:D122, ISNUMBER(D1:D122)))</f>
        <v>4.8033543538685501</v>
      </c>
      <c r="E126" s="3" cm="1">
        <f t="array" ref="E126">MAX(_xlfn._xlws.FILTER(E1:E122, ISNUMBER(E1:E122)))</f>
        <v>3.1908308353831401</v>
      </c>
      <c r="F126" s="3" cm="1">
        <f t="array" ref="F126">MAX(_xlfn._xlws.FILTER(F1:F122, ISNUMBER(F1:F122)))</f>
        <v>5.1757895739785997</v>
      </c>
      <c r="G126" s="3" cm="1">
        <f t="array" ref="G126">MAX(_xlfn._xlws.FILTER(G1:G122, ISNUMBER(G1:G122)))</f>
        <v>5.2950894962630199</v>
      </c>
      <c r="H126" s="3" cm="1">
        <f t="array" ref="H126">MAX(_xlfn._xlws.FILTER(H1:H122, ISNUMBER(H1:H122)))</f>
        <v>4.4921161191591601</v>
      </c>
      <c r="I126" s="3" cm="1">
        <f t="array" ref="I126">MAX(_xlfn._xlws.FILTER(I1:I122, ISNUMBER(I1:I122)))</f>
        <v>5.3963887477789898</v>
      </c>
      <c r="J126" s="3" cm="1">
        <f t="array" ref="J126">MAX(_xlfn._xlws.FILTER(J1:J122, ISNUMBER(J1:J122)))</f>
        <v>4.84928221220376</v>
      </c>
      <c r="K126" s="3" cm="1">
        <f t="array" ref="K126">MAX(_xlfn._xlws.FILTER(K1:K122, ISNUMBER(K1:K122)))</f>
        <v>3.3458098197897201</v>
      </c>
      <c r="L126" s="3" cm="1">
        <f t="array" ref="L126">MAX(_xlfn._xlws.FILTER(L1:L122, ISNUMBER(L1:L122)))</f>
        <v>11.4287167484067</v>
      </c>
      <c r="M126" s="3" cm="1">
        <f t="array" ref="M126">MAX(_xlfn._xlws.FILTER(M1:M122, ISNUMBER(M1:M122)))</f>
        <v>6.0643328482969698</v>
      </c>
      <c r="N126" s="3" cm="1">
        <f t="array" ref="N126">MAX(_xlfn._xlws.FILTER(N1:N122, ISNUMBER(N1:N122)))</f>
        <v>5.5555078270148401</v>
      </c>
      <c r="O126" s="3" cm="1">
        <f t="array" ref="O126">MAX(_xlfn._xlws.FILTER(O1:O122, ISNUMBER(O1:O122)))</f>
        <v>2.6237262012429099</v>
      </c>
      <c r="P126" s="3" cm="1">
        <f t="array" ref="P126">MAX(_xlfn._xlws.FILTER(P1:P122, ISNUMBER(P1:P122)))</f>
        <v>3.7594620403238501</v>
      </c>
      <c r="Q126" s="3" cm="1">
        <f t="array" ref="Q126">MAX(_xlfn._xlws.FILTER(Q1:Q122, ISNUMBER(Q1:Q122)))</f>
        <v>6.3355340681380197</v>
      </c>
      <c r="R126" s="3" cm="1">
        <f t="array" ref="R126">MAX(_xlfn._xlws.FILTER(R1:R122, ISNUMBER(R1:R122)))</f>
        <v>5.5533111791190404</v>
      </c>
      <c r="S126" s="3" cm="1">
        <f t="array" ref="S126">MAX(_xlfn._xlws.FILTER(S1:S122, ISNUMBER(S1:S122)))</f>
        <v>6.1479958269711403</v>
      </c>
      <c r="T126" s="3" cm="1">
        <f t="array" ref="T126">MAX(_xlfn._xlws.FILTER(T1:T122, ISNUMBER(T1:T122)))</f>
        <v>7.7502242073876397</v>
      </c>
      <c r="U126" s="3" cm="1">
        <f t="array" ref="U126">MAX(_xlfn._xlws.FILTER(U1:U122, ISNUMBER(U1:U122)))</f>
        <v>4.15037679148476</v>
      </c>
      <c r="V126" s="3" cm="1">
        <f t="array" ref="V126">MAX(_xlfn._xlws.FILTER(V1:V122, ISNUMBER(V1:V122)))</f>
        <v>5.6772252823972904</v>
      </c>
    </row>
    <row r="128" spans="1:37" x14ac:dyDescent="0.35">
      <c r="A128" s="2" t="s">
        <v>93</v>
      </c>
      <c r="B128" s="9" cm="1">
        <f t="array" ref="B128">_xlfn.PERCENTRANK.EXC(_xlfn._xlws.FILTER(B1:B122, ISNUMBER(B1:B122)),B122)</f>
        <v>0.83299999999999996</v>
      </c>
      <c r="C128" s="9" cm="1">
        <f t="array" ref="C128">_xlfn.PERCENTRANK.EXC(_xlfn._xlws.FILTER(C1:C122, ISNUMBER(C1:C122)),C122)</f>
        <v>0.77800000000000002</v>
      </c>
      <c r="D128" s="9" cm="1">
        <f t="array" ref="D128">_xlfn.PERCENTRANK.EXC(_xlfn._xlws.FILTER(D1:D122, ISNUMBER(D1:D122)),D122)</f>
        <v>0.97499999999999998</v>
      </c>
      <c r="E128" s="9" cm="1">
        <f t="array" ref="E128">_xlfn.PERCENTRANK.EXC(_xlfn._xlws.FILTER(E1:E122, ISNUMBER(E1:E122)),E122)</f>
        <v>0.98299999999999998</v>
      </c>
      <c r="F128" s="9" cm="1">
        <f t="array" ref="F128">_xlfn.PERCENTRANK.EXC(_xlfn._xlws.FILTER(F1:F122, ISNUMBER(F1:F122)),F122)</f>
        <v>0.96699999999999997</v>
      </c>
      <c r="G128" s="9" cm="1">
        <f t="array" ref="G128">_xlfn.PERCENTRANK.EXC(_xlfn._xlws.FILTER(G1:G122, ISNUMBER(G1:G122)),G122)</f>
        <v>0.69599999999999995</v>
      </c>
      <c r="H128" s="9" cm="1">
        <f t="array" ref="H128">_xlfn.PERCENTRANK.EXC(_xlfn._xlws.FILTER(H1:H122, ISNUMBER(H1:H122)),H122)</f>
        <v>0.72899999999999998</v>
      </c>
      <c r="I128" s="9" cm="1">
        <f t="array" ref="I128">_xlfn.PERCENTRANK.EXC(_xlfn._xlws.FILTER(I1:I122, ISNUMBER(I1:I122)),I122)</f>
        <v>8.0000000000000002E-3</v>
      </c>
      <c r="J128" s="9" cm="1">
        <f t="array" ref="J128">_xlfn.PERCENTRANK.EXC(_xlfn._xlws.FILTER(J1:J122, ISNUMBER(J1:J122)),J122)</f>
        <v>0.94099999999999995</v>
      </c>
      <c r="K128" s="9" cm="1">
        <f t="array" ref="K128">_xlfn.PERCENTRANK.EXC(_xlfn._xlws.FILTER(K1:K122, ISNUMBER(K1:K122)),K122)</f>
        <v>0.54</v>
      </c>
      <c r="L128" s="9" cm="1">
        <f t="array" ref="L128">_xlfn.PERCENTRANK.EXC(_xlfn._xlws.FILTER(L1:L122, ISNUMBER(L1:L122)),L122)</f>
        <v>0.86</v>
      </c>
      <c r="M128" s="9" cm="1">
        <f t="array" ref="M128">_xlfn.PERCENTRANK.EXC(_xlfn._xlws.FILTER(M1:M122, ISNUMBER(M1:M122)),M122)</f>
        <v>0.59</v>
      </c>
      <c r="N128" s="9" cm="1">
        <f t="array" ref="N128">_xlfn.PERCENTRANK.EXC(_xlfn._xlws.FILTER(N1:N122, ISNUMBER(N1:N122)),N122)</f>
        <v>0.98299999999999998</v>
      </c>
      <c r="O128" s="9" cm="1">
        <f t="array" ref="O128">_xlfn.PERCENTRANK.EXC(_xlfn._xlws.FILTER(O1:O122, ISNUMBER(O1:O122)),O122)</f>
        <v>0.04</v>
      </c>
      <c r="P128" s="9" cm="1">
        <f t="array" ref="P128">_xlfn.PERCENTRANK.EXC(_xlfn._xlws.FILTER(P1:P122, ISNUMBER(P1:P122)),P122)</f>
        <v>0.68</v>
      </c>
      <c r="Q128" s="9" cm="1">
        <f t="array" ref="Q128">_xlfn.PERCENTRANK.EXC(_xlfn._xlws.FILTER(Q1:Q122, ISNUMBER(Q1:Q122)),Q122)</f>
        <v>0.98299999999999998</v>
      </c>
      <c r="R128" s="9" cm="1">
        <f t="array" ref="R128">_xlfn.PERCENTRANK.EXC(_xlfn._xlws.FILTER(R1:R122, ISNUMBER(R1:R122)),R122)</f>
        <v>0.92600000000000005</v>
      </c>
      <c r="S128" s="9" cm="1">
        <f t="array" ref="S128">_xlfn.PERCENTRANK.EXC(_xlfn._xlws.FILTER(S1:S122, ISNUMBER(S1:S122)),S122)</f>
        <v>0.45</v>
      </c>
      <c r="T128" s="9" cm="1">
        <f t="array" ref="T128">_xlfn.PERCENTRANK.EXC(_xlfn._xlws.FILTER(T1:T122, ISNUMBER(T1:T122)),T122)</f>
        <v>0.98299999999999998</v>
      </c>
      <c r="U128" s="9" cm="1">
        <f t="array" ref="U128">_xlfn.PERCENTRANK.EXC(_xlfn._xlws.FILTER(U1:U122, ISNUMBER(U1:U122)),U122)</f>
        <v>0.495</v>
      </c>
      <c r="V128" s="9" cm="1">
        <f t="array" ref="V128">_xlfn.PERCENTRANK.EXC(_xlfn._xlws.FILTER(V1:V122, ISNUMBER(V1:V122)),V122)</f>
        <v>0.371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9"/>
  <sheetViews>
    <sheetView workbookViewId="0">
      <selection activeCell="A134" sqref="A134"/>
    </sheetView>
  </sheetViews>
  <sheetFormatPr defaultRowHeight="14.5" x14ac:dyDescent="0.35"/>
  <cols>
    <col min="1" max="1" width="24.54296875" bestFit="1" customWidth="1"/>
  </cols>
  <sheetData>
    <row r="1" spans="1:38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38" x14ac:dyDescent="0.35">
      <c r="A2" s="2" cm="1">
        <f t="array" ref="A2:A122">_xll.FDS(C1,"JULIAN(FG_TOTAL_RETURNC(-10AY,0,AM).dates)")</f>
        <v>41782</v>
      </c>
      <c r="B2" s="24" t="e" cm="1">
        <f t="array" ref="B2:B122">_xll.FDS(B1,"FG_TOTAL_RETURNC(-10AY,0,AM)")/100</f>
        <v>#N/A</v>
      </c>
      <c r="C2" s="24" cm="1">
        <f t="array" ref="C2:C122">_xll.FDS(C1,"FG_TOTAL_RETURNC(-10AY,0,AM)")/100</f>
        <v>3.2052635999999995E-2</v>
      </c>
      <c r="D2" s="24" cm="1">
        <f t="array" ref="D2:D122">_xll.FDS(D1,"FG_TOTAL_RETURNC(-10AY,0,AM)")/100</f>
        <v>4.2568802999999995E-2</v>
      </c>
      <c r="E2" s="24" cm="1">
        <f t="array" ref="E2:E122">_xll.FDS(E1,"FG_TOTAL_RETURNC(-10AY,0,AM)")/100</f>
        <v>4.8020243999999997E-2</v>
      </c>
      <c r="F2" s="24" cm="1">
        <f t="array" ref="F2:F122">_xll.FDS(F1,"FG_TOTAL_RETURNC(-10AY,0,AM)")/100</f>
        <v>5.6666136000000002E-3</v>
      </c>
      <c r="G2" s="24" cm="1">
        <f t="array" ref="G2:G122">_xll.FDS(G1,"FG_TOTAL_RETURNC(-10AY,0,AM)")/100</f>
        <v>4.8439264000000003E-2</v>
      </c>
      <c r="H2" s="24" cm="1">
        <f t="array" ref="H2:H122">_xll.FDS(H1,"FG_TOTAL_RETURNC(-10AY,0,AM)")/100</f>
        <v>2.8717399000000001E-2</v>
      </c>
      <c r="I2" s="24" cm="1">
        <f t="array" ref="I2:I122">_xll.FDS(I1,"FG_TOTAL_RETURNC(-10AY,0,AM)")/100</f>
        <v>2.1753906999999999E-2</v>
      </c>
      <c r="J2" s="24" cm="1">
        <f t="array" ref="J2:J122">_xll.FDS(J1,"FG_TOTAL_RETURNC(-10AY,0,AM)")/100</f>
        <v>5.6195855000000003E-2</v>
      </c>
      <c r="K2" s="24" cm="1">
        <f t="array" ref="K2:K122">_xll.FDS(K1,"FG_TOTAL_RETURNC(-10AY,0,AM)")/100</f>
        <v>2.7150750000000001E-2</v>
      </c>
      <c r="L2" s="24" cm="1">
        <f t="array" ref="L2:L122">_xll.FDS(L1,"FG_TOTAL_RETURNC(-10AY,0,AM)")/100</f>
        <v>1.5930295000000001E-2</v>
      </c>
      <c r="M2" s="24" cm="1">
        <f t="array" ref="M2:M122">_xll.FDS(M1,"FG_TOTAL_RETURNC(-10AY,0,AM)")/100</f>
        <v>6.1945439999999997E-2</v>
      </c>
      <c r="N2" s="24" cm="1">
        <f t="array" ref="N2:N122">_xll.FDS(N1,"FG_TOTAL_RETURNC(-10AY,0,AM)")/100</f>
        <v>-4.7058820000000001E-2</v>
      </c>
      <c r="O2" s="24" cm="1">
        <f t="array" ref="O2:O122">_xll.FDS(O1,"FG_TOTAL_RETURNC(-10AY,0,AM)")/100</f>
        <v>0.12765956000000001</v>
      </c>
      <c r="P2" s="24" cm="1">
        <f t="array" ref="P2:P122">_xll.FDS(P1,"FG_TOTAL_RETURNC(-10AY,0,AM)")/100</f>
        <v>3.0364393999999999E-2</v>
      </c>
      <c r="Q2" s="24" t="e" cm="1">
        <f t="array" ref="Q2:Q122">_xll.FDS(Q1,"FG_TOTAL_RETURNC(-10AY,0,AM)")/100</f>
        <v>#N/A</v>
      </c>
      <c r="R2" s="24" cm="1">
        <f t="array" ref="R2:R122">_xll.FDS(R1,"FG_TOTAL_RETURNC(-10AY,0,AM)")/100</f>
        <v>-1.8652677999999999E-2</v>
      </c>
      <c r="S2" s="24" cm="1">
        <f t="array" ref="S2:S122">_xll.FDS(S1,"FG_TOTAL_RETURNC(-10AY,0,AM)")/100</f>
        <v>0.10887408000000001</v>
      </c>
      <c r="T2" s="24" t="e" cm="1">
        <f t="array" ref="T2:T122">_xll.FDS(T1,"FG_TOTAL_RETURNC(-10AY,0,AM)")/100</f>
        <v>#N/A</v>
      </c>
      <c r="U2" s="24" cm="1">
        <f t="array" ref="U2:U122">_xll.FDS(U1,"FG_TOTAL_RETURNC(-10AY,0,AM)")/100</f>
        <v>4.9829482999999997E-4</v>
      </c>
      <c r="V2" s="24" t="e" cm="1">
        <f t="array" ref="V2:V122">_xll.FDS(V1,"FG_TOTAL_RETURNC(-10AY,0,AM)")/100</f>
        <v>#N/A</v>
      </c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x14ac:dyDescent="0.35">
      <c r="A3" s="2">
        <v>41813</v>
      </c>
      <c r="B3" s="24" t="e">
        <v>#N/A</v>
      </c>
      <c r="C3" s="24">
        <v>-1.7655790000000001E-2</v>
      </c>
      <c r="D3" s="24">
        <v>-6.7933855000000001E-2</v>
      </c>
      <c r="E3" s="24">
        <v>-2.2508024999999997E-2</v>
      </c>
      <c r="F3" s="24">
        <v>4.9718617999999996E-3</v>
      </c>
      <c r="G3" s="24">
        <v>1.9911646999999998E-2</v>
      </c>
      <c r="H3" s="24">
        <v>3.7220715999999997E-3</v>
      </c>
      <c r="I3" s="24">
        <v>2.9940128E-2</v>
      </c>
      <c r="J3" s="24">
        <v>1.5692710999999998E-2</v>
      </c>
      <c r="K3" s="24">
        <v>-1.7673313999999999E-2</v>
      </c>
      <c r="L3" s="24">
        <v>3.4915327999999995E-2</v>
      </c>
      <c r="M3" s="24">
        <v>-1.1468172E-2</v>
      </c>
      <c r="N3" s="24">
        <v>8.2304480000000013E-2</v>
      </c>
      <c r="O3" s="24">
        <v>-1.0107874999999999E-2</v>
      </c>
      <c r="P3" s="24">
        <v>1.3097525E-2</v>
      </c>
      <c r="Q3" s="24">
        <v>-5.7838019999999997E-2</v>
      </c>
      <c r="R3" s="24">
        <v>5.1444650000000001E-2</v>
      </c>
      <c r="S3" s="24">
        <v>-7.0512294999999997E-4</v>
      </c>
      <c r="T3" s="24">
        <v>-8.6239579999999996E-2</v>
      </c>
      <c r="U3" s="24">
        <v>1.5438199E-2</v>
      </c>
      <c r="V3" s="24" t="e">
        <v>#N/A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x14ac:dyDescent="0.35">
      <c r="A4" s="2">
        <v>41843</v>
      </c>
      <c r="B4" s="24" t="e">
        <v>#N/A</v>
      </c>
      <c r="C4" s="24">
        <v>-7.8477860000000007E-3</v>
      </c>
      <c r="D4" s="24">
        <v>0.11830818000000001</v>
      </c>
      <c r="E4" s="24">
        <v>4.5039295999999999E-2</v>
      </c>
      <c r="F4" s="24">
        <v>-2.7546167E-2</v>
      </c>
      <c r="G4" s="24">
        <v>2.5925994000000001E-2</v>
      </c>
      <c r="H4" s="24">
        <v>1.0885954E-2</v>
      </c>
      <c r="I4" s="24">
        <v>5.426359E-2</v>
      </c>
      <c r="J4" s="24">
        <v>3.6766767999999998E-2</v>
      </c>
      <c r="K4" s="24">
        <v>2.1902442000000001E-2</v>
      </c>
      <c r="L4" s="24">
        <v>5.0476193000000003E-2</v>
      </c>
      <c r="M4" s="24">
        <v>2.8566479999999998E-2</v>
      </c>
      <c r="N4" s="24">
        <v>-9.3789520000000001E-2</v>
      </c>
      <c r="O4" s="24">
        <v>4.3501616E-2</v>
      </c>
      <c r="P4" s="24">
        <v>7.9363346000000001E-2</v>
      </c>
      <c r="Q4" s="24">
        <v>8.4250560000000002E-2</v>
      </c>
      <c r="R4" s="24">
        <v>4.9608590000000001E-2</v>
      </c>
      <c r="S4" s="24">
        <v>6.4927460000000006E-2</v>
      </c>
      <c r="T4" s="24">
        <v>4.1103599999999997E-2</v>
      </c>
      <c r="U4" s="24">
        <v>7.7489020000000006E-2</v>
      </c>
      <c r="V4" s="24" t="e">
        <v>#N/A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x14ac:dyDescent="0.35">
      <c r="A5" s="2">
        <v>41873</v>
      </c>
      <c r="B5" s="24" t="e">
        <v>#N/A</v>
      </c>
      <c r="C5" s="24">
        <v>-4.0053070000000003E-2</v>
      </c>
      <c r="D5" s="24">
        <v>-1.6046464E-2</v>
      </c>
      <c r="E5" s="24">
        <v>1.294589E-2</v>
      </c>
      <c r="F5" s="24">
        <v>-2.1203816E-2</v>
      </c>
      <c r="G5" s="24">
        <v>1.3736486000000001E-3</v>
      </c>
      <c r="H5" s="24">
        <v>1.24299526E-3</v>
      </c>
      <c r="I5" s="24">
        <v>0</v>
      </c>
      <c r="J5" s="24">
        <v>1.4238954E-2</v>
      </c>
      <c r="K5" s="24">
        <v>7.1953535000000004E-3</v>
      </c>
      <c r="L5" s="24">
        <v>-1.1180878E-2</v>
      </c>
      <c r="M5" s="24">
        <v>-1.2645781E-2</v>
      </c>
      <c r="N5" s="24">
        <v>-2.5641202999999998E-2</v>
      </c>
      <c r="O5" s="24">
        <v>1.1445403E-2</v>
      </c>
      <c r="P5" s="24">
        <v>2.7377725000000002E-2</v>
      </c>
      <c r="Q5" s="24">
        <v>3.2018779999999997E-2</v>
      </c>
      <c r="R5" s="24">
        <v>9.9962949999999988E-3</v>
      </c>
      <c r="S5" s="24">
        <v>-8.9685380000000009E-2</v>
      </c>
      <c r="T5" s="24">
        <v>4.6733019999999993E-2</v>
      </c>
      <c r="U5" s="24">
        <v>1.6841173000000001E-2</v>
      </c>
      <c r="V5" s="24" t="e">
        <v>#N/A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x14ac:dyDescent="0.35">
      <c r="A6" s="2">
        <v>41905</v>
      </c>
      <c r="B6" s="24" t="e">
        <v>#N/A</v>
      </c>
      <c r="C6" s="24">
        <v>-2.2360563E-2</v>
      </c>
      <c r="D6" s="24">
        <v>-2.9146432999999999E-2</v>
      </c>
      <c r="E6" s="24">
        <v>-5.4773090000000005E-3</v>
      </c>
      <c r="F6" s="24">
        <v>5.2410363999999994E-3</v>
      </c>
      <c r="G6" s="24">
        <v>-3.876686E-2</v>
      </c>
      <c r="H6" s="24">
        <v>-4.5934258000000006E-2</v>
      </c>
      <c r="I6" s="24">
        <v>-4.4117629999999998E-2</v>
      </c>
      <c r="J6" s="24">
        <v>-2.8078080000000002E-2</v>
      </c>
      <c r="K6" s="24">
        <v>-5.4415583999999996E-2</v>
      </c>
      <c r="L6" s="24">
        <v>-8.331680000000001E-2</v>
      </c>
      <c r="M6" s="24">
        <v>-7.0442557000000003E-2</v>
      </c>
      <c r="N6" s="24">
        <v>-7.7033340000000006E-2</v>
      </c>
      <c r="O6" s="24">
        <v>-8.7293980000000011E-3</v>
      </c>
      <c r="P6" s="24">
        <v>-4.8361660000000001E-2</v>
      </c>
      <c r="Q6" s="24">
        <v>-5.6753754999999996E-3</v>
      </c>
      <c r="R6" s="24">
        <v>2.1297811999999999E-2</v>
      </c>
      <c r="S6" s="24">
        <v>-6.0998143999999997E-2</v>
      </c>
      <c r="T6" s="24">
        <v>2.4803638000000003E-2</v>
      </c>
      <c r="U6" s="24">
        <v>0</v>
      </c>
      <c r="V6" s="24" t="e">
        <v>#N/A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x14ac:dyDescent="0.35">
      <c r="A7" s="2">
        <v>41935</v>
      </c>
      <c r="B7" s="24" t="e">
        <v>#N/A</v>
      </c>
      <c r="C7" s="24">
        <v>-2.0042420000000002E-2</v>
      </c>
      <c r="D7" s="24">
        <v>-4.2887330000000003E-3</v>
      </c>
      <c r="E7" s="24">
        <v>-8.6546540000000012E-3</v>
      </c>
      <c r="F7" s="24">
        <v>-5.109495E-2</v>
      </c>
      <c r="G7" s="24">
        <v>-5.0556900000000002E-2</v>
      </c>
      <c r="H7" s="24">
        <v>-1.3662993999999999E-2</v>
      </c>
      <c r="I7" s="24">
        <v>-1.7307698999999999E-2</v>
      </c>
      <c r="J7" s="24">
        <v>-4.1889370000000002E-2</v>
      </c>
      <c r="K7" s="24">
        <v>-7.3621569999999997E-2</v>
      </c>
      <c r="L7" s="24">
        <v>-0.13784890999999999</v>
      </c>
      <c r="M7" s="24">
        <v>3.2149552999999999E-3</v>
      </c>
      <c r="N7" s="24">
        <v>-0.10419898999999999</v>
      </c>
      <c r="O7" s="24">
        <v>-6.1970352999999997E-3</v>
      </c>
      <c r="P7" s="24">
        <v>-1.0578692000000001E-2</v>
      </c>
      <c r="Q7" s="24">
        <v>-2.5875210000000003E-2</v>
      </c>
      <c r="R7" s="24">
        <v>-3.6103964000000002E-2</v>
      </c>
      <c r="S7" s="24">
        <v>4.0747999999999999E-2</v>
      </c>
      <c r="T7" s="24">
        <v>-9.9636969999999991E-2</v>
      </c>
      <c r="U7" s="24">
        <v>-5.4162979999999999E-2</v>
      </c>
      <c r="V7" s="24" t="e">
        <v>#N/A</v>
      </c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38" x14ac:dyDescent="0.35">
      <c r="A8" s="2">
        <v>41964</v>
      </c>
      <c r="B8" s="24" t="e">
        <v>#N/A</v>
      </c>
      <c r="C8" s="24">
        <v>4.0182830000000003E-2</v>
      </c>
      <c r="D8" s="24">
        <v>1.1126994999999999E-2</v>
      </c>
      <c r="E8" s="24">
        <v>3.4920572999999996E-2</v>
      </c>
      <c r="F8" s="24">
        <v>-1.3186753000000001E-2</v>
      </c>
      <c r="G8" s="24">
        <v>2.4067402000000002E-2</v>
      </c>
      <c r="H8" s="24">
        <v>-1.6490757000000002E-2</v>
      </c>
      <c r="I8" s="24">
        <v>3.8486600000000003E-2</v>
      </c>
      <c r="J8" s="24">
        <v>1.3870001E-2</v>
      </c>
      <c r="K8" s="24">
        <v>-1.457572E-2</v>
      </c>
      <c r="L8" s="24">
        <v>0.10316264999999999</v>
      </c>
      <c r="M8" s="24">
        <v>9.400283999999999E-2</v>
      </c>
      <c r="N8" s="24">
        <v>-1.3888955000000001E-2</v>
      </c>
      <c r="O8" s="24">
        <v>6.2684654999999992E-2</v>
      </c>
      <c r="P8" s="24">
        <v>3.4171939999999998E-2</v>
      </c>
      <c r="Q8" s="24">
        <v>3.8671850000000001E-2</v>
      </c>
      <c r="R8" s="24">
        <v>3.0325174E-2</v>
      </c>
      <c r="S8" s="24">
        <v>6.203902E-2</v>
      </c>
      <c r="T8" s="24">
        <v>3.0013442000000001E-2</v>
      </c>
      <c r="U8" s="24">
        <v>9.4652176000000008E-4</v>
      </c>
      <c r="V8" s="24" t="e">
        <v>#N/A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x14ac:dyDescent="0.35">
      <c r="A9" s="2">
        <v>41996</v>
      </c>
      <c r="B9" s="24" t="e">
        <v>#N/A</v>
      </c>
      <c r="C9" s="24">
        <v>-8.7037619999999996E-2</v>
      </c>
      <c r="D9" s="24">
        <v>-4.5839070000000003E-2</v>
      </c>
      <c r="E9" s="24">
        <v>-2.0344137999999998E-2</v>
      </c>
      <c r="F9" s="24">
        <v>-7.717228000000001E-2</v>
      </c>
      <c r="G9" s="24">
        <v>-6.8379460000000003E-2</v>
      </c>
      <c r="H9" s="24">
        <v>-8.2972950000000004E-2</v>
      </c>
      <c r="I9" s="24">
        <v>-4.7463654999999993E-2</v>
      </c>
      <c r="J9" s="24">
        <v>-0.11283302000000001</v>
      </c>
      <c r="K9" s="24">
        <v>-1.4545679000000001E-2</v>
      </c>
      <c r="L9" s="24">
        <v>-0.16028101</v>
      </c>
      <c r="M9" s="24">
        <v>-9.4053330000000004E-2</v>
      </c>
      <c r="N9" s="24">
        <v>-0.16725359999999997</v>
      </c>
      <c r="O9" s="24">
        <v>-7.8306017000000006E-2</v>
      </c>
      <c r="P9" s="24">
        <v>6.8284272999999994E-3</v>
      </c>
      <c r="Q9" s="24">
        <v>-0.11395263999999999</v>
      </c>
      <c r="R9" s="24">
        <v>-3.0414104000000001E-2</v>
      </c>
      <c r="S9" s="24">
        <v>-3.2235086000000003E-2</v>
      </c>
      <c r="T9" s="24">
        <v>-0.15789109000000001</v>
      </c>
      <c r="U9" s="24">
        <v>-9.4866039999999999E-2</v>
      </c>
      <c r="V9" s="24" t="e">
        <v>#N/A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x14ac:dyDescent="0.35">
      <c r="A10" s="2">
        <v>42027</v>
      </c>
      <c r="B10" s="24" t="e">
        <v>#N/A</v>
      </c>
      <c r="C10" s="24">
        <v>-6.0898660000000002E-3</v>
      </c>
      <c r="D10" s="24">
        <v>4.6641826999999997E-2</v>
      </c>
      <c r="E10" s="24">
        <v>5.5729866000000003E-2</v>
      </c>
      <c r="F10" s="24">
        <v>-6.1316849999999999E-2</v>
      </c>
      <c r="G10" s="24">
        <v>-4.1368539999999995E-2</v>
      </c>
      <c r="H10" s="24">
        <v>4.4809580000000002E-3</v>
      </c>
      <c r="I10" s="24">
        <v>6.1197042E-2</v>
      </c>
      <c r="J10" s="24">
        <v>9.6397400000000008E-3</v>
      </c>
      <c r="K10" s="24">
        <v>3.7613034000000004E-2</v>
      </c>
      <c r="L10" s="24">
        <v>9.0484620000000002E-3</v>
      </c>
      <c r="M10" s="24">
        <v>5.8649180000000002E-2</v>
      </c>
      <c r="N10" s="24">
        <v>-7.0949372999999996E-2</v>
      </c>
      <c r="O10" s="24">
        <v>0.11167168999999999</v>
      </c>
      <c r="P10" s="24">
        <v>7.3968649999999997E-2</v>
      </c>
      <c r="Q10" s="24">
        <v>-3.2682478000000001E-2</v>
      </c>
      <c r="R10" s="24">
        <v>4.3861865999999999E-2</v>
      </c>
      <c r="S10" s="24">
        <v>5.5575967000000004E-2</v>
      </c>
      <c r="T10" s="24">
        <v>2.3017526E-2</v>
      </c>
      <c r="U10" s="24">
        <v>1.0735988600000001E-3</v>
      </c>
      <c r="V10" s="24" t="e">
        <v>#N/A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x14ac:dyDescent="0.35">
      <c r="A11" s="2">
        <v>42058</v>
      </c>
      <c r="B11" s="24" t="e">
        <v>#N/A</v>
      </c>
      <c r="C11" s="24">
        <v>4.7485350000000003E-2</v>
      </c>
      <c r="D11" s="24">
        <v>-1.7825305E-2</v>
      </c>
      <c r="E11" s="24">
        <v>3.4448623999999997E-2</v>
      </c>
      <c r="F11" s="24">
        <v>3.2880305999999998E-2</v>
      </c>
      <c r="G11" s="24">
        <v>-1.3549209E-2</v>
      </c>
      <c r="H11" s="24">
        <v>-6.6914560000000001E-3</v>
      </c>
      <c r="I11" s="24">
        <v>-1.2673736E-3</v>
      </c>
      <c r="J11" s="24">
        <v>-1.2730360000000001E-2</v>
      </c>
      <c r="K11" s="24">
        <v>-2.4050235999999999E-2</v>
      </c>
      <c r="L11" s="24">
        <v>-5.5706499999999999E-2</v>
      </c>
      <c r="M11" s="24">
        <v>2.3279667E-2</v>
      </c>
      <c r="N11" s="24">
        <v>4.670763E-2</v>
      </c>
      <c r="O11" s="24">
        <v>-1.3615726999999999E-2</v>
      </c>
      <c r="P11" s="24">
        <v>-1.4380276000000001E-2</v>
      </c>
      <c r="Q11" s="24">
        <v>6.1869264E-2</v>
      </c>
      <c r="R11" s="24">
        <v>-2.7778744999999998E-3</v>
      </c>
      <c r="S11" s="24">
        <v>-9.8500729999999995E-2</v>
      </c>
      <c r="T11" s="24">
        <v>1.5509129E-2</v>
      </c>
      <c r="U11" s="24">
        <v>4.8257349999999997E-2</v>
      </c>
      <c r="V11" s="24" t="e">
        <v>#N/A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x14ac:dyDescent="0.35">
      <c r="A12" s="2">
        <v>42086</v>
      </c>
      <c r="B12" s="24" t="e">
        <v>#N/A</v>
      </c>
      <c r="C12" s="24">
        <v>-3.3633888000000001E-2</v>
      </c>
      <c r="D12" s="24">
        <v>-9.8003150000000004E-3</v>
      </c>
      <c r="E12" s="24">
        <v>-1.0062336999999999E-2</v>
      </c>
      <c r="F12" s="24">
        <v>1.6977906000000001E-2</v>
      </c>
      <c r="G12" s="24">
        <v>-3.7185967E-2</v>
      </c>
      <c r="H12" s="24">
        <v>-1.2724578E-2</v>
      </c>
      <c r="I12" s="24">
        <v>2.474618E-2</v>
      </c>
      <c r="J12" s="24">
        <v>1.0858536E-2</v>
      </c>
      <c r="K12" s="24">
        <v>3.4285665E-2</v>
      </c>
      <c r="L12" s="24">
        <v>-7.4244680000000007E-2</v>
      </c>
      <c r="M12" s="24">
        <v>-3.0525506000000001E-2</v>
      </c>
      <c r="N12" s="24">
        <v>-0.18580848999999999</v>
      </c>
      <c r="O12" s="24">
        <v>-1.3803601E-2</v>
      </c>
      <c r="P12" s="24">
        <v>1.5550017000000001E-2</v>
      </c>
      <c r="Q12" s="24">
        <v>-5.702579E-2</v>
      </c>
      <c r="R12" s="24">
        <v>-4.6352029999999995E-2</v>
      </c>
      <c r="S12" s="24">
        <v>-5.5115040000000004E-2</v>
      </c>
      <c r="T12" s="24">
        <v>-6.1760845000000002E-2</v>
      </c>
      <c r="U12" s="24">
        <v>-9.9232669999999995E-2</v>
      </c>
      <c r="V12" s="24" t="e">
        <v>#N/A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x14ac:dyDescent="0.35">
      <c r="A13" s="2">
        <v>42117</v>
      </c>
      <c r="B13" s="24" t="e">
        <v>#N/A</v>
      </c>
      <c r="C13" s="24">
        <v>6.557368999999999E-2</v>
      </c>
      <c r="D13" s="24">
        <v>1.3196467999999999E-2</v>
      </c>
      <c r="E13" s="24">
        <v>1.4278770000000001E-2</v>
      </c>
      <c r="F13" s="24">
        <v>5.6761264999999998E-2</v>
      </c>
      <c r="G13" s="24">
        <v>3.5490632000000001E-2</v>
      </c>
      <c r="H13" s="24">
        <v>5.2312374000000002E-2</v>
      </c>
      <c r="I13" s="24">
        <v>2.4767755999999998E-2</v>
      </c>
      <c r="J13" s="24">
        <v>6.0422419999999998E-3</v>
      </c>
      <c r="K13" s="24">
        <v>8.6326009999999995E-2</v>
      </c>
      <c r="L13" s="24">
        <v>0.12744796999999999</v>
      </c>
      <c r="M13" s="24">
        <v>4.6338796999999994E-2</v>
      </c>
      <c r="N13" s="24">
        <v>-5.3009870000000001E-2</v>
      </c>
      <c r="O13" s="24">
        <v>-3.5769880000000004E-2</v>
      </c>
      <c r="P13" s="24">
        <v>0.20094513</v>
      </c>
      <c r="Q13" s="24">
        <v>5.3226950000000002E-2</v>
      </c>
      <c r="R13" s="24">
        <v>1.6335367999999999E-2</v>
      </c>
      <c r="S13" s="24">
        <v>-3.9705336000000001E-2</v>
      </c>
      <c r="T13" s="24">
        <v>0.153628235</v>
      </c>
      <c r="U13" s="24">
        <v>3.6342977999999998E-2</v>
      </c>
      <c r="V13" s="24" t="e">
        <v>#N/A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1:38" x14ac:dyDescent="0.35">
      <c r="A14" s="2">
        <v>42146</v>
      </c>
      <c r="B14" s="24" t="e">
        <v>#N/A</v>
      </c>
      <c r="C14" s="24">
        <v>6.1538219999999998E-3</v>
      </c>
      <c r="D14" s="24">
        <v>-4.7756853000000002E-2</v>
      </c>
      <c r="E14" s="24">
        <v>-2.0281494000000001E-2</v>
      </c>
      <c r="F14" s="24">
        <v>-1.6587675E-2</v>
      </c>
      <c r="G14" s="24">
        <v>2.2513390000000001E-2</v>
      </c>
      <c r="H14" s="24">
        <v>-3.6023079999999999E-2</v>
      </c>
      <c r="I14" s="24">
        <v>-6.6464543000000001E-3</v>
      </c>
      <c r="J14" s="24">
        <v>-1.1177838000000001E-2</v>
      </c>
      <c r="K14" s="24">
        <v>-4.8474255000000001E-2</v>
      </c>
      <c r="L14" s="24">
        <v>-5.7071924000000003E-2</v>
      </c>
      <c r="M14" s="24">
        <v>-1.9020557E-2</v>
      </c>
      <c r="N14" s="24">
        <v>0.17172695000000002</v>
      </c>
      <c r="O14" s="24">
        <v>9.6774100000000004E-4</v>
      </c>
      <c r="P14" s="24">
        <v>-1.1490643E-2</v>
      </c>
      <c r="Q14" s="24">
        <v>1.0747432999999999E-2</v>
      </c>
      <c r="R14" s="24">
        <v>-1.3580680000000001E-2</v>
      </c>
      <c r="S14" s="24">
        <v>5.7971000000000002E-2</v>
      </c>
      <c r="T14" s="24">
        <v>-2.2293746E-2</v>
      </c>
      <c r="U14" s="24">
        <v>-2.6849330000000001E-2</v>
      </c>
      <c r="V14" s="24" t="e">
        <v>#N/A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x14ac:dyDescent="0.35">
      <c r="A15" s="2">
        <v>42178</v>
      </c>
      <c r="B15" s="24" t="e">
        <v>#N/A</v>
      </c>
      <c r="C15" s="24">
        <v>-6.3514413999999991E-2</v>
      </c>
      <c r="D15" s="24">
        <v>-7.9027357000000006E-2</v>
      </c>
      <c r="E15" s="24">
        <v>-4.1402817000000001E-2</v>
      </c>
      <c r="F15" s="24">
        <v>-4.7389564999999995E-2</v>
      </c>
      <c r="G15" s="24">
        <v>-1.6370177E-2</v>
      </c>
      <c r="H15" s="24">
        <v>-6.2780259999999991E-2</v>
      </c>
      <c r="I15" s="24">
        <v>-2.4330853999999999E-2</v>
      </c>
      <c r="J15" s="24">
        <v>-8.4358453999999999E-4</v>
      </c>
      <c r="K15" s="24">
        <v>-5.1110686999999995E-2</v>
      </c>
      <c r="L15" s="24">
        <v>-2.3392439000000003E-3</v>
      </c>
      <c r="M15" s="24">
        <v>-4.2685510000000003E-2</v>
      </c>
      <c r="N15" s="24">
        <v>-1.7004072999999998E-2</v>
      </c>
      <c r="O15" s="24">
        <v>-1.2890816000000001E-2</v>
      </c>
      <c r="P15" s="24">
        <v>-5.5095552999999999E-2</v>
      </c>
      <c r="Q15" s="24">
        <v>-3.4158826000000003E-2</v>
      </c>
      <c r="R15" s="24">
        <v>-1.3538003E-2</v>
      </c>
      <c r="S15" s="24">
        <v>-5.1571249999999999E-2</v>
      </c>
      <c r="T15" s="24">
        <v>4.7658682000000004E-3</v>
      </c>
      <c r="U15" s="24">
        <v>3.0968428000000003E-2</v>
      </c>
      <c r="V15" s="24" t="e">
        <v>#N/A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x14ac:dyDescent="0.35">
      <c r="A16" s="2">
        <v>42208</v>
      </c>
      <c r="B16" s="24" t="e">
        <v>#N/A</v>
      </c>
      <c r="C16" s="24">
        <v>-6.6324471999999995E-2</v>
      </c>
      <c r="D16" s="24">
        <v>-3.9910912999999999E-2</v>
      </c>
      <c r="E16" s="24">
        <v>-9.5821023000000009E-3</v>
      </c>
      <c r="F16" s="24">
        <v>-6.1743792999999998E-2</v>
      </c>
      <c r="G16" s="24">
        <v>-8.815611000000001E-2</v>
      </c>
      <c r="H16" s="24">
        <v>-3.5387635000000001E-2</v>
      </c>
      <c r="I16" s="24">
        <v>-6.7331734000000004E-2</v>
      </c>
      <c r="J16" s="24">
        <v>-4.8312960000000002E-2</v>
      </c>
      <c r="K16" s="24">
        <v>-9.3469510000000006E-2</v>
      </c>
      <c r="L16" s="24">
        <v>-0.12755751999999998</v>
      </c>
      <c r="M16" s="24">
        <v>-3.0623019000000001E-2</v>
      </c>
      <c r="N16" s="24">
        <v>-0.17215817999999999</v>
      </c>
      <c r="O16" s="24">
        <v>1.5013218E-2</v>
      </c>
      <c r="P16" s="24">
        <v>-0.11221182</v>
      </c>
      <c r="Q16" s="24">
        <v>-1.6578256999999999E-2</v>
      </c>
      <c r="R16" s="24">
        <v>-3.8962721999999998E-2</v>
      </c>
      <c r="S16" s="24">
        <v>-8.0029125000000007E-2</v>
      </c>
      <c r="T16" s="24">
        <v>1.7707825E-2</v>
      </c>
      <c r="U16" s="24">
        <v>2.6761292999999998E-2</v>
      </c>
      <c r="V16" s="24" t="e">
        <v>#N/A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x14ac:dyDescent="0.35">
      <c r="A17" s="2">
        <v>42237</v>
      </c>
      <c r="B17" s="24" t="e">
        <v>#N/A</v>
      </c>
      <c r="C17" s="24">
        <v>-9.6096100000000004E-2</v>
      </c>
      <c r="D17" s="24">
        <v>-0.19068348000000002</v>
      </c>
      <c r="E17" s="24">
        <v>-0.10629511000000001</v>
      </c>
      <c r="F17" s="24">
        <v>-1.3145924E-2</v>
      </c>
      <c r="G17" s="24">
        <v>-0.1822878</v>
      </c>
      <c r="H17" s="24">
        <v>-0.17839188</v>
      </c>
      <c r="I17" s="24">
        <v>-0.16778075999999997</v>
      </c>
      <c r="J17" s="24">
        <v>-9.7033615000000004E-2</v>
      </c>
      <c r="K17" s="24">
        <v>-0.11320394500000001</v>
      </c>
      <c r="L17" s="24">
        <v>-0.14099925999999999</v>
      </c>
      <c r="M17" s="24">
        <v>-0.12643498</v>
      </c>
      <c r="N17" s="24">
        <v>-6.4676641999999993E-2</v>
      </c>
      <c r="O17" s="24">
        <v>-7.5904369999999999E-2</v>
      </c>
      <c r="P17" s="24">
        <v>-0.14518599999999998</v>
      </c>
      <c r="Q17" s="24">
        <v>-8.069229E-2</v>
      </c>
      <c r="R17" s="24">
        <v>-5.4718790000000003E-2</v>
      </c>
      <c r="S17" s="24">
        <v>-0.13330191999999999</v>
      </c>
      <c r="T17" s="24">
        <v>-0.15273075999999999</v>
      </c>
      <c r="U17" s="24">
        <v>-0.17021269</v>
      </c>
      <c r="V17" s="24" t="e">
        <v>#N/A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8" x14ac:dyDescent="0.35">
      <c r="A18" s="2">
        <v>42270</v>
      </c>
      <c r="B18" s="24" t="e">
        <v>#N/A</v>
      </c>
      <c r="C18" s="24">
        <v>-1.2987017999999999E-2</v>
      </c>
      <c r="D18" s="24">
        <v>-5.5944085000000005E-2</v>
      </c>
      <c r="E18" s="24">
        <v>-1.2124658E-2</v>
      </c>
      <c r="F18" s="24">
        <v>-3.6288500000000001E-2</v>
      </c>
      <c r="G18" s="24">
        <v>7.2202679999999993E-3</v>
      </c>
      <c r="H18" s="24">
        <v>2.0387172999999999E-3</v>
      </c>
      <c r="I18" s="24">
        <v>6.5060260000000009E-2</v>
      </c>
      <c r="J18" s="24">
        <v>1.5436411000000001E-2</v>
      </c>
      <c r="K18" s="24">
        <v>5.6054354000000001E-2</v>
      </c>
      <c r="L18" s="24">
        <v>-0.16374504000000001</v>
      </c>
      <c r="M18" s="24">
        <v>-3.780377E-2</v>
      </c>
      <c r="N18" s="24">
        <v>3.2978773000000003E-2</v>
      </c>
      <c r="O18" s="24">
        <v>-4.1244325999999998E-2</v>
      </c>
      <c r="P18" s="24">
        <v>-1.1218308999999999E-2</v>
      </c>
      <c r="Q18" s="24">
        <v>3.5696745000000002E-2</v>
      </c>
      <c r="R18" s="24">
        <v>7.0005655E-3</v>
      </c>
      <c r="S18" s="24">
        <v>-1.6362130999999999E-2</v>
      </c>
      <c r="T18" s="24">
        <v>2.3787737E-2</v>
      </c>
      <c r="U18" s="24">
        <v>7.0512295000000006E-3</v>
      </c>
      <c r="V18" s="24" t="e">
        <v>#N/A</v>
      </c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x14ac:dyDescent="0.35">
      <c r="A19" s="2">
        <v>42300</v>
      </c>
      <c r="B19" s="24" t="e">
        <v>#N/A</v>
      </c>
      <c r="C19" s="24">
        <v>9.547114000000001E-2</v>
      </c>
      <c r="D19" s="24">
        <v>0.25128210000000001</v>
      </c>
      <c r="E19" s="24">
        <v>8.2407950000000008E-2</v>
      </c>
      <c r="F19" s="24">
        <v>2.85995E-3</v>
      </c>
      <c r="G19" s="24">
        <v>5.8243749999999997E-2</v>
      </c>
      <c r="H19" s="24">
        <v>0.11088503</v>
      </c>
      <c r="I19" s="24">
        <v>8.3710430000000002E-2</v>
      </c>
      <c r="J19" s="24">
        <v>7.3864700000000005E-2</v>
      </c>
      <c r="K19" s="24">
        <v>0.13518560000000002</v>
      </c>
      <c r="L19" s="24">
        <v>0.12434494000000001</v>
      </c>
      <c r="M19" s="24">
        <v>0.11281574000000001</v>
      </c>
      <c r="N19" s="24">
        <v>0.10504627</v>
      </c>
      <c r="O19" s="24">
        <v>8.931828E-2</v>
      </c>
      <c r="P19" s="24">
        <v>0.13206266999999999</v>
      </c>
      <c r="Q19" s="24">
        <v>3.8715720000000002E-2</v>
      </c>
      <c r="R19" s="24">
        <v>2.9792665999999999E-2</v>
      </c>
      <c r="S19" s="24">
        <v>0.13057936000000001</v>
      </c>
      <c r="T19" s="24">
        <v>2.8973817999999999E-3</v>
      </c>
      <c r="U19" s="24">
        <v>0.10948442999999999</v>
      </c>
      <c r="V19" s="24">
        <v>3.2163261999999998E-2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1:38" x14ac:dyDescent="0.35">
      <c r="A20" s="2">
        <v>42331</v>
      </c>
      <c r="B20" s="24" t="e">
        <v>#N/A</v>
      </c>
      <c r="C20" s="24">
        <v>-7.3184310000000002E-2</v>
      </c>
      <c r="D20" s="24">
        <v>-4.5992613000000002E-2</v>
      </c>
      <c r="E20" s="24">
        <v>-6.8574549999999998E-2</v>
      </c>
      <c r="F20" s="24">
        <v>-9.6007640000000005E-2</v>
      </c>
      <c r="G20" s="24">
        <v>-7.1683589999999991E-2</v>
      </c>
      <c r="H20" s="24">
        <v>-3.9377332000000001E-2</v>
      </c>
      <c r="I20" s="24">
        <v>-4.105777E-2</v>
      </c>
      <c r="J20" s="24">
        <v>1.8149614000000001E-3</v>
      </c>
      <c r="K20" s="24">
        <v>-3.1415522000000001E-2</v>
      </c>
      <c r="L20" s="24">
        <v>5.2966119999999998E-2</v>
      </c>
      <c r="M20" s="24">
        <v>-5.665767E-2</v>
      </c>
      <c r="N20" s="24">
        <v>-0.15843432999999998</v>
      </c>
      <c r="O20" s="24">
        <v>-9.2034819999999989E-2</v>
      </c>
      <c r="P20" s="24">
        <v>-4.5299649999999997E-2</v>
      </c>
      <c r="Q20" s="24">
        <v>-0.1013636</v>
      </c>
      <c r="R20" s="24">
        <v>-1.5478730000000001E-2</v>
      </c>
      <c r="S20" s="24">
        <v>1.4958381999999999E-2</v>
      </c>
      <c r="T20" s="24">
        <v>-0.12272906</v>
      </c>
      <c r="U20" s="24">
        <v>-6.0241040000000003E-2</v>
      </c>
      <c r="V20" s="24">
        <v>-2.1616817E-2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1:38" x14ac:dyDescent="0.35">
      <c r="A21" s="2">
        <v>42361</v>
      </c>
      <c r="B21" s="24" t="e">
        <v>#N/A</v>
      </c>
      <c r="C21" s="24">
        <v>-8.2339049999999997E-3</v>
      </c>
      <c r="D21" s="24">
        <v>1.1464953E-2</v>
      </c>
      <c r="E21" s="24">
        <v>3.6225319999999999E-3</v>
      </c>
      <c r="F21" s="24">
        <v>-7.7422860000000001E-3</v>
      </c>
      <c r="G21" s="24">
        <v>-5.9672059999999999E-2</v>
      </c>
      <c r="H21" s="24">
        <v>8.8765619999999993E-3</v>
      </c>
      <c r="I21" s="24">
        <v>-1.8485844000000001E-2</v>
      </c>
      <c r="J21" s="24">
        <v>-6.5414369999999999E-2</v>
      </c>
      <c r="K21" s="24">
        <v>-4.6536922000000001E-3</v>
      </c>
      <c r="L21" s="24">
        <v>-0.12408596</v>
      </c>
      <c r="M21" s="24">
        <v>-0.11137485500000001</v>
      </c>
      <c r="N21" s="24">
        <v>-8.5271180000000002E-2</v>
      </c>
      <c r="O21" s="24">
        <v>2.626264E-2</v>
      </c>
      <c r="P21" s="24">
        <v>-2.1788716E-2</v>
      </c>
      <c r="Q21" s="24">
        <v>-4.3500303999999997E-2</v>
      </c>
      <c r="R21" s="24">
        <v>-8.5868780000000006E-2</v>
      </c>
      <c r="S21" s="24">
        <v>-8.7197780000000003E-2</v>
      </c>
      <c r="T21" s="24">
        <v>1.8999577000000001E-3</v>
      </c>
      <c r="U21" s="24">
        <v>-9.5909540000000001E-2</v>
      </c>
      <c r="V21" s="24">
        <v>-3.2093227000000002E-2</v>
      </c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1:38" x14ac:dyDescent="0.35">
      <c r="A22" s="2">
        <v>42391</v>
      </c>
      <c r="B22" s="24" t="e">
        <v>#N/A</v>
      </c>
      <c r="C22" s="24">
        <v>-6.0079336000000004E-2</v>
      </c>
      <c r="D22" s="24">
        <v>-1.7021239000000001E-2</v>
      </c>
      <c r="E22" s="24">
        <v>-0.13449275999999999</v>
      </c>
      <c r="F22" s="24">
        <v>-0.13480127</v>
      </c>
      <c r="G22" s="24">
        <v>-8.8991164999999997E-2</v>
      </c>
      <c r="H22" s="24">
        <v>-1.9329905999999997E-2</v>
      </c>
      <c r="I22" s="24">
        <v>-9.9847500000000006E-2</v>
      </c>
      <c r="J22" s="24">
        <v>-0.10518307</v>
      </c>
      <c r="K22" s="24">
        <v>-8.2234329999999994E-2</v>
      </c>
      <c r="L22" s="24">
        <v>-0.16004646</v>
      </c>
      <c r="M22" s="24">
        <v>-0.16044091999999999</v>
      </c>
      <c r="N22" s="24">
        <v>-0.18170559</v>
      </c>
      <c r="O22" s="24">
        <v>-8.2489129999999994E-2</v>
      </c>
      <c r="P22" s="24">
        <v>-0.15233952000000001</v>
      </c>
      <c r="Q22" s="24">
        <v>-0.13694495000000001</v>
      </c>
      <c r="R22" s="24">
        <v>-5.0764679999999998E-3</v>
      </c>
      <c r="S22" s="24">
        <v>-8.048719E-2</v>
      </c>
      <c r="T22" s="24">
        <v>-0.11408109</v>
      </c>
      <c r="U22" s="24">
        <v>-9.0770300000000012E-2</v>
      </c>
      <c r="V22" s="24">
        <v>-0.17078192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1:38" x14ac:dyDescent="0.35">
      <c r="A23" s="2">
        <v>42423</v>
      </c>
      <c r="B23" s="24" t="e">
        <v>#N/A</v>
      </c>
      <c r="C23" s="24">
        <v>8.3387375E-2</v>
      </c>
      <c r="D23" s="24">
        <v>4.5694947E-2</v>
      </c>
      <c r="E23" s="24">
        <v>9.9129200000000001E-2</v>
      </c>
      <c r="F23" s="24">
        <v>0.10180008000000002</v>
      </c>
      <c r="G23" s="24">
        <v>0.15405262</v>
      </c>
      <c r="H23" s="24">
        <v>3.6793709000000001E-2</v>
      </c>
      <c r="I23" s="24">
        <v>7.4513079999999995E-2</v>
      </c>
      <c r="J23" s="24">
        <v>4.9241542999999999E-2</v>
      </c>
      <c r="K23" s="24">
        <v>-1.0777652E-2</v>
      </c>
      <c r="L23" s="24">
        <v>0.13661504000000002</v>
      </c>
      <c r="M23" s="24">
        <v>0.11500120000000001</v>
      </c>
      <c r="N23" s="24">
        <v>-7.5075089999999997E-2</v>
      </c>
      <c r="O23" s="24">
        <v>-4.9684525E-2</v>
      </c>
      <c r="P23" s="24">
        <v>-1.1810004999999998E-2</v>
      </c>
      <c r="Q23" s="24">
        <v>0.14714897000000002</v>
      </c>
      <c r="R23" s="24">
        <v>4.5550942000000004E-2</v>
      </c>
      <c r="S23" s="24">
        <v>8.2349539999999999E-2</v>
      </c>
      <c r="T23" s="24">
        <v>0.12106013</v>
      </c>
      <c r="U23" s="24">
        <v>9.8689319999999997E-2</v>
      </c>
      <c r="V23" s="24">
        <v>4.8168780000000001E-2</v>
      </c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x14ac:dyDescent="0.35">
      <c r="A24" s="2">
        <v>42452</v>
      </c>
      <c r="B24" s="24" t="e">
        <v>#N/A</v>
      </c>
      <c r="C24" s="24">
        <v>7.2776318000000007E-2</v>
      </c>
      <c r="D24" s="24">
        <v>6.7617297000000007E-2</v>
      </c>
      <c r="E24" s="24">
        <v>0.10298597000000001</v>
      </c>
      <c r="F24" s="24">
        <v>8.5633870000000001E-2</v>
      </c>
      <c r="G24" s="24">
        <v>0.19767439000000001</v>
      </c>
      <c r="H24" s="24">
        <v>8.2382789999999997E-2</v>
      </c>
      <c r="I24" s="24">
        <v>7.8014254999999991E-2</v>
      </c>
      <c r="J24" s="24">
        <v>9.9308604999999994E-2</v>
      </c>
      <c r="K24" s="24">
        <v>0.10147405</v>
      </c>
      <c r="L24" s="24">
        <v>0.24914848000000001</v>
      </c>
      <c r="M24" s="24">
        <v>0.11164415</v>
      </c>
      <c r="N24" s="24">
        <v>0.13311696000000001</v>
      </c>
      <c r="O24" s="24">
        <v>0.107053995</v>
      </c>
      <c r="P24" s="24">
        <v>7.6643230000000007E-2</v>
      </c>
      <c r="Q24" s="24">
        <v>5.6119799999999997E-2</v>
      </c>
      <c r="R24" s="24">
        <v>6.5146090000000004E-2</v>
      </c>
      <c r="S24" s="24">
        <v>0.10454905</v>
      </c>
      <c r="T24" s="24">
        <v>5.4313183000000001E-2</v>
      </c>
      <c r="U24" s="24">
        <v>-2.0350872999999998E-2</v>
      </c>
      <c r="V24" s="24">
        <v>6.5784097E-2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38" x14ac:dyDescent="0.35">
      <c r="A25" s="2">
        <v>42482</v>
      </c>
      <c r="B25" s="24" t="e">
        <v>#N/A</v>
      </c>
      <c r="C25" s="24">
        <v>3.2663345000000003E-2</v>
      </c>
      <c r="D25" s="24">
        <v>2.4558425000000002E-2</v>
      </c>
      <c r="E25" s="24">
        <v>-1.6022146000000001E-2</v>
      </c>
      <c r="F25" s="24">
        <v>-1.8681942999999999E-2</v>
      </c>
      <c r="G25" s="24">
        <v>0.15883492999999999</v>
      </c>
      <c r="H25" s="24">
        <v>3.044498E-2</v>
      </c>
      <c r="I25" s="24">
        <v>-2.1929859999999999E-2</v>
      </c>
      <c r="J25" s="24">
        <v>1.0672688E-2</v>
      </c>
      <c r="K25" s="24">
        <v>2.6376963E-2</v>
      </c>
      <c r="L25" s="24">
        <v>9.2325690000000002E-2</v>
      </c>
      <c r="M25" s="24">
        <v>7.3558209999999999E-2</v>
      </c>
      <c r="N25" s="24">
        <v>0.18194830000000001</v>
      </c>
      <c r="O25" s="24">
        <v>1.9490242000000001E-2</v>
      </c>
      <c r="P25" s="24">
        <v>4.4401526000000004E-2</v>
      </c>
      <c r="Q25" s="24">
        <v>4.0485859999999999E-3</v>
      </c>
      <c r="R25" s="24">
        <v>-9.5593929999999994E-4</v>
      </c>
      <c r="S25" s="24">
        <v>8.7186810000000003E-2</v>
      </c>
      <c r="T25" s="24">
        <v>7.1515202999999999E-2</v>
      </c>
      <c r="U25" s="24">
        <v>2.9369592999999999E-2</v>
      </c>
      <c r="V25" s="24">
        <v>2.332294E-2</v>
      </c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 x14ac:dyDescent="0.35">
      <c r="A26" s="2">
        <v>42513</v>
      </c>
      <c r="B26" s="24" t="e">
        <v>#N/A</v>
      </c>
      <c r="C26" s="24">
        <v>-4.7580479999999994E-2</v>
      </c>
      <c r="D26" s="24">
        <v>-7.947862E-2</v>
      </c>
      <c r="E26" s="24">
        <v>2.1897912000000002E-2</v>
      </c>
      <c r="F26" s="24">
        <v>-8.1967169999999992E-2</v>
      </c>
      <c r="G26" s="24">
        <v>-5.0268173000000008E-3</v>
      </c>
      <c r="H26" s="24">
        <v>-9.0909119999999996E-2</v>
      </c>
      <c r="I26" s="24">
        <v>-3.2884955E-2</v>
      </c>
      <c r="J26" s="24">
        <v>-6.6377519999999995E-2</v>
      </c>
      <c r="K26" s="24">
        <v>-6.9349946999999995E-2</v>
      </c>
      <c r="L26" s="24">
        <v>-7.0970116E-2</v>
      </c>
      <c r="M26" s="24">
        <v>-0.10889822</v>
      </c>
      <c r="N26" s="24">
        <v>9.4545359999999995E-2</v>
      </c>
      <c r="O26" s="24">
        <v>-3.7132381999999999E-2</v>
      </c>
      <c r="P26" s="24">
        <v>-7.6940830000000002E-2</v>
      </c>
      <c r="Q26" s="24">
        <v>-7.4596762999999996E-2</v>
      </c>
      <c r="R26" s="24">
        <v>-2.0640729999999999E-2</v>
      </c>
      <c r="S26" s="24">
        <v>-0.14953475999999999</v>
      </c>
      <c r="T26" s="24">
        <v>-9.5017010000000013E-2</v>
      </c>
      <c r="U26" s="24">
        <v>-6.9588419999999998E-4</v>
      </c>
      <c r="V26" s="24">
        <v>1.1938334E-2</v>
      </c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1:38" x14ac:dyDescent="0.35">
      <c r="A27" s="2">
        <v>42544</v>
      </c>
      <c r="B27" s="24" t="e">
        <v>#N/A</v>
      </c>
      <c r="C27" s="24">
        <v>6.7531229999999998E-2</v>
      </c>
      <c r="D27" s="24">
        <v>0.1068511</v>
      </c>
      <c r="E27" s="24">
        <v>9.9535830000000006E-2</v>
      </c>
      <c r="F27" s="24">
        <v>6.8207264000000004E-2</v>
      </c>
      <c r="G27" s="24">
        <v>3.2006620999999999E-2</v>
      </c>
      <c r="H27" s="24">
        <v>5.095148E-2</v>
      </c>
      <c r="I27" s="24">
        <v>9.8145369999999996E-2</v>
      </c>
      <c r="J27" s="24">
        <v>3.6204100000000003E-2</v>
      </c>
      <c r="K27" s="24">
        <v>8.4467050000000002E-2</v>
      </c>
      <c r="L27" s="24">
        <v>0.12270569999999999</v>
      </c>
      <c r="M27" s="24">
        <v>0.15606128999999999</v>
      </c>
      <c r="N27" s="24">
        <v>-8.1827220000000006E-2</v>
      </c>
      <c r="O27" s="24">
        <v>7.6827645E-2</v>
      </c>
      <c r="P27" s="24">
        <v>7.4349760000000001E-2</v>
      </c>
      <c r="Q27" s="24">
        <v>2.6854395999999999E-2</v>
      </c>
      <c r="R27" s="24">
        <v>3.9596437999999998E-2</v>
      </c>
      <c r="S27" s="24">
        <v>9.2469579999999996E-2</v>
      </c>
      <c r="T27" s="24">
        <v>8.8390465000000001E-2</v>
      </c>
      <c r="U27" s="24">
        <v>3.6211730000000004E-2</v>
      </c>
      <c r="V27" s="24">
        <v>2.1947384E-2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38" x14ac:dyDescent="0.35">
      <c r="A28" s="2">
        <v>42573</v>
      </c>
      <c r="B28" s="24">
        <v>4.1916250000000002E-2</v>
      </c>
      <c r="C28" s="24">
        <v>5.3629518000000001E-2</v>
      </c>
      <c r="D28" s="24">
        <v>5.8406352999999994E-2</v>
      </c>
      <c r="E28" s="24">
        <v>1.1785269000000001E-2</v>
      </c>
      <c r="F28" s="24">
        <v>-5.4054080000000004E-2</v>
      </c>
      <c r="G28" s="24">
        <v>7.7504160000000002E-2</v>
      </c>
      <c r="H28" s="24">
        <v>-1.4457822E-2</v>
      </c>
      <c r="I28" s="24">
        <v>5.2779674999999998E-2</v>
      </c>
      <c r="J28" s="24">
        <v>1.2817979E-2</v>
      </c>
      <c r="K28" s="24">
        <v>1.6850829000000001E-2</v>
      </c>
      <c r="L28" s="24">
        <v>0.13193250000000001</v>
      </c>
      <c r="M28" s="24">
        <v>2.8326034999999999E-2</v>
      </c>
      <c r="N28" s="24">
        <v>-0.11350721</v>
      </c>
      <c r="O28" s="24">
        <v>3.4248948000000001E-2</v>
      </c>
      <c r="P28" s="24">
        <v>3.9427400000000001E-2</v>
      </c>
      <c r="Q28" s="24">
        <v>5.2805185000000004E-2</v>
      </c>
      <c r="R28" s="24">
        <v>5.0633549999999999E-2</v>
      </c>
      <c r="S28" s="24">
        <v>-0.14188200000000001</v>
      </c>
      <c r="T28" s="24">
        <v>4.2312263999999995E-2</v>
      </c>
      <c r="U28" s="24">
        <v>1.3440847E-3</v>
      </c>
      <c r="V28" s="24">
        <v>-1.4590263000000001E-2</v>
      </c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38" x14ac:dyDescent="0.35">
      <c r="A29" s="2">
        <v>42605</v>
      </c>
      <c r="B29" s="24">
        <v>2.9885054000000001E-2</v>
      </c>
      <c r="C29" s="24">
        <v>-3.9845824000000002E-2</v>
      </c>
      <c r="D29" s="24">
        <v>2.4044037000000001E-2</v>
      </c>
      <c r="E29" s="24">
        <v>-1.610899E-2</v>
      </c>
      <c r="F29" s="24">
        <v>4.285717E-2</v>
      </c>
      <c r="G29" s="24">
        <v>5.8823585999999997E-2</v>
      </c>
      <c r="H29" s="24">
        <v>1.7114878E-2</v>
      </c>
      <c r="I29" s="24">
        <v>6.0160159999999999E-3</v>
      </c>
      <c r="J29" s="24">
        <v>0</v>
      </c>
      <c r="K29" s="24">
        <v>4.7136784000000001E-2</v>
      </c>
      <c r="L29" s="24">
        <v>1.8259286999999999E-2</v>
      </c>
      <c r="M29" s="24">
        <v>6.575465E-3</v>
      </c>
      <c r="N29" s="24">
        <v>-1.360476E-3</v>
      </c>
      <c r="O29" s="24">
        <v>4.8292875000000004E-3</v>
      </c>
      <c r="P29" s="24">
        <v>5.7800770000000001E-2</v>
      </c>
      <c r="Q29" s="24">
        <v>7.2100400000000009E-2</v>
      </c>
      <c r="R29" s="24">
        <v>2.0495296E-2</v>
      </c>
      <c r="S29" s="24">
        <v>9.2045420000000003E-2</v>
      </c>
      <c r="T29" s="24">
        <v>-1.9776999999999999E-2</v>
      </c>
      <c r="U29" s="24">
        <v>2.4161100000000001E-2</v>
      </c>
      <c r="V29" s="24">
        <v>-5.3543987000000001E-2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38" x14ac:dyDescent="0.35">
      <c r="A30" s="2">
        <v>42636</v>
      </c>
      <c r="B30" s="24">
        <v>-2.5297581999999999E-2</v>
      </c>
      <c r="C30" s="24">
        <v>-1.6063452E-3</v>
      </c>
      <c r="D30" s="24">
        <v>1.0392666E-2</v>
      </c>
      <c r="E30" s="24">
        <v>-6.3728037000000001E-2</v>
      </c>
      <c r="F30" s="24">
        <v>2.7396680000000002E-3</v>
      </c>
      <c r="G30" s="24">
        <v>-2.7346015000000001E-2</v>
      </c>
      <c r="H30" s="24">
        <v>-1.8028796E-2</v>
      </c>
      <c r="I30" s="24">
        <v>4.0531515999999997E-2</v>
      </c>
      <c r="J30" s="24">
        <v>-6.7367553999999996E-2</v>
      </c>
      <c r="K30" s="24">
        <v>1.3715505999999999E-2</v>
      </c>
      <c r="L30" s="24">
        <v>1.2253404000000001E-2</v>
      </c>
      <c r="M30" s="24">
        <v>-5.6496860000000001E-3</v>
      </c>
      <c r="N30" s="24">
        <v>-9.5368624000000003E-3</v>
      </c>
      <c r="O30" s="24">
        <v>2.1283983999999999E-2</v>
      </c>
      <c r="P30" s="24">
        <v>4.7598839999999996E-2</v>
      </c>
      <c r="Q30" s="24">
        <v>-6.0672579999999997E-2</v>
      </c>
      <c r="R30" s="24">
        <v>-3.0635177999999999E-2</v>
      </c>
      <c r="S30" s="24">
        <v>4.0582776000000001E-2</v>
      </c>
      <c r="T30" s="24">
        <v>-1.9423961999999999E-3</v>
      </c>
      <c r="U30" s="24">
        <v>-2.555704E-2</v>
      </c>
      <c r="V30" s="24">
        <v>-2.253908E-2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38" x14ac:dyDescent="0.35">
      <c r="A31" s="2">
        <v>42664</v>
      </c>
      <c r="B31" s="24">
        <v>4.1984320000000002E-3</v>
      </c>
      <c r="C31" s="24">
        <v>4.2370560000000002E-2</v>
      </c>
      <c r="D31" s="24">
        <v>9.1428757000000006E-3</v>
      </c>
      <c r="E31" s="24">
        <v>-5.3806304999999997E-3</v>
      </c>
      <c r="F31" s="24">
        <v>-2.7868748000000002E-2</v>
      </c>
      <c r="G31" s="24">
        <v>-2.1899997999999997E-2</v>
      </c>
      <c r="H31" s="24">
        <v>-1.4687896000000001E-2</v>
      </c>
      <c r="I31" s="24">
        <v>5.1085950000000005E-3</v>
      </c>
      <c r="J31" s="24">
        <v>8.455109999999999E-2</v>
      </c>
      <c r="K31" s="24">
        <v>-2.5325298E-2</v>
      </c>
      <c r="L31" s="24">
        <v>0.11514616</v>
      </c>
      <c r="M31" s="24">
        <v>-3.7819623999999996E-2</v>
      </c>
      <c r="N31" s="24">
        <v>2.3370028000000001E-2</v>
      </c>
      <c r="O31" s="24">
        <v>-8.4033609999999998E-3</v>
      </c>
      <c r="P31" s="24">
        <v>-1.4466226E-2</v>
      </c>
      <c r="Q31" s="24">
        <v>-2.5933980999999999E-4</v>
      </c>
      <c r="R31" s="24">
        <v>5.0171614000000002E-3</v>
      </c>
      <c r="S31" s="24">
        <v>-4.8499939999999998E-2</v>
      </c>
      <c r="T31" s="24">
        <v>-4.2417645000000004E-2</v>
      </c>
      <c r="U31" s="24">
        <v>-8.0699324999999999E-3</v>
      </c>
      <c r="V31" s="24">
        <v>-1.4588236999999999E-2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38" x14ac:dyDescent="0.35">
      <c r="A32" s="2">
        <v>42697</v>
      </c>
      <c r="B32" s="24">
        <v>7.6017380000000002E-3</v>
      </c>
      <c r="C32" s="24">
        <v>-3.6531984999999996E-2</v>
      </c>
      <c r="D32" s="24">
        <v>-0.1136278</v>
      </c>
      <c r="E32" s="24">
        <v>-0.13443333000000002</v>
      </c>
      <c r="F32" s="24">
        <v>-3.3164680000000002E-2</v>
      </c>
      <c r="G32" s="24">
        <v>-3.1164885E-2</v>
      </c>
      <c r="H32" s="24">
        <v>-8.6956560000000002E-2</v>
      </c>
      <c r="I32" s="24">
        <v>-3.1130849999999998E-2</v>
      </c>
      <c r="J32" s="24">
        <v>-0.15938406999999999</v>
      </c>
      <c r="K32" s="24">
        <v>-6.0330987000000003E-2</v>
      </c>
      <c r="L32" s="24">
        <v>-0.1048451</v>
      </c>
      <c r="M32" s="24">
        <v>-6.2373103999999999E-2</v>
      </c>
      <c r="N32" s="24">
        <v>7.7971459999999992E-2</v>
      </c>
      <c r="O32" s="24">
        <v>-0.12338978</v>
      </c>
      <c r="P32" s="24">
        <v>-5.1891622999999998E-2</v>
      </c>
      <c r="Q32" s="24">
        <v>-6.7981360000000005E-2</v>
      </c>
      <c r="R32" s="24">
        <v>-2.6726723000000002E-3</v>
      </c>
      <c r="S32" s="24">
        <v>-0.13872837999999998</v>
      </c>
      <c r="T32" s="24">
        <v>-4.1806580000000003E-2</v>
      </c>
      <c r="U32" s="24">
        <v>-6.779658999999999E-2</v>
      </c>
      <c r="V32" s="24">
        <v>0.1587392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x14ac:dyDescent="0.35">
      <c r="A33" s="2">
        <v>42727</v>
      </c>
      <c r="B33" s="24">
        <v>-4.0984035000000002E-2</v>
      </c>
      <c r="C33" s="24">
        <v>-3.2991111000000004E-2</v>
      </c>
      <c r="D33" s="24">
        <v>-2.7887225000000002E-2</v>
      </c>
      <c r="E33" s="24">
        <v>-3.7102818000000003E-2</v>
      </c>
      <c r="F33" s="24">
        <v>6.3944340000000002E-2</v>
      </c>
      <c r="G33" s="24">
        <v>6.5630673999999998E-3</v>
      </c>
      <c r="H33" s="24">
        <v>-9.4741579999999999E-3</v>
      </c>
      <c r="I33" s="24">
        <v>-2.1254718000000002E-2</v>
      </c>
      <c r="J33" s="24">
        <v>5.2559375999999998E-3</v>
      </c>
      <c r="K33" s="24">
        <v>1.7656326E-2</v>
      </c>
      <c r="L33" s="24">
        <v>-3.3490837000000002E-2</v>
      </c>
      <c r="M33" s="24">
        <v>-2.4936199000000002E-3</v>
      </c>
      <c r="N33" s="24">
        <v>-3.2418906999999997E-2</v>
      </c>
      <c r="O33" s="24">
        <v>1.2477160000000001E-2</v>
      </c>
      <c r="P33" s="24">
        <v>-5.7665585999999998E-2</v>
      </c>
      <c r="Q33" s="24">
        <v>6.7461133000000006E-2</v>
      </c>
      <c r="R33" s="24">
        <v>9.1021060000000004E-3</v>
      </c>
      <c r="S33" s="24">
        <v>-1.5225172E-2</v>
      </c>
      <c r="T33" s="24">
        <v>8.7105040000000009E-2</v>
      </c>
      <c r="U33" s="24">
        <v>-4.9141406999999998E-2</v>
      </c>
      <c r="V33" s="24">
        <v>4.3257117000000005E-2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 x14ac:dyDescent="0.35">
      <c r="A34" s="2">
        <v>42758</v>
      </c>
      <c r="B34" s="24">
        <v>2.1522521999999999E-2</v>
      </c>
      <c r="C34" s="24">
        <v>8.839786999999999E-2</v>
      </c>
      <c r="D34" s="24">
        <v>6.3157915999999995E-2</v>
      </c>
      <c r="E34" s="24">
        <v>0.1362083</v>
      </c>
      <c r="F34" s="24">
        <v>7.4651836999999999E-2</v>
      </c>
      <c r="G34" s="24">
        <v>7.7473639999999996E-2</v>
      </c>
      <c r="H34" s="24">
        <v>4.3056964999999996E-2</v>
      </c>
      <c r="I34" s="24">
        <v>6.5157770000000004E-2</v>
      </c>
      <c r="J34" s="24">
        <v>2.9748678000000002E-3</v>
      </c>
      <c r="K34" s="24">
        <v>7.2895050000000003E-2</v>
      </c>
      <c r="L34" s="24">
        <v>0.16733799999999999</v>
      </c>
      <c r="M34" s="24">
        <v>0.10789787000000001</v>
      </c>
      <c r="N34" s="24">
        <v>3.8131355999999998E-2</v>
      </c>
      <c r="O34" s="24">
        <v>5.8598160000000003E-2</v>
      </c>
      <c r="P34" s="24">
        <v>8.6448669999999991E-2</v>
      </c>
      <c r="Q34" s="24">
        <v>4.9468994000000002E-2</v>
      </c>
      <c r="R34" s="24">
        <v>4.0272116999999996E-2</v>
      </c>
      <c r="S34" s="24">
        <v>1.6444324999999999E-2</v>
      </c>
      <c r="T34" s="24">
        <v>3.5503029999999998E-2</v>
      </c>
      <c r="U34" s="24">
        <v>5.799377E-2</v>
      </c>
      <c r="V34" s="24">
        <v>-9.9281070000000003E-3</v>
      </c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38" x14ac:dyDescent="0.35">
      <c r="A35" s="2">
        <v>42789</v>
      </c>
      <c r="B35" s="24">
        <v>3.9797186999999998E-2</v>
      </c>
      <c r="C35" s="24">
        <v>4.4669986000000002E-2</v>
      </c>
      <c r="D35" s="24">
        <v>2.1452187999999997E-2</v>
      </c>
      <c r="E35" s="24">
        <v>-2.177024E-2</v>
      </c>
      <c r="F35" s="24">
        <v>0.12649035</v>
      </c>
      <c r="G35" s="24">
        <v>2.3390055E-2</v>
      </c>
      <c r="H35" s="24">
        <v>2.2703767E-2</v>
      </c>
      <c r="I35" s="24">
        <v>5.2157163999999999E-2</v>
      </c>
      <c r="J35" s="24">
        <v>7.9397679999999998E-2</v>
      </c>
      <c r="K35" s="24">
        <v>4.4943810000000001E-2</v>
      </c>
      <c r="L35" s="24">
        <v>4.9907090000000001E-2</v>
      </c>
      <c r="M35" s="24">
        <v>3.5283566000000002E-2</v>
      </c>
      <c r="N35" s="24">
        <v>-1.7721534000000001E-2</v>
      </c>
      <c r="O35" s="24">
        <v>8.0680260000000004E-2</v>
      </c>
      <c r="P35" s="24">
        <v>6.8387149999999994E-2</v>
      </c>
      <c r="Q35" s="24">
        <v>6.9582460000000004E-3</v>
      </c>
      <c r="R35" s="24">
        <v>-2.209127E-3</v>
      </c>
      <c r="S35" s="24">
        <v>0.12026871</v>
      </c>
      <c r="T35" s="24">
        <v>-1.5428603000000001E-2</v>
      </c>
      <c r="U35" s="24">
        <v>1.9999981E-2</v>
      </c>
      <c r="V35" s="24">
        <v>8.4148645000000008E-3</v>
      </c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38" x14ac:dyDescent="0.35">
      <c r="A36" s="2">
        <v>42817</v>
      </c>
      <c r="B36" s="24">
        <v>-2.6266574999999999E-3</v>
      </c>
      <c r="C36" s="24">
        <v>4.0816306999999996E-2</v>
      </c>
      <c r="D36" s="24">
        <v>4.6041964999999997E-2</v>
      </c>
      <c r="E36" s="24">
        <v>1.1712313000000001E-3</v>
      </c>
      <c r="F36" s="24">
        <v>1.5646576999999998E-2</v>
      </c>
      <c r="G36" s="24">
        <v>-4.5711040000000001E-2</v>
      </c>
      <c r="H36" s="24">
        <v>3.1617880000000001E-2</v>
      </c>
      <c r="I36" s="24">
        <v>2.6315808E-2</v>
      </c>
      <c r="J36" s="24">
        <v>7.2711825000000008E-2</v>
      </c>
      <c r="K36" s="24">
        <v>4.301083E-2</v>
      </c>
      <c r="L36" s="24">
        <v>-7.5347659999999997E-2</v>
      </c>
      <c r="M36" s="24">
        <v>5.0078273E-2</v>
      </c>
      <c r="N36" s="24">
        <v>-3.8660169999999998E-3</v>
      </c>
      <c r="O36" s="24">
        <v>3.8834930000000004E-2</v>
      </c>
      <c r="P36" s="24">
        <v>1.7310857999999998E-2</v>
      </c>
      <c r="Q36" s="24">
        <v>-3.5537958000000001E-2</v>
      </c>
      <c r="R36" s="24">
        <v>8.932352E-4</v>
      </c>
      <c r="S36" s="24">
        <v>-1.5258908E-2</v>
      </c>
      <c r="T36" s="24">
        <v>-2.0156681999999999E-2</v>
      </c>
      <c r="U36" s="24">
        <v>1.1619448999999999E-2</v>
      </c>
      <c r="V36" s="24">
        <v>-2.4790108000000002E-2</v>
      </c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x14ac:dyDescent="0.35">
      <c r="A37" s="2">
        <v>42846</v>
      </c>
      <c r="B37" s="24">
        <v>3.0097960000000003E-3</v>
      </c>
      <c r="C37" s="24">
        <v>3.5714269E-2</v>
      </c>
      <c r="D37" s="24">
        <v>1.2741327E-2</v>
      </c>
      <c r="E37" s="24">
        <v>4.7382355000000001E-2</v>
      </c>
      <c r="F37" s="24">
        <v>9.0622900000000004E-4</v>
      </c>
      <c r="G37" s="24">
        <v>-5.6179165999999999E-3</v>
      </c>
      <c r="H37" s="24">
        <v>1.2389898E-2</v>
      </c>
      <c r="I37" s="24">
        <v>-1.7292856999999998E-2</v>
      </c>
      <c r="J37" s="24">
        <v>1.2216686999999999E-2</v>
      </c>
      <c r="K37" s="24">
        <v>-1.8041253E-2</v>
      </c>
      <c r="L37" s="24">
        <v>-1.1211394999999999E-2</v>
      </c>
      <c r="M37" s="24">
        <v>-4.4212580000000001E-2</v>
      </c>
      <c r="N37" s="24">
        <v>2.4579525000000001E-2</v>
      </c>
      <c r="O37" s="24">
        <v>3.2225847000000004E-3</v>
      </c>
      <c r="P37" s="24">
        <v>-3.9572716000000003E-3</v>
      </c>
      <c r="Q37" s="24">
        <v>-1.2795329E-3</v>
      </c>
      <c r="R37" s="24">
        <v>8.2874299999999995E-4</v>
      </c>
      <c r="S37" s="24">
        <v>4.5379043000000001E-2</v>
      </c>
      <c r="T37" s="24">
        <v>6.9420340000000006E-3</v>
      </c>
      <c r="U37" s="24">
        <v>-7.1787833999999995E-3</v>
      </c>
      <c r="V37" s="24">
        <v>1.4760137E-2</v>
      </c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 x14ac:dyDescent="0.35">
      <c r="A38" s="2">
        <v>42878</v>
      </c>
      <c r="B38" s="24">
        <v>-2.2880733E-2</v>
      </c>
      <c r="C38" s="24">
        <v>-3.5609603000000004E-2</v>
      </c>
      <c r="D38" s="24">
        <v>2.9355763999999999E-2</v>
      </c>
      <c r="E38" s="24">
        <v>2.0943879999999998E-2</v>
      </c>
      <c r="F38" s="24">
        <v>7.9674124999999998E-2</v>
      </c>
      <c r="G38" s="24">
        <v>3.1519412999999996E-2</v>
      </c>
      <c r="H38" s="24">
        <v>3.8325310000000001E-2</v>
      </c>
      <c r="I38" s="24">
        <v>4.5813202999999997E-2</v>
      </c>
      <c r="J38" s="24">
        <v>1.4210582000000001E-2</v>
      </c>
      <c r="K38" s="24">
        <v>9.5800640000000006E-2</v>
      </c>
      <c r="L38" s="24">
        <v>-3.7610649999999995E-2</v>
      </c>
      <c r="M38" s="24">
        <v>6.7047834000000001E-2</v>
      </c>
      <c r="N38" s="24">
        <v>0.22348488</v>
      </c>
      <c r="O38" s="24">
        <v>1.5740514000000001E-2</v>
      </c>
      <c r="P38" s="24">
        <v>6.297171E-2</v>
      </c>
      <c r="Q38" s="24">
        <v>-3.4588753999999999E-2</v>
      </c>
      <c r="R38" s="24">
        <v>-3.3949017999999999E-3</v>
      </c>
      <c r="S38" s="24">
        <v>7.9407095999999996E-2</v>
      </c>
      <c r="T38" s="24">
        <v>1.4123559000000001E-2</v>
      </c>
      <c r="U38" s="24">
        <v>1.4461279E-2</v>
      </c>
      <c r="V38" s="24">
        <v>7.2727202999999995E-3</v>
      </c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</row>
    <row r="39" spans="1:38" x14ac:dyDescent="0.35">
      <c r="A39" s="2">
        <v>42909</v>
      </c>
      <c r="B39" s="24">
        <v>6.4662695000000006E-2</v>
      </c>
      <c r="C39" s="24">
        <v>1.9993782000000001E-3</v>
      </c>
      <c r="D39" s="24">
        <v>2.1237135000000001E-2</v>
      </c>
      <c r="E39" s="24">
        <v>-5.3154826000000001E-3</v>
      </c>
      <c r="F39" s="24">
        <v>3.3894776999999999E-3</v>
      </c>
      <c r="G39" s="24">
        <v>-6.6731569999999999E-3</v>
      </c>
      <c r="H39" s="24">
        <v>4.4131279999999997E-3</v>
      </c>
      <c r="I39" s="24">
        <v>3.2492041999999999E-2</v>
      </c>
      <c r="J39" s="24">
        <v>3.9377332000000001E-2</v>
      </c>
      <c r="K39" s="24">
        <v>1.8562794000000001E-2</v>
      </c>
      <c r="L39" s="24">
        <v>-4.2569580000000003E-2</v>
      </c>
      <c r="M39" s="24">
        <v>-5.1937759999999999E-2</v>
      </c>
      <c r="N39" s="24">
        <v>2.1671771999999999E-2</v>
      </c>
      <c r="O39" s="24">
        <v>2.1960497000000002E-2</v>
      </c>
      <c r="P39" s="24">
        <v>3.2039165000000001E-2</v>
      </c>
      <c r="Q39" s="24">
        <v>-0.10651743</v>
      </c>
      <c r="R39" s="24">
        <v>1.1293054E-2</v>
      </c>
      <c r="S39" s="24">
        <v>4.0851829999999999E-2</v>
      </c>
      <c r="T39" s="24">
        <v>1.0630131000000001E-2</v>
      </c>
      <c r="U39" s="24">
        <v>5.4169654999999997E-2</v>
      </c>
      <c r="V39" s="24">
        <v>0.11210691</v>
      </c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</row>
    <row r="40" spans="1:38" x14ac:dyDescent="0.35">
      <c r="A40" s="2">
        <v>42937</v>
      </c>
      <c r="B40" s="24">
        <v>5.1303387000000006E-2</v>
      </c>
      <c r="C40" s="24">
        <v>6.6619276999999991E-2</v>
      </c>
      <c r="D40" s="24">
        <v>-2.3127735E-2</v>
      </c>
      <c r="E40" s="24">
        <v>-2.7585626000000002E-3</v>
      </c>
      <c r="F40" s="24">
        <v>5.6603790000000001E-2</v>
      </c>
      <c r="G40" s="24">
        <v>3.6347508000000001E-2</v>
      </c>
      <c r="H40" s="24">
        <v>-1.1863828E-2</v>
      </c>
      <c r="I40" s="24">
        <v>2.2478223000000002E-2</v>
      </c>
      <c r="J40" s="24">
        <v>7.0201634999999998E-2</v>
      </c>
      <c r="K40" s="24">
        <v>5.026448E-2</v>
      </c>
      <c r="L40" s="24">
        <v>0.12167072</v>
      </c>
      <c r="M40" s="24">
        <v>5.4049373000000005E-2</v>
      </c>
      <c r="N40" s="24">
        <v>7.6767683000000003E-2</v>
      </c>
      <c r="O40" s="24">
        <v>4.9704909999999998E-2</v>
      </c>
      <c r="P40" s="24">
        <v>5.6514620000000002E-2</v>
      </c>
      <c r="Q40" s="24">
        <v>9.7033389999999997E-2</v>
      </c>
      <c r="R40" s="24">
        <v>-5.5928825999999997E-3</v>
      </c>
      <c r="S40" s="24">
        <v>6.4009547E-2</v>
      </c>
      <c r="T40" s="24">
        <v>3.5966992000000003E-2</v>
      </c>
      <c r="U40" s="24">
        <v>-1.284647E-2</v>
      </c>
      <c r="V40" s="24">
        <v>-4.8032103E-2</v>
      </c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1:38" x14ac:dyDescent="0.35">
      <c r="A41" s="2">
        <v>42970</v>
      </c>
      <c r="B41" s="24">
        <v>2.303958E-2</v>
      </c>
      <c r="C41" s="24">
        <v>4.2898297000000002E-2</v>
      </c>
      <c r="D41" s="24">
        <v>2.8184890000000001E-2</v>
      </c>
      <c r="E41" s="24">
        <v>-4.7026873000000002E-3</v>
      </c>
      <c r="F41" s="24">
        <v>2.3015857000000001E-2</v>
      </c>
      <c r="G41" s="24">
        <v>5.0470470000000003E-2</v>
      </c>
      <c r="H41" s="24">
        <v>1.2954235000000001E-2</v>
      </c>
      <c r="I41" s="24">
        <v>1.099205E-2</v>
      </c>
      <c r="J41" s="24">
        <v>-8.7225439999999996E-4</v>
      </c>
      <c r="K41" s="24">
        <v>-4.3240904999999996E-2</v>
      </c>
      <c r="L41" s="24">
        <v>8.1759210000000013E-2</v>
      </c>
      <c r="M41" s="24">
        <v>1.5072107E-2</v>
      </c>
      <c r="N41" s="24">
        <v>-2.3452044000000002E-2</v>
      </c>
      <c r="O41" s="24">
        <v>2.9587746E-4</v>
      </c>
      <c r="P41" s="24">
        <v>5.9167623999999995E-2</v>
      </c>
      <c r="Q41" s="24">
        <v>-6.3661933000000004E-2</v>
      </c>
      <c r="R41" s="24">
        <v>-8.261203999999999E-5</v>
      </c>
      <c r="S41" s="24">
        <v>3.4052253000000005E-2</v>
      </c>
      <c r="T41" s="24">
        <v>7.0062875999999993E-3</v>
      </c>
      <c r="U41" s="24">
        <v>-3.0137002000000003E-2</v>
      </c>
      <c r="V41" s="24">
        <v>-4.5937300000000001E-4</v>
      </c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spans="1:38" x14ac:dyDescent="0.35">
      <c r="A42" s="2">
        <v>43000</v>
      </c>
      <c r="B42" s="24">
        <v>3.3764242999999999E-2</v>
      </c>
      <c r="C42" s="24">
        <v>4.9872159999999999E-2</v>
      </c>
      <c r="D42" s="24">
        <v>-1.4985383000000001E-2</v>
      </c>
      <c r="E42" s="24">
        <v>4.2801619999999999E-2</v>
      </c>
      <c r="F42" s="24">
        <v>5.1590323E-2</v>
      </c>
      <c r="G42" s="24">
        <v>3.8545012000000003E-2</v>
      </c>
      <c r="H42" s="24">
        <v>1.7779112E-2</v>
      </c>
      <c r="I42" s="24">
        <v>-7.0672034999999999E-3</v>
      </c>
      <c r="J42" s="24">
        <v>-2.2350252000000001E-2</v>
      </c>
      <c r="K42" s="24">
        <v>1.4041185000000001E-2</v>
      </c>
      <c r="L42" s="24">
        <v>6.5851807999999998E-2</v>
      </c>
      <c r="M42" s="24">
        <v>-2.7759789999999999E-2</v>
      </c>
      <c r="N42" s="24">
        <v>-5.7636920000000001E-2</v>
      </c>
      <c r="O42" s="24">
        <v>-9.4674230000000009E-3</v>
      </c>
      <c r="P42" s="24">
        <v>3.6537885999999999E-2</v>
      </c>
      <c r="Q42" s="24">
        <v>-5.3212999999999996E-2</v>
      </c>
      <c r="R42" s="24">
        <v>5.4449677000000002E-2</v>
      </c>
      <c r="S42" s="24">
        <v>-5.4665145999999998E-2</v>
      </c>
      <c r="T42" s="24">
        <v>-8.6530446999999993E-3</v>
      </c>
      <c r="U42" s="24">
        <v>5.2259919999999994E-2</v>
      </c>
      <c r="V42" s="24">
        <v>7.6599119999999996E-3</v>
      </c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</row>
    <row r="43" spans="1:38" x14ac:dyDescent="0.35">
      <c r="A43" s="2">
        <v>43031</v>
      </c>
      <c r="B43" s="24">
        <v>1.2406825999999999E-2</v>
      </c>
      <c r="C43" s="24">
        <v>3.5728811999999999E-2</v>
      </c>
      <c r="D43" s="24">
        <v>-1.2615978999999999E-2</v>
      </c>
      <c r="E43" s="24">
        <v>-1.6791046E-2</v>
      </c>
      <c r="F43" s="24">
        <v>-1.1803745999999999E-2</v>
      </c>
      <c r="G43" s="24">
        <v>9.435439000000001E-2</v>
      </c>
      <c r="H43" s="24">
        <v>-1.9920349E-2</v>
      </c>
      <c r="I43" s="24">
        <v>2.84698E-2</v>
      </c>
      <c r="J43" s="24">
        <v>-8.2871970000000003E-2</v>
      </c>
      <c r="K43" s="24">
        <v>4.3704033000000003E-2</v>
      </c>
      <c r="L43" s="24">
        <v>-3.5104155999999997E-2</v>
      </c>
      <c r="M43" s="24">
        <v>4.3160914999999999E-3</v>
      </c>
      <c r="N43" s="24">
        <v>-7.6452549999999994E-2</v>
      </c>
      <c r="O43" s="24">
        <v>2.6881814E-2</v>
      </c>
      <c r="P43" s="24">
        <v>1.6606569000000002E-2</v>
      </c>
      <c r="Q43" s="24">
        <v>-4.5476493999999999E-2</v>
      </c>
      <c r="R43" s="24">
        <v>2.0210265999999998E-2</v>
      </c>
      <c r="S43" s="24">
        <v>-3.7854195E-2</v>
      </c>
      <c r="T43" s="24">
        <v>1.0832310000000001E-2</v>
      </c>
      <c r="U43" s="24">
        <v>3.2885909999999997E-2</v>
      </c>
      <c r="V43" s="24">
        <v>-5.4731965E-2</v>
      </c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</row>
    <row r="44" spans="1:38" x14ac:dyDescent="0.35">
      <c r="A44" s="2">
        <v>43061</v>
      </c>
      <c r="B44" s="24">
        <v>6.0791253999999996E-2</v>
      </c>
      <c r="C44" s="24">
        <v>-7.7224609999999999E-2</v>
      </c>
      <c r="D44" s="24">
        <v>2.8936386000000001E-2</v>
      </c>
      <c r="E44" s="24">
        <v>8.4034204000000001E-3</v>
      </c>
      <c r="F44" s="24">
        <v>1.9036888999999998E-2</v>
      </c>
      <c r="G44" s="24">
        <v>-9.0756415999999999E-3</v>
      </c>
      <c r="H44" s="24">
        <v>2.4703026000000003E-2</v>
      </c>
      <c r="I44" s="24">
        <v>1.9962787999999999E-2</v>
      </c>
      <c r="J44" s="24">
        <v>1.5579462E-3</v>
      </c>
      <c r="K44" s="24">
        <v>6.9790006000000002E-2</v>
      </c>
      <c r="L44" s="24">
        <v>-8.9740159999999996E-3</v>
      </c>
      <c r="M44" s="24">
        <v>4.8595069999999997E-2</v>
      </c>
      <c r="N44" s="24">
        <v>-1.7660200000000001E-2</v>
      </c>
      <c r="O44" s="24">
        <v>2.0069718E-2</v>
      </c>
      <c r="P44" s="24">
        <v>7.6282860000000008E-2</v>
      </c>
      <c r="Q44" s="24">
        <v>-0.10452736</v>
      </c>
      <c r="R44" s="24">
        <v>8.7441206000000004E-3</v>
      </c>
      <c r="S44" s="24">
        <v>-6.1308265000000001E-2</v>
      </c>
      <c r="T44" s="24">
        <v>-5.8093550000000001E-2</v>
      </c>
      <c r="U44" s="24">
        <v>9.5516570000000009E-2</v>
      </c>
      <c r="V44" s="24">
        <v>3.6187172000000001E-3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</row>
    <row r="45" spans="1:38" x14ac:dyDescent="0.35">
      <c r="A45" s="2">
        <v>43091</v>
      </c>
      <c r="B45" s="24">
        <v>-2.8743207000000003E-2</v>
      </c>
      <c r="C45" s="24">
        <v>9.8747370000000001E-2</v>
      </c>
      <c r="D45" s="24">
        <v>2.1934269999999999E-2</v>
      </c>
      <c r="E45" s="24">
        <v>2.8105736000000003E-2</v>
      </c>
      <c r="F45" s="24">
        <v>-5.2754279999999995E-3</v>
      </c>
      <c r="G45" s="24">
        <v>4.6479702E-4</v>
      </c>
      <c r="H45" s="24">
        <v>3.1243443000000003E-2</v>
      </c>
      <c r="I45" s="24">
        <v>-3.8788259999999998E-2</v>
      </c>
      <c r="J45" s="24">
        <v>-5.3957224000000005E-2</v>
      </c>
      <c r="K45" s="24">
        <v>-3.4519196000000002E-2</v>
      </c>
      <c r="L45" s="24">
        <v>-2.3932338000000001E-2</v>
      </c>
      <c r="M45" s="24">
        <v>7.7141523000000004E-2</v>
      </c>
      <c r="N45" s="24">
        <v>0.15955067000000001</v>
      </c>
      <c r="O45" s="24">
        <v>3.0240178000000003E-2</v>
      </c>
      <c r="P45" s="24">
        <v>-3.1396866000000002E-2</v>
      </c>
      <c r="Q45" s="24">
        <v>0.20526754</v>
      </c>
      <c r="R45" s="24">
        <v>2.0323515E-2</v>
      </c>
      <c r="S45" s="24">
        <v>8.2545999999999994E-2</v>
      </c>
      <c r="T45" s="24">
        <v>1.2801886E-3</v>
      </c>
      <c r="U45" s="24">
        <v>1.8569230999999999E-2</v>
      </c>
      <c r="V45" s="24">
        <v>4.1525720000000002E-2</v>
      </c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</row>
    <row r="46" spans="1:38" x14ac:dyDescent="0.35">
      <c r="A46" s="2">
        <v>43123</v>
      </c>
      <c r="B46" s="24">
        <v>0.10336161000000001</v>
      </c>
      <c r="C46" s="24">
        <v>6.2112927000000005E-2</v>
      </c>
      <c r="D46" s="24">
        <v>7.6923012999999998E-2</v>
      </c>
      <c r="E46" s="24">
        <v>3.0088902000000001E-2</v>
      </c>
      <c r="F46" s="24">
        <v>0.11244154000000001</v>
      </c>
      <c r="G46" s="24">
        <v>6.5569639999999998E-2</v>
      </c>
      <c r="H46" s="24">
        <v>9.1078170000000014E-2</v>
      </c>
      <c r="I46" s="24">
        <v>9.4134090000000004E-2</v>
      </c>
      <c r="J46" s="24">
        <v>9.0531590000000009E-2</v>
      </c>
      <c r="K46" s="24">
        <v>6.2698125999999993E-2</v>
      </c>
      <c r="L46" s="24">
        <v>0.10641825000000001</v>
      </c>
      <c r="M46" s="24">
        <v>9.3796250000000012E-2</v>
      </c>
      <c r="N46" s="24">
        <v>0.11838425000000001</v>
      </c>
      <c r="O46" s="24">
        <v>6.1210275000000001E-2</v>
      </c>
      <c r="P46" s="24">
        <v>0.12309074</v>
      </c>
      <c r="Q46" s="24">
        <v>6.6064120000000004E-2</v>
      </c>
      <c r="R46" s="24">
        <v>5.1490189999999998E-2</v>
      </c>
      <c r="S46" s="24">
        <v>8.0038070000000003E-2</v>
      </c>
      <c r="T46" s="24">
        <v>7.3273062999999999E-2</v>
      </c>
      <c r="U46" s="24">
        <v>0.15384281</v>
      </c>
      <c r="V46" s="24">
        <v>6.2140345999999999E-2</v>
      </c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38" x14ac:dyDescent="0.35">
      <c r="A47" s="2">
        <v>43154</v>
      </c>
      <c r="B47" s="24">
        <v>-5.6378126000000001E-2</v>
      </c>
      <c r="C47" s="24">
        <v>2.0222305999999999E-2</v>
      </c>
      <c r="D47" s="24">
        <v>-1.9269109E-2</v>
      </c>
      <c r="E47" s="24">
        <v>-6.5532090000000001E-2</v>
      </c>
      <c r="F47" s="24">
        <v>-8.2071959999999999E-2</v>
      </c>
      <c r="G47" s="24">
        <v>-3.4339666000000005E-2</v>
      </c>
      <c r="H47" s="24">
        <v>1.0505318999999999E-2</v>
      </c>
      <c r="I47" s="24">
        <v>-3.8294613000000005E-2</v>
      </c>
      <c r="J47" s="24">
        <v>-1.4089882E-2</v>
      </c>
      <c r="K47" s="24">
        <v>-3.6825776000000005E-2</v>
      </c>
      <c r="L47" s="24">
        <v>7.0545197000000004E-2</v>
      </c>
      <c r="M47" s="24">
        <v>1.6745448E-2</v>
      </c>
      <c r="N47" s="24">
        <v>-5.5752277000000003E-2</v>
      </c>
      <c r="O47" s="24">
        <v>-7.1081400000000003E-2</v>
      </c>
      <c r="P47" s="24">
        <v>-3.5466730000000002E-2</v>
      </c>
      <c r="Q47" s="24">
        <v>-3.5345376000000005E-2</v>
      </c>
      <c r="R47" s="24">
        <v>-1.2949109E-2</v>
      </c>
      <c r="S47" s="24">
        <v>-1.1910021E-2</v>
      </c>
      <c r="T47" s="24">
        <v>-4.5285760000000001E-2</v>
      </c>
      <c r="U47" s="24">
        <v>-2.4987219999999997E-2</v>
      </c>
      <c r="V47" s="24">
        <v>3.1603575000000001E-3</v>
      </c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38" x14ac:dyDescent="0.35">
      <c r="A48" s="2">
        <v>43182</v>
      </c>
      <c r="B48" s="24">
        <v>-5.2057923999999998E-2</v>
      </c>
      <c r="C48" s="24">
        <v>-8.303576E-2</v>
      </c>
      <c r="D48" s="24">
        <v>-0.10806231999999999</v>
      </c>
      <c r="E48" s="24">
        <v>-8.6708430000000003E-2</v>
      </c>
      <c r="F48" s="24">
        <v>-8.2081374999999998E-2</v>
      </c>
      <c r="G48" s="24">
        <v>-3.5799742000000002E-3</v>
      </c>
      <c r="H48" s="24">
        <v>-1.5734792000000001E-2</v>
      </c>
      <c r="I48" s="24">
        <v>-1.4600456E-2</v>
      </c>
      <c r="J48" s="24">
        <v>-3.53418E-2</v>
      </c>
      <c r="K48" s="24">
        <v>-3.2983243000000002E-2</v>
      </c>
      <c r="L48" s="24">
        <v>-6.1617493999999995E-2</v>
      </c>
      <c r="M48" s="24">
        <v>-9.1379940000000007E-2</v>
      </c>
      <c r="N48" s="24">
        <v>-0.10309278499999999</v>
      </c>
      <c r="O48" s="24">
        <v>-6.7326664999999994E-2</v>
      </c>
      <c r="P48" s="24">
        <v>-7.2573956999999994E-2</v>
      </c>
      <c r="Q48" s="24">
        <v>2.3934841E-3</v>
      </c>
      <c r="R48" s="24">
        <v>-7.6602099999999998E-3</v>
      </c>
      <c r="S48" s="24">
        <v>-8.3035650000000003E-2</v>
      </c>
      <c r="T48" s="24">
        <v>-3.6993623000000003E-2</v>
      </c>
      <c r="U48" s="24">
        <v>-2.6673675000000001E-2</v>
      </c>
      <c r="V48" s="24">
        <v>4.8298596999999999E-2</v>
      </c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x14ac:dyDescent="0.35">
      <c r="A49" s="2">
        <v>43213</v>
      </c>
      <c r="B49" s="24">
        <v>-1.6387223999999999E-2</v>
      </c>
      <c r="C49" s="24">
        <v>6.5628049999999993E-2</v>
      </c>
      <c r="D49" s="24">
        <v>2.4686693999999999E-2</v>
      </c>
      <c r="E49" s="24">
        <v>-2.3214220000000001E-2</v>
      </c>
      <c r="F49" s="24">
        <v>1.8363357E-2</v>
      </c>
      <c r="G49" s="24">
        <v>6.4431070000000007E-2</v>
      </c>
      <c r="H49" s="24">
        <v>1.6842723E-2</v>
      </c>
      <c r="I49" s="24">
        <v>-1.7241359000000001E-2</v>
      </c>
      <c r="J49" s="24">
        <v>2.3223161999999999E-2</v>
      </c>
      <c r="K49" s="24">
        <v>3.1880855999999999E-2</v>
      </c>
      <c r="L49" s="24">
        <v>-2.8727829999999999E-2</v>
      </c>
      <c r="M49" s="24">
        <v>-2.4850249999999997E-2</v>
      </c>
      <c r="N49" s="24">
        <v>0.10344828</v>
      </c>
      <c r="O49" s="24">
        <v>4.3676019999999996E-2</v>
      </c>
      <c r="P49" s="24">
        <v>-9.5394254000000008E-3</v>
      </c>
      <c r="Q49" s="24">
        <v>3.5308242000000004E-2</v>
      </c>
      <c r="R49" s="24">
        <v>-2.2683740000000001E-3</v>
      </c>
      <c r="S49" s="24">
        <v>-5.4771184999999993E-2</v>
      </c>
      <c r="T49" s="24">
        <v>6.7378280000000004E-3</v>
      </c>
      <c r="U49" s="24">
        <v>-2.1493912E-2</v>
      </c>
      <c r="V49" s="24">
        <v>8.8307140000000006E-2</v>
      </c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x14ac:dyDescent="0.35">
      <c r="A50" s="2">
        <v>43243</v>
      </c>
      <c r="B50" s="24">
        <v>1.6181230000000001E-2</v>
      </c>
      <c r="C50" s="24">
        <v>-4.44079E-2</v>
      </c>
      <c r="D50" s="24">
        <v>-0.10489248999999999</v>
      </c>
      <c r="E50" s="24">
        <v>-5.1797029999999999E-3</v>
      </c>
      <c r="F50" s="24">
        <v>-8.7808670000000005E-2</v>
      </c>
      <c r="G50" s="24">
        <v>-4.2754229999999997E-2</v>
      </c>
      <c r="H50" s="24">
        <v>-4.2953369999999998E-2</v>
      </c>
      <c r="I50" s="24">
        <v>1.4254451E-2</v>
      </c>
      <c r="J50" s="24">
        <v>-8.5893149999999988E-2</v>
      </c>
      <c r="K50" s="24">
        <v>4.3172836000000001E-3</v>
      </c>
      <c r="L50" s="24">
        <v>-9.2957734999999986E-2</v>
      </c>
      <c r="M50" s="24">
        <v>-2.7282238E-2</v>
      </c>
      <c r="N50" s="24">
        <v>-9.9431749999999999E-2</v>
      </c>
      <c r="O50" s="24">
        <v>-5.114788E-2</v>
      </c>
      <c r="P50" s="24">
        <v>4.2889476000000003E-2</v>
      </c>
      <c r="Q50" s="24">
        <v>-2.5433419999999998E-2</v>
      </c>
      <c r="R50" s="24">
        <v>-2.0411849999999999E-2</v>
      </c>
      <c r="S50" s="24">
        <v>-0.13494724</v>
      </c>
      <c r="T50" s="24">
        <v>-4.2699575000000002E-3</v>
      </c>
      <c r="U50" s="24">
        <v>-8.1823170000000001E-2</v>
      </c>
      <c r="V50" s="24">
        <v>-2.5657534999999999E-2</v>
      </c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x14ac:dyDescent="0.35">
      <c r="A51" s="2">
        <v>43273</v>
      </c>
      <c r="B51" s="24">
        <v>-7.3122920000000008E-2</v>
      </c>
      <c r="C51" s="24">
        <v>-7.9322157000000004E-2</v>
      </c>
      <c r="D51" s="24">
        <v>-9.5219016000000004E-3</v>
      </c>
      <c r="E51" s="24">
        <v>-9.3198240000000002E-2</v>
      </c>
      <c r="F51" s="24">
        <v>-4.1763250000000002E-2</v>
      </c>
      <c r="G51" s="24">
        <v>-4.9577000000000003E-2</v>
      </c>
      <c r="H51" s="24">
        <v>-6.8850160000000007E-2</v>
      </c>
      <c r="I51" s="24">
        <v>-2.5945902E-2</v>
      </c>
      <c r="J51" s="24">
        <v>-7.4537989999999997E-3</v>
      </c>
      <c r="K51" s="24">
        <v>-8.5437960000000007E-2</v>
      </c>
      <c r="L51" s="24">
        <v>-0.15735250000000001</v>
      </c>
      <c r="M51" s="24">
        <v>-9.2556360000000004E-2</v>
      </c>
      <c r="N51" s="24">
        <v>-1.4721453000000001E-2</v>
      </c>
      <c r="O51" s="24">
        <v>3.5736917999999999E-2</v>
      </c>
      <c r="P51" s="24">
        <v>-2.7682185000000002E-2</v>
      </c>
      <c r="Q51" s="24">
        <v>1.2418865999999999E-2</v>
      </c>
      <c r="R51" s="24">
        <v>-6.7643700000000001E-2</v>
      </c>
      <c r="S51" s="24">
        <v>-8.8742730000000006E-2</v>
      </c>
      <c r="T51" s="24">
        <v>-1.0727941999999999E-2</v>
      </c>
      <c r="U51" s="24">
        <v>-2.3923396999999999E-2</v>
      </c>
      <c r="V51" s="24">
        <v>2.7886986999999998E-2</v>
      </c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</row>
    <row r="52" spans="1:38" x14ac:dyDescent="0.35">
      <c r="A52" s="2">
        <v>43304</v>
      </c>
      <c r="B52" s="24">
        <v>-6.1055539999999998E-2</v>
      </c>
      <c r="C52" s="24">
        <v>-2.3713707999999997E-2</v>
      </c>
      <c r="D52" s="24">
        <v>-8.5181000000000005E-4</v>
      </c>
      <c r="E52" s="24">
        <v>5.0186515000000001E-2</v>
      </c>
      <c r="F52" s="24">
        <v>3.5008906999999999E-2</v>
      </c>
      <c r="G52" s="24">
        <v>-1.5730381000000002E-2</v>
      </c>
      <c r="H52" s="24">
        <v>3.3740282000000003E-2</v>
      </c>
      <c r="I52" s="24">
        <v>2.7469397E-2</v>
      </c>
      <c r="J52" s="24">
        <v>0.10899961</v>
      </c>
      <c r="K52" s="24">
        <v>-4.5534670000000006E-2</v>
      </c>
      <c r="L52" s="24">
        <v>0.10268413999999999</v>
      </c>
      <c r="M52" s="24">
        <v>1.7237662999999999E-4</v>
      </c>
      <c r="N52" s="24">
        <v>-2.9882550000000001E-2</v>
      </c>
      <c r="O52" s="24">
        <v>1.0956407E-2</v>
      </c>
      <c r="P52" s="24">
        <v>-5.5464450000000005E-2</v>
      </c>
      <c r="Q52" s="24">
        <v>3.7354589000000001E-2</v>
      </c>
      <c r="R52" s="24">
        <v>2.4936079999999999E-2</v>
      </c>
      <c r="S52" s="24">
        <v>-3.5064041999999997E-2</v>
      </c>
      <c r="T52" s="24">
        <v>6.4182279999999996E-4</v>
      </c>
      <c r="U52" s="24">
        <v>-3.0637264000000001E-2</v>
      </c>
      <c r="V52" s="24">
        <v>9.0497730000000005E-3</v>
      </c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x14ac:dyDescent="0.35">
      <c r="A53" s="2">
        <v>43335</v>
      </c>
      <c r="B53" s="24">
        <v>-6.7413626000000004E-2</v>
      </c>
      <c r="C53" s="24">
        <v>-3.9037049999999997E-2</v>
      </c>
      <c r="D53" s="24">
        <v>-4.2617320000000003E-4</v>
      </c>
      <c r="E53" s="24">
        <v>5.5860519999999997E-2</v>
      </c>
      <c r="F53" s="24">
        <v>3.2957554E-2</v>
      </c>
      <c r="G53" s="24">
        <v>-5.8853389999999998E-2</v>
      </c>
      <c r="H53" s="24">
        <v>1.3366461000000001E-2</v>
      </c>
      <c r="I53" s="24">
        <v>-2.7004479999999998E-3</v>
      </c>
      <c r="J53" s="24">
        <v>4.9241780000000004E-3</v>
      </c>
      <c r="K53" s="24">
        <v>4.1550397999999995E-3</v>
      </c>
      <c r="L53" s="24">
        <v>-0.10755735</v>
      </c>
      <c r="M53" s="24">
        <v>-4.8275829999999999E-2</v>
      </c>
      <c r="N53" s="24">
        <v>-2.8602897999999998E-2</v>
      </c>
      <c r="O53" s="24">
        <v>3.5442233000000004E-2</v>
      </c>
      <c r="P53" s="24">
        <v>-4.8145236999999994E-2</v>
      </c>
      <c r="Q53" s="24">
        <v>2.3022412999999999E-2</v>
      </c>
      <c r="R53" s="24">
        <v>1.7335534E-2</v>
      </c>
      <c r="S53" s="24">
        <v>-0.26450039000000003</v>
      </c>
      <c r="T53" s="24">
        <v>2.8672217999999999E-3</v>
      </c>
      <c r="U53" s="24">
        <v>4.0455102999999999E-2</v>
      </c>
      <c r="V53" s="24">
        <v>-4.7085166000000005E-2</v>
      </c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x14ac:dyDescent="0.35">
      <c r="A54" s="2">
        <v>43364</v>
      </c>
      <c r="B54" s="24">
        <v>4.3131830000000003E-2</v>
      </c>
      <c r="C54" s="24">
        <v>4.3782353000000003E-2</v>
      </c>
      <c r="D54" s="24">
        <v>-9.3817114999999989E-3</v>
      </c>
      <c r="E54" s="24">
        <v>-6.4526024000000001E-2</v>
      </c>
      <c r="F54" s="24">
        <v>7.5566770000000004E-3</v>
      </c>
      <c r="G54" s="24">
        <v>1.078248E-3</v>
      </c>
      <c r="H54" s="24">
        <v>1.8405914000000001E-3</v>
      </c>
      <c r="I54" s="24">
        <v>1.4622330999999999E-2</v>
      </c>
      <c r="J54" s="24">
        <v>-5.8799982000000005E-4</v>
      </c>
      <c r="K54" s="24">
        <v>4.0306450000000001E-2</v>
      </c>
      <c r="L54" s="24">
        <v>7.0726275000000005E-2</v>
      </c>
      <c r="M54" s="24">
        <v>-5.4347515000000004E-3</v>
      </c>
      <c r="N54" s="24">
        <v>-3.8505018000000002E-2</v>
      </c>
      <c r="O54" s="24">
        <v>-5.1485120000000002E-2</v>
      </c>
      <c r="P54" s="24">
        <v>5.1410199999999996E-3</v>
      </c>
      <c r="Q54" s="24">
        <v>2.6543616999999999E-2</v>
      </c>
      <c r="R54" s="24">
        <v>3.0103207E-2</v>
      </c>
      <c r="S54" s="24">
        <v>6.4608097000000003E-2</v>
      </c>
      <c r="T54" s="24">
        <v>-2.1407485E-2</v>
      </c>
      <c r="U54" s="24">
        <v>7.2904824999999998E-3</v>
      </c>
      <c r="V54" s="24">
        <v>-2.4873911999999998E-2</v>
      </c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x14ac:dyDescent="0.35">
      <c r="A55" s="2">
        <v>43396</v>
      </c>
      <c r="B55" s="24">
        <v>-7.2881755999999992E-2</v>
      </c>
      <c r="C55" s="24">
        <v>-8.6054030000000004E-2</v>
      </c>
      <c r="D55" s="24">
        <v>-6.3280225000000009E-2</v>
      </c>
      <c r="E55" s="24">
        <v>-1.9614278999999998E-2</v>
      </c>
      <c r="F55" s="24">
        <v>-6.8333329999999998E-2</v>
      </c>
      <c r="G55" s="24">
        <v>-5.3581000000000004E-2</v>
      </c>
      <c r="H55" s="24">
        <v>-7.0116339999999999E-2</v>
      </c>
      <c r="I55" s="24">
        <v>-0.11929548000000001</v>
      </c>
      <c r="J55" s="24">
        <v>-8.7468199999999996E-2</v>
      </c>
      <c r="K55" s="24">
        <v>-0.10975246999999999</v>
      </c>
      <c r="L55" s="24">
        <v>0.17180109000000002</v>
      </c>
      <c r="M55" s="24">
        <v>-9.1621159999999993E-2</v>
      </c>
      <c r="N55" s="24">
        <v>-0.10247350000000001</v>
      </c>
      <c r="O55" s="24">
        <v>-0.11691016</v>
      </c>
      <c r="P55" s="24">
        <v>-0.10509813</v>
      </c>
      <c r="Q55" s="24">
        <v>1.9673944000000002E-2</v>
      </c>
      <c r="R55" s="24">
        <v>-5.5554269999999996E-2</v>
      </c>
      <c r="S55" s="24">
        <v>5.5778622999999999E-2</v>
      </c>
      <c r="T55" s="24">
        <v>-1.9862710999999998E-2</v>
      </c>
      <c r="U55" s="24">
        <v>-6.9963813E-2</v>
      </c>
      <c r="V55" s="24">
        <v>-3.2402634999999999E-2</v>
      </c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x14ac:dyDescent="0.35">
      <c r="A56" s="2">
        <v>43427</v>
      </c>
      <c r="B56" s="24">
        <v>-1.6333996999999999E-2</v>
      </c>
      <c r="C56" s="24">
        <v>1.7979622000000001E-2</v>
      </c>
      <c r="D56" s="24">
        <v>0.11075365</v>
      </c>
      <c r="E56" s="24">
        <v>3.9013027999999998E-2</v>
      </c>
      <c r="F56" s="24">
        <v>8.4972380000000007E-3</v>
      </c>
      <c r="G56" s="24">
        <v>-1.1948824E-2</v>
      </c>
      <c r="H56" s="24">
        <v>-7.9025626000000012E-3</v>
      </c>
      <c r="I56" s="24">
        <v>-2.1212160000000001E-2</v>
      </c>
      <c r="J56" s="24">
        <v>-0.14635712000000001</v>
      </c>
      <c r="K56" s="24">
        <v>-3.0117511999999999E-2</v>
      </c>
      <c r="L56" s="24">
        <v>-2.1739125000000002E-2</v>
      </c>
      <c r="M56" s="24">
        <v>3.9903759999999996E-2</v>
      </c>
      <c r="N56" s="24">
        <v>-6.955385E-2</v>
      </c>
      <c r="O56" s="24">
        <v>8.4093090000000009E-2</v>
      </c>
      <c r="P56" s="24">
        <v>9.7713469999999997E-3</v>
      </c>
      <c r="Q56" s="24">
        <v>3.4729957999999998E-2</v>
      </c>
      <c r="R56" s="24">
        <v>-2.1982968000000002E-2</v>
      </c>
      <c r="S56" s="24">
        <v>7.0160627000000003E-2</v>
      </c>
      <c r="T56" s="24">
        <v>-1.14097E-2</v>
      </c>
      <c r="U56" s="24">
        <v>-1.297015E-2</v>
      </c>
      <c r="V56" s="24">
        <v>0</v>
      </c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x14ac:dyDescent="0.35">
      <c r="A57" s="2">
        <v>43455</v>
      </c>
      <c r="B57" s="24">
        <v>-3.6636890000000005E-2</v>
      </c>
      <c r="C57" s="24">
        <v>-4.5781794000000001E-2</v>
      </c>
      <c r="D57" s="24">
        <v>9.3779563999999999E-3</v>
      </c>
      <c r="E57" s="24">
        <v>1.5428185000000001E-2</v>
      </c>
      <c r="F57" s="24">
        <v>1.8749714000000001E-2</v>
      </c>
      <c r="G57" s="24">
        <v>6.7847970000000004E-3</v>
      </c>
      <c r="H57" s="24">
        <v>-2.1492898E-2</v>
      </c>
      <c r="I57" s="24">
        <v>-1.7008781000000001E-3</v>
      </c>
      <c r="J57" s="24">
        <v>2.7083993000000001E-2</v>
      </c>
      <c r="K57" s="24">
        <v>1.9373894E-3</v>
      </c>
      <c r="L57" s="24">
        <v>-2.5672196999999997E-2</v>
      </c>
      <c r="M57" s="24">
        <v>-4.2026099999999997E-2</v>
      </c>
      <c r="N57" s="24">
        <v>-9.873092E-3</v>
      </c>
      <c r="O57" s="24">
        <v>2.2365092999999999E-2</v>
      </c>
      <c r="P57" s="24">
        <v>-4.017329E-2</v>
      </c>
      <c r="Q57" s="24">
        <v>4.2458773E-3</v>
      </c>
      <c r="R57" s="24">
        <v>-1.6503334000000001E-2</v>
      </c>
      <c r="S57" s="24">
        <v>-2.1064877999999999E-2</v>
      </c>
      <c r="T57" s="24">
        <v>-6.9619774999999995E-2</v>
      </c>
      <c r="U57" s="24">
        <v>-3.0920625E-2</v>
      </c>
      <c r="V57" s="24">
        <v>1.2284398E-2</v>
      </c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</row>
    <row r="58" spans="1:38" x14ac:dyDescent="0.35">
      <c r="A58" s="2">
        <v>43488</v>
      </c>
      <c r="B58" s="24">
        <v>7.2332499999999994E-2</v>
      </c>
      <c r="C58" s="24">
        <v>0.10219515</v>
      </c>
      <c r="D58" s="24">
        <v>0.10554408999999999</v>
      </c>
      <c r="E58" s="24">
        <v>8.254265999999999E-2</v>
      </c>
      <c r="F58" s="24">
        <v>7.1019052999999999E-2</v>
      </c>
      <c r="G58" s="24">
        <v>4.136741E-2</v>
      </c>
      <c r="H58" s="24">
        <v>4.2802930000000003E-2</v>
      </c>
      <c r="I58" s="24">
        <v>2.5271893E-2</v>
      </c>
      <c r="J58" s="24">
        <v>0.10539341000000001</v>
      </c>
      <c r="K58" s="24">
        <v>5.2122950000000001E-2</v>
      </c>
      <c r="L58" s="24">
        <v>0.16558969999999998</v>
      </c>
      <c r="M58" s="24">
        <v>0.12399745</v>
      </c>
      <c r="N58" s="24">
        <v>3.3264399E-2</v>
      </c>
      <c r="O58" s="24">
        <v>1.6069412000000003E-4</v>
      </c>
      <c r="P58" s="24">
        <v>7.721865E-2</v>
      </c>
      <c r="Q58" s="24">
        <v>4.1110516E-2</v>
      </c>
      <c r="R58" s="24">
        <v>1.3821601999999999E-2</v>
      </c>
      <c r="S58" s="24">
        <v>0.10683942</v>
      </c>
      <c r="T58" s="24">
        <v>1.0932922000000001E-2</v>
      </c>
      <c r="U58" s="24">
        <v>6.1517359999999993E-2</v>
      </c>
      <c r="V58" s="24">
        <v>0.13290858</v>
      </c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</row>
    <row r="59" spans="1:38" x14ac:dyDescent="0.35">
      <c r="A59" s="2">
        <v>43518</v>
      </c>
      <c r="B59" s="24">
        <v>0.12339544</v>
      </c>
      <c r="C59" s="24">
        <v>4.6913147000000002E-2</v>
      </c>
      <c r="D59" s="24">
        <v>-1.7459095000000001E-2</v>
      </c>
      <c r="E59" s="24">
        <v>5.8428049999999995E-3</v>
      </c>
      <c r="F59" s="24">
        <v>-4.1186150000000005E-2</v>
      </c>
      <c r="G59" s="24">
        <v>6.7768334999999999E-2</v>
      </c>
      <c r="H59" s="24">
        <v>3.0122519E-2</v>
      </c>
      <c r="I59" s="24">
        <v>5.023408E-2</v>
      </c>
      <c r="J59" s="24">
        <v>-6.7138669999999997E-4</v>
      </c>
      <c r="K59" s="24">
        <v>5.7742834E-2</v>
      </c>
      <c r="L59" s="24">
        <v>1.986599E-2</v>
      </c>
      <c r="M59" s="24">
        <v>-6.2202809999999994E-3</v>
      </c>
      <c r="N59" s="24">
        <v>7.6271175999999996E-2</v>
      </c>
      <c r="O59" s="24">
        <v>-3.9926767000000004E-3</v>
      </c>
      <c r="P59" s="24">
        <v>8.6483589999999999E-2</v>
      </c>
      <c r="Q59" s="24">
        <v>-5.8461485000000001E-2</v>
      </c>
      <c r="R59" s="24">
        <v>2.5856614000000003E-2</v>
      </c>
      <c r="S59" s="24">
        <v>1.6087769999999998E-2</v>
      </c>
      <c r="T59" s="24">
        <v>4.1095853000000002E-2</v>
      </c>
      <c r="U59" s="24">
        <v>9.4655509999999998E-2</v>
      </c>
      <c r="V59" s="24">
        <v>1.0406851999999999E-2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x14ac:dyDescent="0.35">
      <c r="A60" s="2">
        <v>43546</v>
      </c>
      <c r="B60" s="24">
        <v>6.4603806E-2</v>
      </c>
      <c r="C60" s="24">
        <v>-0.10103578000000001</v>
      </c>
      <c r="D60" s="24">
        <v>-2.8733491999999999E-2</v>
      </c>
      <c r="E60" s="24">
        <v>-2.904415E-3</v>
      </c>
      <c r="F60" s="24">
        <v>-8.1615449999999992E-3</v>
      </c>
      <c r="G60" s="24">
        <v>1.3522266999999999E-2</v>
      </c>
      <c r="H60" s="24">
        <v>-3.6953747000000002E-2</v>
      </c>
      <c r="I60" s="24">
        <v>1.1883616E-2</v>
      </c>
      <c r="J60" s="24">
        <v>-3.0235229999999998E-2</v>
      </c>
      <c r="K60" s="24">
        <v>-5.0558329999999999E-2</v>
      </c>
      <c r="L60" s="24">
        <v>-8.4258260000000001E-2</v>
      </c>
      <c r="M60" s="24">
        <v>-5.8173776000000003E-2</v>
      </c>
      <c r="N60" s="24">
        <v>3.2808304000000003E-2</v>
      </c>
      <c r="O60" s="24">
        <v>6.9380164000000008E-2</v>
      </c>
      <c r="P60" s="24">
        <v>-1.3130307E-3</v>
      </c>
      <c r="Q60" s="24">
        <v>-9.803951E-3</v>
      </c>
      <c r="R60" s="24">
        <v>-7.7807902999999998E-3</v>
      </c>
      <c r="S60" s="24">
        <v>-0.12774384</v>
      </c>
      <c r="T60" s="24">
        <v>-3.4618377999999999E-4</v>
      </c>
      <c r="U60" s="24">
        <v>-3.1764746000000003E-2</v>
      </c>
      <c r="V60" s="24">
        <v>1.3732790999999999E-2</v>
      </c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</row>
    <row r="61" spans="1:38" x14ac:dyDescent="0.35">
      <c r="A61" s="2">
        <v>43578</v>
      </c>
      <c r="B61" s="24">
        <v>5.7553530000000006E-2</v>
      </c>
      <c r="C61" s="24">
        <v>2.5393843999999999E-2</v>
      </c>
      <c r="D61" s="24">
        <v>3.3086776999999998E-2</v>
      </c>
      <c r="E61" s="24">
        <v>2.3303032000000002E-3</v>
      </c>
      <c r="F61" s="24">
        <v>2.1221279999999999E-2</v>
      </c>
      <c r="G61" s="24">
        <v>-2.9569208999999999E-2</v>
      </c>
      <c r="H61" s="24">
        <v>-1.1344670999999999E-2</v>
      </c>
      <c r="I61" s="24">
        <v>6.0187936000000004E-2</v>
      </c>
      <c r="J61" s="24">
        <v>7.7136280000000002E-2</v>
      </c>
      <c r="K61" s="24">
        <v>3.2669066999999996E-2</v>
      </c>
      <c r="L61" s="24">
        <v>1.7561197000000001E-2</v>
      </c>
      <c r="M61" s="24">
        <v>0.12255669</v>
      </c>
      <c r="N61" s="24">
        <v>9.1486689999999996E-2</v>
      </c>
      <c r="O61" s="24">
        <v>1.0668993E-2</v>
      </c>
      <c r="P61" s="24">
        <v>5.850458E-2</v>
      </c>
      <c r="Q61" s="24">
        <v>4.9504875999999996E-2</v>
      </c>
      <c r="R61" s="24">
        <v>1.5197872999999999E-2</v>
      </c>
      <c r="S61" s="24">
        <v>-1.7739296000000002E-2</v>
      </c>
      <c r="T61" s="24">
        <v>8.6941360000000009E-2</v>
      </c>
      <c r="U61" s="24">
        <v>2.4301409999999999E-2</v>
      </c>
      <c r="V61" s="24">
        <v>8.2204460000000007E-2</v>
      </c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</row>
    <row r="62" spans="1:38" x14ac:dyDescent="0.35">
      <c r="A62" s="2">
        <v>43608</v>
      </c>
      <c r="B62" s="24">
        <v>-0.12817156000000002</v>
      </c>
      <c r="C62" s="24">
        <v>-0.10685623</v>
      </c>
      <c r="D62" s="24">
        <v>-0.11152983000000001</v>
      </c>
      <c r="E62" s="24">
        <v>-2.4411499999999999E-2</v>
      </c>
      <c r="F62" s="24">
        <v>-9.414757E-2</v>
      </c>
      <c r="G62" s="24">
        <v>-8.1691629999999987E-2</v>
      </c>
      <c r="H62" s="24">
        <v>-4.7586919999999998E-2</v>
      </c>
      <c r="I62" s="24">
        <v>-9.9972309999999995E-2</v>
      </c>
      <c r="J62" s="24">
        <v>-5.7032584999999997E-2</v>
      </c>
      <c r="K62" s="24">
        <v>-0.12432777</v>
      </c>
      <c r="L62" s="24">
        <v>-4.982984E-2</v>
      </c>
      <c r="M62" s="24">
        <v>-0.11596727</v>
      </c>
      <c r="N62" s="24">
        <v>-8.6146769999999998E-2</v>
      </c>
      <c r="O62" s="24">
        <v>-3.4236312000000004E-3</v>
      </c>
      <c r="P62" s="24">
        <v>-0.14299023</v>
      </c>
      <c r="Q62" s="24">
        <v>-0.10220128000000001</v>
      </c>
      <c r="R62" s="24">
        <v>-3.6809443999999997E-2</v>
      </c>
      <c r="S62" s="24">
        <v>-0.14489704</v>
      </c>
      <c r="T62" s="24">
        <v>-0.13193111999999999</v>
      </c>
      <c r="U62" s="24">
        <v>-2.6097298000000001E-2</v>
      </c>
      <c r="V62" s="24">
        <v>-9.331441E-2</v>
      </c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x14ac:dyDescent="0.35">
      <c r="A63" s="2">
        <v>43637</v>
      </c>
      <c r="B63" s="24">
        <v>6.795764E-2</v>
      </c>
      <c r="C63" s="24">
        <v>5.5531262999999997E-2</v>
      </c>
      <c r="D63" s="24">
        <v>0.10209120000000001</v>
      </c>
      <c r="E63" s="24">
        <v>7.0510149999999994E-2</v>
      </c>
      <c r="F63" s="24">
        <v>9.6969840000000002E-2</v>
      </c>
      <c r="G63" s="24">
        <v>7.2611094000000001E-2</v>
      </c>
      <c r="H63" s="24">
        <v>7.3516250000000005E-2</v>
      </c>
      <c r="I63" s="24">
        <v>7.9076885999999999E-2</v>
      </c>
      <c r="J63" s="24">
        <v>2.2469760000000002E-2</v>
      </c>
      <c r="K63" s="24">
        <v>7.2254300000000007E-2</v>
      </c>
      <c r="L63" s="24">
        <v>0.14952743999999998</v>
      </c>
      <c r="M63" s="24">
        <v>0.11126030000000001</v>
      </c>
      <c r="N63" s="24">
        <v>0.17707014000000001</v>
      </c>
      <c r="O63" s="24">
        <v>6.8267584000000006E-3</v>
      </c>
      <c r="P63" s="24">
        <v>7.5639605999999998E-2</v>
      </c>
      <c r="Q63" s="24">
        <v>7.6441290000000009E-2</v>
      </c>
      <c r="R63" s="24">
        <v>6.6685676999999999E-2</v>
      </c>
      <c r="S63" s="24">
        <v>0.16483175</v>
      </c>
      <c r="T63" s="24">
        <v>2.3285269999999997E-2</v>
      </c>
      <c r="U63" s="24">
        <v>-3.0450224999999998E-3</v>
      </c>
      <c r="V63" s="24">
        <v>5.0342320000000003E-2</v>
      </c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x14ac:dyDescent="0.35">
      <c r="A64" s="2">
        <v>43669</v>
      </c>
      <c r="B64" s="24">
        <v>-1.05929375E-3</v>
      </c>
      <c r="C64" s="24">
        <v>-2.6524543999999997E-2</v>
      </c>
      <c r="D64" s="24">
        <v>2.8560279999999997E-2</v>
      </c>
      <c r="E64" s="24">
        <v>1.8212438000000001E-2</v>
      </c>
      <c r="F64" s="24">
        <v>-2.9926895999999995E-3</v>
      </c>
      <c r="G64" s="24">
        <v>1.9831537999999999E-2</v>
      </c>
      <c r="H64" s="24">
        <v>-7.7284574999999999E-3</v>
      </c>
      <c r="I64" s="24">
        <v>2.5663018000000003E-2</v>
      </c>
      <c r="J64" s="24">
        <v>-6.0812353999999999E-2</v>
      </c>
      <c r="K64" s="24">
        <v>-2.1563349999999998E-2</v>
      </c>
      <c r="L64" s="24">
        <v>2.9975295000000002E-2</v>
      </c>
      <c r="M64" s="24">
        <v>-1.8167496000000001E-4</v>
      </c>
      <c r="N64" s="24">
        <v>2.7279854000000003E-2</v>
      </c>
      <c r="O64" s="24">
        <v>-2.6685834000000002E-2</v>
      </c>
      <c r="P64" s="24">
        <v>1.2711883E-2</v>
      </c>
      <c r="Q64" s="24">
        <v>8.427024E-3</v>
      </c>
      <c r="R64" s="24">
        <v>4.5017004000000001E-3</v>
      </c>
      <c r="S64" s="24">
        <v>0.11207271000000001</v>
      </c>
      <c r="T64" s="24">
        <v>7.0260286000000005E-2</v>
      </c>
      <c r="U64" s="24">
        <v>4.8869847999999999E-3</v>
      </c>
      <c r="V64" s="24">
        <v>-4.5208334999999999E-3</v>
      </c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</row>
    <row r="65" spans="1:38" x14ac:dyDescent="0.35">
      <c r="A65" s="2">
        <v>43700</v>
      </c>
      <c r="B65" s="24">
        <v>-3.7115633000000002E-2</v>
      </c>
      <c r="C65" s="24">
        <v>-0.11077165999999999</v>
      </c>
      <c r="D65" s="24">
        <v>-7.721567E-2</v>
      </c>
      <c r="E65" s="24">
        <v>-9.3836010000000011E-2</v>
      </c>
      <c r="F65" s="24">
        <v>-0.12735843999999999</v>
      </c>
      <c r="G65" s="24">
        <v>-0.11880660000000001</v>
      </c>
      <c r="H65" s="24">
        <v>-6.332546E-2</v>
      </c>
      <c r="I65" s="24">
        <v>-5.8382033999999999E-2</v>
      </c>
      <c r="J65" s="24">
        <v>-5.8468159999999998E-2</v>
      </c>
      <c r="K65" s="24">
        <v>-0.110365095</v>
      </c>
      <c r="L65" s="24">
        <v>-0.13544864000000001</v>
      </c>
      <c r="M65" s="24">
        <v>-0.16721195000000003</v>
      </c>
      <c r="N65" s="24">
        <v>-7.0899367000000005E-2</v>
      </c>
      <c r="O65" s="24">
        <v>-6.6627320000000004E-2</v>
      </c>
      <c r="P65" s="24">
        <v>-8.3514690000000003E-2</v>
      </c>
      <c r="Q65" s="24">
        <v>-5.6824565E-2</v>
      </c>
      <c r="R65" s="24">
        <v>-4.5330944000000005E-2</v>
      </c>
      <c r="S65" s="24">
        <v>-5.8365764999999993E-2</v>
      </c>
      <c r="T65" s="24">
        <v>-5.2414059999999998E-2</v>
      </c>
      <c r="U65" s="24">
        <v>-5.2279654000000002E-2</v>
      </c>
      <c r="V65" s="24">
        <v>-5.3587619999999996E-2</v>
      </c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</row>
    <row r="66" spans="1:38" x14ac:dyDescent="0.35">
      <c r="A66" s="2">
        <v>43731</v>
      </c>
      <c r="B66" s="24">
        <v>3.7077785000000002E-2</v>
      </c>
      <c r="C66" s="24">
        <v>7.6174259999999994E-2</v>
      </c>
      <c r="D66" s="24">
        <v>3.2563806000000001E-2</v>
      </c>
      <c r="E66" s="24">
        <v>2.6419640000000001E-2</v>
      </c>
      <c r="F66" s="24">
        <v>1.2284994E-2</v>
      </c>
      <c r="G66" s="24">
        <v>4.6553730000000001E-2</v>
      </c>
      <c r="H66" s="24">
        <v>1.3015151000000001E-2</v>
      </c>
      <c r="I66" s="24">
        <v>7.6468825000000004E-2</v>
      </c>
      <c r="J66" s="24">
        <v>0.11880921999999999</v>
      </c>
      <c r="K66" s="24">
        <v>0.1097349</v>
      </c>
      <c r="L66" s="24">
        <v>5.8972480000000001E-2</v>
      </c>
      <c r="M66" s="24">
        <v>8.9262370000000008E-2</v>
      </c>
      <c r="N66" s="24">
        <v>7.0614934000000004E-2</v>
      </c>
      <c r="O66" s="24">
        <v>7.2962760000000002E-2</v>
      </c>
      <c r="P66" s="24">
        <v>5.6062937E-2</v>
      </c>
      <c r="Q66" s="24">
        <v>4.7253369999999996E-2</v>
      </c>
      <c r="R66" s="24">
        <v>-1.4508008999999999E-2</v>
      </c>
      <c r="S66" s="24">
        <v>4.3801664999999997E-2</v>
      </c>
      <c r="T66" s="24">
        <v>1.5358686E-2</v>
      </c>
      <c r="U66" s="24">
        <v>2.6298879999999997E-2</v>
      </c>
      <c r="V66" s="24">
        <v>-3.4868836E-2</v>
      </c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</row>
    <row r="67" spans="1:38" x14ac:dyDescent="0.35">
      <c r="A67" s="2">
        <v>43761</v>
      </c>
      <c r="B67" s="24">
        <v>1.0973454000000001E-2</v>
      </c>
      <c r="C67" s="24">
        <v>-3.0468345000000001E-2</v>
      </c>
      <c r="D67" s="24">
        <v>1.7964125000000001E-2</v>
      </c>
      <c r="E67" s="24">
        <v>3.7278174999999997E-2</v>
      </c>
      <c r="F67" s="24">
        <v>6.5048574999999997E-2</v>
      </c>
      <c r="G67" s="24">
        <v>5.7770014000000005E-3</v>
      </c>
      <c r="H67" s="24">
        <v>-6.42401E-3</v>
      </c>
      <c r="I67" s="24">
        <v>5.2934766000000001E-2</v>
      </c>
      <c r="J67" s="24">
        <v>2.7064203999999998E-2</v>
      </c>
      <c r="K67" s="24">
        <v>2.9298902000000002E-2</v>
      </c>
      <c r="L67" s="24">
        <v>6.2619449999999993E-2</v>
      </c>
      <c r="M67" s="24">
        <v>3.0855535999999999E-2</v>
      </c>
      <c r="N67" s="24">
        <v>4.5744657999999994E-2</v>
      </c>
      <c r="O67" s="24">
        <v>2.9432773999999996E-4</v>
      </c>
      <c r="P67" s="24">
        <v>-1.03753805E-3</v>
      </c>
      <c r="Q67" s="24">
        <v>9.8702909999999998E-3</v>
      </c>
      <c r="R67" s="24">
        <v>5.3426030000000005E-3</v>
      </c>
      <c r="S67" s="24">
        <v>0</v>
      </c>
      <c r="T67" s="24">
        <v>3.6823033999999998E-2</v>
      </c>
      <c r="U67" s="24">
        <v>1.3124943E-2</v>
      </c>
      <c r="V67" s="24">
        <v>-2.2207498999999999E-2</v>
      </c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</row>
    <row r="68" spans="1:38" x14ac:dyDescent="0.35">
      <c r="A68" s="2">
        <v>43791</v>
      </c>
      <c r="B68" s="24">
        <v>-7.7030659999999997E-3</v>
      </c>
      <c r="C68" s="24">
        <v>-0.12721289</v>
      </c>
      <c r="D68" s="24">
        <v>-3.8823545000000001E-2</v>
      </c>
      <c r="E68" s="24">
        <v>-1.8254519E-2</v>
      </c>
      <c r="F68" s="24">
        <v>-2.6435732999999999E-2</v>
      </c>
      <c r="G68" s="24">
        <v>-1.0051668E-2</v>
      </c>
      <c r="H68" s="24">
        <v>6.1063765999999995E-3</v>
      </c>
      <c r="I68" s="24">
        <v>3.5686374E-2</v>
      </c>
      <c r="J68" s="24">
        <v>-6.9226620000000004E-3</v>
      </c>
      <c r="K68" s="24">
        <v>-1.6945600000000001E-4</v>
      </c>
      <c r="L68" s="24">
        <v>-2.9239774E-2</v>
      </c>
      <c r="M68" s="24">
        <v>-5.8311224000000001E-4</v>
      </c>
      <c r="N68" s="24">
        <v>-4.0691494999999999E-3</v>
      </c>
      <c r="O68" s="24">
        <v>6.4743759999999996E-3</v>
      </c>
      <c r="P68" s="24">
        <v>2.8734684E-2</v>
      </c>
      <c r="Q68" s="24">
        <v>8.9359279999999997E-4</v>
      </c>
      <c r="R68" s="24">
        <v>-2.0680845E-2</v>
      </c>
      <c r="S68" s="24">
        <v>6.2945366000000003E-2</v>
      </c>
      <c r="T68" s="24">
        <v>-4.9442887000000005E-2</v>
      </c>
      <c r="U68" s="24">
        <v>-1.1104167E-2</v>
      </c>
      <c r="V68" s="24">
        <v>3.2203436000000002E-2</v>
      </c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</row>
    <row r="69" spans="1:38" x14ac:dyDescent="0.35">
      <c r="A69" s="2">
        <v>43822</v>
      </c>
      <c r="B69" s="24">
        <v>4.1041373999999999E-2</v>
      </c>
      <c r="C69" s="24">
        <v>5.450058E-2</v>
      </c>
      <c r="D69" s="24">
        <v>4.8411369999999995E-2</v>
      </c>
      <c r="E69" s="24">
        <v>-4.6152472000000003E-3</v>
      </c>
      <c r="F69" s="24">
        <v>-5.625367E-3</v>
      </c>
      <c r="G69" s="24">
        <v>6.5552235E-2</v>
      </c>
      <c r="H69" s="24">
        <v>3.4708380000000004E-2</v>
      </c>
      <c r="I69" s="24">
        <v>5.8293459999999998E-2</v>
      </c>
      <c r="J69" s="24">
        <v>3.6741018E-2</v>
      </c>
      <c r="K69" s="24">
        <v>6.7909480000000008E-2</v>
      </c>
      <c r="L69" s="24">
        <v>9.5733529999999997E-2</v>
      </c>
      <c r="M69" s="24">
        <v>3.6239385999999998E-2</v>
      </c>
      <c r="N69" s="24">
        <v>3.2686472000000001E-2</v>
      </c>
      <c r="O69" s="24">
        <v>3.4883379999999999E-2</v>
      </c>
      <c r="P69" s="24">
        <v>7.9672812999999995E-2</v>
      </c>
      <c r="Q69" s="24">
        <v>-5.5789947999999997E-5</v>
      </c>
      <c r="R69" s="24">
        <v>-1.5115320999999999E-2</v>
      </c>
      <c r="S69" s="24">
        <v>3.2788515000000003E-3</v>
      </c>
      <c r="T69" s="24">
        <v>-2.0512820000000001E-2</v>
      </c>
      <c r="U69" s="24">
        <v>-8.4155199999999993E-3</v>
      </c>
      <c r="V69" s="24">
        <v>4.1497109999999997E-2</v>
      </c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</row>
    <row r="70" spans="1:38" x14ac:dyDescent="0.35">
      <c r="A70" s="2">
        <v>43853</v>
      </c>
      <c r="B70" s="24">
        <v>3.2478690000000005E-2</v>
      </c>
      <c r="C70" s="24">
        <v>-4.6323956999999999E-2</v>
      </c>
      <c r="D70" s="24">
        <v>2.2612095000000002E-2</v>
      </c>
      <c r="E70" s="24">
        <v>-3.4180462000000002E-2</v>
      </c>
      <c r="F70" s="24">
        <v>2.0722866E-2</v>
      </c>
      <c r="G70" s="24">
        <v>1.2091279E-2</v>
      </c>
      <c r="H70" s="24">
        <v>-1.9190490000000001E-2</v>
      </c>
      <c r="I70" s="24">
        <v>-7.3081255000000001E-3</v>
      </c>
      <c r="J70" s="24">
        <v>3.7880539999999997E-2</v>
      </c>
      <c r="K70" s="24">
        <v>2.5453925000000002E-2</v>
      </c>
      <c r="L70" s="24">
        <v>9.7854139999999992E-3</v>
      </c>
      <c r="M70" s="24">
        <v>-1.8988669E-2</v>
      </c>
      <c r="N70" s="24">
        <v>5.4222345000000003E-3</v>
      </c>
      <c r="O70" s="24">
        <v>2.2623539000000002E-3</v>
      </c>
      <c r="P70" s="24">
        <v>1.4469981E-2</v>
      </c>
      <c r="Q70" s="24">
        <v>1.8415213E-2</v>
      </c>
      <c r="R70" s="24">
        <v>8.261203999999999E-5</v>
      </c>
      <c r="S70" s="24">
        <v>8.8963990000000007E-2</v>
      </c>
      <c r="T70" s="24">
        <v>1.3463020000000001E-2</v>
      </c>
      <c r="U70" s="24">
        <v>1.9060493000000001E-2</v>
      </c>
      <c r="V70" s="24">
        <v>-2.6492178000000002E-2</v>
      </c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</row>
    <row r="71" spans="1:38" x14ac:dyDescent="0.35">
      <c r="A71" s="2">
        <v>43882</v>
      </c>
      <c r="B71" s="24">
        <v>2.450335E-2</v>
      </c>
      <c r="C71" s="24">
        <v>-5.3901552999999998E-2</v>
      </c>
      <c r="D71" s="24">
        <v>-8.6923299999999995E-2</v>
      </c>
      <c r="E71" s="24">
        <v>-3.2062948000000001E-2</v>
      </c>
      <c r="F71" s="24">
        <v>-7.365435599999999E-2</v>
      </c>
      <c r="G71" s="24">
        <v>-6.1363099999999997E-2</v>
      </c>
      <c r="H71" s="24">
        <v>-5.7630777000000001E-2</v>
      </c>
      <c r="I71" s="24">
        <v>-3.8036764000000001E-2</v>
      </c>
      <c r="J71" s="24">
        <v>-1.6666710000000001E-2</v>
      </c>
      <c r="K71" s="24">
        <v>-7.7154159999999999E-2</v>
      </c>
      <c r="L71" s="24">
        <v>-9.7747620000000007E-2</v>
      </c>
      <c r="M71" s="24">
        <v>-4.1026649999999998E-2</v>
      </c>
      <c r="N71" s="24">
        <v>-9.5190410000000003E-2</v>
      </c>
      <c r="O71" s="24">
        <v>-1.7494321E-2</v>
      </c>
      <c r="P71" s="24">
        <v>-2.9457808000000001E-3</v>
      </c>
      <c r="Q71" s="24">
        <v>-6.575346E-2</v>
      </c>
      <c r="R71" s="24">
        <v>-4.9952325999999998E-2</v>
      </c>
      <c r="S71" s="24">
        <v>-7.6180640000000008E-2</v>
      </c>
      <c r="T71" s="24">
        <v>-4.8819184000000002E-2</v>
      </c>
      <c r="U71" s="24">
        <v>-6.9362399999999991E-2</v>
      </c>
      <c r="V71" s="24">
        <v>-4.9180326000000003E-2</v>
      </c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x14ac:dyDescent="0.35">
      <c r="A72" s="2">
        <v>43913</v>
      </c>
      <c r="B72" s="24">
        <v>-0.14603752</v>
      </c>
      <c r="C72" s="24">
        <v>-0.39814506999999999</v>
      </c>
      <c r="D72" s="24">
        <v>-0.50187893000000006</v>
      </c>
      <c r="E72" s="24">
        <v>-0.37875003999999995</v>
      </c>
      <c r="F72" s="24">
        <v>-0.36085630000000002</v>
      </c>
      <c r="G72" s="24">
        <v>-0.38835982999999996</v>
      </c>
      <c r="H72" s="24">
        <v>-0.23556059000000001</v>
      </c>
      <c r="I72" s="24">
        <v>-0.22066330000000001</v>
      </c>
      <c r="J72" s="24">
        <v>-0.46105988000000003</v>
      </c>
      <c r="K72" s="24">
        <v>-0.33236248000000002</v>
      </c>
      <c r="L72" s="24">
        <v>-0.50965614000000004</v>
      </c>
      <c r="M72" s="24">
        <v>-0.46292240000000001</v>
      </c>
      <c r="N72" s="24">
        <v>-0.44961239999999997</v>
      </c>
      <c r="O72" s="24">
        <v>-0.41125785999999998</v>
      </c>
      <c r="P72" s="24">
        <v>-0.1792878</v>
      </c>
      <c r="Q72" s="24">
        <v>-0.13245744000000001</v>
      </c>
      <c r="R72" s="24">
        <v>-0.31478373999999998</v>
      </c>
      <c r="S72" s="24">
        <v>-0.32238804000000004</v>
      </c>
      <c r="T72" s="24">
        <v>-0.31877253999999999</v>
      </c>
      <c r="U72" s="24">
        <v>-0.35160427</v>
      </c>
      <c r="V72" s="24">
        <v>-0.28310340000000001</v>
      </c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x14ac:dyDescent="0.35">
      <c r="A73" s="2">
        <v>43944</v>
      </c>
      <c r="B73" s="24">
        <v>8.7367899999999998E-2</v>
      </c>
      <c r="C73" s="24">
        <v>0.27903139999999998</v>
      </c>
      <c r="D73" s="24">
        <v>0.29002511999999997</v>
      </c>
      <c r="E73" s="24">
        <v>0.2112677</v>
      </c>
      <c r="F73" s="24">
        <v>0.15948962999999999</v>
      </c>
      <c r="G73" s="24">
        <v>0.16390156</v>
      </c>
      <c r="H73" s="24">
        <v>0.13580251000000002</v>
      </c>
      <c r="I73" s="24">
        <v>0.15024555000000001</v>
      </c>
      <c r="J73" s="24">
        <v>6.0509443000000003E-2</v>
      </c>
      <c r="K73" s="24">
        <v>0.27687954000000004</v>
      </c>
      <c r="L73" s="24">
        <v>0.15273773000000002</v>
      </c>
      <c r="M73" s="24">
        <v>0.21895432000000001</v>
      </c>
      <c r="N73" s="24">
        <v>0.17102633999999997</v>
      </c>
      <c r="O73" s="24">
        <v>0.27365852000000002</v>
      </c>
      <c r="P73" s="24">
        <v>0.12751042999999998</v>
      </c>
      <c r="Q73" s="24">
        <v>4.2483570000000005E-2</v>
      </c>
      <c r="R73" s="24">
        <v>0.24214722</v>
      </c>
      <c r="S73" s="24">
        <v>9.526432E-2</v>
      </c>
      <c r="T73" s="24">
        <v>0.12984061</v>
      </c>
      <c r="U73" s="24">
        <v>0.23814440000000001</v>
      </c>
      <c r="V73" s="24">
        <v>0.16305912</v>
      </c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x14ac:dyDescent="0.35">
      <c r="A74" s="2">
        <v>43973</v>
      </c>
      <c r="B74" s="24">
        <v>-3.4806727999999996E-3</v>
      </c>
      <c r="C74" s="24">
        <v>5.5077434000000002E-2</v>
      </c>
      <c r="D74" s="24">
        <v>2.2742032999999998E-2</v>
      </c>
      <c r="E74" s="24">
        <v>-5.3986310000000001E-3</v>
      </c>
      <c r="F74" s="24">
        <v>3.0261277999999999E-2</v>
      </c>
      <c r="G74" s="24">
        <v>9.5489619999999997E-2</v>
      </c>
      <c r="H74" s="24">
        <v>6.0869574999999995E-2</v>
      </c>
      <c r="I74" s="24">
        <v>3.756404E-2</v>
      </c>
      <c r="J74" s="24">
        <v>0.14827335</v>
      </c>
      <c r="K74" s="24">
        <v>2.9541849999999998E-2</v>
      </c>
      <c r="L74" s="24">
        <v>2.7500033E-2</v>
      </c>
      <c r="M74" s="24">
        <v>0.12600528999999999</v>
      </c>
      <c r="N74" s="24">
        <v>3.0928730000000001E-2</v>
      </c>
      <c r="O74" s="24">
        <v>3.8301944999999995E-4</v>
      </c>
      <c r="P74" s="24">
        <v>-7.2256326999999999E-3</v>
      </c>
      <c r="Q74" s="24">
        <v>2.1478533999999997E-2</v>
      </c>
      <c r="R74" s="24">
        <v>2.4706602000000001E-2</v>
      </c>
      <c r="S74" s="24">
        <v>6.7370533999999996E-2</v>
      </c>
      <c r="T74" s="24">
        <v>2.1673439999999999E-2</v>
      </c>
      <c r="U74" s="24">
        <v>0.12572860999999999</v>
      </c>
      <c r="V74" s="24">
        <v>7.1133136999999999E-2</v>
      </c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x14ac:dyDescent="0.35">
      <c r="A75" s="2">
        <v>44005</v>
      </c>
      <c r="B75" s="24">
        <v>0.10090709</v>
      </c>
      <c r="C75" s="24">
        <v>6.6910150000000002E-2</v>
      </c>
      <c r="D75" s="24">
        <v>0.19024134000000001</v>
      </c>
      <c r="E75" s="24">
        <v>0.15593565000000001</v>
      </c>
      <c r="F75" s="24">
        <v>0.17351006999999999</v>
      </c>
      <c r="G75" s="24">
        <v>8.7643739999999998E-2</v>
      </c>
      <c r="H75" s="24">
        <v>6.8153619999999998E-2</v>
      </c>
      <c r="I75" s="24">
        <v>0.10477233</v>
      </c>
      <c r="J75" s="24">
        <v>9.0746990000000013E-2</v>
      </c>
      <c r="K75" s="24">
        <v>0.12648832000000002</v>
      </c>
      <c r="L75" s="24">
        <v>0.25302076000000001</v>
      </c>
      <c r="M75" s="24">
        <v>0.10622490000000001</v>
      </c>
      <c r="N75" s="24">
        <v>0.14555561</v>
      </c>
      <c r="O75" s="24">
        <v>0.13782775999999999</v>
      </c>
      <c r="P75" s="24">
        <v>0.13692379000000002</v>
      </c>
      <c r="Q75" s="24">
        <v>6.8182470000000009E-2</v>
      </c>
      <c r="R75" s="24">
        <v>4.023111E-2</v>
      </c>
      <c r="S75" s="24">
        <v>9.967862999999999E-2</v>
      </c>
      <c r="T75" s="24">
        <v>6.7849754999999998E-2</v>
      </c>
      <c r="U75" s="24">
        <v>2.7366877000000001E-2</v>
      </c>
      <c r="V75" s="24">
        <v>3.4193873E-2</v>
      </c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x14ac:dyDescent="0.35">
      <c r="A76" s="2">
        <v>44035</v>
      </c>
      <c r="B76" s="24">
        <v>0.15234876</v>
      </c>
      <c r="C76" s="24">
        <v>6.1964154E-2</v>
      </c>
      <c r="D76" s="24">
        <v>2.1563409999999998E-2</v>
      </c>
      <c r="E76" s="24">
        <v>-3.5973847000000003E-2</v>
      </c>
      <c r="F76" s="24">
        <v>2.4712682E-2</v>
      </c>
      <c r="G76" s="24">
        <v>2.9868245000000002E-2</v>
      </c>
      <c r="H76" s="24">
        <v>7.1316600000000008E-2</v>
      </c>
      <c r="I76" s="24">
        <v>7.621646E-2</v>
      </c>
      <c r="J76" s="24">
        <v>-2.0457268000000001E-2</v>
      </c>
      <c r="K76" s="24">
        <v>2.2179961000000002E-2</v>
      </c>
      <c r="L76" s="24">
        <v>5.4045199999999995E-2</v>
      </c>
      <c r="M76" s="24">
        <v>5.7260274999999999E-2</v>
      </c>
      <c r="N76" s="24">
        <v>-9.3703270000000012E-3</v>
      </c>
      <c r="O76" s="24">
        <v>7.8272579999999994E-2</v>
      </c>
      <c r="P76" s="24">
        <v>7.4865580000000001E-2</v>
      </c>
      <c r="Q76" s="24">
        <v>2.9706000999999999E-2</v>
      </c>
      <c r="R76" s="24">
        <v>2.3738145999999999E-3</v>
      </c>
      <c r="S76" s="24">
        <v>1.724875E-2</v>
      </c>
      <c r="T76" s="24">
        <v>-1.3157904E-2</v>
      </c>
      <c r="U76" s="24">
        <v>2.5197983E-2</v>
      </c>
      <c r="V76" s="24">
        <v>2.0121455E-2</v>
      </c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</row>
    <row r="77" spans="1:38" x14ac:dyDescent="0.35">
      <c r="A77" s="2">
        <v>44064</v>
      </c>
      <c r="B77" s="24">
        <v>2.301228E-2</v>
      </c>
      <c r="C77" s="24">
        <v>-3.1926632000000003E-2</v>
      </c>
      <c r="D77" s="24">
        <v>2.8496027E-2</v>
      </c>
      <c r="E77" s="24">
        <v>2.8269886999999997E-2</v>
      </c>
      <c r="F77" s="24">
        <v>1.0936618E-2</v>
      </c>
      <c r="G77" s="24">
        <v>3.3957958000000003E-2</v>
      </c>
      <c r="H77" s="24">
        <v>3.6573410000000003E-4</v>
      </c>
      <c r="I77" s="24">
        <v>2.306807E-2</v>
      </c>
      <c r="J77" s="24">
        <v>4.3304679999999998E-2</v>
      </c>
      <c r="K77" s="24">
        <v>6.3400506999999995E-2</v>
      </c>
      <c r="L77" s="24">
        <v>-7.8620253000000001E-2</v>
      </c>
      <c r="M77" s="24">
        <v>-2.5913477000000001E-2</v>
      </c>
      <c r="N77" s="24">
        <v>1.1828422999999999E-2</v>
      </c>
      <c r="O77" s="24">
        <v>3.5356760000000001E-2</v>
      </c>
      <c r="P77" s="24">
        <v>3.2253623000000002E-2</v>
      </c>
      <c r="Q77" s="24">
        <v>3.6270975999999996E-2</v>
      </c>
      <c r="R77" s="24">
        <v>-4.4415829999999996E-2</v>
      </c>
      <c r="S77" s="24">
        <v>-0.122933445</v>
      </c>
      <c r="T77" s="24">
        <v>7.5061799999999998E-2</v>
      </c>
      <c r="U77" s="24">
        <v>-7.7247024000000001E-3</v>
      </c>
      <c r="V77" s="24">
        <v>6.9594264000000003E-2</v>
      </c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x14ac:dyDescent="0.35">
      <c r="A78" s="2">
        <v>44097</v>
      </c>
      <c r="B78" s="24">
        <v>-1.7008662000000001E-2</v>
      </c>
      <c r="C78" s="24">
        <v>-0.12357843</v>
      </c>
      <c r="D78" s="24">
        <v>-0.12416624999999999</v>
      </c>
      <c r="E78" s="24">
        <v>-3.7390052999999999E-2</v>
      </c>
      <c r="F78" s="24">
        <v>-0.10624128000000001</v>
      </c>
      <c r="G78" s="24">
        <v>-6.7730369999999998E-2</v>
      </c>
      <c r="H78" s="24">
        <v>-7.2760524999999993E-2</v>
      </c>
      <c r="I78" s="24">
        <v>-1.0372042999999999E-2</v>
      </c>
      <c r="J78" s="24">
        <v>-7.9776287000000001E-2</v>
      </c>
      <c r="K78" s="24">
        <v>1.1158942999999999E-2</v>
      </c>
      <c r="L78" s="24">
        <v>-5.3625640000000002E-2</v>
      </c>
      <c r="M78" s="24">
        <v>-5.6131960000000002E-2</v>
      </c>
      <c r="N78" s="24">
        <v>-5.650264E-2</v>
      </c>
      <c r="O78" s="24">
        <v>-5.4396986999999996E-3</v>
      </c>
      <c r="P78" s="24">
        <v>-2.3973048E-2</v>
      </c>
      <c r="Q78" s="24">
        <v>-7.4604749999999994E-3</v>
      </c>
      <c r="R78" s="24">
        <v>-2.7130841999999999E-2</v>
      </c>
      <c r="S78" s="24">
        <v>-7.0082190000000003E-2</v>
      </c>
      <c r="T78" s="24">
        <v>-2.2508024999999997E-2</v>
      </c>
      <c r="U78" s="24">
        <v>2.6185393000000001E-2</v>
      </c>
      <c r="V78" s="24">
        <v>1.4961720000000001E-2</v>
      </c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x14ac:dyDescent="0.35">
      <c r="A79" s="2">
        <v>44127</v>
      </c>
      <c r="B79" s="24">
        <v>4.916239E-2</v>
      </c>
      <c r="C79" s="24">
        <v>0.10294115</v>
      </c>
      <c r="D79" s="24">
        <v>0.10720563</v>
      </c>
      <c r="E79" s="24">
        <v>0.116907835</v>
      </c>
      <c r="F79" s="24">
        <v>-3.0415952000000003E-2</v>
      </c>
      <c r="G79" s="24">
        <v>6.6409349999999992E-2</v>
      </c>
      <c r="H79" s="24">
        <v>3.9037823999999999E-2</v>
      </c>
      <c r="I79" s="24">
        <v>5.9011220000000003E-2</v>
      </c>
      <c r="J79" s="24">
        <v>0.16698658000000002</v>
      </c>
      <c r="K79" s="24">
        <v>7.6777577E-2</v>
      </c>
      <c r="L79" s="24">
        <v>5.0962210000000001E-2</v>
      </c>
      <c r="M79" s="24">
        <v>0.13275086999999999</v>
      </c>
      <c r="N79" s="24">
        <v>6.1950683999999999E-3</v>
      </c>
      <c r="O79" s="24">
        <v>6.3202740000000007E-2</v>
      </c>
      <c r="P79" s="24">
        <v>8.362079E-2</v>
      </c>
      <c r="Q79" s="24">
        <v>2.1104335999999998E-2</v>
      </c>
      <c r="R79" s="24">
        <v>-3.9873123000000003E-2</v>
      </c>
      <c r="S79" s="24">
        <v>3.8461566000000003E-2</v>
      </c>
      <c r="T79" s="24">
        <v>-6.7575574000000001E-3</v>
      </c>
      <c r="U79" s="24">
        <v>6.4827560000000006E-2</v>
      </c>
      <c r="V79" s="24">
        <v>5.0737022999999999E-2</v>
      </c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x14ac:dyDescent="0.35">
      <c r="A80" s="2">
        <v>44158</v>
      </c>
      <c r="B80" s="24">
        <v>5.7068109999999998E-2</v>
      </c>
      <c r="C80" s="24">
        <v>8.235300000000001E-2</v>
      </c>
      <c r="D80" s="24">
        <v>0.16190470000000001</v>
      </c>
      <c r="E80" s="24">
        <v>0.11012625999999999</v>
      </c>
      <c r="F80" s="24">
        <v>0.11843788</v>
      </c>
      <c r="G80" s="24">
        <v>5.0069929999999999E-2</v>
      </c>
      <c r="H80" s="24">
        <v>5.3510426999999999E-2</v>
      </c>
      <c r="I80" s="24">
        <v>8.0679890000000004E-2</v>
      </c>
      <c r="J80" s="24">
        <v>0.12554825</v>
      </c>
      <c r="K80" s="24">
        <v>0.11434841000000001</v>
      </c>
      <c r="L80" s="24">
        <v>9.6981999999999999E-2</v>
      </c>
      <c r="M80" s="24">
        <v>4.2547940000000006E-2</v>
      </c>
      <c r="N80" s="24">
        <v>0.12929714</v>
      </c>
      <c r="O80" s="24">
        <v>4.6298859999999997E-2</v>
      </c>
      <c r="P80" s="24">
        <v>3.3108354E-2</v>
      </c>
      <c r="Q80" s="24">
        <v>2.7180076000000001E-2</v>
      </c>
      <c r="R80" s="24">
        <v>0.17041720000000002</v>
      </c>
      <c r="S80" s="24">
        <v>0.12812817000000001</v>
      </c>
      <c r="T80" s="24">
        <v>6.9255589999999992E-2</v>
      </c>
      <c r="U80" s="24">
        <v>4.2746185999999999E-2</v>
      </c>
      <c r="V80" s="24">
        <v>1.9575357000000001E-3</v>
      </c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38" x14ac:dyDescent="0.35">
      <c r="A81" s="2">
        <v>44188</v>
      </c>
      <c r="B81" s="24">
        <v>2.2272468E-2</v>
      </c>
      <c r="C81" s="24">
        <v>7.5848700000000005E-2</v>
      </c>
      <c r="D81" s="24">
        <v>5.4227233000000007E-2</v>
      </c>
      <c r="E81" s="24">
        <v>4.9550533000000006E-3</v>
      </c>
      <c r="F81" s="24">
        <v>8.8634249999999998E-2</v>
      </c>
      <c r="G81" s="24">
        <v>8.0012680000000003E-2</v>
      </c>
      <c r="H81" s="24">
        <v>4.0345789999999999E-2</v>
      </c>
      <c r="I81" s="24">
        <v>4.1080832000000005E-2</v>
      </c>
      <c r="J81" s="24">
        <v>3.653729E-2</v>
      </c>
      <c r="K81" s="24">
        <v>7.0243479999999997E-2</v>
      </c>
      <c r="L81" s="24">
        <v>0.14187157</v>
      </c>
      <c r="M81" s="24">
        <v>9.9589940000000002E-2</v>
      </c>
      <c r="N81" s="24">
        <v>0.16537930000000001</v>
      </c>
      <c r="O81" s="24">
        <v>6.5064906999999991E-2</v>
      </c>
      <c r="P81" s="24">
        <v>-8.8316200000000001E-3</v>
      </c>
      <c r="Q81" s="24">
        <v>2.3131251000000002E-2</v>
      </c>
      <c r="R81" s="24">
        <v>-3.1047462999999999E-3</v>
      </c>
      <c r="S81" s="24">
        <v>0.102533455</v>
      </c>
      <c r="T81" s="24">
        <v>6.4380050000000008E-2</v>
      </c>
      <c r="U81" s="24">
        <v>4.532361E-2</v>
      </c>
      <c r="V81" s="24">
        <v>2.4282932E-2</v>
      </c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38" x14ac:dyDescent="0.35">
      <c r="A82" s="2">
        <v>44218</v>
      </c>
      <c r="B82" s="24">
        <v>0.11290335999999999</v>
      </c>
      <c r="C82" s="24">
        <v>7.0074440000000002E-2</v>
      </c>
      <c r="D82" s="24">
        <v>6.2228083999999996E-2</v>
      </c>
      <c r="E82" s="24">
        <v>-2.1439552000000001E-2</v>
      </c>
      <c r="F82" s="24">
        <v>1.2156367E-2</v>
      </c>
      <c r="G82" s="24">
        <v>2.3910522E-2</v>
      </c>
      <c r="H82" s="24">
        <v>-3.0817150000000001E-2</v>
      </c>
      <c r="I82" s="24">
        <v>0.13951672000000001</v>
      </c>
      <c r="J82" s="24">
        <v>2.1130442999999999E-2</v>
      </c>
      <c r="K82" s="24">
        <v>0.16070758999999998</v>
      </c>
      <c r="L82" s="24">
        <v>-4.4189809999999996E-2</v>
      </c>
      <c r="M82" s="24">
        <v>2.2835255000000002E-2</v>
      </c>
      <c r="N82" s="24">
        <v>-2.7407825E-2</v>
      </c>
      <c r="O82" s="24">
        <v>6.134498E-2</v>
      </c>
      <c r="P82" s="24">
        <v>0.14110268000000001</v>
      </c>
      <c r="Q82" s="24">
        <v>2.0496129999999998E-2</v>
      </c>
      <c r="R82" s="24">
        <v>5.7809949999999999E-2</v>
      </c>
      <c r="S82" s="24">
        <v>0.12999594</v>
      </c>
      <c r="T82" s="24">
        <v>9.2761990000000002E-2</v>
      </c>
      <c r="U82" s="24">
        <v>9.4868769999999991E-2</v>
      </c>
      <c r="V82" s="24">
        <v>1.1798382000000001E-2</v>
      </c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</row>
    <row r="83" spans="1:38" x14ac:dyDescent="0.35">
      <c r="A83" s="2">
        <v>44250</v>
      </c>
      <c r="B83" s="24">
        <v>9.6617939999999996E-3</v>
      </c>
      <c r="C83" s="24">
        <v>3.2268286E-2</v>
      </c>
      <c r="D83" s="24">
        <v>-2.458012E-2</v>
      </c>
      <c r="E83" s="24">
        <v>-5.1330270000000004E-2</v>
      </c>
      <c r="F83" s="24">
        <v>-1.5665293E-3</v>
      </c>
      <c r="G83" s="24">
        <v>0.10521841</v>
      </c>
      <c r="H83" s="24">
        <v>-1.6434430999999999E-2</v>
      </c>
      <c r="I83" s="24">
        <v>2.4452805999999997E-2</v>
      </c>
      <c r="J83" s="24">
        <v>-2.4441302000000002E-2</v>
      </c>
      <c r="K83" s="24">
        <v>-3.0164181999999998E-2</v>
      </c>
      <c r="L83" s="24">
        <v>-1.8835603999999999E-2</v>
      </c>
      <c r="M83" s="24">
        <v>7.7144027000000004E-2</v>
      </c>
      <c r="N83" s="24">
        <v>-4.0916799999999994E-3</v>
      </c>
      <c r="O83" s="24">
        <v>2.4425745000000002E-2</v>
      </c>
      <c r="P83" s="24">
        <v>9.5541480000000002E-3</v>
      </c>
      <c r="Q83" s="24">
        <v>-4.0654716000000007E-2</v>
      </c>
      <c r="R83" s="24">
        <v>1.8225907999999999E-3</v>
      </c>
      <c r="S83" s="24">
        <v>3.2154321999999999E-2</v>
      </c>
      <c r="T83" s="24">
        <v>-9.5165370000000003E-3</v>
      </c>
      <c r="U83" s="24">
        <v>-1.5803873999999999E-2</v>
      </c>
      <c r="V83" s="24">
        <v>3.8449406999999998E-2</v>
      </c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</row>
    <row r="84" spans="1:38" x14ac:dyDescent="0.35">
      <c r="A84" s="2">
        <v>44278</v>
      </c>
      <c r="B84" s="24">
        <v>-0.11700744</v>
      </c>
      <c r="C84" s="24">
        <v>2.1452664999999999E-2</v>
      </c>
      <c r="D84" s="24">
        <v>-5.4178895999999997E-2</v>
      </c>
      <c r="E84" s="24">
        <v>-5.3777575000000001E-2</v>
      </c>
      <c r="F84" s="24">
        <v>-6.1192455E-2</v>
      </c>
      <c r="G84" s="24">
        <v>-0.12163204</v>
      </c>
      <c r="H84" s="24">
        <v>-7.2648524999999993E-3</v>
      </c>
      <c r="I84" s="24">
        <v>-3.1881154000000002E-2</v>
      </c>
      <c r="J84" s="24">
        <v>2.3383379999999999E-2</v>
      </c>
      <c r="K84" s="24">
        <v>-4.9565849999999995E-2</v>
      </c>
      <c r="L84" s="24">
        <v>-3.4031449999999998E-2</v>
      </c>
      <c r="M84" s="24">
        <v>-3.2013178000000003E-2</v>
      </c>
      <c r="N84" s="24">
        <v>4.7247289999999997E-2</v>
      </c>
      <c r="O84" s="24">
        <v>-1.8886328E-3</v>
      </c>
      <c r="P84" s="24">
        <v>-9.8009404999999994E-2</v>
      </c>
      <c r="Q84" s="24">
        <v>1.1557459999999999E-2</v>
      </c>
      <c r="R84" s="24">
        <v>4.2409420000000003E-2</v>
      </c>
      <c r="S84" s="24">
        <v>-0.20664589999999999</v>
      </c>
      <c r="T84" s="24">
        <v>1.1529564999999999E-2</v>
      </c>
      <c r="U84" s="24">
        <v>-2.7685523E-2</v>
      </c>
      <c r="V84" s="24">
        <v>2.6707171999999998E-2</v>
      </c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</row>
    <row r="85" spans="1:38" x14ac:dyDescent="0.35">
      <c r="A85" s="2">
        <v>44309</v>
      </c>
      <c r="B85" s="24">
        <v>4.9507500000000003E-2</v>
      </c>
      <c r="C85" s="24">
        <v>2.8502703000000001E-2</v>
      </c>
      <c r="D85" s="24">
        <v>-2.5754869999999999E-2</v>
      </c>
      <c r="E85" s="24">
        <v>1.255238E-2</v>
      </c>
      <c r="F85" s="24">
        <v>8.4122420000000003E-2</v>
      </c>
      <c r="G85" s="24">
        <v>-6.9821777000000002E-2</v>
      </c>
      <c r="H85" s="24">
        <v>2.1587968000000003E-2</v>
      </c>
      <c r="I85" s="24">
        <v>0.10034477000000001</v>
      </c>
      <c r="J85" s="24">
        <v>0.10235488999999999</v>
      </c>
      <c r="K85" s="24">
        <v>7.3542953000000008E-2</v>
      </c>
      <c r="L85" s="24">
        <v>7.0159674000000005E-2</v>
      </c>
      <c r="M85" s="24">
        <v>8.0771679999999998E-2</v>
      </c>
      <c r="N85" s="24">
        <v>0.10906243</v>
      </c>
      <c r="O85" s="24">
        <v>-5.2743616E-2</v>
      </c>
      <c r="P85" s="24">
        <v>1.0492086000000001E-2</v>
      </c>
      <c r="Q85" s="24">
        <v>6.8552732000000005E-2</v>
      </c>
      <c r="R85" s="24">
        <v>-6.8147780000000005E-3</v>
      </c>
      <c r="S85" s="24">
        <v>-3.1849919999999997E-2</v>
      </c>
      <c r="T85" s="24">
        <v>2.8784274999999998E-2</v>
      </c>
      <c r="U85" s="24">
        <v>0.10706162000000001</v>
      </c>
      <c r="V85" s="24">
        <v>9.3408219999999986E-2</v>
      </c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</row>
    <row r="86" spans="1:38" x14ac:dyDescent="0.35">
      <c r="A86" s="2">
        <v>44337</v>
      </c>
      <c r="B86" s="24">
        <v>4.9283503999999999E-3</v>
      </c>
      <c r="C86" s="24">
        <v>-0.17211198999999999</v>
      </c>
      <c r="D86" s="24">
        <v>-4.2844113999999996E-2</v>
      </c>
      <c r="E86" s="24">
        <v>-2.0661174999999997E-2</v>
      </c>
      <c r="F86" s="24">
        <v>9.5066789999999998E-2</v>
      </c>
      <c r="G86" s="24">
        <v>2.3241282000000002E-2</v>
      </c>
      <c r="H86" s="24">
        <v>-4.3696219999999994E-2</v>
      </c>
      <c r="I86" s="24">
        <v>-7.2704496000000007E-2</v>
      </c>
      <c r="J86" s="24">
        <v>1.0575293999999999E-2</v>
      </c>
      <c r="K86" s="24">
        <v>-3.5975814000000002E-2</v>
      </c>
      <c r="L86" s="24">
        <v>4.1643260000000001E-2</v>
      </c>
      <c r="M86" s="24">
        <v>-1.3730526E-3</v>
      </c>
      <c r="N86" s="24">
        <v>-2.4053751999999998E-2</v>
      </c>
      <c r="O86" s="24">
        <v>7.5905084999999997E-2</v>
      </c>
      <c r="P86" s="24">
        <v>-5.2631617000000006E-2</v>
      </c>
      <c r="Q86" s="24">
        <v>-7.1282979999999999E-3</v>
      </c>
      <c r="R86" s="24">
        <v>-7.4023009999999996E-4</v>
      </c>
      <c r="S86" s="24">
        <v>6.3992740000000006E-2</v>
      </c>
      <c r="T86" s="24">
        <v>7.0249914999999996E-2</v>
      </c>
      <c r="U86" s="24">
        <v>-1.7489730999999998E-2</v>
      </c>
      <c r="V86" s="24">
        <v>1.5679835999999999E-2</v>
      </c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</row>
    <row r="87" spans="1:38" x14ac:dyDescent="0.35">
      <c r="A87" s="2">
        <v>44370</v>
      </c>
      <c r="B87" s="24">
        <v>1.1928678E-2</v>
      </c>
      <c r="C87" s="24">
        <v>4.2078376000000001E-2</v>
      </c>
      <c r="D87" s="24">
        <v>-5.152762E-3</v>
      </c>
      <c r="E87" s="24">
        <v>0.10733843</v>
      </c>
      <c r="F87" s="24">
        <v>2.3877860000000001E-2</v>
      </c>
      <c r="G87" s="24">
        <v>-0.12898999</v>
      </c>
      <c r="H87" s="24">
        <v>5.6135654000000002E-3</v>
      </c>
      <c r="I87" s="24">
        <v>5.8803677999999998E-2</v>
      </c>
      <c r="J87" s="24">
        <v>8.7487700000000003E-4</v>
      </c>
      <c r="K87" s="24">
        <v>3.1843543000000002E-2</v>
      </c>
      <c r="L87" s="24">
        <v>0.12693477</v>
      </c>
      <c r="M87" s="24">
        <v>-3.6386549999999997E-2</v>
      </c>
      <c r="N87" s="24">
        <v>3.7332416E-2</v>
      </c>
      <c r="O87" s="24">
        <v>2.7868270000000001E-2</v>
      </c>
      <c r="P87" s="24">
        <v>1.9087315000000001E-2</v>
      </c>
      <c r="Q87" s="24">
        <v>-7.8558920000000002E-4</v>
      </c>
      <c r="R87" s="24">
        <v>2.5534034000000001E-2</v>
      </c>
      <c r="S87" s="24">
        <v>-4.7020855E-2</v>
      </c>
      <c r="T87" s="24">
        <v>1.6538261999999998E-2</v>
      </c>
      <c r="U87" s="24">
        <v>5.0785302999999997E-2</v>
      </c>
      <c r="V87" s="24">
        <v>5.2417516999999997E-2</v>
      </c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</row>
    <row r="88" spans="1:38" x14ac:dyDescent="0.35">
      <c r="A88" s="2">
        <v>44400</v>
      </c>
      <c r="B88" s="24">
        <v>8.5530280000000007E-3</v>
      </c>
      <c r="C88" s="24">
        <v>-7.2214603000000002E-2</v>
      </c>
      <c r="D88" s="24">
        <v>-2.6493310000000003E-2</v>
      </c>
      <c r="E88" s="24">
        <v>-9.8145849999999993E-2</v>
      </c>
      <c r="F88" s="24">
        <v>-1.4705896000000001E-2</v>
      </c>
      <c r="G88" s="24">
        <v>-2.4875402E-3</v>
      </c>
      <c r="H88" s="24">
        <v>-4.2643126999999996E-2</v>
      </c>
      <c r="I88" s="24">
        <v>1.6916752E-2</v>
      </c>
      <c r="J88" s="24">
        <v>1.1380434E-2</v>
      </c>
      <c r="K88" s="24">
        <v>-2.3822367000000001E-2</v>
      </c>
      <c r="L88" s="24">
        <v>-6.6439510000000007E-2</v>
      </c>
      <c r="M88" s="24">
        <v>-3.0034960000000003E-2</v>
      </c>
      <c r="N88" s="24">
        <v>-6.8134189999999997E-2</v>
      </c>
      <c r="O88" s="24">
        <v>6.1017275000000001E-3</v>
      </c>
      <c r="P88" s="24">
        <v>-7.2844450000000005E-2</v>
      </c>
      <c r="Q88" s="24">
        <v>-1.04931E-2</v>
      </c>
      <c r="R88" s="24">
        <v>-2.9508529999999998E-2</v>
      </c>
      <c r="S88" s="24">
        <v>-2.8375327999999998E-2</v>
      </c>
      <c r="T88" s="24">
        <v>-2.4595856999999999E-2</v>
      </c>
      <c r="U88" s="24">
        <v>-4.9825609999999992E-2</v>
      </c>
      <c r="V88" s="24">
        <v>-1.3785958000000001E-2</v>
      </c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</row>
    <row r="89" spans="1:38" x14ac:dyDescent="0.35">
      <c r="A89" s="2">
        <v>44431</v>
      </c>
      <c r="B89" s="24">
        <v>-3.6213636E-2</v>
      </c>
      <c r="C89" s="24">
        <v>1.4455199E-2</v>
      </c>
      <c r="D89" s="24">
        <v>4.8985719999999996E-2</v>
      </c>
      <c r="E89" s="24">
        <v>4.0056704999999998E-2</v>
      </c>
      <c r="F89" s="24">
        <v>2.3787379999999997E-2</v>
      </c>
      <c r="G89" s="24">
        <v>-9.8681870000000005E-2</v>
      </c>
      <c r="H89" s="24">
        <v>3.6115646E-3</v>
      </c>
      <c r="I89" s="24">
        <v>-2.7306973999999998E-2</v>
      </c>
      <c r="J89" s="24">
        <v>2.6255487999999997E-2</v>
      </c>
      <c r="K89" s="24">
        <v>-6.8774343000000002E-2</v>
      </c>
      <c r="L89" s="24">
        <v>-9.3326449999999991E-2</v>
      </c>
      <c r="M89" s="24">
        <v>-1.5482545E-2</v>
      </c>
      <c r="N89" s="24">
        <v>5.0618650000000001E-2</v>
      </c>
      <c r="O89" s="24">
        <v>4.1329739999999997E-2</v>
      </c>
      <c r="P89" s="24">
        <v>-9.7140550000000006E-2</v>
      </c>
      <c r="Q89" s="24">
        <v>4.9310684E-2</v>
      </c>
      <c r="R89" s="24">
        <v>2.3927212E-2</v>
      </c>
      <c r="S89" s="24">
        <v>9.9387649999999994E-2</v>
      </c>
      <c r="T89" s="24">
        <v>6.8443774999999998E-2</v>
      </c>
      <c r="U89" s="24">
        <v>1.5731573000000002E-2</v>
      </c>
      <c r="V89" s="24">
        <v>4.7890186000000001E-2</v>
      </c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</row>
    <row r="90" spans="1:38" x14ac:dyDescent="0.35">
      <c r="A90" s="2">
        <v>44462</v>
      </c>
      <c r="B90" s="24">
        <v>7.3722600000000003E-3</v>
      </c>
      <c r="C90" s="24">
        <v>-3.6537647000000001E-4</v>
      </c>
      <c r="D90" s="24">
        <v>6.1320065999999999E-3</v>
      </c>
      <c r="E90" s="24">
        <v>4.1240572999999996E-2</v>
      </c>
      <c r="F90" s="24">
        <v>1.8678784E-2</v>
      </c>
      <c r="G90" s="24">
        <v>5.5731177E-2</v>
      </c>
      <c r="H90" s="24">
        <v>1.6393423000000001E-2</v>
      </c>
      <c r="I90" s="24">
        <v>3.6140680000000001E-2</v>
      </c>
      <c r="J90" s="24">
        <v>1.0761380000000001E-2</v>
      </c>
      <c r="K90" s="24">
        <v>1.1909008000000001E-4</v>
      </c>
      <c r="L90" s="24">
        <v>-2.5014340000000003E-2</v>
      </c>
      <c r="M90" s="24">
        <v>2.2619604999999997E-2</v>
      </c>
      <c r="N90" s="24">
        <v>-7.4946880000000002E-3</v>
      </c>
      <c r="O90" s="24">
        <v>7.9918027000000003E-2</v>
      </c>
      <c r="P90" s="24">
        <v>6.3637494999999999E-3</v>
      </c>
      <c r="Q90" s="24">
        <v>4.8003196999999997E-3</v>
      </c>
      <c r="R90" s="24">
        <v>3.1022668000000003E-2</v>
      </c>
      <c r="S90" s="24">
        <v>-8.0120029999999995E-2</v>
      </c>
      <c r="T90" s="24">
        <v>8.0916879999999997E-3</v>
      </c>
      <c r="U90" s="24">
        <v>1.8585324E-2</v>
      </c>
      <c r="V90" s="24">
        <v>1.9268751000000001E-2</v>
      </c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</row>
    <row r="91" spans="1:38" x14ac:dyDescent="0.35">
      <c r="A91" s="2">
        <v>44491</v>
      </c>
      <c r="B91" s="24">
        <v>2.9272795000000001E-2</v>
      </c>
      <c r="C91" s="24">
        <v>-0.11403513</v>
      </c>
      <c r="D91" s="24">
        <v>0.14299107</v>
      </c>
      <c r="E91" s="24">
        <v>6.4111233000000004E-2</v>
      </c>
      <c r="F91" s="24">
        <v>4.6511529999999995E-2</v>
      </c>
      <c r="G91" s="24">
        <v>0.14114571000000001</v>
      </c>
      <c r="H91" s="24">
        <v>4.4846535E-2</v>
      </c>
      <c r="I91" s="24">
        <v>-3.3634364999999999E-2</v>
      </c>
      <c r="J91" s="24">
        <v>-5.0221086000000002E-3</v>
      </c>
      <c r="K91" s="24">
        <v>-4.2877555000000005E-2</v>
      </c>
      <c r="L91" s="24">
        <v>-0.11294603</v>
      </c>
      <c r="M91" s="24">
        <v>2.6121736000000003E-2</v>
      </c>
      <c r="N91" s="24">
        <v>3.0564547000000001E-2</v>
      </c>
      <c r="O91" s="24">
        <v>-1.3482450999999999E-2</v>
      </c>
      <c r="P91" s="24">
        <v>6.5882443999999998E-2</v>
      </c>
      <c r="Q91" s="24">
        <v>5.2149890000000004E-2</v>
      </c>
      <c r="R91" s="24">
        <v>7.5223446000000005E-3</v>
      </c>
      <c r="S91" s="24">
        <v>-3.2137810000000003E-2</v>
      </c>
      <c r="T91" s="24">
        <v>-1.2795925E-2</v>
      </c>
      <c r="U91" s="24">
        <v>-4.561603E-3</v>
      </c>
      <c r="V91" s="24">
        <v>6.4953922999999997E-2</v>
      </c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</row>
    <row r="92" spans="1:38" x14ac:dyDescent="0.35">
      <c r="A92" s="2">
        <v>44523</v>
      </c>
      <c r="B92" s="24">
        <v>1.3761519999999998E-3</v>
      </c>
      <c r="C92" s="24">
        <v>0.15016496999999998</v>
      </c>
      <c r="D92" s="24">
        <v>-2.6251018000000001E-2</v>
      </c>
      <c r="E92" s="24">
        <v>2.5039909999999997E-3</v>
      </c>
      <c r="F92" s="24">
        <v>-0.10854696999999999</v>
      </c>
      <c r="G92" s="24">
        <v>-5.3477645000000004E-2</v>
      </c>
      <c r="H92" s="24">
        <v>-5.7981909999999998E-2</v>
      </c>
      <c r="I92" s="24">
        <v>5.7202697000000004E-2</v>
      </c>
      <c r="J92" s="24">
        <v>-5.8146534E-2</v>
      </c>
      <c r="K92" s="24">
        <v>-1.1821747000000001E-2</v>
      </c>
      <c r="L92" s="24">
        <v>-1.8284558999999999E-2</v>
      </c>
      <c r="M92" s="24">
        <v>-5.6456566E-2</v>
      </c>
      <c r="N92" s="24">
        <v>-6.6294489999999998E-2</v>
      </c>
      <c r="O92" s="24">
        <v>-3.0370354999999997E-3</v>
      </c>
      <c r="P92" s="24">
        <v>-6.8846644999999998E-2</v>
      </c>
      <c r="Q92" s="24">
        <v>-5.736351E-4</v>
      </c>
      <c r="R92" s="24">
        <v>1.8254518999999999E-3</v>
      </c>
      <c r="S92" s="24">
        <v>-7.8440846999999994E-2</v>
      </c>
      <c r="T92" s="24">
        <v>0.12476027000000001</v>
      </c>
      <c r="U92" s="24">
        <v>4.6843170000000003E-2</v>
      </c>
      <c r="V92" s="24">
        <v>-5.4164705E-2</v>
      </c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38" x14ac:dyDescent="0.35">
      <c r="A93" s="2">
        <v>44553</v>
      </c>
      <c r="B93" s="24">
        <v>8.7484120000000005E-3</v>
      </c>
      <c r="C93" s="24">
        <v>-0.16520029999999999</v>
      </c>
      <c r="D93" s="24">
        <v>-2.5597750000000002E-2</v>
      </c>
      <c r="E93" s="24">
        <v>-7.1015360000000003E-3</v>
      </c>
      <c r="F93" s="24">
        <v>-3.7927031999999998E-3</v>
      </c>
      <c r="G93" s="24">
        <v>2.2675157000000001E-2</v>
      </c>
      <c r="H93" s="24">
        <v>2.7337073999999999E-3</v>
      </c>
      <c r="I93" s="24">
        <v>2.9409290000000001E-2</v>
      </c>
      <c r="J93" s="24">
        <v>8.0906629999999993E-2</v>
      </c>
      <c r="K93" s="24">
        <v>1.3278246E-2</v>
      </c>
      <c r="L93" s="24">
        <v>5.3585769999999998E-3</v>
      </c>
      <c r="M93" s="24">
        <v>2.461493E-2</v>
      </c>
      <c r="N93" s="24">
        <v>7.1002244999999993E-3</v>
      </c>
      <c r="O93" s="24">
        <v>-2.5183379999999998E-2</v>
      </c>
      <c r="P93" s="24">
        <v>-6.3632250000000001E-2</v>
      </c>
      <c r="Q93" s="24">
        <v>-1.3654171999999999E-2</v>
      </c>
      <c r="R93" s="24">
        <v>-3.0065775E-3</v>
      </c>
      <c r="S93" s="24">
        <v>9.6257450000000008E-2</v>
      </c>
      <c r="T93" s="24">
        <v>-1.1665106000000001E-2</v>
      </c>
      <c r="U93" s="24">
        <v>9.8931790000000002E-3</v>
      </c>
      <c r="V93" s="24">
        <v>-4.4679046000000002E-3</v>
      </c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38" x14ac:dyDescent="0.35">
      <c r="A94" s="2">
        <v>44582</v>
      </c>
      <c r="B94" s="24">
        <v>-4.3767157000000001E-2</v>
      </c>
      <c r="C94" s="24">
        <v>0.18535005999999998</v>
      </c>
      <c r="D94" s="24">
        <v>2.220285E-2</v>
      </c>
      <c r="E94" s="24">
        <v>-2.698511E-2</v>
      </c>
      <c r="F94" s="24">
        <v>3.5505889999999998E-2</v>
      </c>
      <c r="G94" s="24">
        <v>0.15579461999999999</v>
      </c>
      <c r="H94" s="24">
        <v>4.5285224999999998E-3</v>
      </c>
      <c r="I94" s="24">
        <v>-1.6430855000000001E-2</v>
      </c>
      <c r="J94" s="24">
        <v>-1.2670994E-2</v>
      </c>
      <c r="K94" s="24">
        <v>-5.3954544E-2</v>
      </c>
      <c r="L94" s="24">
        <v>8.4404710000000008E-2</v>
      </c>
      <c r="M94" s="24">
        <v>7.251668E-2</v>
      </c>
      <c r="N94" s="24">
        <v>6.7731857000000006E-2</v>
      </c>
      <c r="O94" s="24">
        <v>1.9294857999999998E-2</v>
      </c>
      <c r="P94" s="24">
        <v>1.2593627000000001E-2</v>
      </c>
      <c r="Q94" s="24">
        <v>5.9664490000000001E-2</v>
      </c>
      <c r="R94" s="24">
        <v>6.8596600000000001E-3</v>
      </c>
      <c r="S94" s="24">
        <v>-4.3062209999999997E-2</v>
      </c>
      <c r="T94" s="24">
        <v>3.3568859999999999E-2</v>
      </c>
      <c r="U94" s="24">
        <v>-3.9690197000000003E-2</v>
      </c>
      <c r="V94" s="24">
        <v>8.7570910000000002E-2</v>
      </c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38" x14ac:dyDescent="0.35">
      <c r="A95" s="2">
        <v>44615</v>
      </c>
      <c r="B95" s="24">
        <v>-2.7318478E-2</v>
      </c>
      <c r="C95" s="24">
        <v>-5.0168394999999998E-2</v>
      </c>
      <c r="D95" s="24">
        <v>2.6831388000000001E-2</v>
      </c>
      <c r="E95" s="24">
        <v>4.0803313000000001E-2</v>
      </c>
      <c r="F95" s="24">
        <v>-0.10850173</v>
      </c>
      <c r="G95" s="24">
        <v>2.4016738000000003E-2</v>
      </c>
      <c r="H95" s="24">
        <v>4.1803239999999998E-2</v>
      </c>
      <c r="I95" s="24">
        <v>-4.6404003999999995E-3</v>
      </c>
      <c r="J95" s="24">
        <v>3.4630300000000002E-3</v>
      </c>
      <c r="K95" s="24">
        <v>-3.6097646000000004E-2</v>
      </c>
      <c r="L95" s="24">
        <v>0.11998652999999999</v>
      </c>
      <c r="M95" s="24">
        <v>3.4606933999999999E-2</v>
      </c>
      <c r="N95" s="24">
        <v>1.953125E-2</v>
      </c>
      <c r="O95" s="24">
        <v>-4.5058784000000004E-2</v>
      </c>
      <c r="P95" s="24">
        <v>-6.6908063999999989E-2</v>
      </c>
      <c r="Q95" s="24">
        <v>3.1112312999999999E-2</v>
      </c>
      <c r="R95" s="24">
        <v>2.6453137000000002E-2</v>
      </c>
      <c r="S95" s="24">
        <v>-2.7999996999999999E-2</v>
      </c>
      <c r="T95" s="24">
        <v>1.6676784E-2</v>
      </c>
      <c r="U95" s="24">
        <v>-8.0645083999999999E-3</v>
      </c>
      <c r="V95" s="24">
        <v>2.4619460000000003E-2</v>
      </c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38" x14ac:dyDescent="0.35">
      <c r="A96" s="2">
        <v>44643</v>
      </c>
      <c r="B96" s="24">
        <v>-7.6619863999999996E-2</v>
      </c>
      <c r="C96" s="24">
        <v>0.11391401</v>
      </c>
      <c r="D96" s="24">
        <v>1.5346288999999999E-2</v>
      </c>
      <c r="E96" s="24">
        <v>-8.7902010000000003E-2</v>
      </c>
      <c r="F96" s="24">
        <v>-3.0558466999999999E-2</v>
      </c>
      <c r="G96" s="24">
        <v>9.6745850000000008E-2</v>
      </c>
      <c r="H96" s="24">
        <v>5.5074690000000001E-3</v>
      </c>
      <c r="I96" s="24">
        <v>-4.1181029999999993E-2</v>
      </c>
      <c r="J96" s="24">
        <v>7.1051597999999994E-2</v>
      </c>
      <c r="K96" s="24">
        <v>-1.8098354000000001E-2</v>
      </c>
      <c r="L96" s="24">
        <v>8.863030999999999E-2</v>
      </c>
      <c r="M96" s="24">
        <v>6.3225030000000002E-2</v>
      </c>
      <c r="N96" s="24">
        <v>-0.10379659999999999</v>
      </c>
      <c r="O96" s="24">
        <v>-6.8383810000000001E-3</v>
      </c>
      <c r="P96" s="24">
        <v>-7.7273549999999996E-2</v>
      </c>
      <c r="Q96" s="24">
        <v>6.5420627999999995E-2</v>
      </c>
      <c r="R96" s="24">
        <v>-1.0905146999999999E-2</v>
      </c>
      <c r="S96" s="24">
        <v>3.1378507999999999E-2</v>
      </c>
      <c r="T96" s="24">
        <v>8.7264300000000003E-2</v>
      </c>
      <c r="U96" s="24">
        <v>-2.3374019999999999E-2</v>
      </c>
      <c r="V96" s="24">
        <v>3.7134170000000001E-2</v>
      </c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38" x14ac:dyDescent="0.35">
      <c r="A97" s="2">
        <v>44673</v>
      </c>
      <c r="B97" s="24">
        <v>-9.5784430000000004E-2</v>
      </c>
      <c r="C97" s="24">
        <v>-5.060154E-2</v>
      </c>
      <c r="D97" s="24">
        <v>6.5358880000000001E-3</v>
      </c>
      <c r="E97" s="24">
        <v>1.0073185000000001E-3</v>
      </c>
      <c r="F97" s="24">
        <v>-5.7608659999999999E-2</v>
      </c>
      <c r="G97" s="24">
        <v>-0.10505210999999999</v>
      </c>
      <c r="H97" s="24">
        <v>-2.3865341999999998E-2</v>
      </c>
      <c r="I97" s="24">
        <v>-7.7147540000000001E-2</v>
      </c>
      <c r="J97" s="24">
        <v>-2.4260760000000003E-2</v>
      </c>
      <c r="K97" s="24">
        <v>-4.2818604000000003E-2</v>
      </c>
      <c r="L97" s="24">
        <v>-4.7423244000000003E-2</v>
      </c>
      <c r="M97" s="24">
        <v>-0.11365700000000001</v>
      </c>
      <c r="N97" s="24">
        <v>5.596578E-2</v>
      </c>
      <c r="O97" s="24">
        <v>1.4459491E-2</v>
      </c>
      <c r="P97" s="24">
        <v>-0.11336618</v>
      </c>
      <c r="Q97" s="24">
        <v>2.0885587000000001E-2</v>
      </c>
      <c r="R97" s="24">
        <v>7.5329539999999997E-3</v>
      </c>
      <c r="S97" s="24">
        <v>0.13566089000000001</v>
      </c>
      <c r="T97" s="24">
        <v>2.6030302000000002E-2</v>
      </c>
      <c r="U97" s="24">
        <v>-0.10197704999999999</v>
      </c>
      <c r="V97" s="24">
        <v>4.1491150000000004E-2</v>
      </c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</row>
    <row r="98" spans="1:38" x14ac:dyDescent="0.35">
      <c r="A98" s="2">
        <v>44704</v>
      </c>
      <c r="B98" s="24">
        <v>1.0917664000000001E-2</v>
      </c>
      <c r="C98" s="24">
        <v>7.8643320000000003E-2</v>
      </c>
      <c r="D98" s="24">
        <v>-4.5860350000000001E-2</v>
      </c>
      <c r="E98" s="24">
        <v>-2.8513907999999998E-2</v>
      </c>
      <c r="F98" s="24">
        <v>-6.0553610000000008E-2</v>
      </c>
      <c r="G98" s="24">
        <v>-9.289122000000001E-2</v>
      </c>
      <c r="H98" s="24">
        <v>-3.8477004000000002E-2</v>
      </c>
      <c r="I98" s="24">
        <v>-3.5475970000000003E-2</v>
      </c>
      <c r="J98" s="24">
        <v>-8.9355110000000001E-3</v>
      </c>
      <c r="K98" s="24">
        <v>-5.6288839999999998E-3</v>
      </c>
      <c r="L98" s="24">
        <v>2.5899410000000001E-3</v>
      </c>
      <c r="M98" s="24">
        <v>-3.7956535999999999E-2</v>
      </c>
      <c r="N98" s="24">
        <v>-5.9256554000000003E-2</v>
      </c>
      <c r="O98" s="24">
        <v>-6.6289606000000001E-2</v>
      </c>
      <c r="P98" s="24">
        <v>2.6190877000000001E-2</v>
      </c>
      <c r="Q98" s="24">
        <v>-6.7103148000000001E-2</v>
      </c>
      <c r="R98" s="24">
        <v>-3.2716334E-2</v>
      </c>
      <c r="S98" s="24">
        <v>-9.793586E-2</v>
      </c>
      <c r="T98" s="24">
        <v>-0.11575055000000001</v>
      </c>
      <c r="U98" s="24">
        <v>-0.11297798000000001</v>
      </c>
      <c r="V98" s="24">
        <v>-0.10596567</v>
      </c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38" x14ac:dyDescent="0.35">
      <c r="A99" s="2">
        <v>44735</v>
      </c>
      <c r="B99" s="24">
        <v>7.4396729999999994E-2</v>
      </c>
      <c r="C99" s="24">
        <v>-0.1201778</v>
      </c>
      <c r="D99" s="24">
        <v>-4.8747063E-3</v>
      </c>
      <c r="E99" s="24">
        <v>-0.12272989000000001</v>
      </c>
      <c r="F99" s="24">
        <v>-0.12160593</v>
      </c>
      <c r="G99" s="24">
        <v>-0.11400789</v>
      </c>
      <c r="H99" s="24">
        <v>-7.5685559999999999E-2</v>
      </c>
      <c r="I99" s="24">
        <v>-5.3896546000000004E-2</v>
      </c>
      <c r="J99" s="24">
        <v>-9.0732210000000008E-2</v>
      </c>
      <c r="K99" s="24">
        <v>-0.14762396</v>
      </c>
      <c r="L99" s="24">
        <v>-0.18391382000000001</v>
      </c>
      <c r="M99" s="24">
        <v>-7.2455764000000006E-2</v>
      </c>
      <c r="N99" s="24">
        <v>-4.264474E-2</v>
      </c>
      <c r="O99" s="24">
        <v>-4.6038329999999995E-2</v>
      </c>
      <c r="P99" s="24">
        <v>9.7825290000000009E-2</v>
      </c>
      <c r="Q99" s="24">
        <v>-8.4771870000000013E-2</v>
      </c>
      <c r="R99" s="24">
        <v>-4.7496499999999997E-2</v>
      </c>
      <c r="S99" s="24">
        <v>-4.1213569999999998E-2</v>
      </c>
      <c r="T99" s="24">
        <v>-6.5962789999999993E-2</v>
      </c>
      <c r="U99" s="24">
        <v>-4.3109120000000001E-2</v>
      </c>
      <c r="V99" s="24">
        <v>-7.6477290000000003E-2</v>
      </c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38" x14ac:dyDescent="0.35">
      <c r="A100" s="2">
        <v>44764</v>
      </c>
      <c r="B100" s="24">
        <v>-3.1301080000000002E-2</v>
      </c>
      <c r="C100" s="24">
        <v>8.9869500000000005E-3</v>
      </c>
      <c r="D100" s="24">
        <v>-2.4707376999999999E-2</v>
      </c>
      <c r="E100" s="24">
        <v>-1.1947751E-3</v>
      </c>
      <c r="F100" s="24">
        <v>-1.4809608E-2</v>
      </c>
      <c r="G100" s="24">
        <v>-1.1560737999999999E-2</v>
      </c>
      <c r="H100" s="24">
        <v>1.3805866E-2</v>
      </c>
      <c r="I100" s="24">
        <v>-2.1555007000000001E-2</v>
      </c>
      <c r="J100" s="24">
        <v>-3.0640960000000001E-3</v>
      </c>
      <c r="K100" s="24">
        <v>2.1845460000000001E-2</v>
      </c>
      <c r="L100" s="24">
        <v>-4.0162143999999997E-2</v>
      </c>
      <c r="M100" s="24">
        <v>-2.0216286E-2</v>
      </c>
      <c r="N100" s="24">
        <v>-5.4351750000000004E-2</v>
      </c>
      <c r="O100" s="24">
        <v>4.4450044999999994E-2</v>
      </c>
      <c r="P100" s="24">
        <v>-5.4317830000000004E-2</v>
      </c>
      <c r="Q100" s="24">
        <v>6.4452170000000003E-2</v>
      </c>
      <c r="R100" s="24">
        <v>-3.132999E-3</v>
      </c>
      <c r="S100" s="24">
        <v>-2.2976518000000001E-2</v>
      </c>
      <c r="T100" s="24">
        <v>5.8900594999999993E-2</v>
      </c>
      <c r="U100" s="24">
        <v>-1.0238886000000001E-2</v>
      </c>
      <c r="V100" s="24">
        <v>5.8475256000000003E-2</v>
      </c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38" x14ac:dyDescent="0.35">
      <c r="A101" s="2">
        <v>44796</v>
      </c>
      <c r="B101" s="24">
        <v>-1.1801124000000001E-2</v>
      </c>
      <c r="C101" s="24">
        <v>8.5020180000000001E-2</v>
      </c>
      <c r="D101" s="24">
        <v>5.5999993999999997E-2</v>
      </c>
      <c r="E101" s="24">
        <v>7.1770310000000004E-2</v>
      </c>
      <c r="F101" s="24">
        <v>-4.6528340000000001E-2</v>
      </c>
      <c r="G101" s="24">
        <v>2.2222160999999997E-2</v>
      </c>
      <c r="H101" s="24">
        <v>9.077787399999999E-4</v>
      </c>
      <c r="I101" s="24">
        <v>1.219511E-2</v>
      </c>
      <c r="J101" s="24">
        <v>3.9956092999999998E-2</v>
      </c>
      <c r="K101" s="24">
        <v>-6.6700579999999995E-3</v>
      </c>
      <c r="L101" s="24">
        <v>0.23224567000000002</v>
      </c>
      <c r="M101" s="24">
        <v>1.1276364000000001E-2</v>
      </c>
      <c r="N101" s="24">
        <v>6.1041236000000006E-2</v>
      </c>
      <c r="O101" s="24">
        <v>4.9367784999999997E-2</v>
      </c>
      <c r="P101" s="24">
        <v>-5.0817785000000004E-2</v>
      </c>
      <c r="Q101" s="24">
        <v>7.3591113E-2</v>
      </c>
      <c r="R101" s="24">
        <v>5.2063107000000004E-2</v>
      </c>
      <c r="S101" s="24">
        <v>0.20630682</v>
      </c>
      <c r="T101" s="24">
        <v>1.8541335999999999E-2</v>
      </c>
      <c r="U101" s="24">
        <v>6.6896560000000008E-2</v>
      </c>
      <c r="V101" s="24">
        <v>4.9883484999999998E-2</v>
      </c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38" x14ac:dyDescent="0.35">
      <c r="A102" s="2">
        <v>44827</v>
      </c>
      <c r="B102" s="24">
        <v>-0.11998855999999999</v>
      </c>
      <c r="C102" s="24">
        <v>-8.4701419999999986E-2</v>
      </c>
      <c r="D102" s="24">
        <v>7.5757504000000002E-3</v>
      </c>
      <c r="E102" s="24">
        <v>-0.11476934</v>
      </c>
      <c r="F102" s="24">
        <v>-0.13363360999999999</v>
      </c>
      <c r="G102" s="24">
        <v>-9.2295940000000007E-2</v>
      </c>
      <c r="H102" s="24">
        <v>-5.8049860000000002E-2</v>
      </c>
      <c r="I102" s="24">
        <v>-0.12417412</v>
      </c>
      <c r="J102" s="24">
        <v>-5.1720499999999996E-2</v>
      </c>
      <c r="K102" s="24">
        <v>-0.12930447</v>
      </c>
      <c r="L102" s="24">
        <v>-4.2367578000000003E-2</v>
      </c>
      <c r="M102" s="24">
        <v>-0.13190985</v>
      </c>
      <c r="N102" s="24">
        <v>-0.12290734</v>
      </c>
      <c r="O102" s="24">
        <v>-3.6384701999999998E-2</v>
      </c>
      <c r="P102" s="24">
        <v>-0.10605126000000001</v>
      </c>
      <c r="Q102" s="24">
        <v>-8.7635520000000008E-2</v>
      </c>
      <c r="R102" s="24">
        <v>-1.1386275000000001E-3</v>
      </c>
      <c r="S102" s="24">
        <v>3.2786846000000001E-2</v>
      </c>
      <c r="T102" s="24">
        <v>-4.1868925000000001E-2</v>
      </c>
      <c r="U102" s="24">
        <v>-9.1790559999999993E-2</v>
      </c>
      <c r="V102" s="24">
        <v>-9.7468909999999992E-2</v>
      </c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38" x14ac:dyDescent="0.35">
      <c r="A103" s="2">
        <v>44855</v>
      </c>
      <c r="B103" s="24">
        <v>-2.4878859999999999E-2</v>
      </c>
      <c r="C103" s="24">
        <v>-8.9686509999999994E-3</v>
      </c>
      <c r="D103" s="24">
        <v>-1.25314E-2</v>
      </c>
      <c r="E103" s="24">
        <v>-1.9541919000000001E-2</v>
      </c>
      <c r="F103" s="24">
        <v>-5.1993730000000002E-3</v>
      </c>
      <c r="G103" s="24">
        <v>8.109247E-2</v>
      </c>
      <c r="H103" s="24">
        <v>2.4073124000000001E-3</v>
      </c>
      <c r="I103" s="24">
        <v>-6.3456830000000006E-2</v>
      </c>
      <c r="J103" s="24">
        <v>5.5877210000000004E-2</v>
      </c>
      <c r="K103" s="24">
        <v>-4.5481324E-3</v>
      </c>
      <c r="L103" s="24">
        <v>0.10897850999999999</v>
      </c>
      <c r="M103" s="24">
        <v>3.8535118E-2</v>
      </c>
      <c r="N103" s="24">
        <v>0.10102427</v>
      </c>
      <c r="O103" s="24">
        <v>3.6073923000000002E-3</v>
      </c>
      <c r="P103" s="24">
        <v>-8.4442429999999999E-2</v>
      </c>
      <c r="Q103" s="24">
        <v>3.04327E-2</v>
      </c>
      <c r="R103" s="24">
        <v>-2.4753153E-2</v>
      </c>
      <c r="S103" s="24">
        <v>0.16688120000000001</v>
      </c>
      <c r="T103" s="24">
        <v>-1.7099380000000001E-2</v>
      </c>
      <c r="U103" s="24">
        <v>-0.15516019</v>
      </c>
      <c r="V103" s="24">
        <v>9.1020819999999988E-2</v>
      </c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</row>
    <row r="104" spans="1:38" x14ac:dyDescent="0.35">
      <c r="A104" s="2">
        <v>44888</v>
      </c>
      <c r="B104" s="24">
        <v>1.358521E-2</v>
      </c>
      <c r="C104" s="24">
        <v>8.5150129999999991E-2</v>
      </c>
      <c r="D104" s="24">
        <v>-1.6920447000000002E-2</v>
      </c>
      <c r="E104" s="24">
        <v>0.11401628999999999</v>
      </c>
      <c r="F104" s="24">
        <v>0.27439034000000001</v>
      </c>
      <c r="G104" s="24">
        <v>0.14146912</v>
      </c>
      <c r="H104" s="24">
        <v>3.1219960000000001E-2</v>
      </c>
      <c r="I104" s="24">
        <v>0.16204689999999999</v>
      </c>
      <c r="J104" s="24">
        <v>0.14421248</v>
      </c>
      <c r="K104" s="24">
        <v>0.15117205</v>
      </c>
      <c r="L104" s="24">
        <v>-0.13171017000000002</v>
      </c>
      <c r="M104" s="24">
        <v>0.17736853</v>
      </c>
      <c r="N104" s="24">
        <v>0.10570823999999999</v>
      </c>
      <c r="O104" s="24">
        <v>2.6599525999999998E-2</v>
      </c>
      <c r="P104" s="24">
        <v>8.6716770000000012E-2</v>
      </c>
      <c r="Q104" s="24">
        <v>-5.9067844999999994E-2</v>
      </c>
      <c r="R104" s="24">
        <v>2.0787835000000001E-2</v>
      </c>
      <c r="S104" s="24">
        <v>0.19485294</v>
      </c>
      <c r="T104" s="24">
        <v>6.4432619999999999E-3</v>
      </c>
      <c r="U104" s="24">
        <v>-6.3184500000000005E-2</v>
      </c>
      <c r="V104" s="24">
        <v>-9.6505050000000009E-2</v>
      </c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</row>
    <row r="105" spans="1:38" x14ac:dyDescent="0.35">
      <c r="A105" s="2">
        <v>44918</v>
      </c>
      <c r="B105" s="24">
        <v>1.7693877E-2</v>
      </c>
      <c r="C105" s="24">
        <v>1.7179488999999999E-2</v>
      </c>
      <c r="D105" s="24">
        <v>-2.5544107E-2</v>
      </c>
      <c r="E105" s="24">
        <v>1.6246676000000002E-2</v>
      </c>
      <c r="F105" s="24">
        <v>7.3881150000000007E-2</v>
      </c>
      <c r="G105" s="24">
        <v>-1.3252497E-2</v>
      </c>
      <c r="H105" s="24">
        <v>5.6237579999999995E-2</v>
      </c>
      <c r="I105" s="24">
        <v>-2.3115993000000001E-2</v>
      </c>
      <c r="J105" s="24">
        <v>-2.3519754E-2</v>
      </c>
      <c r="K105" s="24">
        <v>-3.9184093E-3</v>
      </c>
      <c r="L105" s="24">
        <v>4.6838879999999999E-2</v>
      </c>
      <c r="M105" s="24">
        <v>-1.6491294E-2</v>
      </c>
      <c r="N105" s="24">
        <v>3.9388180000000002E-2</v>
      </c>
      <c r="O105" s="24">
        <v>-3.8515449E-2</v>
      </c>
      <c r="P105" s="24">
        <v>9.4392185000000003E-2</v>
      </c>
      <c r="Q105" s="24">
        <v>-7.0627393999999996E-2</v>
      </c>
      <c r="R105" s="24">
        <v>-4.2169093999999997E-3</v>
      </c>
      <c r="S105" s="24">
        <v>0.14043056500000001</v>
      </c>
      <c r="T105" s="24">
        <v>-2.7973354000000002E-2</v>
      </c>
      <c r="U105" s="24">
        <v>0.10166454</v>
      </c>
      <c r="V105" s="24">
        <v>-7.1242929999999996E-2</v>
      </c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</row>
    <row r="106" spans="1:38" x14ac:dyDescent="0.35">
      <c r="A106" s="2">
        <v>44949</v>
      </c>
      <c r="B106" s="24">
        <v>0.14610076</v>
      </c>
      <c r="C106" s="24">
        <v>9.2889899999999997E-2</v>
      </c>
      <c r="D106" s="24">
        <v>3.7466526E-2</v>
      </c>
      <c r="E106" s="24">
        <v>0.10650432999999999</v>
      </c>
      <c r="F106" s="24">
        <v>9.6502669999999999E-2</v>
      </c>
      <c r="G106" s="24">
        <v>0.1025281</v>
      </c>
      <c r="H106" s="24">
        <v>7.1683049999999998E-2</v>
      </c>
      <c r="I106" s="24">
        <v>0.10443353999999999</v>
      </c>
      <c r="J106" s="24">
        <v>0.10995566999999999</v>
      </c>
      <c r="K106" s="24">
        <v>0.12026643999999999</v>
      </c>
      <c r="L106" s="24">
        <v>1.3546348E-2</v>
      </c>
      <c r="M106" s="24">
        <v>6.6220520000000005E-2</v>
      </c>
      <c r="N106" s="24">
        <v>0.11788214</v>
      </c>
      <c r="O106" s="24">
        <v>3.2289386000000003E-2</v>
      </c>
      <c r="P106" s="24">
        <v>0.18306243999999999</v>
      </c>
      <c r="Q106" s="24">
        <v>2.4960159999999999E-2</v>
      </c>
      <c r="R106" s="24">
        <v>4.1105389999999999E-2</v>
      </c>
      <c r="S106" s="24">
        <v>-1.5455544000000002E-2</v>
      </c>
      <c r="T106" s="24">
        <v>-1.9801854999999999E-3</v>
      </c>
      <c r="U106" s="24">
        <v>8.1858869999999986E-2</v>
      </c>
      <c r="V106" s="24">
        <v>6.110811E-2</v>
      </c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</row>
    <row r="107" spans="1:38" x14ac:dyDescent="0.35">
      <c r="A107" s="2">
        <v>44980</v>
      </c>
      <c r="B107" s="24">
        <v>-5.0244036000000006E-2</v>
      </c>
      <c r="C107" s="24">
        <v>1.0493994E-3</v>
      </c>
      <c r="D107" s="24">
        <v>-1.1178017E-2</v>
      </c>
      <c r="E107" s="24">
        <v>-7.0470930000000001E-2</v>
      </c>
      <c r="F107" s="24">
        <v>-7.8558740000000002E-2</v>
      </c>
      <c r="G107" s="24">
        <v>-6.6560506999999991E-2</v>
      </c>
      <c r="H107" s="24">
        <v>-7.9767346000000003E-2</v>
      </c>
      <c r="I107" s="24">
        <v>8.9204309999999995E-4</v>
      </c>
      <c r="J107" s="24">
        <v>1.734972E-3</v>
      </c>
      <c r="K107" s="24">
        <v>-5.2895190000000002E-2</v>
      </c>
      <c r="L107" s="24">
        <v>-2.1590173000000001E-2</v>
      </c>
      <c r="M107" s="24">
        <v>-9.3919099999999991E-2</v>
      </c>
      <c r="N107" s="24">
        <v>8.5613250000000002E-2</v>
      </c>
      <c r="O107" s="24">
        <v>-7.3377189999999995E-2</v>
      </c>
      <c r="P107" s="24">
        <v>-0.11207520999999999</v>
      </c>
      <c r="Q107" s="24">
        <v>-5.8031024999999993E-2</v>
      </c>
      <c r="R107" s="24">
        <v>-1.8746613999999998E-2</v>
      </c>
      <c r="S107" s="24">
        <v>-5.2327212999999997E-2</v>
      </c>
      <c r="T107" s="24">
        <v>-3.3068776000000001E-2</v>
      </c>
      <c r="U107" s="24">
        <v>-0.10891092000000001</v>
      </c>
      <c r="V107" s="24">
        <v>-6.4243610000000007E-2</v>
      </c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</row>
    <row r="108" spans="1:38" x14ac:dyDescent="0.35">
      <c r="A108" s="2">
        <v>45008</v>
      </c>
      <c r="B108" s="24">
        <v>-1.118511E-2</v>
      </c>
      <c r="C108" s="24">
        <v>-1.9566773999999999E-2</v>
      </c>
      <c r="D108" s="24">
        <v>-1.8260895999999999E-2</v>
      </c>
      <c r="E108" s="24">
        <v>-1.7011881E-2</v>
      </c>
      <c r="F108" s="24">
        <v>-5.0641002999999997E-2</v>
      </c>
      <c r="G108" s="24">
        <v>-7.5059532999999998E-3</v>
      </c>
      <c r="H108" s="24">
        <v>-1.4898419000000001E-2</v>
      </c>
      <c r="I108" s="24">
        <v>1.3146161999999999E-2</v>
      </c>
      <c r="J108" s="24">
        <v>-2.0609677E-2</v>
      </c>
      <c r="K108" s="24">
        <v>-8.2617999999999993E-4</v>
      </c>
      <c r="L108" s="24">
        <v>-0.1152364</v>
      </c>
      <c r="M108" s="24">
        <v>-2.2689282999999998E-2</v>
      </c>
      <c r="N108" s="24">
        <v>-6.3141527000000003E-2</v>
      </c>
      <c r="O108" s="24">
        <v>-1.7258882999999999E-2</v>
      </c>
      <c r="P108" s="24">
        <v>-1.6286373000000002E-3</v>
      </c>
      <c r="Q108" s="24">
        <v>-3.0253111999999999E-2</v>
      </c>
      <c r="R108" s="24">
        <v>-3.5595178999999998E-2</v>
      </c>
      <c r="S108" s="24">
        <v>-9.299636E-3</v>
      </c>
      <c r="T108" s="24">
        <v>-4.5827627000000003E-2</v>
      </c>
      <c r="U108" s="24">
        <v>7.6923370000000005E-3</v>
      </c>
      <c r="V108" s="24">
        <v>3.4737468000000001E-2</v>
      </c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</row>
    <row r="109" spans="1:38" x14ac:dyDescent="0.35">
      <c r="A109" s="2">
        <v>45037</v>
      </c>
      <c r="B109" s="24">
        <v>-1.5591502E-2</v>
      </c>
      <c r="C109" s="24">
        <v>-1.7818986999999998E-2</v>
      </c>
      <c r="D109" s="24">
        <v>5.4030060000000005E-2</v>
      </c>
      <c r="E109" s="24">
        <v>-2.4454474E-2</v>
      </c>
      <c r="F109" s="24">
        <v>0.16272783000000002</v>
      </c>
      <c r="G109" s="24">
        <v>7.3564770000000002E-2</v>
      </c>
      <c r="H109" s="24">
        <v>5.4996014000000008E-3</v>
      </c>
      <c r="I109" s="24">
        <v>-3.3428670000000001E-2</v>
      </c>
      <c r="J109" s="24">
        <v>6.0123800000000005E-2</v>
      </c>
      <c r="K109" s="24">
        <v>1.8025517000000001E-2</v>
      </c>
      <c r="L109" s="24">
        <v>9.6595399999999998E-2</v>
      </c>
      <c r="M109" s="24">
        <v>5.2297235000000004E-2</v>
      </c>
      <c r="N109" s="24">
        <v>7.0717096000000007E-2</v>
      </c>
      <c r="O109" s="24">
        <v>2.9958724999999999E-2</v>
      </c>
      <c r="P109" s="24">
        <v>-2.1411060999999999E-2</v>
      </c>
      <c r="Q109" s="24">
        <v>1.5882014999999999E-2</v>
      </c>
      <c r="R109" s="24">
        <v>-2.214414E-2</v>
      </c>
      <c r="S109" s="24">
        <v>-1.6427159E-2</v>
      </c>
      <c r="T109" s="24">
        <v>7.4551939999999997E-2</v>
      </c>
      <c r="U109" s="24">
        <v>9.3299149999999994E-3</v>
      </c>
      <c r="V109" s="24">
        <v>6.6613673999999998E-2</v>
      </c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</row>
    <row r="110" spans="1:38" x14ac:dyDescent="0.35">
      <c r="A110" s="2">
        <v>45069</v>
      </c>
      <c r="B110" s="24">
        <v>-5.2173910000000004E-2</v>
      </c>
      <c r="C110" s="24">
        <v>8.5631369999999998E-2</v>
      </c>
      <c r="D110" s="24">
        <v>-4.2009353999999997E-4</v>
      </c>
      <c r="E110" s="24">
        <v>1.4269114000000001E-2</v>
      </c>
      <c r="F110" s="24">
        <v>5.3426266E-2</v>
      </c>
      <c r="G110" s="24">
        <v>-3.8591087000000003E-2</v>
      </c>
      <c r="H110" s="24">
        <v>-3.9197862E-2</v>
      </c>
      <c r="I110" s="24">
        <v>2.2753120000000002E-2</v>
      </c>
      <c r="J110" s="24">
        <v>-1.768142E-2</v>
      </c>
      <c r="K110" s="24">
        <v>1.2832999000000001E-2</v>
      </c>
      <c r="L110" s="24">
        <v>7.6173186000000004E-2</v>
      </c>
      <c r="M110" s="24">
        <v>-0.1033442</v>
      </c>
      <c r="N110" s="24">
        <v>6.2015532999999998E-2</v>
      </c>
      <c r="O110" s="24">
        <v>3.1344056000000002E-2</v>
      </c>
      <c r="P110" s="24">
        <v>-4.9385366E-2</v>
      </c>
      <c r="Q110" s="24">
        <v>8.0960389999999993E-2</v>
      </c>
      <c r="R110" s="24">
        <v>-1.509279E-2</v>
      </c>
      <c r="S110" s="24">
        <v>-0.12854157999999999</v>
      </c>
      <c r="T110" s="24">
        <v>-2.5350213E-2</v>
      </c>
      <c r="U110" s="24">
        <v>3.6974788000000001E-2</v>
      </c>
      <c r="V110" s="24">
        <v>1.3382912E-2</v>
      </c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</row>
    <row r="111" spans="1:38" x14ac:dyDescent="0.35">
      <c r="A111" s="2">
        <v>45100</v>
      </c>
      <c r="B111" s="24">
        <v>-4.5209226999999998E-2</v>
      </c>
      <c r="C111" s="24">
        <v>-6.7054033000000001E-3</v>
      </c>
      <c r="D111" s="24">
        <v>-1.6594648E-2</v>
      </c>
      <c r="E111" s="24">
        <v>-2.3313641999999999E-2</v>
      </c>
      <c r="F111" s="24">
        <v>4.0793777000000003E-2</v>
      </c>
      <c r="G111" s="24">
        <v>2.4698496E-2</v>
      </c>
      <c r="H111" s="24">
        <v>-3.2621443E-2</v>
      </c>
      <c r="I111" s="24">
        <v>4.8720717000000004E-2</v>
      </c>
      <c r="J111" s="24">
        <v>5.4787039999999995E-2</v>
      </c>
      <c r="K111" s="24">
        <v>1.5396953E-2</v>
      </c>
      <c r="L111" s="24">
        <v>0.12352777</v>
      </c>
      <c r="M111" s="24">
        <v>3.0527234E-2</v>
      </c>
      <c r="N111" s="24">
        <v>7.0073010000000005E-2</v>
      </c>
      <c r="O111" s="24">
        <v>3.7212372000000001E-2</v>
      </c>
      <c r="P111" s="24">
        <v>-2.2332728E-2</v>
      </c>
      <c r="Q111" s="24">
        <v>-5.0917030000000002E-2</v>
      </c>
      <c r="R111" s="24">
        <v>-1.9102931E-2</v>
      </c>
      <c r="S111" s="24">
        <v>1.6307829999999998E-4</v>
      </c>
      <c r="T111" s="24">
        <v>2.7918577E-2</v>
      </c>
      <c r="U111" s="24">
        <v>9.724474000000001E-2</v>
      </c>
      <c r="V111" s="24">
        <v>8.4098579999999992E-3</v>
      </c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</row>
    <row r="112" spans="1:38" x14ac:dyDescent="0.35">
      <c r="A112" s="2">
        <v>45128</v>
      </c>
      <c r="B112" s="24">
        <v>1.0034323000000001E-2</v>
      </c>
      <c r="C112" s="24">
        <v>8.6423989999999992E-2</v>
      </c>
      <c r="D112" s="24">
        <v>2.6614308000000003E-2</v>
      </c>
      <c r="E112" s="24">
        <v>6.8951963999999991E-2</v>
      </c>
      <c r="F112" s="24">
        <v>9.2690710000000009E-2</v>
      </c>
      <c r="G112" s="24">
        <v>9.179031E-2</v>
      </c>
      <c r="H112" s="24">
        <v>4.4932603999999994E-2</v>
      </c>
      <c r="I112" s="24">
        <v>7.0004462999999992E-3</v>
      </c>
      <c r="J112" s="24">
        <v>2.0110369000000003E-2</v>
      </c>
      <c r="K112" s="24">
        <v>4.2963147E-2</v>
      </c>
      <c r="L112" s="24">
        <v>1.0094881E-2</v>
      </c>
      <c r="M112" s="24">
        <v>8.642292E-2</v>
      </c>
      <c r="N112" s="24">
        <v>8.9855909999999997E-2</v>
      </c>
      <c r="O112" s="24">
        <v>4.1803600000000003E-2</v>
      </c>
      <c r="P112" s="24">
        <v>2.7161597999999999E-2</v>
      </c>
      <c r="Q112" s="24">
        <v>3.4785032E-2</v>
      </c>
      <c r="R112" s="24">
        <v>1.5761971E-2</v>
      </c>
      <c r="S112" s="24">
        <v>0.10882675000000001</v>
      </c>
      <c r="T112" s="24">
        <v>2.1887780000000003E-2</v>
      </c>
      <c r="U112" s="24">
        <v>5.8345675000000007E-2</v>
      </c>
      <c r="V112" s="24">
        <v>3.4110426999999999E-2</v>
      </c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</row>
    <row r="113" spans="1:38" x14ac:dyDescent="0.35">
      <c r="A113" s="2">
        <v>45161</v>
      </c>
      <c r="B113" s="24">
        <v>-4.3640494000000002E-2</v>
      </c>
      <c r="C113" s="24">
        <v>-6.2157749999999998E-2</v>
      </c>
      <c r="D113" s="24">
        <v>-1.8274545999999999E-2</v>
      </c>
      <c r="E113" s="24">
        <v>-9.5834790000000003E-2</v>
      </c>
      <c r="F113" s="24">
        <v>-6.6408099999999998E-2</v>
      </c>
      <c r="G113" s="24">
        <v>-2.1284223000000001E-2</v>
      </c>
      <c r="H113" s="24">
        <v>-2.8666854000000005E-3</v>
      </c>
      <c r="I113" s="24">
        <v>-3.4126877999999999E-2</v>
      </c>
      <c r="J113" s="24">
        <v>7.313132E-3</v>
      </c>
      <c r="K113" s="24">
        <v>-6.7847967000000009E-2</v>
      </c>
      <c r="L113" s="24">
        <v>-3.3313155000000004E-2</v>
      </c>
      <c r="M113" s="24">
        <v>-5.2483025000000003E-2</v>
      </c>
      <c r="N113" s="24">
        <v>-5.3638815999999999E-2</v>
      </c>
      <c r="O113" s="24">
        <v>-3.8323402000000001E-3</v>
      </c>
      <c r="P113" s="24">
        <v>-3.6579966999999998E-2</v>
      </c>
      <c r="Q113" s="24">
        <v>-1.667124E-2</v>
      </c>
      <c r="R113" s="24">
        <v>1.2921333E-2</v>
      </c>
      <c r="S113" s="24">
        <v>0.12947570999999999</v>
      </c>
      <c r="T113" s="24">
        <v>1.6064286000000001E-2</v>
      </c>
      <c r="U113" s="24">
        <v>-6.9785120000000005E-4</v>
      </c>
      <c r="V113" s="24">
        <v>-3.9392470999999998E-2</v>
      </c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x14ac:dyDescent="0.35">
      <c r="A114" s="2">
        <v>45191</v>
      </c>
      <c r="B114" s="24">
        <v>1.0501981000000001E-2</v>
      </c>
      <c r="C114" s="24">
        <v>-0.10233521</v>
      </c>
      <c r="D114" s="24">
        <v>-7.3593260000000002E-3</v>
      </c>
      <c r="E114" s="24">
        <v>-1.8344939000000001E-2</v>
      </c>
      <c r="F114" s="24">
        <v>-8.4631440000000002E-2</v>
      </c>
      <c r="G114" s="24">
        <v>-4.9828710000000005E-2</v>
      </c>
      <c r="H114" s="24">
        <v>9.583115599999999E-3</v>
      </c>
      <c r="I114" s="24">
        <v>-2.5081753999999998E-2</v>
      </c>
      <c r="J114" s="24">
        <v>-5.3345976000000003E-2</v>
      </c>
      <c r="K114" s="24">
        <v>-1.2185216E-2</v>
      </c>
      <c r="L114" s="24">
        <v>-2.349627E-2</v>
      </c>
      <c r="M114" s="24">
        <v>-3.8499712999999998E-2</v>
      </c>
      <c r="N114" s="24">
        <v>-9.3400770000000008E-2</v>
      </c>
      <c r="O114" s="24">
        <v>6.5625906000000003E-3</v>
      </c>
      <c r="P114" s="24">
        <v>7.0905685E-3</v>
      </c>
      <c r="Q114" s="24">
        <v>-2.2790431999999999E-2</v>
      </c>
      <c r="R114" s="24">
        <v>-1.7056108E-2</v>
      </c>
      <c r="S114" s="24">
        <v>6.3968299999999992E-2</v>
      </c>
      <c r="T114" s="24">
        <v>2.4374126999999999E-2</v>
      </c>
      <c r="U114" s="24">
        <v>-9.7764730000000008E-3</v>
      </c>
      <c r="V114" s="24">
        <v>-4.1254880000000001E-2</v>
      </c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x14ac:dyDescent="0.35">
      <c r="A115" s="2">
        <v>45222</v>
      </c>
      <c r="B115" s="24">
        <v>-7.3278129999999997E-2</v>
      </c>
      <c r="C115" s="24">
        <v>-8.9900490000000013E-2</v>
      </c>
      <c r="D115" s="24">
        <v>-9.9433060000000004E-2</v>
      </c>
      <c r="E115" s="24">
        <v>-9.1362000000000006E-3</v>
      </c>
      <c r="F115" s="24">
        <v>6.2960862999999992E-2</v>
      </c>
      <c r="G115" s="24">
        <v>-5.4113445000000003E-2</v>
      </c>
      <c r="H115" s="24">
        <v>-3.1324147999999996E-2</v>
      </c>
      <c r="I115" s="24">
        <v>-1.3199091000000001E-2</v>
      </c>
      <c r="J115" s="24">
        <v>-0.11070358000000001</v>
      </c>
      <c r="K115" s="24">
        <v>-6.0690759999999996E-2</v>
      </c>
      <c r="L115" s="24">
        <v>-4.3631735000000005E-2</v>
      </c>
      <c r="M115" s="24">
        <v>-3.4099697999999998E-2</v>
      </c>
      <c r="N115" s="24">
        <v>-8.5119009999999988E-3</v>
      </c>
      <c r="O115" s="24">
        <v>-1.9334555E-2</v>
      </c>
      <c r="P115" s="24">
        <v>-6.518280500000001E-2</v>
      </c>
      <c r="Q115" s="24">
        <v>-5.7451670000000003E-2</v>
      </c>
      <c r="R115" s="24">
        <v>-8.0941019999999989E-2</v>
      </c>
      <c r="S115" s="24">
        <v>-6.3846826999999995E-2</v>
      </c>
      <c r="T115" s="24">
        <v>-0.13054663</v>
      </c>
      <c r="U115" s="24">
        <v>-0.10648805</v>
      </c>
      <c r="V115" s="24">
        <v>-6.3128050000000005E-2</v>
      </c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x14ac:dyDescent="0.35">
      <c r="A116" s="2">
        <v>45252</v>
      </c>
      <c r="B116" s="24">
        <v>4.5428633999999996E-2</v>
      </c>
      <c r="C116" s="24">
        <v>0.11895752</v>
      </c>
      <c r="D116" s="24">
        <v>3.0024289999999999E-2</v>
      </c>
      <c r="E116" s="24">
        <v>4.9036026000000003E-2</v>
      </c>
      <c r="F116" s="24">
        <v>0.16221989000000001</v>
      </c>
      <c r="G116" s="24">
        <v>6.8990706999999998E-2</v>
      </c>
      <c r="H116" s="24">
        <v>4.0176389999999999E-2</v>
      </c>
      <c r="I116" s="24">
        <v>9.3176129999999996E-2</v>
      </c>
      <c r="J116" s="24">
        <v>0.16741656999999999</v>
      </c>
      <c r="K116" s="24">
        <v>0.10155832000000001</v>
      </c>
      <c r="L116" s="24">
        <v>0.13250588999999999</v>
      </c>
      <c r="M116" s="24">
        <v>5.7234526000000001E-2</v>
      </c>
      <c r="N116" s="24">
        <v>8.9402079999999995E-2</v>
      </c>
      <c r="O116" s="24">
        <v>3.6451219999999999E-2</v>
      </c>
      <c r="P116" s="24">
        <v>5.5150629999999999E-2</v>
      </c>
      <c r="Q116" s="24">
        <v>5.7332634999999993E-2</v>
      </c>
      <c r="R116" s="24">
        <v>5.1881074999999997E-3</v>
      </c>
      <c r="S116" s="24">
        <v>7.9568624000000004E-3</v>
      </c>
      <c r="T116" s="24">
        <v>8.5059170000000003E-2</v>
      </c>
      <c r="U116" s="24">
        <v>6.9455384999999994E-2</v>
      </c>
      <c r="V116" s="24">
        <v>8.8558909999999991E-2</v>
      </c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x14ac:dyDescent="0.35">
      <c r="A117" s="2">
        <v>45282</v>
      </c>
      <c r="B117" s="24">
        <v>-4.544836E-2</v>
      </c>
      <c r="C117" s="24">
        <v>4.0838119999999999E-2</v>
      </c>
      <c r="D117" s="24">
        <v>4.4578314000000001E-2</v>
      </c>
      <c r="E117" s="24">
        <v>4.8089146999999999E-2</v>
      </c>
      <c r="F117" s="24">
        <v>7.4124812999999998E-2</v>
      </c>
      <c r="G117" s="24">
        <v>0.14009989</v>
      </c>
      <c r="H117" s="24">
        <v>1.4319538999999999E-2</v>
      </c>
      <c r="I117" s="24">
        <v>3.9596079999999999E-2</v>
      </c>
      <c r="J117" s="24">
        <v>0.10577381000000001</v>
      </c>
      <c r="K117" s="24">
        <v>4.3447136999999997E-2</v>
      </c>
      <c r="L117" s="24">
        <v>6.2539576999999999E-2</v>
      </c>
      <c r="M117" s="24">
        <v>4.3728829999999996E-2</v>
      </c>
      <c r="N117" s="24">
        <v>2.927184E-2</v>
      </c>
      <c r="O117" s="24">
        <v>6.9674849999999997E-2</v>
      </c>
      <c r="P117" s="24">
        <v>-7.2429540000000001E-2</v>
      </c>
      <c r="Q117" s="24">
        <v>1.255703E-2</v>
      </c>
      <c r="R117" s="24">
        <v>-1.0806322000000001E-3</v>
      </c>
      <c r="S117" s="24">
        <v>-5.6925534999999999E-2</v>
      </c>
      <c r="T117" s="24">
        <v>1.0420084E-3</v>
      </c>
      <c r="U117" s="24">
        <v>-1.9382893999999998E-2</v>
      </c>
      <c r="V117" s="24">
        <v>5.3467273999999995E-2</v>
      </c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x14ac:dyDescent="0.35">
      <c r="A118" s="2">
        <v>45314</v>
      </c>
      <c r="B118" s="24">
        <v>-4.2063530000000002E-2</v>
      </c>
      <c r="C118" s="24">
        <v>-5.8118400000000001E-2</v>
      </c>
      <c r="D118" s="24">
        <v>-7.7132579999999997E-3</v>
      </c>
      <c r="E118" s="24">
        <v>1.2298226000000001E-2</v>
      </c>
      <c r="F118" s="24">
        <v>-8.0070379999999997E-2</v>
      </c>
      <c r="G118" s="24">
        <v>-2.4911463000000002E-2</v>
      </c>
      <c r="H118" s="24">
        <v>-5.1985382999999996E-3</v>
      </c>
      <c r="I118" s="24">
        <v>2.0238160999999999E-3</v>
      </c>
      <c r="J118" s="24">
        <v>-4.9697638000000002E-2</v>
      </c>
      <c r="K118" s="24">
        <v>-7.8943310000000003E-2</v>
      </c>
      <c r="L118" s="24">
        <v>-4.8526882999999993E-2</v>
      </c>
      <c r="M118" s="24">
        <v>-5.8650311999999996E-2</v>
      </c>
      <c r="N118" s="24">
        <v>3.9193392000000001E-2</v>
      </c>
      <c r="O118" s="24">
        <v>6.6170689999999997E-3</v>
      </c>
      <c r="P118" s="24">
        <v>-4.708582E-2</v>
      </c>
      <c r="Q118" s="24">
        <v>-5.0733090000000007E-3</v>
      </c>
      <c r="R118" s="24">
        <v>-3.4552871999999998E-2</v>
      </c>
      <c r="S118" s="24">
        <v>1.4501572000000001E-2</v>
      </c>
      <c r="T118" s="24">
        <v>3.2213807000000004E-2</v>
      </c>
      <c r="U118" s="24">
        <v>1.6916871E-2</v>
      </c>
      <c r="V118" s="24">
        <v>4.3013334E-2</v>
      </c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</row>
    <row r="119" spans="1:38" x14ac:dyDescent="0.35">
      <c r="A119" s="2">
        <v>45345</v>
      </c>
      <c r="B119" s="24">
        <v>7.2079539999999998E-2</v>
      </c>
      <c r="C119" s="24">
        <v>-3.0852318E-2</v>
      </c>
      <c r="D119" s="24">
        <v>3.5207986999999996E-2</v>
      </c>
      <c r="E119" s="24">
        <v>5.6947590000000006E-2</v>
      </c>
      <c r="F119" s="24">
        <v>0.14347208</v>
      </c>
      <c r="G119" s="24">
        <v>4.5728326E-2</v>
      </c>
      <c r="H119" s="24">
        <v>2.9453754000000002E-2</v>
      </c>
      <c r="I119" s="24">
        <v>4.1517020000000002E-2</v>
      </c>
      <c r="J119" s="24">
        <v>3.2433271E-2</v>
      </c>
      <c r="K119" s="24">
        <v>0.10590636999999999</v>
      </c>
      <c r="L119" s="24">
        <v>5.4644346E-3</v>
      </c>
      <c r="M119" s="24">
        <v>-7.0385929999999992E-3</v>
      </c>
      <c r="N119" s="24">
        <v>4.2509079999999998E-2</v>
      </c>
      <c r="O119" s="24">
        <v>6.4092040000000003E-2</v>
      </c>
      <c r="P119" s="24">
        <v>6.5705180000000002E-2</v>
      </c>
      <c r="Q119" s="24">
        <v>1.3597726999999999E-2</v>
      </c>
      <c r="R119" s="24">
        <v>3.0666232000000002E-2</v>
      </c>
      <c r="S119" s="24">
        <v>0.14651573000000001</v>
      </c>
      <c r="T119" s="24">
        <v>-3.5192609999999999E-2</v>
      </c>
      <c r="U119" s="24">
        <v>1.9118309E-2</v>
      </c>
      <c r="V119" s="24">
        <v>4.4268490000000001E-2</v>
      </c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x14ac:dyDescent="0.35">
      <c r="A120" s="2">
        <v>45373</v>
      </c>
      <c r="B120" s="24">
        <v>9.6600056000000004E-3</v>
      </c>
      <c r="C120" s="24">
        <v>4.2976500000000001E-2</v>
      </c>
      <c r="D120" s="24">
        <v>-4.4173002000000002E-4</v>
      </c>
      <c r="E120" s="24">
        <v>-2.1551727999999999E-2</v>
      </c>
      <c r="F120" s="24">
        <v>-3.3458769999999999E-2</v>
      </c>
      <c r="G120" s="24">
        <v>0.11952602000000001</v>
      </c>
      <c r="H120" s="24">
        <v>1.1075257999999999E-2</v>
      </c>
      <c r="I120" s="24">
        <v>4.8911930000000006E-2</v>
      </c>
      <c r="J120" s="24">
        <v>1.4279366E-2</v>
      </c>
      <c r="K120" s="24">
        <v>2.9005527E-2</v>
      </c>
      <c r="L120" s="24">
        <v>-2.9891253E-2</v>
      </c>
      <c r="M120" s="24">
        <v>3.6754608E-3</v>
      </c>
      <c r="N120" s="24">
        <v>7.2102546999999991E-3</v>
      </c>
      <c r="O120" s="24">
        <v>-2.5289535999999998E-2</v>
      </c>
      <c r="P120" s="24">
        <v>-9.2732309999999998E-3</v>
      </c>
      <c r="Q120" s="24">
        <v>1.0620475000000001E-2</v>
      </c>
      <c r="R120" s="24">
        <v>-1.2230514999999999E-2</v>
      </c>
      <c r="S120" s="24">
        <v>-5.8181879999999998E-2</v>
      </c>
      <c r="T120" s="24">
        <v>3.0282260000000002E-2</v>
      </c>
      <c r="U120" s="24">
        <v>5.1301600000000003E-2</v>
      </c>
      <c r="V120" s="24">
        <v>1.1155605E-3</v>
      </c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x14ac:dyDescent="0.35">
      <c r="A121" s="2">
        <v>45405</v>
      </c>
      <c r="B121" s="24">
        <v>-1.0524272999999999E-2</v>
      </c>
      <c r="C121" s="24">
        <v>1.3735294E-2</v>
      </c>
      <c r="D121" s="24">
        <v>-6.7167400000000002E-2</v>
      </c>
      <c r="E121" s="24">
        <v>-7.3421420000000001E-2</v>
      </c>
      <c r="F121" s="24">
        <v>4.0674925000000001E-2</v>
      </c>
      <c r="G121" s="24">
        <v>7.6768400000000007E-3</v>
      </c>
      <c r="H121" s="24">
        <v>5.4769515999999992E-3</v>
      </c>
      <c r="I121" s="24">
        <v>-4.8685254999999997E-2</v>
      </c>
      <c r="J121" s="24">
        <v>-1.4671087000000001E-2</v>
      </c>
      <c r="K121" s="24">
        <v>-6.0551824999999997E-2</v>
      </c>
      <c r="L121" s="24">
        <v>-3.0189872000000003E-2</v>
      </c>
      <c r="M121" s="24">
        <v>1.5956043999999999E-2</v>
      </c>
      <c r="N121" s="24">
        <v>1.1849046E-2</v>
      </c>
      <c r="O121" s="24">
        <v>3.0104875999999999E-2</v>
      </c>
      <c r="P121" s="24">
        <v>2.9850721E-2</v>
      </c>
      <c r="Q121" s="24">
        <v>-4.0376067000000002E-2</v>
      </c>
      <c r="R121" s="24">
        <v>-1.7074168000000001E-2</v>
      </c>
      <c r="S121" s="24">
        <v>5.5708766E-2</v>
      </c>
      <c r="T121" s="24">
        <v>-4.5424223E-2</v>
      </c>
      <c r="U121" s="24">
        <v>-0.12527310999999999</v>
      </c>
      <c r="V121" s="24">
        <v>-3.4098506000000001E-2</v>
      </c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x14ac:dyDescent="0.35">
      <c r="A122" s="2">
        <v>45435</v>
      </c>
      <c r="B122" s="24">
        <v>3.0748367000000002E-2</v>
      </c>
      <c r="C122" s="24">
        <v>9.2209340000000001E-2</v>
      </c>
      <c r="D122" s="24">
        <v>-3.3633410000000002E-2</v>
      </c>
      <c r="E122" s="24">
        <v>7.9239606999999997E-3</v>
      </c>
      <c r="F122" s="24">
        <v>5.1143527000000001E-2</v>
      </c>
      <c r="G122" s="24">
        <v>7.8390479999999998E-2</v>
      </c>
      <c r="H122" s="24">
        <v>5.2201510000000007E-2</v>
      </c>
      <c r="I122" s="24">
        <v>0.1021378</v>
      </c>
      <c r="J122" s="24">
        <v>-1.5032290999999998E-4</v>
      </c>
      <c r="K122" s="24">
        <v>1.4129161999999999E-2</v>
      </c>
      <c r="L122" s="24">
        <v>-1.6688049E-2</v>
      </c>
      <c r="M122" s="24">
        <v>9.4232800000000005E-2</v>
      </c>
      <c r="N122" s="24">
        <v>2.5128007000000001E-2</v>
      </c>
      <c r="O122" s="24">
        <v>3.4608840000000002E-2</v>
      </c>
      <c r="P122" s="24">
        <v>0.10660768</v>
      </c>
      <c r="Q122" s="24">
        <v>-2.3054720000000001E-2</v>
      </c>
      <c r="R122" s="24">
        <v>7.6466800000000003E-3</v>
      </c>
      <c r="S122" s="24">
        <v>0.13531876000000001</v>
      </c>
      <c r="T122" s="24">
        <v>-2.0293890999999998E-2</v>
      </c>
      <c r="U122" s="24">
        <v>6.9109080000000003E-2</v>
      </c>
      <c r="V122" s="24">
        <v>-4.8454046000000001E-2</v>
      </c>
      <c r="W122" s="24"/>
      <c r="X122" s="24"/>
      <c r="Y122" s="24"/>
    </row>
    <row r="123" spans="1:38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38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38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38" x14ac:dyDescent="0.35">
      <c r="A126" t="s">
        <v>806</v>
      </c>
      <c r="B126" s="24" cm="1">
        <f t="array" ref="B126">MAX(_xlfn._xlws.FILTER(B1:B122, ISNUMBER(B1:B122)))</f>
        <v>0.15234876</v>
      </c>
      <c r="C126" s="24" cm="1">
        <f t="array" ref="C126">MAX(_xlfn._xlws.FILTER(C1:C122, ISNUMBER(C1:C122)))</f>
        <v>0.27903139999999998</v>
      </c>
      <c r="D126" s="24" cm="1">
        <f t="array" ref="D126">MAX(_xlfn._xlws.FILTER(D1:D122, ISNUMBER(D1:D122)))</f>
        <v>0.29002511999999997</v>
      </c>
      <c r="E126" s="24" cm="1">
        <f t="array" ref="E126">MAX(_xlfn._xlws.FILTER(E1:E122, ISNUMBER(E1:E122)))</f>
        <v>0.2112677</v>
      </c>
      <c r="F126" s="24" cm="1">
        <f t="array" ref="F126">MAX(_xlfn._xlws.FILTER(F1:F122, ISNUMBER(F1:F122)))</f>
        <v>0.27439034000000001</v>
      </c>
      <c r="G126" s="24" cm="1">
        <f t="array" ref="G126">MAX(_xlfn._xlws.FILTER(G1:G122, ISNUMBER(G1:G122)))</f>
        <v>0.19767439000000001</v>
      </c>
      <c r="H126" s="24" cm="1">
        <f t="array" ref="H126">MAX(_xlfn._xlws.FILTER(H1:H122, ISNUMBER(H1:H122)))</f>
        <v>0.13580251000000002</v>
      </c>
      <c r="I126" s="24" cm="1">
        <f t="array" ref="I126">MAX(_xlfn._xlws.FILTER(I1:I122, ISNUMBER(I1:I122)))</f>
        <v>0.16204689999999999</v>
      </c>
      <c r="J126" s="24" cm="1">
        <f t="array" ref="J126">MAX(_xlfn._xlws.FILTER(J1:J122, ISNUMBER(J1:J122)))</f>
        <v>0.16741656999999999</v>
      </c>
      <c r="K126" s="24" cm="1">
        <f t="array" ref="K126">MAX(_xlfn._xlws.FILTER(K1:K122, ISNUMBER(K1:K122)))</f>
        <v>0.27687954000000004</v>
      </c>
      <c r="L126" s="24" cm="1">
        <f t="array" ref="L126">MAX(_xlfn._xlws.FILTER(L1:L122, ISNUMBER(L1:L122)))</f>
        <v>0.25302076000000001</v>
      </c>
      <c r="M126" s="24" cm="1">
        <f t="array" ref="M126">MAX(_xlfn._xlws.FILTER(M1:M122, ISNUMBER(M1:M122)))</f>
        <v>0.21895432000000001</v>
      </c>
      <c r="N126" s="24" cm="1">
        <f t="array" ref="N126">MAX(_xlfn._xlws.FILTER(N1:N122, ISNUMBER(N1:N122)))</f>
        <v>0.22348488</v>
      </c>
      <c r="O126" s="24" cm="1">
        <f t="array" ref="O126">MAX(_xlfn._xlws.FILTER(O1:O122, ISNUMBER(O1:O122)))</f>
        <v>0.27365852000000002</v>
      </c>
      <c r="P126" s="24" cm="1">
        <f t="array" ref="P126">MAX(_xlfn._xlws.FILTER(P1:P122, ISNUMBER(P1:P122)))</f>
        <v>0.20094513</v>
      </c>
      <c r="Q126" s="24" cm="1">
        <f t="array" ref="Q126">MAX(_xlfn._xlws.FILTER(Q1:Q122, ISNUMBER(Q1:Q122)))</f>
        <v>0.20526754</v>
      </c>
      <c r="R126" s="24" cm="1">
        <f t="array" ref="R126">MAX(_xlfn._xlws.FILTER(R1:R122, ISNUMBER(R1:R122)))</f>
        <v>0.24214722</v>
      </c>
      <c r="S126" s="24" cm="1">
        <f t="array" ref="S126">MAX(_xlfn._xlws.FILTER(S1:S122, ISNUMBER(S1:S122)))</f>
        <v>0.20630682</v>
      </c>
      <c r="T126" s="24" cm="1">
        <f t="array" ref="T126">MAX(_xlfn._xlws.FILTER(T1:T122, ISNUMBER(T1:T122)))</f>
        <v>0.153628235</v>
      </c>
      <c r="U126" s="24" cm="1">
        <f t="array" ref="U126">MAX(_xlfn._xlws.FILTER(U1:U122, ISNUMBER(U1:U122)))</f>
        <v>0.23814440000000001</v>
      </c>
      <c r="V126" s="24" cm="1">
        <f t="array" ref="V126">MAX(_xlfn._xlws.FILTER(V1:V122, ISNUMBER(V1:V122)))</f>
        <v>0.16305912</v>
      </c>
    </row>
    <row r="127" spans="1:38" x14ac:dyDescent="0.35">
      <c r="A127" t="s">
        <v>85</v>
      </c>
      <c r="B127" s="24" cm="1">
        <f t="array" ref="B127">MIN(_xlfn._xlws.FILTER(B2:B122, ISNUMBER(B2:B122)))</f>
        <v>-0.14603752</v>
      </c>
      <c r="C127" s="24" cm="1">
        <f t="array" ref="C127">MIN(_xlfn._xlws.FILTER(C2:C122, ISNUMBER(C2:C122)))</f>
        <v>-0.39814506999999999</v>
      </c>
      <c r="D127" s="24" cm="1">
        <f t="array" ref="D127">MIN(_xlfn._xlws.FILTER(D2:D122, ISNUMBER(D2:D122)))</f>
        <v>-0.50187893000000006</v>
      </c>
      <c r="E127" s="24" cm="1">
        <f t="array" ref="E127">MIN(_xlfn._xlws.FILTER(E2:E122, ISNUMBER(E2:E122)))</f>
        <v>-0.37875003999999995</v>
      </c>
      <c r="F127" s="24" cm="1">
        <f t="array" ref="F127">MIN(_xlfn._xlws.FILTER(F2:F122, ISNUMBER(F2:F122)))</f>
        <v>-0.36085630000000002</v>
      </c>
      <c r="G127" s="24" cm="1">
        <f t="array" ref="G127">MIN(_xlfn._xlws.FILTER(G2:G122, ISNUMBER(G2:G122)))</f>
        <v>-0.38835982999999996</v>
      </c>
      <c r="H127" s="24" cm="1">
        <f t="array" ref="H127">MIN(_xlfn._xlws.FILTER(H2:H122, ISNUMBER(H2:H122)))</f>
        <v>-0.23556059000000001</v>
      </c>
      <c r="I127" s="24" cm="1">
        <f t="array" ref="I127">MIN(_xlfn._xlws.FILTER(I2:I122, ISNUMBER(I2:I122)))</f>
        <v>-0.22066330000000001</v>
      </c>
      <c r="J127" s="24" cm="1">
        <f t="array" ref="J127">MIN(_xlfn._xlws.FILTER(J2:J122, ISNUMBER(J2:J122)))</f>
        <v>-0.46105988000000003</v>
      </c>
      <c r="K127" s="24" cm="1">
        <f t="array" ref="K127">MIN(_xlfn._xlws.FILTER(K2:K122, ISNUMBER(K2:K122)))</f>
        <v>-0.33236248000000002</v>
      </c>
      <c r="L127" s="24" cm="1">
        <f t="array" ref="L127">MIN(_xlfn._xlws.FILTER(L2:L122, ISNUMBER(L2:L122)))</f>
        <v>-0.50965614000000004</v>
      </c>
      <c r="M127" s="24" cm="1">
        <f t="array" ref="M127">MIN(_xlfn._xlws.FILTER(M2:M122, ISNUMBER(M2:M122)))</f>
        <v>-0.46292240000000001</v>
      </c>
      <c r="N127" s="24" cm="1">
        <f t="array" ref="N127">MIN(_xlfn._xlws.FILTER(N2:N122, ISNUMBER(N2:N122)))</f>
        <v>-0.44961239999999997</v>
      </c>
      <c r="O127" s="24" cm="1">
        <f t="array" ref="O127">MIN(_xlfn._xlws.FILTER(O2:O122, ISNUMBER(O2:O122)))</f>
        <v>-0.41125785999999998</v>
      </c>
      <c r="P127" s="24" cm="1">
        <f t="array" ref="P127">MIN(_xlfn._xlws.FILTER(P2:P122, ISNUMBER(P2:P122)))</f>
        <v>-0.1792878</v>
      </c>
      <c r="Q127" s="24" cm="1">
        <f t="array" ref="Q127">MIN(_xlfn._xlws.FILTER(Q2:Q122, ISNUMBER(Q2:Q122)))</f>
        <v>-0.13694495000000001</v>
      </c>
      <c r="R127" s="24" cm="1">
        <f t="array" ref="R127">MIN(_xlfn._xlws.FILTER(R2:R122, ISNUMBER(R2:R122)))</f>
        <v>-0.31478373999999998</v>
      </c>
      <c r="S127" s="24" cm="1">
        <f t="array" ref="S127">MIN(_xlfn._xlws.FILTER(S2:S122, ISNUMBER(S2:S122)))</f>
        <v>-0.32238804000000004</v>
      </c>
      <c r="T127" s="24" cm="1">
        <f t="array" ref="T127">MIN(_xlfn._xlws.FILTER(T2:T122, ISNUMBER(T2:T122)))</f>
        <v>-0.31877253999999999</v>
      </c>
      <c r="U127" s="24" cm="1">
        <f t="array" ref="U127">MIN(_xlfn._xlws.FILTER(U2:U122, ISNUMBER(U2:U122)))</f>
        <v>-0.35160427</v>
      </c>
      <c r="V127" s="24" cm="1">
        <f t="array" ref="V127">MIN(_xlfn._xlws.FILTER(V2:V122, ISNUMBER(V2:V122)))</f>
        <v>-0.28310340000000001</v>
      </c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</row>
    <row r="129" spans="1:29" x14ac:dyDescent="0.35">
      <c r="A129" t="s">
        <v>87</v>
      </c>
      <c r="B129">
        <f>COUNTIF(B2:B122, "&lt;"&amp;Assumption!$E$50)</f>
        <v>15</v>
      </c>
      <c r="C129">
        <f>COUNTIF(C2:C122, "&lt;"&amp;Assumption!$E$50)</f>
        <v>29</v>
      </c>
      <c r="D129">
        <f>COUNTIF(D2:D122, "&lt;"&amp;Assumption!$E$50)</f>
        <v>17</v>
      </c>
      <c r="E129">
        <f>COUNTIF(E2:E122, "&lt;"&amp;Assumption!$E$50)</f>
        <v>20</v>
      </c>
      <c r="F129">
        <f>COUNTIF(F2:F122, "&lt;"&amp;Assumption!$E$50)</f>
        <v>29</v>
      </c>
      <c r="G129">
        <f>COUNTIF(G2:G122, "&lt;"&amp;Assumption!$E$50)</f>
        <v>25</v>
      </c>
      <c r="H129">
        <f>COUNTIF(H2:H122, "&lt;"&amp;Assumption!$E$50)</f>
        <v>15</v>
      </c>
      <c r="I129">
        <f>COUNTIF(I2:I122, "&lt;"&amp;Assumption!$E$50)</f>
        <v>12</v>
      </c>
      <c r="J129">
        <f>COUNTIF(J2:J122, "&lt;"&amp;Assumption!$E$50)</f>
        <v>22</v>
      </c>
      <c r="K129">
        <f>COUNTIF(K2:K122, "&lt;"&amp;Assumption!$E$50)</f>
        <v>24</v>
      </c>
      <c r="L129">
        <f>COUNTIF(L2:L122, "&lt;"&amp;Assumption!$E$50)</f>
        <v>30</v>
      </c>
      <c r="M129">
        <f>COUNTIF(M2:M122, "&lt;"&amp;Assumption!$E$50)</f>
        <v>25</v>
      </c>
      <c r="N129">
        <f>COUNTIF(N2:N122, "&lt;"&amp;Assumption!$E$50)</f>
        <v>36</v>
      </c>
      <c r="O129">
        <f>COUNTIF(O2:O122, "&lt;"&amp;Assumption!$E$50)</f>
        <v>15</v>
      </c>
      <c r="P129">
        <f>COUNTIF(P2:P122, "&lt;"&amp;Assumption!$E$50)</f>
        <v>29</v>
      </c>
      <c r="Q129">
        <f>COUNTIF(Q2:Q122, "&lt;"&amp;Assumption!$E$50)</f>
        <v>26</v>
      </c>
      <c r="R129">
        <f>COUNTIF(R2:R122, "&lt;"&amp;Assumption!$E$50)</f>
        <v>6</v>
      </c>
      <c r="S129">
        <f>COUNTIF(S2:S122, "&lt;"&amp;Assumption!$E$50)</f>
        <v>35</v>
      </c>
      <c r="T129">
        <f>COUNTIF(T2:T122, "&lt;"&amp;Assumption!$E$50)</f>
        <v>16</v>
      </c>
      <c r="U129">
        <f>COUNTIF(U2:U122, "&lt;"&amp;Assumption!$E$50)</f>
        <v>21</v>
      </c>
      <c r="V129">
        <f>COUNTIF(V2:V122, "&lt;"&amp;Assumption!$E$50)</f>
        <v>14</v>
      </c>
    </row>
    <row r="130" spans="1:29" x14ac:dyDescent="0.35">
      <c r="A130" t="s">
        <v>86</v>
      </c>
      <c r="B130">
        <f>COUNT(B1:B122)</f>
        <v>95</v>
      </c>
      <c r="C130">
        <f t="shared" ref="C130:V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120</v>
      </c>
      <c r="R130">
        <f t="shared" si="0"/>
        <v>121</v>
      </c>
      <c r="S130">
        <f t="shared" si="0"/>
        <v>121</v>
      </c>
      <c r="T130">
        <f t="shared" si="0"/>
        <v>120</v>
      </c>
      <c r="U130">
        <f t="shared" si="0"/>
        <v>121</v>
      </c>
      <c r="V130">
        <f t="shared" si="0"/>
        <v>104</v>
      </c>
    </row>
    <row r="132" spans="1:29" x14ac:dyDescent="0.35">
      <c r="A132" t="s">
        <v>88</v>
      </c>
      <c r="B132" s="9">
        <f t="shared" ref="B132:V132" si="1">B129/B130</f>
        <v>0.15789473684210525</v>
      </c>
      <c r="C132" s="9">
        <f t="shared" si="1"/>
        <v>0.23966942148760331</v>
      </c>
      <c r="D132" s="9">
        <f t="shared" si="1"/>
        <v>0.14049586776859505</v>
      </c>
      <c r="E132" s="9">
        <f t="shared" si="1"/>
        <v>0.16528925619834711</v>
      </c>
      <c r="F132" s="9">
        <f t="shared" si="1"/>
        <v>0.23966942148760331</v>
      </c>
      <c r="G132" s="9">
        <f t="shared" si="1"/>
        <v>0.20661157024793389</v>
      </c>
      <c r="H132" s="9">
        <f t="shared" si="1"/>
        <v>0.12396694214876033</v>
      </c>
      <c r="I132" s="9">
        <f t="shared" si="1"/>
        <v>9.9173553719008267E-2</v>
      </c>
      <c r="J132" s="9">
        <f t="shared" si="1"/>
        <v>0.18181818181818182</v>
      </c>
      <c r="K132" s="9">
        <f t="shared" si="1"/>
        <v>0.19834710743801653</v>
      </c>
      <c r="L132" s="9">
        <f t="shared" si="1"/>
        <v>0.24793388429752067</v>
      </c>
      <c r="M132" s="9">
        <f t="shared" si="1"/>
        <v>0.20661157024793389</v>
      </c>
      <c r="N132" s="9">
        <f t="shared" si="1"/>
        <v>0.2975206611570248</v>
      </c>
      <c r="O132" s="9">
        <f t="shared" si="1"/>
        <v>0.12396694214876033</v>
      </c>
      <c r="P132" s="9">
        <f t="shared" si="1"/>
        <v>0.23966942148760331</v>
      </c>
      <c r="Q132" s="9">
        <f t="shared" si="1"/>
        <v>0.21666666666666667</v>
      </c>
      <c r="R132" s="9">
        <f t="shared" si="1"/>
        <v>4.9586776859504134E-2</v>
      </c>
      <c r="S132" s="9">
        <f t="shared" si="1"/>
        <v>0.28925619834710742</v>
      </c>
      <c r="T132" s="9">
        <f t="shared" si="1"/>
        <v>0.13333333333333333</v>
      </c>
      <c r="U132" s="9">
        <f t="shared" si="1"/>
        <v>0.17355371900826447</v>
      </c>
      <c r="V132" s="9">
        <f t="shared" si="1"/>
        <v>0.13461538461538461</v>
      </c>
      <c r="W132" s="9"/>
      <c r="X132" s="9"/>
      <c r="Y132" s="9"/>
      <c r="Z132" s="9"/>
      <c r="AA132" s="9"/>
      <c r="AB132" s="9"/>
      <c r="AC132" s="9"/>
    </row>
    <row r="134" spans="1:29" x14ac:dyDescent="0.35">
      <c r="A134" t="s">
        <v>95</v>
      </c>
      <c r="B134" s="9" cm="1">
        <f t="array" ref="B134">_xlfn.PERCENTRANK.EXC(_xlfn._xlws.FILTER(B2:B122, ISNUMBER(B2:B122)),B122)</f>
        <v>0.70799999999999996</v>
      </c>
      <c r="C134" s="9" cm="1">
        <f t="array" ref="C134">_xlfn.PERCENTRANK.EXC(_xlfn._xlws.FILTER(C2:C122, ISNUMBER(C2:C122)),C122)</f>
        <v>0.90900000000000003</v>
      </c>
      <c r="D134" s="9" cm="1">
        <f t="array" ref="D134">_xlfn.PERCENTRANK.EXC(_xlfn._xlws.FILTER(D2:D122, ISNUMBER(D2:D122)),D122)</f>
        <v>0.20399999999999999</v>
      </c>
      <c r="E134" s="9" cm="1">
        <f t="array" ref="E134">_xlfn.PERCENTRANK.EXC(_xlfn._xlws.FILTER(E2:E122, ISNUMBER(E2:E122)),E122)</f>
        <v>0.58099999999999996</v>
      </c>
      <c r="F134" s="9" cm="1">
        <f t="array" ref="F134">_xlfn.PERCENTRANK.EXC(_xlfn._xlws.FILTER(F2:F122, ISNUMBER(F2:F122)),F122)</f>
        <v>0.745</v>
      </c>
      <c r="G134" s="9" cm="1">
        <f t="array" ref="G134">_xlfn.PERCENTRANK.EXC(_xlfn._xlws.FILTER(G2:G122, ISNUMBER(G2:G122)),G122)</f>
        <v>0.84399999999999997</v>
      </c>
      <c r="H134" s="9" cm="1">
        <f t="array" ref="H134">_xlfn.PERCENTRANK.EXC(_xlfn._xlws.FILTER(H2:H122, ISNUMBER(H2:H122)),H122)</f>
        <v>0.89300000000000002</v>
      </c>
      <c r="I134" s="9" cm="1">
        <f t="array" ref="I134">_xlfn.PERCENTRANK.EXC(_xlfn._xlws.FILTER(I2:I122, ISNUMBER(I2:I122)),I122)</f>
        <v>0.95</v>
      </c>
      <c r="J134" s="9" cm="1">
        <f t="array" ref="J134">_xlfn.PERCENTRANK.EXC(_xlfn._xlws.FILTER(J2:J122, ISNUMBER(J2:J122)),J122)</f>
        <v>0.41799999999999998</v>
      </c>
      <c r="K134" s="9" cm="1">
        <f t="array" ref="K134">_xlfn.PERCENTRANK.EXC(_xlfn._xlws.FILTER(K2:K122, ISNUMBER(K2:K122)),K122)</f>
        <v>0.55700000000000005</v>
      </c>
      <c r="L134" s="9" cm="1">
        <f t="array" ref="L134">_xlfn.PERCENTRANK.EXC(_xlfn._xlws.FILTER(L2:L122, ISNUMBER(L2:L122)),L122)</f>
        <v>0.45900000000000002</v>
      </c>
      <c r="M134" s="9" cm="1">
        <f t="array" ref="M134">_xlfn.PERCENTRANK.EXC(_xlfn._xlws.FILTER(M2:M122, ISNUMBER(M2:M122)),M122)</f>
        <v>0.877</v>
      </c>
      <c r="N134" s="9" cm="1">
        <f t="array" ref="N134">_xlfn.PERCENTRANK.EXC(_xlfn._xlws.FILTER(N2:N122, ISNUMBER(N2:N122)),N122)</f>
        <v>0.58099999999999996</v>
      </c>
      <c r="O134" s="9" cm="1">
        <f t="array" ref="O134">_xlfn.PERCENTRANK.EXC(_xlfn._xlws.FILTER(O2:O122, ISNUMBER(O2:O122)),O122)</f>
        <v>0.68799999999999994</v>
      </c>
      <c r="P134" s="9" cm="1">
        <f t="array" ref="P134">_xlfn.PERCENTRANK.EXC(_xlfn._xlws.FILTER(P2:P122, ISNUMBER(P2:P122)),P122)</f>
        <v>0.93400000000000005</v>
      </c>
      <c r="Q134" s="9" cm="1">
        <f t="array" ref="Q134">_xlfn.PERCENTRANK.EXC(_xlfn._xlws.FILTER(Q2:Q122, ISNUMBER(Q2:Q122)),Q122)</f>
        <v>0.32200000000000001</v>
      </c>
      <c r="R134" s="9" cm="1">
        <f t="array" ref="R134">_xlfn.PERCENTRANK.EXC(_xlfn._xlws.FILTER(R2:R122, ISNUMBER(R2:R122)),R122)</f>
        <v>0.63100000000000001</v>
      </c>
      <c r="S134" s="9" cm="1">
        <f t="array" ref="S134">_xlfn.PERCENTRANK.EXC(_xlfn._xlws.FILTER(S2:S122, ISNUMBER(S2:S122)),S122)</f>
        <v>0.93400000000000005</v>
      </c>
      <c r="T134" s="9" cm="1">
        <f t="array" ref="T134">_xlfn.PERCENTRANK.EXC(_xlfn._xlws.FILTER(T2:T122, ISNUMBER(T2:T122)),T122)</f>
        <v>0.28899999999999998</v>
      </c>
      <c r="U134" s="9" cm="1">
        <f t="array" ref="U134">_xlfn.PERCENTRANK.EXC(_xlfn._xlws.FILTER(U2:U122, ISNUMBER(U2:U122)),U122)</f>
        <v>0.877</v>
      </c>
      <c r="V134" s="9" cm="1">
        <f t="array" ref="V134">_xlfn.PERCENTRANK.EXC(_xlfn._xlws.FILTER(V2:V122, ISNUMBER(V2:V122)),V122)</f>
        <v>0.152</v>
      </c>
      <c r="W134" s="9"/>
      <c r="X134" s="9"/>
      <c r="Y134" s="9"/>
      <c r="Z134" s="9"/>
      <c r="AA134" s="9"/>
      <c r="AB134" s="9"/>
      <c r="AC134" s="9"/>
    </row>
    <row r="136" spans="1:29" x14ac:dyDescent="0.35">
      <c r="A136" s="9"/>
      <c r="B136" s="9" cm="1">
        <f t="array" ref="B136">_xlfn.PERCENTRANK.EXC(_xlfn._xlws.FILTER(B4:B125, ISNUMBER(B4:B125)),B113)</f>
        <v>0.19700000000000001</v>
      </c>
      <c r="C136" s="9" cm="1">
        <f t="array" ref="C136">_xlfn.PERCENTRANK.EXC(_xlfn._xlws.FILTER(C4:C125, ISNUMBER(C4:C125)),C113)</f>
        <v>0.2</v>
      </c>
      <c r="D136" s="9" cm="1">
        <f t="array" ref="D136">_xlfn.PERCENTRANK.EXC(_xlfn._xlws.FILTER(D4:D125, ISNUMBER(D4:D125)),D113)</f>
        <v>0.308</v>
      </c>
      <c r="E136" s="9" cm="1">
        <f t="array" ref="E136">_xlfn.PERCENTRANK.EXC(_xlfn._xlws.FILTER(E4:E125, ISNUMBER(E4:E125)),E113)</f>
        <v>6.6000000000000003E-2</v>
      </c>
      <c r="F136" s="9" cm="1">
        <f t="array" ref="F136">_xlfn.PERCENTRANK.EXC(_xlfn._xlws.FILTER(F4:F125, ISNUMBER(F4:F125)),F113)</f>
        <v>0.17499999999999999</v>
      </c>
      <c r="G136" s="9" cm="1">
        <f t="array" ref="G136">_xlfn.PERCENTRANK.EXC(_xlfn._xlws.FILTER(G4:G125, ISNUMBER(G4:G125)),G113)</f>
        <v>0.33300000000000002</v>
      </c>
      <c r="H136" s="9" cm="1">
        <f t="array" ref="H136">_xlfn.PERCENTRANK.EXC(_xlfn._xlws.FILTER(H4:H125, ISNUMBER(H4:H125)),H113)</f>
        <v>0.441</v>
      </c>
      <c r="I136" s="9" cm="1">
        <f t="array" ref="I136">_xlfn.PERCENTRANK.EXC(_xlfn._xlws.FILTER(I4:I125, ISNUMBER(I4:I125)),I113)</f>
        <v>0.183</v>
      </c>
      <c r="J136" s="9" cm="1">
        <f t="array" ref="J136">_xlfn.PERCENTRANK.EXC(_xlfn._xlws.FILTER(J4:J125, ISNUMBER(J4:J125)),J113)</f>
        <v>0.51600000000000001</v>
      </c>
      <c r="K136" s="9" cm="1">
        <f t="array" ref="K136">_xlfn.PERCENTRANK.EXC(_xlfn._xlws.FILTER(K4:K125, ISNUMBER(K4:K125)),K113)</f>
        <v>0.13300000000000001</v>
      </c>
      <c r="L136" s="9" cm="1">
        <f t="array" ref="L136">_xlfn.PERCENTRANK.EXC(_xlfn._xlws.FILTER(L4:L125, ISNUMBER(L4:L125)),L113)</f>
        <v>0.35799999999999998</v>
      </c>
      <c r="M136" s="9" cm="1">
        <f t="array" ref="M136">_xlfn.PERCENTRANK.EXC(_xlfn._xlws.FILTER(M4:M125, ISNUMBER(M4:M125)),M113)</f>
        <v>0.2</v>
      </c>
      <c r="N136" s="9" cm="1">
        <f t="array" ref="N136">_xlfn.PERCENTRANK.EXC(_xlfn._xlws.FILTER(N4:N125, ISNUMBER(N4:N125)),N113)</f>
        <v>0.29099999999999998</v>
      </c>
      <c r="O136" s="9" cm="1">
        <f t="array" ref="O136">_xlfn.PERCENTRANK.EXC(_xlfn._xlws.FILTER(O4:O125, ISNUMBER(O4:O125)),O113)</f>
        <v>0.34100000000000003</v>
      </c>
      <c r="P136" s="9" cm="1">
        <f t="array" ref="P136">_xlfn.PERCENTRANK.EXC(_xlfn._xlws.FILTER(P4:P125, ISNUMBER(P4:P125)),P113)</f>
        <v>0.3</v>
      </c>
      <c r="Q136" s="9" cm="1">
        <f t="array" ref="Q136">_xlfn.PERCENTRANK.EXC(_xlfn._xlws.FILTER(Q4:Q125, ISNUMBER(Q4:Q125)),Q113)</f>
        <v>0.33300000000000002</v>
      </c>
      <c r="R136" s="9" cm="1">
        <f t="array" ref="R136">_xlfn.PERCENTRANK.EXC(_xlfn._xlws.FILTER(R4:R125, ISNUMBER(R4:R125)),R113)</f>
        <v>0.67500000000000004</v>
      </c>
      <c r="S136" s="9" cm="1">
        <f t="array" ref="S136">_xlfn.PERCENTRANK.EXC(_xlfn._xlws.FILTER(S4:S125, ISNUMBER(S4:S125)),S113)</f>
        <v>0.90800000000000003</v>
      </c>
      <c r="T136" s="9" cm="1">
        <f t="array" ref="T136">_xlfn.PERCENTRANK.EXC(_xlfn._xlws.FILTER(T4:T125, ISNUMBER(T4:T125)),T113)</f>
        <v>0.6</v>
      </c>
      <c r="U136" s="9" cm="1">
        <f t="array" ref="U136">_xlfn.PERCENTRANK.EXC(_xlfn._xlws.FILTER(U4:U125, ISNUMBER(U4:U125)),U113)</f>
        <v>0.45800000000000002</v>
      </c>
      <c r="V136" s="9" cm="1">
        <f t="array" ref="V136">_xlfn.PERCENTRANK.EXC(_xlfn._xlws.FILTER(V4:V125, ISNUMBER(V4:V125)),V113)</f>
        <v>0.19</v>
      </c>
    </row>
    <row r="138" spans="1:29" x14ac:dyDescent="0.35">
      <c r="A138" t="s">
        <v>855</v>
      </c>
      <c r="B138">
        <f>STDEV(B40:B122)</f>
        <v>5.9729842850847141E-2</v>
      </c>
      <c r="C138">
        <f t="shared" ref="C138:V138" si="2">STDEV(C40:C122)</f>
        <v>9.3118407564337979E-2</v>
      </c>
      <c r="D138">
        <f t="shared" si="2"/>
        <v>8.5845397565022574E-2</v>
      </c>
      <c r="E138">
        <f t="shared" si="2"/>
        <v>7.3612582601048721E-2</v>
      </c>
      <c r="F138">
        <f t="shared" si="2"/>
        <v>8.7719767854640224E-2</v>
      </c>
      <c r="G138">
        <f t="shared" si="2"/>
        <v>8.2549722406092735E-2</v>
      </c>
      <c r="H138">
        <f t="shared" si="2"/>
        <v>4.8908734797295524E-2</v>
      </c>
      <c r="I138">
        <f t="shared" si="2"/>
        <v>6.1950896184019624E-2</v>
      </c>
      <c r="J138">
        <f t="shared" si="2"/>
        <v>8.2611240072919007E-2</v>
      </c>
      <c r="K138">
        <f t="shared" si="2"/>
        <v>7.9445540371669787E-2</v>
      </c>
      <c r="L138">
        <f t="shared" si="2"/>
        <v>0.10543840120200577</v>
      </c>
      <c r="M138">
        <f t="shared" si="2"/>
        <v>8.829423253776271E-2</v>
      </c>
      <c r="N138">
        <f t="shared" si="2"/>
        <v>8.8930739327857944E-2</v>
      </c>
      <c r="O138">
        <f t="shared" si="2"/>
        <v>7.0128722414722233E-2</v>
      </c>
      <c r="P138">
        <f t="shared" si="2"/>
        <v>7.1447182337846291E-2</v>
      </c>
      <c r="Q138">
        <f t="shared" si="2"/>
        <v>5.2940050221480663E-2</v>
      </c>
      <c r="R138">
        <f t="shared" si="2"/>
        <v>5.5636818993068389E-2</v>
      </c>
      <c r="S138">
        <f t="shared" si="2"/>
        <v>9.8804416655969535E-2</v>
      </c>
      <c r="T138">
        <f t="shared" si="2"/>
        <v>6.1645595643931017E-2</v>
      </c>
      <c r="U138">
        <f t="shared" si="2"/>
        <v>7.5489989341813599E-2</v>
      </c>
      <c r="V138">
        <f t="shared" si="2"/>
        <v>6.2403456630671629E-2</v>
      </c>
    </row>
    <row r="139" spans="1:29" x14ac:dyDescent="0.35">
      <c r="A139" t="s">
        <v>856</v>
      </c>
      <c r="B139" s="77">
        <f>B138*SQRT(12)</f>
        <v>0.20691024509154382</v>
      </c>
      <c r="C139" s="77">
        <f t="shared" ref="C139:V139" si="3">C138*SQRT(12)</f>
        <v>0.32257162604267886</v>
      </c>
      <c r="D139" s="77">
        <f t="shared" si="3"/>
        <v>0.29737718035713734</v>
      </c>
      <c r="E139" s="77">
        <f t="shared" si="3"/>
        <v>0.25500146628275422</v>
      </c>
      <c r="F139" s="77">
        <f t="shared" si="3"/>
        <v>0.30387018950476807</v>
      </c>
      <c r="G139" s="77">
        <f t="shared" si="3"/>
        <v>0.2859606267161191</v>
      </c>
      <c r="H139" s="77">
        <f t="shared" si="3"/>
        <v>0.16942482720565552</v>
      </c>
      <c r="I139" s="77">
        <f t="shared" si="3"/>
        <v>0.21460419953029372</v>
      </c>
      <c r="J139" s="77">
        <f t="shared" si="3"/>
        <v>0.28617373016513153</v>
      </c>
      <c r="K139" s="77">
        <f t="shared" si="3"/>
        <v>0.275207424716993</v>
      </c>
      <c r="L139" s="77">
        <f t="shared" si="3"/>
        <v>0.36524933590141073</v>
      </c>
      <c r="M139" s="77">
        <f t="shared" si="3"/>
        <v>0.30586019354141225</v>
      </c>
      <c r="N139" s="77">
        <f t="shared" si="3"/>
        <v>0.30806511774102729</v>
      </c>
      <c r="O139" s="77">
        <f t="shared" si="3"/>
        <v>0.24293302058438654</v>
      </c>
      <c r="P139" s="77">
        <f t="shared" si="3"/>
        <v>0.24750029973357499</v>
      </c>
      <c r="Q139" s="77">
        <f t="shared" si="3"/>
        <v>0.183389713477705</v>
      </c>
      <c r="R139" s="77">
        <f t="shared" si="3"/>
        <v>0.19273159453501509</v>
      </c>
      <c r="S139" s="77">
        <f t="shared" si="3"/>
        <v>0.34226853932068768</v>
      </c>
      <c r="T139" s="77">
        <f t="shared" si="3"/>
        <v>0.21354660743627035</v>
      </c>
      <c r="U139" s="77">
        <f t="shared" si="3"/>
        <v>0.26150499400570837</v>
      </c>
      <c r="V139" s="77">
        <f t="shared" si="3"/>
        <v>0.21617191490448839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613"/>
  <sheetViews>
    <sheetView zoomScaleNormal="100" workbookViewId="0">
      <pane ySplit="1" topLeftCell="A113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2" max="2" width="10.54296875" customWidth="1"/>
    <col min="22" max="22" width="9.1796875" style="1"/>
  </cols>
  <sheetData>
    <row r="1" spans="1:23" x14ac:dyDescent="0.35">
      <c r="A1" s="2" t="s">
        <v>390</v>
      </c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54" t="s">
        <v>36</v>
      </c>
    </row>
    <row r="2" spans="1:23" x14ac:dyDescent="0.35">
      <c r="A2" s="2" cm="1">
        <f t="array" ref="A2:A122">_xll.FDS(C1,"JULIAN(P_PRICE_RETURNS_PR('52W',2,-10AY,0,AM).dates)")</f>
        <v>41782</v>
      </c>
      <c r="B2" s="7" t="e" cm="1">
        <f t="array" ref="B2:B122">_xll.FDS(B1,"P_PRICE_RETURNS_PR('52W',2,-10AY,0,AM)")</f>
        <v>#N/A</v>
      </c>
      <c r="C2" s="7" cm="1">
        <f t="array" ref="C2:C122">_xll.FDS(C1,"P_PRICE_RETURNS_PR('52W',2,-10AY,0,AM)")</f>
        <v>-20.049126000000001</v>
      </c>
      <c r="D2" s="7" cm="1">
        <f t="array" ref="D2:D122">_xll.FDS(D1,"P_PRICE_RETURNS_PR('52W',2,-10AY,0,AM)")</f>
        <v>-18.371666000000001</v>
      </c>
      <c r="E2" s="7" cm="1">
        <f t="array" ref="E2:E122">_xll.FDS(E1,"P_PRICE_RETURNS_PR('52W',2,-10AY,0,AM)")</f>
        <v>-10.029339999999999</v>
      </c>
      <c r="F2" s="7" cm="1">
        <f t="array" ref="F2:F122">_xll.FDS(F1,"P_PRICE_RETURNS_PR('52W',2,-10AY,0,AM)")</f>
        <v>20.043087</v>
      </c>
      <c r="G2" s="7" cm="1">
        <f t="array" ref="G2:G122">_xll.FDS(G1,"P_PRICE_RETURNS_PR('52W',2,-10AY,0,AM)")</f>
        <v>-7.3474110000000001</v>
      </c>
      <c r="H2" s="7" cm="1">
        <f t="array" ref="H2:H122">_xll.FDS(H1,"P_PRICE_RETURNS_PR('52W',2,-10AY,0,AM)")</f>
        <v>1.0312079999999999</v>
      </c>
      <c r="I2" s="7" cm="1">
        <f t="array" ref="I2:I122">_xll.FDS(I1,"P_PRICE_RETURNS_PR('52W',2,-10AY,0,AM)")</f>
        <v>10.621822</v>
      </c>
      <c r="J2" s="7" cm="1">
        <f t="array" ref="J2:J122">_xll.FDS(J1,"P_PRICE_RETURNS_PR('52W',2,-10AY,0,AM)")</f>
        <v>0.22287369000000001</v>
      </c>
      <c r="K2" s="7" cm="1">
        <f t="array" ref="K2:K122">_xll.FDS(K1,"P_PRICE_RETURNS_PR('52W',2,-10AY,0,AM)")</f>
        <v>14.87875</v>
      </c>
      <c r="L2" s="7" cm="1">
        <f t="array" ref="L2:L122">_xll.FDS(L1,"P_PRICE_RETURNS_PR('52W',2,-10AY,0,AM)")</f>
        <v>-9.6207030000000007</v>
      </c>
      <c r="M2" s="7" cm="1">
        <f t="array" ref="M2:M122">_xll.FDS(M1,"P_PRICE_RETURNS_PR('52W',2,-10AY,0,AM)")</f>
        <v>16.439713000000001</v>
      </c>
      <c r="N2" s="7" cm="1">
        <f t="array" ref="N2:N122">_xll.FDS(N1,"P_PRICE_RETURNS_PR('52W',2,-10AY,0,AM)")</f>
        <v>12.576447999999999</v>
      </c>
      <c r="O2" s="7" cm="1">
        <f t="array" ref="O2:O122">_xll.FDS(O1,"P_PRICE_RETURNS_PR('52W',2,-10AY,0,AM)")</f>
        <v>16.308630000000001</v>
      </c>
      <c r="P2" s="7" cm="1">
        <f t="array" ref="P2:P122">_xll.FDS(P1,"P_PRICE_RETURNS_PR('52W',2,-10AY,0,AM)")</f>
        <v>2.3632407</v>
      </c>
      <c r="Q2" s="7" t="e" cm="1">
        <f t="array" ref="Q2:Q122">_xll.FDS(Q1,"P_PRICE_RETURNS_PR('52W',2,-10AY,0,AM)")</f>
        <v>#N/A</v>
      </c>
      <c r="R2" s="7" cm="1">
        <f t="array" ref="R2:R122">_xll.FDS(R1,"P_PRICE_RETURNS_PR('52W',2,-10AY,0,AM)")</f>
        <v>-13.102656</v>
      </c>
      <c r="S2" s="7" cm="1">
        <f t="array" ref="S2:S122">_xll.FDS(S1,"P_PRICE_RETURNS_PR('52W',2,-10AY,0,AM)")</f>
        <v>-23.868781999999999</v>
      </c>
      <c r="T2" s="7" t="e" cm="1">
        <f t="array" ref="T2:T122">_xll.FDS(T1,"P_PRICE_RETURNS_PR('52W',2,-10AY,0,AM)")</f>
        <v>#N/A</v>
      </c>
      <c r="U2" s="7" cm="1">
        <f t="array" ref="U2:U122">_xll.FDS(U1,"P_PRICE_RETURNS_PR('52W',2,-10AY,0,AM)")</f>
        <v>2.3659468000000001</v>
      </c>
      <c r="V2" s="154" t="e" cm="1">
        <f t="array" ref="V2:V122">_xll.FDS(V1,"P_PRICE_RETURNS_PR('52W',2,-10AY,0,AM)")</f>
        <v>#N/A</v>
      </c>
      <c r="W2" s="24"/>
    </row>
    <row r="3" spans="1:23" x14ac:dyDescent="0.35">
      <c r="A3" s="2">
        <v>41813</v>
      </c>
      <c r="B3" s="7" t="e">
        <v>#N/A</v>
      </c>
      <c r="C3" s="7">
        <v>-8.5270039999999998</v>
      </c>
      <c r="D3" s="40">
        <v>-8.8602360000000004</v>
      </c>
      <c r="E3" s="40">
        <v>11.038947</v>
      </c>
      <c r="F3" s="40">
        <v>26.218367000000001</v>
      </c>
      <c r="G3" s="40">
        <v>5.7414649999999998</v>
      </c>
      <c r="H3" s="40">
        <v>8.887041</v>
      </c>
      <c r="I3" s="40">
        <v>23.287296000000001</v>
      </c>
      <c r="J3" s="40">
        <v>15.881002000000001</v>
      </c>
      <c r="K3" s="40">
        <v>26.377094</v>
      </c>
      <c r="L3" s="40">
        <v>16.333258000000001</v>
      </c>
      <c r="M3" s="40">
        <v>29.495011999999999</v>
      </c>
      <c r="N3" s="40">
        <v>59.262549999999997</v>
      </c>
      <c r="O3" s="40">
        <v>29.676114999999999</v>
      </c>
      <c r="P3" s="40">
        <v>17.474926</v>
      </c>
      <c r="Q3" s="40" t="e">
        <v>#N/A</v>
      </c>
      <c r="R3" s="40">
        <v>4.8696875999999998</v>
      </c>
      <c r="S3" s="40">
        <v>-0.72522759999999997</v>
      </c>
      <c r="T3" s="40" t="e">
        <v>#N/A</v>
      </c>
      <c r="U3" s="40">
        <v>9.9171049999999994</v>
      </c>
      <c r="V3" s="155" t="e">
        <v>#N/A</v>
      </c>
      <c r="W3" s="24"/>
    </row>
    <row r="4" spans="1:23" x14ac:dyDescent="0.35">
      <c r="A4" s="2">
        <v>41843</v>
      </c>
      <c r="B4" s="7" t="e">
        <v>#N/A</v>
      </c>
      <c r="C4" s="7">
        <v>-11.777282</v>
      </c>
      <c r="D4" s="40">
        <v>-2.0207584000000001</v>
      </c>
      <c r="E4" s="40">
        <v>2.2866844999999998</v>
      </c>
      <c r="F4" s="40">
        <v>12.606692000000001</v>
      </c>
      <c r="G4" s="40">
        <v>10.504972</v>
      </c>
      <c r="H4" s="40">
        <v>4.3555260000000002</v>
      </c>
      <c r="I4" s="40">
        <v>20.290147999999999</v>
      </c>
      <c r="J4" s="40">
        <v>5.4944515000000003</v>
      </c>
      <c r="K4" s="40">
        <v>19.007384999999999</v>
      </c>
      <c r="L4" s="40">
        <v>16.656791999999999</v>
      </c>
      <c r="M4" s="40">
        <v>20.037375999999998</v>
      </c>
      <c r="N4" s="40">
        <v>36.874569999999999</v>
      </c>
      <c r="O4" s="40">
        <v>27.083445000000001</v>
      </c>
      <c r="P4" s="40">
        <v>16.510750000000002</v>
      </c>
      <c r="Q4" s="40" t="e">
        <v>#N/A</v>
      </c>
      <c r="R4" s="40">
        <v>1.8667697999999999</v>
      </c>
      <c r="S4" s="40">
        <v>1.4293194</v>
      </c>
      <c r="T4" s="40" t="e">
        <v>#N/A</v>
      </c>
      <c r="U4" s="40">
        <v>17.941772</v>
      </c>
      <c r="V4" s="155" t="e">
        <v>#N/A</v>
      </c>
      <c r="W4" s="24"/>
    </row>
    <row r="5" spans="1:23" x14ac:dyDescent="0.35">
      <c r="A5" s="2">
        <v>41873</v>
      </c>
      <c r="B5" s="7" t="e">
        <v>#N/A</v>
      </c>
      <c r="C5" s="7">
        <v>-6.6768226999999998</v>
      </c>
      <c r="D5" s="40">
        <v>20.340084000000001</v>
      </c>
      <c r="E5" s="40">
        <v>20.760715000000001</v>
      </c>
      <c r="F5" s="40">
        <v>5.1271560000000003</v>
      </c>
      <c r="G5" s="40">
        <v>7.0055842000000004</v>
      </c>
      <c r="H5" s="40">
        <v>15.908766</v>
      </c>
      <c r="I5" s="40">
        <v>26.998460000000001</v>
      </c>
      <c r="J5" s="40">
        <v>11.632823999999999</v>
      </c>
      <c r="K5" s="40">
        <v>21.700012000000001</v>
      </c>
      <c r="L5" s="40">
        <v>24.149619999999999</v>
      </c>
      <c r="M5" s="40">
        <v>21.788788</v>
      </c>
      <c r="N5" s="40">
        <v>23.743092999999998</v>
      </c>
      <c r="O5" s="40">
        <v>51.714897000000001</v>
      </c>
      <c r="P5" s="40">
        <v>16.912413000000001</v>
      </c>
      <c r="Q5" s="40" t="e">
        <v>#N/A</v>
      </c>
      <c r="R5" s="40">
        <v>15.176678000000001</v>
      </c>
      <c r="S5" s="40">
        <v>7.4836016000000001</v>
      </c>
      <c r="T5" s="40" t="e">
        <v>#N/A</v>
      </c>
      <c r="U5" s="40">
        <v>28.337025000000001</v>
      </c>
      <c r="V5" s="155" t="e">
        <v>#N/A</v>
      </c>
      <c r="W5" s="24"/>
    </row>
    <row r="6" spans="1:23" x14ac:dyDescent="0.35">
      <c r="A6" s="2">
        <v>41905</v>
      </c>
      <c r="B6" s="7" t="e">
        <v>#N/A</v>
      </c>
      <c r="C6" s="7">
        <v>-19.390737999999999</v>
      </c>
      <c r="D6" s="40">
        <v>8.3154090000000007</v>
      </c>
      <c r="E6" s="40">
        <v>9.5294360000000005</v>
      </c>
      <c r="F6" s="40">
        <v>4.1240572999999996</v>
      </c>
      <c r="G6" s="40">
        <v>4.7445060000000003</v>
      </c>
      <c r="H6" s="40">
        <v>0.95324516000000004</v>
      </c>
      <c r="I6" s="40">
        <v>11.505735</v>
      </c>
      <c r="J6" s="40">
        <v>5.0480723000000003</v>
      </c>
      <c r="K6" s="40">
        <v>1.0361313999999999</v>
      </c>
      <c r="L6" s="40">
        <v>-2.545023</v>
      </c>
      <c r="M6" s="40">
        <v>2.4434805000000002</v>
      </c>
      <c r="N6" s="40">
        <v>2.6743293000000001</v>
      </c>
      <c r="O6" s="40">
        <v>34.349727999999999</v>
      </c>
      <c r="P6" s="40">
        <v>3.2712816999999998</v>
      </c>
      <c r="Q6" s="40" t="e">
        <v>#N/A</v>
      </c>
      <c r="R6" s="40">
        <v>10.680866</v>
      </c>
      <c r="S6" s="40">
        <v>-10.919851</v>
      </c>
      <c r="T6" s="40" t="e">
        <v>#N/A</v>
      </c>
      <c r="U6" s="40">
        <v>26.715171999999999</v>
      </c>
      <c r="V6" s="155" t="e">
        <v>#N/A</v>
      </c>
      <c r="W6" s="24"/>
    </row>
    <row r="7" spans="1:23" x14ac:dyDescent="0.35">
      <c r="A7" s="2">
        <v>41935</v>
      </c>
      <c r="B7" s="7" t="e">
        <v>#N/A</v>
      </c>
      <c r="C7" s="7">
        <v>-18.345694999999999</v>
      </c>
      <c r="D7" s="40">
        <v>8.7641720000000003</v>
      </c>
      <c r="E7" s="40">
        <v>8.1502549999999996</v>
      </c>
      <c r="F7" s="40">
        <v>-9.6722900000000003</v>
      </c>
      <c r="G7" s="40">
        <v>-3.0944288000000002</v>
      </c>
      <c r="H7" s="40">
        <v>-2.0451605000000002</v>
      </c>
      <c r="I7" s="40">
        <v>8.6684110000000008</v>
      </c>
      <c r="J7" s="40">
        <v>3.3637166000000001</v>
      </c>
      <c r="K7" s="40">
        <v>-9.3349460000000004</v>
      </c>
      <c r="L7" s="40">
        <v>-18.264347000000001</v>
      </c>
      <c r="M7" s="40">
        <v>1.5890597999999999E-2</v>
      </c>
      <c r="N7" s="40">
        <v>-21.751975999999999</v>
      </c>
      <c r="O7" s="40">
        <v>26.469647999999999</v>
      </c>
      <c r="P7" s="40">
        <v>4.9320700000000004</v>
      </c>
      <c r="Q7" s="40" t="e">
        <v>#N/A</v>
      </c>
      <c r="R7" s="40">
        <v>5.1709889999999996</v>
      </c>
      <c r="S7" s="40">
        <v>-10.008554999999999</v>
      </c>
      <c r="T7" s="40" t="e">
        <v>#N/A</v>
      </c>
      <c r="U7" s="40">
        <v>13.965761000000001</v>
      </c>
      <c r="V7" s="155" t="e">
        <v>#N/A</v>
      </c>
      <c r="W7" s="24"/>
    </row>
    <row r="8" spans="1:23" x14ac:dyDescent="0.35">
      <c r="A8" s="2">
        <v>41964</v>
      </c>
      <c r="B8" s="7" t="e">
        <v>#N/A</v>
      </c>
      <c r="C8" s="7">
        <v>-7.2158455999999997</v>
      </c>
      <c r="D8" s="40">
        <v>20.098137000000001</v>
      </c>
      <c r="E8" s="40">
        <v>20.360720000000001</v>
      </c>
      <c r="F8" s="40">
        <v>-11.176187000000001</v>
      </c>
      <c r="G8" s="40">
        <v>9.4614740000000008</v>
      </c>
      <c r="H8" s="40">
        <v>-1.3784647000000001</v>
      </c>
      <c r="I8" s="40">
        <v>17.341864000000001</v>
      </c>
      <c r="J8" s="40">
        <v>4.7010540000000001</v>
      </c>
      <c r="K8" s="40">
        <v>-8.9475449999999999</v>
      </c>
      <c r="L8" s="40">
        <v>-4.2633175999999997</v>
      </c>
      <c r="M8" s="40">
        <v>15.023099999999999</v>
      </c>
      <c r="N8" s="40">
        <v>-21.991999</v>
      </c>
      <c r="O8" s="40">
        <v>40.601219999999998</v>
      </c>
      <c r="P8" s="40">
        <v>2.6537657000000001</v>
      </c>
      <c r="Q8" s="40" t="e">
        <v>#N/A</v>
      </c>
      <c r="R8" s="40">
        <v>14.779115000000001</v>
      </c>
      <c r="S8" s="40">
        <v>2.6247262999999998</v>
      </c>
      <c r="T8" s="40" t="e">
        <v>#N/A</v>
      </c>
      <c r="U8" s="40">
        <v>12.602854000000001</v>
      </c>
      <c r="V8" s="155" t="e">
        <v>#N/A</v>
      </c>
      <c r="W8" s="24"/>
    </row>
    <row r="9" spans="1:23" x14ac:dyDescent="0.35">
      <c r="A9" s="2">
        <v>41996</v>
      </c>
      <c r="B9" s="7" t="e">
        <v>#N/A</v>
      </c>
      <c r="C9" s="7">
        <v>-13.899583</v>
      </c>
      <c r="D9" s="40">
        <v>24.770153000000001</v>
      </c>
      <c r="E9" s="40">
        <v>24.518035999999999</v>
      </c>
      <c r="F9" s="40">
        <v>-14.875662</v>
      </c>
      <c r="G9" s="40">
        <v>-1.0365963</v>
      </c>
      <c r="H9" s="40">
        <v>-9.5943749999999994</v>
      </c>
      <c r="I9" s="40">
        <v>8.3169819999999994</v>
      </c>
      <c r="J9" s="40">
        <v>-11.092739999999999</v>
      </c>
      <c r="K9" s="40">
        <v>-10.572141999999999</v>
      </c>
      <c r="L9" s="40">
        <v>-14.641678000000001</v>
      </c>
      <c r="M9" s="40">
        <v>4.0245769999999998</v>
      </c>
      <c r="N9" s="40">
        <v>-33.332026999999997</v>
      </c>
      <c r="O9" s="40">
        <v>22.424911000000002</v>
      </c>
      <c r="P9" s="40">
        <v>7.8806399999999996</v>
      </c>
      <c r="Q9" s="40" t="e">
        <v>#N/A</v>
      </c>
      <c r="R9" s="40">
        <v>15.460658</v>
      </c>
      <c r="S9" s="40">
        <v>13.814772</v>
      </c>
      <c r="T9" s="40" t="e">
        <v>#N/A</v>
      </c>
      <c r="U9" s="40">
        <v>3.3113003000000001</v>
      </c>
      <c r="V9" s="155" t="e">
        <v>#N/A</v>
      </c>
      <c r="W9" s="24"/>
    </row>
    <row r="10" spans="1:23" x14ac:dyDescent="0.35">
      <c r="A10" s="2">
        <v>42027</v>
      </c>
      <c r="B10" s="7" t="e">
        <v>#N/A</v>
      </c>
      <c r="C10" s="7">
        <v>-9.9574619999999996</v>
      </c>
      <c r="D10" s="40">
        <v>20.620989999999999</v>
      </c>
      <c r="E10" s="40">
        <v>29.61768</v>
      </c>
      <c r="F10" s="40">
        <v>-19.438690000000001</v>
      </c>
      <c r="G10" s="40">
        <v>-11.143673</v>
      </c>
      <c r="H10" s="40">
        <v>-5.3470554000000003</v>
      </c>
      <c r="I10" s="40">
        <v>15.275024999999999</v>
      </c>
      <c r="J10" s="40">
        <v>-5.3956929999999996</v>
      </c>
      <c r="K10" s="40">
        <v>-2.1584987999999998</v>
      </c>
      <c r="L10" s="40">
        <v>-7.7843309999999999</v>
      </c>
      <c r="M10" s="40">
        <v>14.185465000000001</v>
      </c>
      <c r="N10" s="40">
        <v>-42.606754000000002</v>
      </c>
      <c r="O10" s="40">
        <v>36.207794</v>
      </c>
      <c r="P10" s="40">
        <v>20.471155</v>
      </c>
      <c r="Q10" s="40" t="e">
        <v>#N/A</v>
      </c>
      <c r="R10" s="40">
        <v>22.164726000000002</v>
      </c>
      <c r="S10" s="40">
        <v>35.791134</v>
      </c>
      <c r="T10" s="40" t="e">
        <v>#N/A</v>
      </c>
      <c r="U10" s="40">
        <v>-8.3932339999999996</v>
      </c>
      <c r="V10" s="155" t="e">
        <v>#N/A</v>
      </c>
      <c r="W10" s="24"/>
    </row>
    <row r="11" spans="1:23" x14ac:dyDescent="0.35">
      <c r="A11" s="2">
        <v>42058</v>
      </c>
      <c r="B11" s="7" t="e">
        <v>#N/A</v>
      </c>
      <c r="C11" s="7">
        <v>-3.6531745999999998</v>
      </c>
      <c r="D11" s="40">
        <v>7.7755809999999999</v>
      </c>
      <c r="E11" s="40">
        <v>26.025845</v>
      </c>
      <c r="F11" s="40">
        <v>-20.517672000000001</v>
      </c>
      <c r="G11" s="40">
        <v>-10.325468000000001</v>
      </c>
      <c r="H11" s="40">
        <v>-9.3602070000000008</v>
      </c>
      <c r="I11" s="40">
        <v>14.882051000000001</v>
      </c>
      <c r="J11" s="40">
        <v>-3.4720898</v>
      </c>
      <c r="K11" s="40">
        <v>-5.3567767000000002</v>
      </c>
      <c r="L11" s="40">
        <v>-12.002706999999999</v>
      </c>
      <c r="M11" s="40">
        <v>16.422129000000002</v>
      </c>
      <c r="N11" s="40">
        <v>-40.418888000000003</v>
      </c>
      <c r="O11" s="40">
        <v>36.704383999999997</v>
      </c>
      <c r="P11" s="40">
        <v>17.744016999999999</v>
      </c>
      <c r="Q11" s="40" t="e">
        <v>#N/A</v>
      </c>
      <c r="R11" s="40">
        <v>22.211147</v>
      </c>
      <c r="S11" s="40">
        <v>18.896639</v>
      </c>
      <c r="T11" s="40" t="e">
        <v>#N/A</v>
      </c>
      <c r="U11" s="40">
        <v>-7.6370296</v>
      </c>
      <c r="V11" s="155" t="e">
        <v>#N/A</v>
      </c>
      <c r="W11" s="24"/>
    </row>
    <row r="12" spans="1:23" x14ac:dyDescent="0.35">
      <c r="A12" s="2">
        <v>42086</v>
      </c>
      <c r="B12" s="7" t="e">
        <v>#N/A</v>
      </c>
      <c r="C12" s="7">
        <v>-6.6345749999999999</v>
      </c>
      <c r="D12" s="40">
        <v>2.3368715999999998</v>
      </c>
      <c r="E12" s="40">
        <v>23.905766</v>
      </c>
      <c r="F12" s="40">
        <v>-14.321130999999999</v>
      </c>
      <c r="G12" s="40">
        <v>-6.7065535000000001</v>
      </c>
      <c r="H12" s="40">
        <v>-9.5080969999999994</v>
      </c>
      <c r="I12" s="40">
        <v>18.487189999999998</v>
      </c>
      <c r="J12" s="40">
        <v>-3.8549959999999999</v>
      </c>
      <c r="K12" s="40">
        <v>-0.11006594</v>
      </c>
      <c r="L12" s="40">
        <v>-20.315062999999999</v>
      </c>
      <c r="M12" s="40">
        <v>9.8421334999999992</v>
      </c>
      <c r="N12" s="40">
        <v>-53.516692999999997</v>
      </c>
      <c r="O12" s="40">
        <v>28.448474999999998</v>
      </c>
      <c r="P12" s="40">
        <v>25.061547999999998</v>
      </c>
      <c r="Q12" s="40" t="e">
        <v>#N/A</v>
      </c>
      <c r="R12" s="40">
        <v>11.724365000000001</v>
      </c>
      <c r="S12" s="40">
        <v>14.706314000000001</v>
      </c>
      <c r="T12" s="40" t="e">
        <v>#N/A</v>
      </c>
      <c r="U12" s="40">
        <v>-17.258959999999998</v>
      </c>
      <c r="V12" s="155" t="e">
        <v>#N/A</v>
      </c>
      <c r="W12" s="24"/>
    </row>
    <row r="13" spans="1:23" x14ac:dyDescent="0.35">
      <c r="A13" s="2">
        <v>42117</v>
      </c>
      <c r="B13" s="7" t="e">
        <v>#N/A</v>
      </c>
      <c r="C13" s="7">
        <v>-5.8197317000000002</v>
      </c>
      <c r="D13" s="40">
        <v>2.8502345</v>
      </c>
      <c r="E13" s="40">
        <v>18.863619</v>
      </c>
      <c r="F13" s="40">
        <v>-12.928658499999999</v>
      </c>
      <c r="G13" s="40">
        <v>-9.8223629999999993</v>
      </c>
      <c r="H13" s="40">
        <v>-8.0557999999999996</v>
      </c>
      <c r="I13" s="40">
        <v>14.7358055</v>
      </c>
      <c r="J13" s="40">
        <v>-4.2207059999999998</v>
      </c>
      <c r="K13" s="40">
        <v>0.51373243000000002</v>
      </c>
      <c r="L13" s="40">
        <v>-20.483039999999999</v>
      </c>
      <c r="M13" s="40">
        <v>8.2791329999999999</v>
      </c>
      <c r="N13" s="40">
        <v>-53.640740000000001</v>
      </c>
      <c r="O13" s="40">
        <v>18.536449999999999</v>
      </c>
      <c r="P13" s="40">
        <v>46.509900000000002</v>
      </c>
      <c r="Q13" s="40" t="e">
        <v>#N/A</v>
      </c>
      <c r="R13" s="40">
        <v>8.5324399999999994</v>
      </c>
      <c r="S13" s="40">
        <v>-6.8359909999999999</v>
      </c>
      <c r="T13" s="40" t="e">
        <v>#N/A</v>
      </c>
      <c r="U13" s="40">
        <v>-6.5614939999999997</v>
      </c>
      <c r="V13" s="155" t="e">
        <v>#N/A</v>
      </c>
      <c r="W13" s="24"/>
    </row>
    <row r="14" spans="1:23" x14ac:dyDescent="0.35">
      <c r="A14" s="2">
        <v>42146</v>
      </c>
      <c r="B14" s="7" t="e">
        <v>#N/A</v>
      </c>
      <c r="C14" s="7">
        <v>-8.0462220000000002</v>
      </c>
      <c r="D14" s="40">
        <v>-7.0096730000000003</v>
      </c>
      <c r="E14" s="40">
        <v>10.968363</v>
      </c>
      <c r="F14" s="40">
        <v>-15.108705</v>
      </c>
      <c r="G14" s="40">
        <v>-11.472004999999999</v>
      </c>
      <c r="H14" s="40">
        <v>-14.214658999999999</v>
      </c>
      <c r="I14" s="40">
        <v>11.695278</v>
      </c>
      <c r="J14" s="40">
        <v>-10.370545999999999</v>
      </c>
      <c r="K14" s="40">
        <v>-7.1577970000000004</v>
      </c>
      <c r="L14" s="40">
        <v>-26.793849999999999</v>
      </c>
      <c r="M14" s="40">
        <v>0.16541481</v>
      </c>
      <c r="N14" s="40">
        <v>-41.554004999999997</v>
      </c>
      <c r="O14" s="40">
        <v>6.1849356000000002</v>
      </c>
      <c r="P14" s="40">
        <v>40.712009999999999</v>
      </c>
      <c r="Q14" s="40">
        <v>-3.2154440000000002</v>
      </c>
      <c r="R14" s="40">
        <v>8.4435830000000003</v>
      </c>
      <c r="S14" s="40">
        <v>-11.300319999999999</v>
      </c>
      <c r="T14" s="40">
        <v>-12.311297</v>
      </c>
      <c r="U14" s="40">
        <v>-8.8886679999999991</v>
      </c>
      <c r="V14" s="155" t="e">
        <v>#N/A</v>
      </c>
      <c r="W14" s="24"/>
    </row>
    <row r="15" spans="1:23" x14ac:dyDescent="0.35">
      <c r="A15" s="2">
        <v>42178</v>
      </c>
      <c r="B15" s="7" t="e">
        <v>#N/A</v>
      </c>
      <c r="C15" s="7">
        <v>-12.469417</v>
      </c>
      <c r="D15" s="40">
        <v>-7.1785269999999999</v>
      </c>
      <c r="E15" s="40">
        <v>8.9691399999999994</v>
      </c>
      <c r="F15" s="40">
        <v>-19.291692999999999</v>
      </c>
      <c r="G15" s="40">
        <v>-15.180868</v>
      </c>
      <c r="H15" s="40">
        <v>-19.550592000000002</v>
      </c>
      <c r="I15" s="40">
        <v>5.6688904999999998</v>
      </c>
      <c r="J15" s="40">
        <v>-11.790257</v>
      </c>
      <c r="K15" s="40">
        <v>-10.056179999999999</v>
      </c>
      <c r="L15" s="40">
        <v>-28.853666</v>
      </c>
      <c r="M15" s="40">
        <v>-3.135103</v>
      </c>
      <c r="N15" s="40">
        <v>-48.227511999999997</v>
      </c>
      <c r="O15" s="40">
        <v>4.923165</v>
      </c>
      <c r="P15" s="40">
        <v>31.097232999999999</v>
      </c>
      <c r="Q15" s="40">
        <v>-0.6642401</v>
      </c>
      <c r="R15" s="40">
        <v>2.3510575</v>
      </c>
      <c r="S15" s="40">
        <v>-15.637243</v>
      </c>
      <c r="T15" s="40">
        <v>-3.6572635</v>
      </c>
      <c r="U15" s="40">
        <v>-7.725543</v>
      </c>
      <c r="V15" s="155" t="e">
        <v>#N/A</v>
      </c>
      <c r="W15" s="24"/>
    </row>
    <row r="16" spans="1:23" x14ac:dyDescent="0.35">
      <c r="A16" s="2">
        <v>42208</v>
      </c>
      <c r="B16" s="7" t="e">
        <v>#N/A</v>
      </c>
      <c r="C16" s="7">
        <v>-17.628399999999999</v>
      </c>
      <c r="D16" s="40">
        <v>-20.310986</v>
      </c>
      <c r="E16" s="40">
        <v>3.2736182</v>
      </c>
      <c r="F16" s="40">
        <v>-22.129899999999999</v>
      </c>
      <c r="G16" s="40">
        <v>-24.612677000000001</v>
      </c>
      <c r="H16" s="40">
        <v>-23.233180999999998</v>
      </c>
      <c r="I16" s="40">
        <v>-6.5186204999999999</v>
      </c>
      <c r="J16" s="40">
        <v>-19.028973000000001</v>
      </c>
      <c r="K16" s="40">
        <v>-20.210760000000001</v>
      </c>
      <c r="L16" s="40">
        <v>-40.911484000000002</v>
      </c>
      <c r="M16" s="40">
        <v>-8.7092639999999992</v>
      </c>
      <c r="N16" s="40">
        <v>-52.704773000000003</v>
      </c>
      <c r="O16" s="40">
        <v>2.0586730000000002</v>
      </c>
      <c r="P16" s="40">
        <v>7.8289030000000004</v>
      </c>
      <c r="Q16" s="40">
        <v>-9.9018754999999992</v>
      </c>
      <c r="R16" s="40">
        <v>-6.2858400000000003</v>
      </c>
      <c r="S16" s="40">
        <v>-27.120595999999999</v>
      </c>
      <c r="T16" s="40">
        <v>-5.8222889999999996</v>
      </c>
      <c r="U16" s="40">
        <v>-12.069774000000001</v>
      </c>
      <c r="V16" s="155" t="e">
        <v>#N/A</v>
      </c>
      <c r="W16" s="24"/>
    </row>
    <row r="17" spans="1:23" x14ac:dyDescent="0.35">
      <c r="A17" s="2">
        <v>42237</v>
      </c>
      <c r="B17" s="7" t="e">
        <v>#N/A</v>
      </c>
      <c r="C17" s="7">
        <v>-23.146027</v>
      </c>
      <c r="D17" s="40">
        <v>-35.241042999999998</v>
      </c>
      <c r="E17" s="40">
        <v>-9.1204820000000009</v>
      </c>
      <c r="F17" s="40">
        <v>-22.141736999999999</v>
      </c>
      <c r="G17" s="40">
        <v>-38.287056</v>
      </c>
      <c r="H17" s="40">
        <v>-37.239806999999999</v>
      </c>
      <c r="I17" s="40">
        <v>-21.237777999999999</v>
      </c>
      <c r="J17" s="40">
        <v>-28.284842000000001</v>
      </c>
      <c r="K17" s="40">
        <v>-29.362171</v>
      </c>
      <c r="L17" s="40">
        <v>-49.302590000000002</v>
      </c>
      <c r="M17" s="40">
        <v>-19.880109999999998</v>
      </c>
      <c r="N17" s="40">
        <v>-54.621259999999999</v>
      </c>
      <c r="O17" s="40">
        <v>-6.845599</v>
      </c>
      <c r="P17" s="40">
        <v>-10.229456000000001</v>
      </c>
      <c r="Q17" s="40">
        <v>-19.620215999999999</v>
      </c>
      <c r="R17" s="40">
        <v>-11.976205999999999</v>
      </c>
      <c r="S17" s="40">
        <v>-30.778853999999999</v>
      </c>
      <c r="T17" s="40">
        <v>-24.486626000000001</v>
      </c>
      <c r="U17" s="40">
        <v>-27.268362</v>
      </c>
      <c r="V17" s="155" t="e">
        <v>#N/A</v>
      </c>
      <c r="W17" s="24"/>
    </row>
    <row r="18" spans="1:23" x14ac:dyDescent="0.35">
      <c r="A18" s="2">
        <v>42270</v>
      </c>
      <c r="B18" s="7" t="e">
        <v>#N/A</v>
      </c>
      <c r="C18" s="7">
        <v>-21.693707</v>
      </c>
      <c r="D18" s="40">
        <v>-36.263782999999997</v>
      </c>
      <c r="E18" s="40">
        <v>-9.4924689999999998</v>
      </c>
      <c r="F18" s="40">
        <v>-24.732375999999999</v>
      </c>
      <c r="G18" s="40">
        <v>-35.494267000000001</v>
      </c>
      <c r="H18" s="40">
        <v>-33.838566</v>
      </c>
      <c r="I18" s="40">
        <v>-13.317263000000001</v>
      </c>
      <c r="J18" s="40">
        <v>-24.684857999999998</v>
      </c>
      <c r="K18" s="40">
        <v>-21.541435</v>
      </c>
      <c r="L18" s="40">
        <v>-53.172694999999997</v>
      </c>
      <c r="M18" s="40">
        <v>-16.394203000000001</v>
      </c>
      <c r="N18" s="40">
        <v>-49.188084000000003</v>
      </c>
      <c r="O18" s="40">
        <v>-9.8137910000000002</v>
      </c>
      <c r="P18" s="40">
        <v>-6.7808570000000001</v>
      </c>
      <c r="Q18" s="40">
        <v>-16.402457999999999</v>
      </c>
      <c r="R18" s="40">
        <v>-13.518387000000001</v>
      </c>
      <c r="S18" s="40">
        <v>-27.314138</v>
      </c>
      <c r="T18" s="40">
        <v>-23.844206</v>
      </c>
      <c r="U18" s="40">
        <v>-27.739096</v>
      </c>
      <c r="V18" s="155" t="e">
        <v>#N/A</v>
      </c>
      <c r="W18" s="24"/>
    </row>
    <row r="19" spans="1:23" x14ac:dyDescent="0.35">
      <c r="A19" s="2">
        <v>42300</v>
      </c>
      <c r="B19" s="7" t="e">
        <v>#N/A</v>
      </c>
      <c r="C19" s="7">
        <v>-12.463265</v>
      </c>
      <c r="D19" s="40">
        <v>-19.904512</v>
      </c>
      <c r="E19" s="40">
        <v>-1.1786639999999999</v>
      </c>
      <c r="F19" s="40">
        <v>-20.452648</v>
      </c>
      <c r="G19" s="40">
        <v>-28.102291000000001</v>
      </c>
      <c r="H19" s="40">
        <v>-25.484138000000002</v>
      </c>
      <c r="I19" s="40">
        <v>-4.4065180000000002</v>
      </c>
      <c r="J19" s="40">
        <v>-15.585661</v>
      </c>
      <c r="K19" s="40">
        <v>-3.8567543</v>
      </c>
      <c r="L19" s="40">
        <v>-38.931762999999997</v>
      </c>
      <c r="M19" s="40">
        <v>-7.2603045000000002</v>
      </c>
      <c r="N19" s="40">
        <v>-37.319201999999997</v>
      </c>
      <c r="O19" s="40">
        <v>-1.1459231000000001</v>
      </c>
      <c r="P19" s="40">
        <v>6.6581963999999996</v>
      </c>
      <c r="Q19" s="40">
        <v>-10.859387999999999</v>
      </c>
      <c r="R19" s="40">
        <v>-7.6060829999999999</v>
      </c>
      <c r="S19" s="40">
        <v>-21.040313999999999</v>
      </c>
      <c r="T19" s="40">
        <v>-15.171492000000001</v>
      </c>
      <c r="U19" s="40">
        <v>-15.236616</v>
      </c>
      <c r="V19" s="155" t="e">
        <v>#N/A</v>
      </c>
      <c r="W19" s="24"/>
    </row>
    <row r="20" spans="1:23" x14ac:dyDescent="0.35">
      <c r="A20" s="2">
        <v>42331</v>
      </c>
      <c r="B20" s="7" t="e">
        <v>#N/A</v>
      </c>
      <c r="C20" s="7">
        <v>-22.003692999999998</v>
      </c>
      <c r="D20" s="40">
        <v>-24.429195</v>
      </c>
      <c r="E20" s="40">
        <v>-11.061102</v>
      </c>
      <c r="F20" s="40">
        <v>-27.128864</v>
      </c>
      <c r="G20" s="40">
        <v>-34.824770000000001</v>
      </c>
      <c r="H20" s="40">
        <v>-27.218150999999999</v>
      </c>
      <c r="I20" s="40">
        <v>-11.728638999999999</v>
      </c>
      <c r="J20" s="40">
        <v>-16.589361</v>
      </c>
      <c r="K20" s="40">
        <v>-5.4997387</v>
      </c>
      <c r="L20" s="40">
        <v>-41.710514000000003</v>
      </c>
      <c r="M20" s="40">
        <v>-20.031946000000001</v>
      </c>
      <c r="N20" s="40">
        <v>-46.50703</v>
      </c>
      <c r="O20" s="40">
        <v>-15.538387999999999</v>
      </c>
      <c r="P20" s="40">
        <v>-1.5380084999999999</v>
      </c>
      <c r="Q20" s="40">
        <v>-22.877472000000001</v>
      </c>
      <c r="R20" s="40">
        <v>-11.713523</v>
      </c>
      <c r="S20" s="40">
        <v>-24.540631999999999</v>
      </c>
      <c r="T20" s="40">
        <v>-27.750868000000001</v>
      </c>
      <c r="U20" s="40">
        <v>-20.418178999999999</v>
      </c>
      <c r="V20" s="155" t="e">
        <v>#N/A</v>
      </c>
      <c r="W20" s="24"/>
    </row>
    <row r="21" spans="1:23" x14ac:dyDescent="0.35">
      <c r="A21" s="2">
        <v>42361</v>
      </c>
      <c r="B21" s="40" t="e">
        <v>#N/A</v>
      </c>
      <c r="C21" s="40">
        <v>-15.271318000000001</v>
      </c>
      <c r="D21" s="40">
        <v>-19.890636000000001</v>
      </c>
      <c r="E21" s="40">
        <v>-8.8852639999999994</v>
      </c>
      <c r="F21" s="40">
        <v>-21.646325999999998</v>
      </c>
      <c r="G21" s="40">
        <v>-34.215609999999998</v>
      </c>
      <c r="H21" s="40">
        <v>-19.928311999999998</v>
      </c>
      <c r="I21" s="40">
        <v>-9.0432760000000005</v>
      </c>
      <c r="J21" s="40">
        <v>-12.131100999999999</v>
      </c>
      <c r="K21" s="40">
        <v>-4.5511483999999998</v>
      </c>
      <c r="L21" s="40">
        <v>-39.198017</v>
      </c>
      <c r="M21" s="40">
        <v>-21.560918999999998</v>
      </c>
      <c r="N21" s="40">
        <v>-41.240738</v>
      </c>
      <c r="O21" s="40">
        <v>-5.9559765000000002</v>
      </c>
      <c r="P21" s="40">
        <v>-4.3366012999999999</v>
      </c>
      <c r="Q21" s="40">
        <v>-16.745228000000001</v>
      </c>
      <c r="R21" s="40">
        <v>-16.763002</v>
      </c>
      <c r="S21" s="40">
        <v>-28.826231</v>
      </c>
      <c r="T21" s="40">
        <v>-14.041525</v>
      </c>
      <c r="U21" s="40">
        <v>-20.509922</v>
      </c>
      <c r="V21" s="155" t="e">
        <v>#N/A</v>
      </c>
      <c r="W21" s="24"/>
    </row>
    <row r="22" spans="1:23" x14ac:dyDescent="0.35">
      <c r="A22" s="2">
        <v>42391</v>
      </c>
      <c r="B22" s="40" t="e">
        <v>#N/A</v>
      </c>
      <c r="C22" s="40">
        <v>-20.743846999999999</v>
      </c>
      <c r="D22" s="40">
        <v>-25.348866000000001</v>
      </c>
      <c r="E22" s="40">
        <v>-25.209755000000001</v>
      </c>
      <c r="F22" s="40">
        <v>-28.407944000000001</v>
      </c>
      <c r="G22" s="40">
        <v>-38.258952999999998</v>
      </c>
      <c r="H22" s="40">
        <v>-22.231138000000001</v>
      </c>
      <c r="I22" s="40">
        <v>-22.453499000000001</v>
      </c>
      <c r="J22" s="40">
        <v>-22.847832</v>
      </c>
      <c r="K22" s="40">
        <v>-15.575772000000001</v>
      </c>
      <c r="L22" s="40">
        <v>-50.869064000000002</v>
      </c>
      <c r="M22" s="40">
        <v>-38.634950000000003</v>
      </c>
      <c r="N22" s="40">
        <v>-45.622593000000002</v>
      </c>
      <c r="O22" s="40">
        <v>-22.917826000000002</v>
      </c>
      <c r="P22" s="40">
        <v>-24.793768</v>
      </c>
      <c r="Q22" s="40">
        <v>-26.365058999999999</v>
      </c>
      <c r="R22" s="40">
        <v>-18.733733999999998</v>
      </c>
      <c r="S22" s="40">
        <v>-39.723866000000001</v>
      </c>
      <c r="T22" s="40">
        <v>-25.407344999999999</v>
      </c>
      <c r="U22" s="40">
        <v>-27.91872</v>
      </c>
      <c r="V22" s="155" t="e">
        <v>#N/A</v>
      </c>
      <c r="W22" s="24"/>
    </row>
    <row r="23" spans="1:23" x14ac:dyDescent="0.35">
      <c r="A23" s="2">
        <v>42423</v>
      </c>
      <c r="B23" s="40" t="e">
        <v>#N/A</v>
      </c>
      <c r="C23" s="40">
        <v>-17.127507999999999</v>
      </c>
      <c r="D23" s="40">
        <v>-19.897580000000001</v>
      </c>
      <c r="E23" s="40">
        <v>-20.631844000000001</v>
      </c>
      <c r="F23" s="40">
        <v>-22.961288</v>
      </c>
      <c r="G23" s="40">
        <v>-26.861840999999998</v>
      </c>
      <c r="H23" s="40">
        <v>-18.40409</v>
      </c>
      <c r="I23" s="40">
        <v>-16.992504</v>
      </c>
      <c r="J23" s="40">
        <v>-17.235786000000001</v>
      </c>
      <c r="K23" s="40">
        <v>-14.427631999999999</v>
      </c>
      <c r="L23" s="40">
        <v>-39.078949999999999</v>
      </c>
      <c r="M23" s="40">
        <v>-32.218273000000003</v>
      </c>
      <c r="N23" s="40">
        <v>-54.267223000000001</v>
      </c>
      <c r="O23" s="40">
        <v>-25.219647999999999</v>
      </c>
      <c r="P23" s="40">
        <v>-24.298023000000001</v>
      </c>
      <c r="Q23" s="40">
        <v>-19.753271000000002</v>
      </c>
      <c r="R23" s="40">
        <v>-16.820484</v>
      </c>
      <c r="S23" s="40">
        <v>-25.562733000000001</v>
      </c>
      <c r="T23" s="40">
        <v>-17.824059999999999</v>
      </c>
      <c r="U23" s="40">
        <v>-24.329346000000001</v>
      </c>
      <c r="V23" s="155" t="e">
        <v>#N/A</v>
      </c>
      <c r="W23" s="24"/>
    </row>
    <row r="24" spans="1:23" x14ac:dyDescent="0.35">
      <c r="A24" s="2">
        <v>42452</v>
      </c>
      <c r="B24" s="40" t="e">
        <v>#N/A</v>
      </c>
      <c r="C24" s="40">
        <v>-8.0021020000000007</v>
      </c>
      <c r="D24" s="40">
        <v>-13.634872</v>
      </c>
      <c r="E24" s="40">
        <v>-11.568194</v>
      </c>
      <c r="F24" s="40">
        <v>-17.76042</v>
      </c>
      <c r="G24" s="40">
        <v>-9.0211690000000004</v>
      </c>
      <c r="H24" s="40">
        <v>-10.543710000000001</v>
      </c>
      <c r="I24" s="40">
        <v>-12.677622</v>
      </c>
      <c r="J24" s="40">
        <v>-9.9939164999999992</v>
      </c>
      <c r="K24" s="40">
        <v>-8.86876</v>
      </c>
      <c r="L24" s="40">
        <v>-17.797464000000002</v>
      </c>
      <c r="M24" s="40">
        <v>-22.278345000000002</v>
      </c>
      <c r="N24" s="40">
        <v>-36.353319999999997</v>
      </c>
      <c r="O24" s="40">
        <v>-16.055382000000002</v>
      </c>
      <c r="P24" s="40">
        <v>-19.743967000000001</v>
      </c>
      <c r="Q24" s="40">
        <v>-10.124624000000001</v>
      </c>
      <c r="R24" s="40">
        <v>-7.0953489999999997</v>
      </c>
      <c r="S24" s="40">
        <v>-12.984532</v>
      </c>
      <c r="T24" s="40">
        <v>-7.6576890000000004</v>
      </c>
      <c r="U24" s="40">
        <v>-17.702728</v>
      </c>
      <c r="V24" s="155" t="e">
        <v>#N/A</v>
      </c>
      <c r="W24" s="24"/>
    </row>
    <row r="25" spans="1:23" x14ac:dyDescent="0.35">
      <c r="A25" s="2">
        <v>42482</v>
      </c>
      <c r="B25" s="40" t="e">
        <v>#N/A</v>
      </c>
      <c r="C25" s="40">
        <v>-10.012822999999999</v>
      </c>
      <c r="D25" s="40">
        <v>-13.012551999999999</v>
      </c>
      <c r="E25" s="40">
        <v>-13.048196000000001</v>
      </c>
      <c r="F25" s="40">
        <v>-23.176473999999999</v>
      </c>
      <c r="G25" s="40">
        <v>2.4008989999999999</v>
      </c>
      <c r="H25" s="40">
        <v>-12.149471</v>
      </c>
      <c r="I25" s="40">
        <v>-14.327359</v>
      </c>
      <c r="J25" s="40">
        <v>-8.511215</v>
      </c>
      <c r="K25" s="40">
        <v>-12.507301</v>
      </c>
      <c r="L25" s="40">
        <v>-18.354828000000001</v>
      </c>
      <c r="M25" s="40">
        <v>-19.154845999999999</v>
      </c>
      <c r="N25" s="40">
        <v>-19.569904000000001</v>
      </c>
      <c r="O25" s="40">
        <v>-12.528366</v>
      </c>
      <c r="P25" s="40">
        <v>-30.793620000000001</v>
      </c>
      <c r="Q25" s="40">
        <v>-14.025086</v>
      </c>
      <c r="R25" s="40">
        <v>-9.0978739999999991</v>
      </c>
      <c r="S25" s="40">
        <v>-0.48960447000000001</v>
      </c>
      <c r="T25" s="40">
        <v>-13.820261</v>
      </c>
      <c r="U25" s="40">
        <v>-18.47983</v>
      </c>
      <c r="V25" s="155" t="e">
        <v>#N/A</v>
      </c>
      <c r="W25" s="24"/>
    </row>
    <row r="26" spans="1:23" x14ac:dyDescent="0.35">
      <c r="A26" s="2">
        <v>42513</v>
      </c>
      <c r="B26" s="40" t="e">
        <v>#N/A</v>
      </c>
      <c r="C26" s="40">
        <v>-15.604937</v>
      </c>
      <c r="D26" s="40">
        <v>-15.575689000000001</v>
      </c>
      <c r="E26" s="40">
        <v>-10.516572</v>
      </c>
      <c r="F26" s="40">
        <v>-28.708738</v>
      </c>
      <c r="G26" s="40">
        <v>-0.92635155000000002</v>
      </c>
      <c r="H26" s="40">
        <v>-17.390179</v>
      </c>
      <c r="I26" s="40">
        <v>-18.858253000000001</v>
      </c>
      <c r="J26" s="40">
        <v>-14.627248</v>
      </c>
      <c r="K26" s="40">
        <v>-15.786849999999999</v>
      </c>
      <c r="L26" s="40">
        <v>-21.532112000000001</v>
      </c>
      <c r="M26" s="40">
        <v>-27.562629999999999</v>
      </c>
      <c r="N26" s="40">
        <v>-25.794488999999999</v>
      </c>
      <c r="O26" s="40">
        <v>-14.622837000000001</v>
      </c>
      <c r="P26" s="40">
        <v>-34.826540000000001</v>
      </c>
      <c r="Q26" s="40">
        <v>-21.555620000000001</v>
      </c>
      <c r="R26" s="40">
        <v>-9.329599</v>
      </c>
      <c r="S26" s="40">
        <v>-20.808433999999998</v>
      </c>
      <c r="T26" s="40">
        <v>-20.610111</v>
      </c>
      <c r="U26" s="40">
        <v>-16.059636999999999</v>
      </c>
      <c r="V26" s="155" t="e">
        <v>#N/A</v>
      </c>
      <c r="W26" s="24"/>
    </row>
    <row r="27" spans="1:23" x14ac:dyDescent="0.35">
      <c r="A27" s="2">
        <v>42544</v>
      </c>
      <c r="B27" s="40" t="e">
        <v>#N/A</v>
      </c>
      <c r="C27" s="40">
        <v>-3.7952482999999999</v>
      </c>
      <c r="D27" s="40">
        <v>1.4635563</v>
      </c>
      <c r="E27" s="40">
        <v>2.6398182000000001</v>
      </c>
      <c r="F27" s="40">
        <v>-20.05772</v>
      </c>
      <c r="G27" s="40">
        <v>3.9462804999999999</v>
      </c>
      <c r="H27" s="40">
        <v>-7.3654593999999998</v>
      </c>
      <c r="I27" s="40">
        <v>-8.6724870000000003</v>
      </c>
      <c r="J27" s="40">
        <v>-11.461722999999999</v>
      </c>
      <c r="K27" s="40">
        <v>-3.7544369999999998</v>
      </c>
      <c r="L27" s="40">
        <v>-11.697096</v>
      </c>
      <c r="M27" s="40">
        <v>-12.524003</v>
      </c>
      <c r="N27" s="40">
        <v>-30.687935</v>
      </c>
      <c r="O27" s="40">
        <v>-6.8628907000000003</v>
      </c>
      <c r="P27" s="40">
        <v>-25.898230000000002</v>
      </c>
      <c r="Q27" s="40">
        <v>-16.600204000000002</v>
      </c>
      <c r="R27" s="40">
        <v>-4.4457554999999997</v>
      </c>
      <c r="S27" s="40">
        <v>-8.7813619999999997</v>
      </c>
      <c r="T27" s="40">
        <v>-14.002656999999999</v>
      </c>
      <c r="U27" s="40">
        <v>-15.632725000000001</v>
      </c>
      <c r="V27" s="155" t="e">
        <v>#N/A</v>
      </c>
      <c r="W27" s="24"/>
    </row>
    <row r="28" spans="1:23" x14ac:dyDescent="0.35">
      <c r="A28" s="2">
        <v>42573</v>
      </c>
      <c r="B28" s="40" t="e">
        <v>#N/A</v>
      </c>
      <c r="C28" s="40">
        <v>7.3050139999999999</v>
      </c>
      <c r="D28" s="40">
        <v>11.369001000000001</v>
      </c>
      <c r="E28" s="40">
        <v>4.5036792999999999</v>
      </c>
      <c r="F28" s="40">
        <v>-18.739487</v>
      </c>
      <c r="G28" s="40">
        <v>21.088255</v>
      </c>
      <c r="H28" s="40">
        <v>-6.1416029999999999</v>
      </c>
      <c r="I28" s="40">
        <v>2.1331190000000002</v>
      </c>
      <c r="J28" s="40">
        <v>-5.6902647000000002</v>
      </c>
      <c r="K28" s="40">
        <v>6.8174004999999998</v>
      </c>
      <c r="L28" s="40">
        <v>9.9028700000000001</v>
      </c>
      <c r="M28" s="40">
        <v>-7.2773876</v>
      </c>
      <c r="N28" s="40">
        <v>-25.924724999999999</v>
      </c>
      <c r="O28" s="40">
        <v>-6.2185946000000003</v>
      </c>
      <c r="P28" s="40">
        <v>-13.257866999999999</v>
      </c>
      <c r="Q28" s="40">
        <v>-9.7217800000000008</v>
      </c>
      <c r="R28" s="40">
        <v>4.2332052999999998</v>
      </c>
      <c r="S28" s="40">
        <v>-18.219555</v>
      </c>
      <c r="T28" s="40">
        <v>-12.008608000000001</v>
      </c>
      <c r="U28" s="40">
        <v>-17.103916000000002</v>
      </c>
      <c r="V28" s="155" t="e">
        <v>#N/A</v>
      </c>
      <c r="W28" s="24"/>
    </row>
    <row r="29" spans="1:23" x14ac:dyDescent="0.35">
      <c r="A29" s="2">
        <v>42605</v>
      </c>
      <c r="B29" s="40" t="e">
        <v>#N/A</v>
      </c>
      <c r="C29" s="40">
        <v>15.320683000000001</v>
      </c>
      <c r="D29" s="40">
        <v>41.530884</v>
      </c>
      <c r="E29" s="40">
        <v>15.435302999999999</v>
      </c>
      <c r="F29" s="40">
        <v>-14.828706</v>
      </c>
      <c r="G29" s="40">
        <v>59.048878000000002</v>
      </c>
      <c r="H29" s="40">
        <v>17.165732999999999</v>
      </c>
      <c r="I29" s="40">
        <v>24.617529000000001</v>
      </c>
      <c r="J29" s="40">
        <v>4.351032</v>
      </c>
      <c r="K29" s="40">
        <v>27.477968000000001</v>
      </c>
      <c r="L29" s="40">
        <v>35.807429999999997</v>
      </c>
      <c r="M29" s="40">
        <v>6.9247246000000002</v>
      </c>
      <c r="N29" s="40">
        <v>-20.752853000000002</v>
      </c>
      <c r="O29" s="40">
        <v>3.1933069999999999</v>
      </c>
      <c r="P29" s="40">
        <v>7.3607801999999998</v>
      </c>
      <c r="Q29" s="40">
        <v>4.1232585999999998</v>
      </c>
      <c r="R29" s="40">
        <v>12.774514999999999</v>
      </c>
      <c r="S29" s="40">
        <v>7.208526</v>
      </c>
      <c r="T29" s="40">
        <v>1.8974304</v>
      </c>
      <c r="U29" s="40">
        <v>1.5521883999999999</v>
      </c>
      <c r="V29" s="155" t="e">
        <v>#N/A</v>
      </c>
      <c r="W29" s="24"/>
    </row>
    <row r="30" spans="1:23" x14ac:dyDescent="0.35">
      <c r="A30" s="2">
        <v>42636</v>
      </c>
      <c r="B30" s="40" t="e">
        <v>#N/A</v>
      </c>
      <c r="C30" s="40">
        <v>16.650379999999998</v>
      </c>
      <c r="D30" s="40">
        <v>51.475940000000001</v>
      </c>
      <c r="E30" s="40">
        <v>9.4053380000000004</v>
      </c>
      <c r="F30" s="40">
        <v>-11.3794565</v>
      </c>
      <c r="G30" s="40">
        <v>53.59055</v>
      </c>
      <c r="H30" s="40">
        <v>14.819288</v>
      </c>
      <c r="I30" s="40">
        <v>21.747530000000001</v>
      </c>
      <c r="J30" s="40">
        <v>-4.1582879999999998</v>
      </c>
      <c r="K30" s="40">
        <v>22.367190999999998</v>
      </c>
      <c r="L30" s="40">
        <v>64.389499999999998</v>
      </c>
      <c r="M30" s="40">
        <v>10.497856000000001</v>
      </c>
      <c r="N30" s="40">
        <v>-24.014526</v>
      </c>
      <c r="O30" s="40">
        <v>9.923387</v>
      </c>
      <c r="P30" s="40">
        <v>13.747071999999999</v>
      </c>
      <c r="Q30" s="40">
        <v>-5.5651783999999997</v>
      </c>
      <c r="R30" s="40">
        <v>8.5596680000000003</v>
      </c>
      <c r="S30" s="40">
        <v>13.4150505</v>
      </c>
      <c r="T30" s="40">
        <v>-0.66350100000000001</v>
      </c>
      <c r="U30" s="40">
        <v>-1.7360628</v>
      </c>
      <c r="V30" s="155">
        <v>-12.648153000000001</v>
      </c>
      <c r="W30" s="24"/>
    </row>
    <row r="31" spans="1:23" x14ac:dyDescent="0.35">
      <c r="A31" s="2">
        <v>42664</v>
      </c>
      <c r="B31" s="40" t="e">
        <v>#N/A</v>
      </c>
      <c r="C31" s="40">
        <v>14.580631</v>
      </c>
      <c r="D31" s="40">
        <v>27.748000999999999</v>
      </c>
      <c r="E31" s="40">
        <v>4.3055057999999997</v>
      </c>
      <c r="F31" s="40">
        <v>-15.42145</v>
      </c>
      <c r="G31" s="40">
        <v>45.028731999999998</v>
      </c>
      <c r="H31" s="40">
        <v>5.1130176000000001</v>
      </c>
      <c r="I31" s="40">
        <v>15.406775</v>
      </c>
      <c r="J31" s="40">
        <v>-1.850754</v>
      </c>
      <c r="K31" s="40">
        <v>6.8209049999999998</v>
      </c>
      <c r="L31" s="40">
        <v>68.101870000000005</v>
      </c>
      <c r="M31" s="40">
        <v>-2.0047665000000001</v>
      </c>
      <c r="N31" s="40">
        <v>-30.280525000000001</v>
      </c>
      <c r="O31" s="40">
        <v>2.2873877999999999</v>
      </c>
      <c r="P31" s="40">
        <v>3.159678</v>
      </c>
      <c r="Q31" s="40">
        <v>-8.1483360000000005</v>
      </c>
      <c r="R31" s="40">
        <v>5.9732913999999999</v>
      </c>
      <c r="S31" s="40">
        <v>-4.3853226000000003</v>
      </c>
      <c r="T31" s="40">
        <v>-5.4722843000000001</v>
      </c>
      <c r="U31" s="40">
        <v>-9.0155239999999992</v>
      </c>
      <c r="V31" s="155">
        <v>-16.474883999999999</v>
      </c>
      <c r="W31" s="24"/>
    </row>
    <row r="32" spans="1:23" x14ac:dyDescent="0.35">
      <c r="A32" s="2">
        <v>42697</v>
      </c>
      <c r="B32" s="40" t="e">
        <v>#N/A</v>
      </c>
      <c r="C32" s="40">
        <v>15.385496</v>
      </c>
      <c r="D32" s="40">
        <v>13.502514</v>
      </c>
      <c r="E32" s="40">
        <v>-6.5763416000000001</v>
      </c>
      <c r="F32" s="40">
        <v>-8.123011</v>
      </c>
      <c r="G32" s="40">
        <v>48.154842000000002</v>
      </c>
      <c r="H32" s="40">
        <v>-3.2038329999999999</v>
      </c>
      <c r="I32" s="40">
        <v>14.086055999999999</v>
      </c>
      <c r="J32" s="40">
        <v>-18.779599999999999</v>
      </c>
      <c r="K32" s="40">
        <v>1.928401</v>
      </c>
      <c r="L32" s="40">
        <v>38.608573999999997</v>
      </c>
      <c r="M32" s="40">
        <v>-5.0384339999999996</v>
      </c>
      <c r="N32" s="40">
        <v>-9.8632150000000003</v>
      </c>
      <c r="O32" s="40">
        <v>-3.3932090000000001</v>
      </c>
      <c r="P32" s="40">
        <v>-1.6595542000000001</v>
      </c>
      <c r="Q32" s="40">
        <v>-5.7322024999999996</v>
      </c>
      <c r="R32" s="40">
        <v>7.3259590000000001</v>
      </c>
      <c r="S32" s="40">
        <v>-19.00273</v>
      </c>
      <c r="T32" s="40">
        <v>3.5971880000000001</v>
      </c>
      <c r="U32" s="40">
        <v>-12.853849</v>
      </c>
      <c r="V32" s="155">
        <v>-1.2315631</v>
      </c>
      <c r="W32" s="24"/>
    </row>
    <row r="33" spans="1:23" x14ac:dyDescent="0.35">
      <c r="A33" s="2">
        <v>42727</v>
      </c>
      <c r="B33" s="40" t="e">
        <v>#N/A</v>
      </c>
      <c r="C33" s="40">
        <v>12.505174</v>
      </c>
      <c r="D33" s="40">
        <v>9.0865729999999996</v>
      </c>
      <c r="E33" s="40">
        <v>-10.367316000000001</v>
      </c>
      <c r="F33" s="40">
        <v>-1.4852703</v>
      </c>
      <c r="G33" s="40">
        <v>58.590614000000002</v>
      </c>
      <c r="H33" s="40">
        <v>-4.9644709999999996</v>
      </c>
      <c r="I33" s="40">
        <v>13.7642145</v>
      </c>
      <c r="J33" s="40">
        <v>-12.637985</v>
      </c>
      <c r="K33" s="40">
        <v>4.2130590000000003</v>
      </c>
      <c r="L33" s="40">
        <v>52.944766999999999</v>
      </c>
      <c r="M33" s="40">
        <v>6.5969825000000002</v>
      </c>
      <c r="N33" s="40">
        <v>-4.6551824000000002</v>
      </c>
      <c r="O33" s="40">
        <v>-4.6909036999999998</v>
      </c>
      <c r="P33" s="40">
        <v>-5.2662849999999999</v>
      </c>
      <c r="Q33" s="40">
        <v>5.2035929999999997</v>
      </c>
      <c r="R33" s="40">
        <v>18.47626</v>
      </c>
      <c r="S33" s="40">
        <v>-12.616253</v>
      </c>
      <c r="T33" s="40">
        <v>12.407457000000001</v>
      </c>
      <c r="U33" s="40">
        <v>-8.3458240000000004</v>
      </c>
      <c r="V33" s="155">
        <v>6.4574600000000002</v>
      </c>
      <c r="W33" s="24"/>
    </row>
    <row r="34" spans="1:23" x14ac:dyDescent="0.35">
      <c r="A34" s="2">
        <v>42758</v>
      </c>
      <c r="B34" s="40" t="e">
        <v>#N/A</v>
      </c>
      <c r="C34" s="40">
        <v>30.277359000000001</v>
      </c>
      <c r="D34" s="40">
        <v>17.984497000000001</v>
      </c>
      <c r="E34" s="40">
        <v>17.666709999999998</v>
      </c>
      <c r="F34" s="40">
        <v>22.363842000000002</v>
      </c>
      <c r="G34" s="40">
        <v>87.569199999999995</v>
      </c>
      <c r="H34" s="40">
        <v>1.0813713</v>
      </c>
      <c r="I34" s="40">
        <v>34.618113999999998</v>
      </c>
      <c r="J34" s="40">
        <v>-2.0783960000000001</v>
      </c>
      <c r="K34" s="40">
        <v>21.828126999999999</v>
      </c>
      <c r="L34" s="40">
        <v>112.55723999999999</v>
      </c>
      <c r="M34" s="40">
        <v>40.667366000000001</v>
      </c>
      <c r="N34" s="40">
        <v>20.95945</v>
      </c>
      <c r="O34" s="40">
        <v>9.9649429999999999</v>
      </c>
      <c r="P34" s="40">
        <v>21.420431000000001</v>
      </c>
      <c r="Q34" s="40">
        <v>27.926863000000001</v>
      </c>
      <c r="R34" s="40">
        <v>23.876404000000001</v>
      </c>
      <c r="S34" s="40">
        <v>-3.4045993999999999</v>
      </c>
      <c r="T34" s="40">
        <v>31.387042999999998</v>
      </c>
      <c r="U34" s="40">
        <v>6.6502093999999996</v>
      </c>
      <c r="V34" s="155">
        <v>27.108335</v>
      </c>
      <c r="W34" s="24"/>
    </row>
    <row r="35" spans="1:23" x14ac:dyDescent="0.35">
      <c r="A35" s="2">
        <v>42789</v>
      </c>
      <c r="B35" s="40" t="e">
        <v>#N/A</v>
      </c>
      <c r="C35" s="40">
        <v>25.621582</v>
      </c>
      <c r="D35" s="40">
        <v>15.249205</v>
      </c>
      <c r="E35" s="40">
        <v>4.7238946000000004</v>
      </c>
      <c r="F35" s="40">
        <v>25.105893999999999</v>
      </c>
      <c r="G35" s="40">
        <v>66.332504</v>
      </c>
      <c r="H35" s="40">
        <v>-0.29230714000000002</v>
      </c>
      <c r="I35" s="40">
        <v>31.817318</v>
      </c>
      <c r="J35" s="40">
        <v>0.73595047000000002</v>
      </c>
      <c r="K35" s="40">
        <v>28.690529000000002</v>
      </c>
      <c r="L35" s="40">
        <v>96.342110000000005</v>
      </c>
      <c r="M35" s="40">
        <v>30.610275000000001</v>
      </c>
      <c r="N35" s="40">
        <v>28.460014000000001</v>
      </c>
      <c r="O35" s="40">
        <v>25.049994999999999</v>
      </c>
      <c r="P35" s="40">
        <v>31.274377999999999</v>
      </c>
      <c r="Q35" s="40">
        <v>12.293172</v>
      </c>
      <c r="R35" s="40">
        <v>18.217813</v>
      </c>
      <c r="S35" s="40">
        <v>-2.0462274999999999E-2</v>
      </c>
      <c r="T35" s="40">
        <v>15.390694</v>
      </c>
      <c r="U35" s="40">
        <v>-0.98817944999999996</v>
      </c>
      <c r="V35" s="155">
        <v>22.287500000000001</v>
      </c>
      <c r="W35" s="24"/>
    </row>
    <row r="36" spans="1:23" x14ac:dyDescent="0.35">
      <c r="A36" s="2">
        <v>42817</v>
      </c>
      <c r="B36" s="40" t="e">
        <v>#N/A</v>
      </c>
      <c r="C36" s="40">
        <v>21.879090000000001</v>
      </c>
      <c r="D36" s="40">
        <v>12.920153000000001</v>
      </c>
      <c r="E36" s="40">
        <v>-4.9430075000000002</v>
      </c>
      <c r="F36" s="40">
        <v>17.04073</v>
      </c>
      <c r="G36" s="40">
        <v>32.531227000000001</v>
      </c>
      <c r="H36" s="40">
        <v>-4.9687089999999996</v>
      </c>
      <c r="I36" s="40">
        <v>25.495730999999999</v>
      </c>
      <c r="J36" s="40">
        <v>-1.7012596</v>
      </c>
      <c r="K36" s="40">
        <v>21.859991000000001</v>
      </c>
      <c r="L36" s="40">
        <v>45.337547000000001</v>
      </c>
      <c r="M36" s="40">
        <v>23.376728</v>
      </c>
      <c r="N36" s="40">
        <v>12.930429</v>
      </c>
      <c r="O36" s="40">
        <v>17.344152000000001</v>
      </c>
      <c r="P36" s="40">
        <v>24.040019999999998</v>
      </c>
      <c r="Q36" s="40">
        <v>2.5475620999999999</v>
      </c>
      <c r="R36" s="40">
        <v>11.086558999999999</v>
      </c>
      <c r="S36" s="40">
        <v>-10.865021</v>
      </c>
      <c r="T36" s="40">
        <v>7.2402595999999999</v>
      </c>
      <c r="U36" s="40">
        <v>2.2430181999999999</v>
      </c>
      <c r="V36" s="155">
        <v>11.895061</v>
      </c>
      <c r="W36" s="24"/>
    </row>
    <row r="37" spans="1:23" x14ac:dyDescent="0.35">
      <c r="A37" s="2">
        <v>42846</v>
      </c>
      <c r="B37" s="40" t="e">
        <v>#N/A</v>
      </c>
      <c r="C37" s="40">
        <v>20.512450000000001</v>
      </c>
      <c r="D37" s="40">
        <v>11.570835000000001</v>
      </c>
      <c r="E37" s="40">
        <v>0.84244010000000003</v>
      </c>
      <c r="F37" s="40">
        <v>17.268515000000001</v>
      </c>
      <c r="G37" s="40">
        <v>12.703646000000001</v>
      </c>
      <c r="H37" s="40">
        <v>-6.4211187000000001</v>
      </c>
      <c r="I37" s="40">
        <v>26.090693999999999</v>
      </c>
      <c r="J37" s="40">
        <v>-1.4023542</v>
      </c>
      <c r="K37" s="40">
        <v>15.430236000000001</v>
      </c>
      <c r="L37" s="40">
        <v>31.233978</v>
      </c>
      <c r="M37" s="40">
        <v>7.8131199999999996</v>
      </c>
      <c r="N37" s="40">
        <v>0.3266096</v>
      </c>
      <c r="O37" s="40">
        <v>15.217579000000001</v>
      </c>
      <c r="P37" s="40">
        <v>17.779540999999998</v>
      </c>
      <c r="Q37" s="40">
        <v>2.4422765000000002</v>
      </c>
      <c r="R37" s="40">
        <v>10.261953</v>
      </c>
      <c r="S37" s="40">
        <v>-14.858556</v>
      </c>
      <c r="T37" s="40">
        <v>1.0061264000000001</v>
      </c>
      <c r="U37" s="40">
        <v>1.3638139</v>
      </c>
      <c r="V37" s="155">
        <v>10.886562</v>
      </c>
      <c r="W37" s="24"/>
    </row>
    <row r="38" spans="1:23" x14ac:dyDescent="0.35">
      <c r="A38" s="2">
        <v>42878</v>
      </c>
      <c r="B38" s="40" t="e">
        <v>#N/A</v>
      </c>
      <c r="C38" s="40">
        <v>23.775566000000001</v>
      </c>
      <c r="D38" s="40">
        <v>24.814437999999999</v>
      </c>
      <c r="E38" s="40">
        <v>1.0877132</v>
      </c>
      <c r="F38" s="40">
        <v>40.396107000000001</v>
      </c>
      <c r="G38" s="40">
        <v>17.900585</v>
      </c>
      <c r="H38" s="40">
        <v>6.6389440000000004</v>
      </c>
      <c r="I38" s="40">
        <v>36.351227000000002</v>
      </c>
      <c r="J38" s="40">
        <v>6.94679</v>
      </c>
      <c r="K38" s="40">
        <v>37.275359999999999</v>
      </c>
      <c r="L38" s="40">
        <v>36.285697999999996</v>
      </c>
      <c r="M38" s="40">
        <v>31.530190000000001</v>
      </c>
      <c r="N38" s="40">
        <v>9.4266179999999995</v>
      </c>
      <c r="O38" s="40">
        <v>21.812487000000001</v>
      </c>
      <c r="P38" s="40">
        <v>36.227393999999997</v>
      </c>
      <c r="Q38" s="40">
        <v>6.4133050000000003</v>
      </c>
      <c r="R38" s="40">
        <v>13.244653</v>
      </c>
      <c r="S38" s="40">
        <v>8.7793589999999995</v>
      </c>
      <c r="T38" s="40">
        <v>12.931335000000001</v>
      </c>
      <c r="U38" s="40">
        <v>0.10855198000000001</v>
      </c>
      <c r="V38" s="155">
        <v>10.447179999999999</v>
      </c>
      <c r="W38" s="24"/>
    </row>
    <row r="39" spans="1:23" x14ac:dyDescent="0.35">
      <c r="A39" s="2">
        <v>42909</v>
      </c>
      <c r="B39" s="40">
        <v>12.188124999999999</v>
      </c>
      <c r="C39" s="40">
        <v>16.177440000000001</v>
      </c>
      <c r="D39" s="40">
        <v>15.160155</v>
      </c>
      <c r="E39" s="40">
        <v>-8.5519610000000004</v>
      </c>
      <c r="F39" s="40">
        <v>31.877018</v>
      </c>
      <c r="G39" s="40">
        <v>13.481641</v>
      </c>
      <c r="H39" s="40">
        <v>1.9167304000000001</v>
      </c>
      <c r="I39" s="40">
        <v>28.199375</v>
      </c>
      <c r="J39" s="40">
        <v>7.2742940000000003</v>
      </c>
      <c r="K39" s="40">
        <v>28.933</v>
      </c>
      <c r="L39" s="40">
        <v>16.222881000000001</v>
      </c>
      <c r="M39" s="40">
        <v>7.8652379999999997</v>
      </c>
      <c r="N39" s="40">
        <v>21.761489999999998</v>
      </c>
      <c r="O39" s="40">
        <v>15.605831</v>
      </c>
      <c r="P39" s="40">
        <v>30.862414999999999</v>
      </c>
      <c r="Q39" s="40">
        <v>-7.4080824999999999</v>
      </c>
      <c r="R39" s="40">
        <v>10.161507</v>
      </c>
      <c r="S39" s="40">
        <v>3.6396742</v>
      </c>
      <c r="T39" s="40">
        <v>4.8629403</v>
      </c>
      <c r="U39" s="40">
        <v>1.8434763000000001</v>
      </c>
      <c r="V39" s="155">
        <v>20.191181</v>
      </c>
      <c r="W39" s="24"/>
    </row>
    <row r="40" spans="1:23" x14ac:dyDescent="0.35">
      <c r="A40" s="2">
        <v>42937</v>
      </c>
      <c r="B40" s="40">
        <v>13.198888999999999</v>
      </c>
      <c r="C40" s="40">
        <v>18.278670999999999</v>
      </c>
      <c r="D40" s="40">
        <v>6.4566730000000003</v>
      </c>
      <c r="E40" s="40">
        <v>-9.4400519999999997</v>
      </c>
      <c r="F40" s="40">
        <v>47.052047999999999</v>
      </c>
      <c r="G40" s="40">
        <v>9.4138739999999999</v>
      </c>
      <c r="H40" s="40">
        <v>2.4354458000000001</v>
      </c>
      <c r="I40" s="40">
        <v>24.759663</v>
      </c>
      <c r="J40" s="40">
        <v>14.018153999999999</v>
      </c>
      <c r="K40" s="40">
        <v>34.432124999999999</v>
      </c>
      <c r="L40" s="40">
        <v>16.804349999999999</v>
      </c>
      <c r="M40" s="40">
        <v>11.474764</v>
      </c>
      <c r="N40" s="40">
        <v>48.909080000000003</v>
      </c>
      <c r="O40" s="40">
        <v>18.767357000000001</v>
      </c>
      <c r="P40" s="40">
        <v>33.829532999999998</v>
      </c>
      <c r="Q40" s="40">
        <v>-4.7131356999999996</v>
      </c>
      <c r="R40" s="40">
        <v>4.7121881999999999</v>
      </c>
      <c r="S40" s="40">
        <v>29.093133999999999</v>
      </c>
      <c r="T40" s="40">
        <v>5.5217147000000004</v>
      </c>
      <c r="U40" s="40">
        <v>-0.40193795999999998</v>
      </c>
      <c r="V40" s="155">
        <v>15.758967</v>
      </c>
      <c r="W40" s="24"/>
    </row>
    <row r="41" spans="1:23" x14ac:dyDescent="0.35">
      <c r="A41" s="2">
        <v>42970</v>
      </c>
      <c r="B41" s="40">
        <v>12.446463</v>
      </c>
      <c r="C41" s="40">
        <v>27.745114999999998</v>
      </c>
      <c r="D41" s="40">
        <v>6.7186000000000003</v>
      </c>
      <c r="E41" s="40">
        <v>-8.8215590000000006</v>
      </c>
      <c r="F41" s="40">
        <v>44.501556000000001</v>
      </c>
      <c r="G41" s="40">
        <v>8.2860230000000001</v>
      </c>
      <c r="H41" s="40">
        <v>1.7669916000000001</v>
      </c>
      <c r="I41" s="40">
        <v>25.125336000000001</v>
      </c>
      <c r="J41" s="40">
        <v>13.253296000000001</v>
      </c>
      <c r="K41" s="40">
        <v>21.675932</v>
      </c>
      <c r="L41" s="40">
        <v>22.351337000000001</v>
      </c>
      <c r="M41" s="40">
        <v>11.496746</v>
      </c>
      <c r="N41" s="40">
        <v>44.624412999999997</v>
      </c>
      <c r="O41" s="40">
        <v>16.804099999999998</v>
      </c>
      <c r="P41" s="40">
        <v>33.185555000000001</v>
      </c>
      <c r="Q41" s="40">
        <v>-15.735989999999999</v>
      </c>
      <c r="R41" s="40">
        <v>2.1635532</v>
      </c>
      <c r="S41" s="40">
        <v>21.682013000000001</v>
      </c>
      <c r="T41" s="40">
        <v>7.0723653000000004</v>
      </c>
      <c r="U41" s="40">
        <v>-4.9227420000000004</v>
      </c>
      <c r="V41" s="155">
        <v>22.624731000000001</v>
      </c>
      <c r="W41" s="24"/>
    </row>
    <row r="42" spans="1:23" x14ac:dyDescent="0.35">
      <c r="A42" s="2">
        <v>43000</v>
      </c>
      <c r="B42" s="40">
        <v>18.132899999999999</v>
      </c>
      <c r="C42" s="40">
        <v>32.624650000000003</v>
      </c>
      <c r="D42" s="40">
        <v>2.5920868000000001</v>
      </c>
      <c r="E42" s="40">
        <v>-1.7000914</v>
      </c>
      <c r="F42" s="40">
        <v>49.741100000000003</v>
      </c>
      <c r="G42" s="40">
        <v>14.469886000000001</v>
      </c>
      <c r="H42" s="40">
        <v>4.7089815000000002</v>
      </c>
      <c r="I42" s="40">
        <v>18.26868</v>
      </c>
      <c r="J42" s="40">
        <v>16.769707</v>
      </c>
      <c r="K42" s="40">
        <v>20.358013</v>
      </c>
      <c r="L42" s="40">
        <v>27.28895</v>
      </c>
      <c r="M42" s="40">
        <v>8.0772399999999998</v>
      </c>
      <c r="N42" s="40">
        <v>38.362250000000003</v>
      </c>
      <c r="O42" s="40">
        <v>11.71</v>
      </c>
      <c r="P42" s="40">
        <v>29.652798000000001</v>
      </c>
      <c r="Q42" s="40">
        <v>-15.614069000000001</v>
      </c>
      <c r="R42" s="40">
        <v>10.163414</v>
      </c>
      <c r="S42" s="40">
        <v>9.6123460000000005</v>
      </c>
      <c r="T42" s="40">
        <v>7.3613762999999999</v>
      </c>
      <c r="U42" s="40">
        <v>1.7122984000000001</v>
      </c>
      <c r="V42" s="155">
        <v>24.769247</v>
      </c>
      <c r="W42" s="24"/>
    </row>
    <row r="43" spans="1:23" x14ac:dyDescent="0.35">
      <c r="A43" s="2">
        <v>43031</v>
      </c>
      <c r="B43" s="40">
        <v>20.234966</v>
      </c>
      <c r="C43" s="40">
        <v>33.475876</v>
      </c>
      <c r="D43" s="40">
        <v>1.7949223999999999</v>
      </c>
      <c r="E43" s="40">
        <v>0.38775206000000001</v>
      </c>
      <c r="F43" s="40">
        <v>54.045569999999998</v>
      </c>
      <c r="G43" s="40">
        <v>29.364193</v>
      </c>
      <c r="H43" s="40">
        <v>4.9178243000000004</v>
      </c>
      <c r="I43" s="40">
        <v>22.17672</v>
      </c>
      <c r="J43" s="40">
        <v>0.39303303000000001</v>
      </c>
      <c r="K43" s="40">
        <v>30.335246999999999</v>
      </c>
      <c r="L43" s="40">
        <v>11.471785000000001</v>
      </c>
      <c r="M43" s="40">
        <v>13.79162</v>
      </c>
      <c r="N43" s="40">
        <v>24.17897</v>
      </c>
      <c r="O43" s="40">
        <v>17.318296</v>
      </c>
      <c r="P43" s="40">
        <v>35.934184999999999</v>
      </c>
      <c r="Q43" s="40">
        <v>-18.908256999999999</v>
      </c>
      <c r="R43" s="40">
        <v>13.388216</v>
      </c>
      <c r="S43" s="40">
        <v>11.78087</v>
      </c>
      <c r="T43" s="40">
        <v>12.266564000000001</v>
      </c>
      <c r="U43" s="40">
        <v>6.9090724000000003</v>
      </c>
      <c r="V43" s="155">
        <v>21.26342</v>
      </c>
      <c r="W43" s="24"/>
    </row>
    <row r="44" spans="1:23" x14ac:dyDescent="0.35">
      <c r="A44" s="2">
        <v>43061</v>
      </c>
      <c r="B44" s="40">
        <v>26.581966000000001</v>
      </c>
      <c r="C44" s="40">
        <v>27.125608</v>
      </c>
      <c r="D44" s="40">
        <v>16.432047000000001</v>
      </c>
      <c r="E44" s="40">
        <v>15.296459</v>
      </c>
      <c r="F44" s="40">
        <v>62.080159999999999</v>
      </c>
      <c r="G44" s="40">
        <v>30.079329000000001</v>
      </c>
      <c r="H44" s="40">
        <v>15.663517000000001</v>
      </c>
      <c r="I44" s="40">
        <v>27.532578000000001</v>
      </c>
      <c r="J44" s="40">
        <v>20.109058000000001</v>
      </c>
      <c r="K44" s="40">
        <v>46.633850000000002</v>
      </c>
      <c r="L44" s="40">
        <v>22.110223999999999</v>
      </c>
      <c r="M44" s="40">
        <v>22.578620000000001</v>
      </c>
      <c r="N44" s="40">
        <v>12.740767</v>
      </c>
      <c r="O44" s="40">
        <v>35.470030000000001</v>
      </c>
      <c r="P44" s="40">
        <v>53.474449999999997</v>
      </c>
      <c r="Q44" s="40">
        <v>-21.607859000000001</v>
      </c>
      <c r="R44" s="40">
        <v>14.102221</v>
      </c>
      <c r="S44" s="40">
        <v>20.142937</v>
      </c>
      <c r="T44" s="40">
        <v>10.372353</v>
      </c>
      <c r="U44" s="40">
        <v>25.274097000000001</v>
      </c>
      <c r="V44" s="155">
        <v>7.8478694000000004</v>
      </c>
      <c r="W44" s="24"/>
    </row>
    <row r="45" spans="1:23" x14ac:dyDescent="0.35">
      <c r="A45" s="2">
        <v>43091</v>
      </c>
      <c r="B45" s="40">
        <v>28.197647</v>
      </c>
      <c r="C45" s="40">
        <v>43.353428000000001</v>
      </c>
      <c r="D45" s="40">
        <v>25.046479999999999</v>
      </c>
      <c r="E45" s="40">
        <v>25.671696000000001</v>
      </c>
      <c r="F45" s="40">
        <v>52.735565000000001</v>
      </c>
      <c r="G45" s="40">
        <v>31.430243999999998</v>
      </c>
      <c r="H45" s="40">
        <v>23.341273999999999</v>
      </c>
      <c r="I45" s="40">
        <v>26.75029</v>
      </c>
      <c r="J45" s="40">
        <v>13.713276</v>
      </c>
      <c r="K45" s="40">
        <v>41.629469999999998</v>
      </c>
      <c r="L45" s="40">
        <v>27.921104</v>
      </c>
      <c r="M45" s="40">
        <v>38.328887999999999</v>
      </c>
      <c r="N45" s="40">
        <v>35.439587000000003</v>
      </c>
      <c r="O45" s="40">
        <v>39.125970000000002</v>
      </c>
      <c r="P45" s="40">
        <v>58.279873000000002</v>
      </c>
      <c r="Q45" s="40">
        <v>-11.412412</v>
      </c>
      <c r="R45" s="40">
        <v>15.820539</v>
      </c>
      <c r="S45" s="40">
        <v>33.098483999999999</v>
      </c>
      <c r="T45" s="40">
        <v>3.4203887000000002</v>
      </c>
      <c r="U45" s="40">
        <v>36.83728</v>
      </c>
      <c r="V45" s="155">
        <v>5.1704526</v>
      </c>
      <c r="W45" s="24"/>
    </row>
    <row r="46" spans="1:23" x14ac:dyDescent="0.35">
      <c r="A46" s="2">
        <v>43123</v>
      </c>
      <c r="B46" s="40">
        <v>38.468179999999997</v>
      </c>
      <c r="C46" s="40">
        <v>41.746364999999997</v>
      </c>
      <c r="D46" s="40">
        <v>25.8322</v>
      </c>
      <c r="E46" s="40">
        <v>13.2111435</v>
      </c>
      <c r="F46" s="40">
        <v>57.137549999999997</v>
      </c>
      <c r="G46" s="40">
        <v>30.059073999999999</v>
      </c>
      <c r="H46" s="40">
        <v>28.232765000000001</v>
      </c>
      <c r="I46" s="40">
        <v>29.751884</v>
      </c>
      <c r="J46" s="40">
        <v>22.395206000000002</v>
      </c>
      <c r="K46" s="40">
        <v>39.437854999999999</v>
      </c>
      <c r="L46" s="40">
        <v>18.126809999999999</v>
      </c>
      <c r="M46" s="40">
        <v>35.669359999999998</v>
      </c>
      <c r="N46" s="40">
        <v>46.09778</v>
      </c>
      <c r="O46" s="40">
        <v>39.255585000000004</v>
      </c>
      <c r="P46" s="40">
        <v>63.962161999999999</v>
      </c>
      <c r="Q46" s="40">
        <v>-10.638684</v>
      </c>
      <c r="R46" s="40">
        <v>16.615200000000002</v>
      </c>
      <c r="S46" s="40">
        <v>42.303420000000003</v>
      </c>
      <c r="T46" s="40">
        <v>5.3532599999999997</v>
      </c>
      <c r="U46" s="40">
        <v>46.778033999999998</v>
      </c>
      <c r="V46" s="155">
        <v>12.488137999999999</v>
      </c>
      <c r="W46" s="24"/>
    </row>
    <row r="47" spans="1:23" x14ac:dyDescent="0.35">
      <c r="A47" s="2">
        <v>43154</v>
      </c>
      <c r="B47" s="40">
        <v>25.66067</v>
      </c>
      <c r="C47" s="40">
        <v>38.429175999999998</v>
      </c>
      <c r="D47" s="40">
        <v>20.815753999999998</v>
      </c>
      <c r="E47" s="40">
        <v>8.1465479999999992</v>
      </c>
      <c r="F47" s="40">
        <v>28.044557999999999</v>
      </c>
      <c r="G47" s="40">
        <v>22.722411999999998</v>
      </c>
      <c r="H47" s="40">
        <v>26.703261999999999</v>
      </c>
      <c r="I47" s="40">
        <v>18.597376000000001</v>
      </c>
      <c r="J47" s="40">
        <v>11.794447999999999</v>
      </c>
      <c r="K47" s="40">
        <v>28.52646</v>
      </c>
      <c r="L47" s="40">
        <v>20.448816000000001</v>
      </c>
      <c r="M47" s="40">
        <v>33.240031999999999</v>
      </c>
      <c r="N47" s="40">
        <v>40.441356999999996</v>
      </c>
      <c r="O47" s="40">
        <v>19.699705000000002</v>
      </c>
      <c r="P47" s="40">
        <v>48.024033000000003</v>
      </c>
      <c r="Q47" s="40">
        <v>-14.392871</v>
      </c>
      <c r="R47" s="40">
        <v>15.359985</v>
      </c>
      <c r="S47" s="40">
        <v>25.513245000000001</v>
      </c>
      <c r="T47" s="40">
        <v>2.1584153000000001</v>
      </c>
      <c r="U47" s="40">
        <v>40.304363000000002</v>
      </c>
      <c r="V47" s="155">
        <v>11.901987</v>
      </c>
      <c r="W47" s="24"/>
    </row>
    <row r="48" spans="1:23" x14ac:dyDescent="0.35">
      <c r="A48" s="2">
        <v>43182</v>
      </c>
      <c r="B48" s="40">
        <v>19.432735000000001</v>
      </c>
      <c r="C48" s="40">
        <v>21.956778</v>
      </c>
      <c r="D48" s="40">
        <v>3.0170083000000001</v>
      </c>
      <c r="E48" s="40">
        <v>-1.3462067</v>
      </c>
      <c r="F48" s="40">
        <v>15.723801</v>
      </c>
      <c r="G48" s="40">
        <v>28.140497</v>
      </c>
      <c r="H48" s="40">
        <v>20.887385999999999</v>
      </c>
      <c r="I48" s="40">
        <v>13.869249</v>
      </c>
      <c r="J48" s="40">
        <v>0.53344965</v>
      </c>
      <c r="K48" s="40">
        <v>19.161999000000002</v>
      </c>
      <c r="L48" s="40">
        <v>22.237373000000002</v>
      </c>
      <c r="M48" s="40">
        <v>15.290976000000001</v>
      </c>
      <c r="N48" s="40">
        <v>26.451720000000002</v>
      </c>
      <c r="O48" s="40">
        <v>7.4672340000000004</v>
      </c>
      <c r="P48" s="40">
        <v>34.945329999999998</v>
      </c>
      <c r="Q48" s="40">
        <v>-11.026007</v>
      </c>
      <c r="R48" s="40">
        <v>14.374136999999999</v>
      </c>
      <c r="S48" s="40">
        <v>16.874562999999998</v>
      </c>
      <c r="T48" s="40">
        <v>0.40299891999999998</v>
      </c>
      <c r="U48" s="40">
        <v>34.993385000000004</v>
      </c>
      <c r="V48" s="155">
        <v>20.28867</v>
      </c>
      <c r="W48" s="24"/>
    </row>
    <row r="49" spans="1:23" x14ac:dyDescent="0.35">
      <c r="A49" s="2">
        <v>43213</v>
      </c>
      <c r="B49" s="40">
        <v>17.123055000000001</v>
      </c>
      <c r="C49" s="40">
        <v>25.479174</v>
      </c>
      <c r="D49" s="40">
        <v>4.2321086000000001</v>
      </c>
      <c r="E49" s="40">
        <v>-7.9957604</v>
      </c>
      <c r="F49" s="40">
        <v>17.742180000000001</v>
      </c>
      <c r="G49" s="40">
        <v>37.167335999999999</v>
      </c>
      <c r="H49" s="40">
        <v>21.419096</v>
      </c>
      <c r="I49" s="40">
        <v>13.875222000000001</v>
      </c>
      <c r="J49" s="40">
        <v>1.6266227</v>
      </c>
      <c r="K49" s="40">
        <v>25.220120000000001</v>
      </c>
      <c r="L49" s="40">
        <v>20.071936000000001</v>
      </c>
      <c r="M49" s="40">
        <v>17.626549000000001</v>
      </c>
      <c r="N49" s="40">
        <v>36.185540000000003</v>
      </c>
      <c r="O49" s="40">
        <v>11.800694</v>
      </c>
      <c r="P49" s="40">
        <v>34.189056000000001</v>
      </c>
      <c r="Q49" s="40">
        <v>-7.7664910000000003</v>
      </c>
      <c r="R49" s="40">
        <v>14.020205000000001</v>
      </c>
      <c r="S49" s="40">
        <v>5.6776524000000004</v>
      </c>
      <c r="T49" s="40">
        <v>0.38263797999999999</v>
      </c>
      <c r="U49" s="40">
        <v>33.046959999999999</v>
      </c>
      <c r="V49" s="155">
        <v>29.006862999999999</v>
      </c>
      <c r="W49" s="24"/>
    </row>
    <row r="50" spans="1:23" x14ac:dyDescent="0.35">
      <c r="A50" s="2">
        <v>43243</v>
      </c>
      <c r="B50" s="40">
        <v>21.805250000000001</v>
      </c>
      <c r="C50" s="40">
        <v>24.334394</v>
      </c>
      <c r="D50" s="40">
        <v>-9.3618100000000002</v>
      </c>
      <c r="E50" s="40">
        <v>-10.349936</v>
      </c>
      <c r="F50" s="40">
        <v>-0.52239895000000003</v>
      </c>
      <c r="G50" s="40">
        <v>27.290725999999999</v>
      </c>
      <c r="H50" s="40">
        <v>11.914562999999999</v>
      </c>
      <c r="I50" s="40">
        <v>10.438871000000001</v>
      </c>
      <c r="J50" s="40">
        <v>-8.4040400000000002</v>
      </c>
      <c r="K50" s="40">
        <v>14.766062</v>
      </c>
      <c r="L50" s="40">
        <v>13.166582</v>
      </c>
      <c r="M50" s="40">
        <v>7.2280290000000003</v>
      </c>
      <c r="N50" s="40">
        <v>0.24185180000000001</v>
      </c>
      <c r="O50" s="40">
        <v>4.4384119999999996</v>
      </c>
      <c r="P50" s="40">
        <v>31.653870000000001</v>
      </c>
      <c r="Q50" s="40">
        <v>-6.8917989999999998</v>
      </c>
      <c r="R50" s="40">
        <v>12.073326</v>
      </c>
      <c r="S50" s="40">
        <v>-15.308374000000001</v>
      </c>
      <c r="T50" s="40">
        <v>-1.4380394999999999</v>
      </c>
      <c r="U50" s="40">
        <v>20.419215999999999</v>
      </c>
      <c r="V50" s="155">
        <v>24.78931</v>
      </c>
      <c r="W50" s="24"/>
    </row>
    <row r="51" spans="1:23" x14ac:dyDescent="0.35">
      <c r="A51" s="2">
        <v>43273</v>
      </c>
      <c r="B51" s="40">
        <v>6.6206098000000004</v>
      </c>
      <c r="C51" s="40">
        <v>14.979528999999999</v>
      </c>
      <c r="D51" s="40">
        <v>-11.572379</v>
      </c>
      <c r="E51" s="40">
        <v>-18.270731000000001</v>
      </c>
      <c r="F51" s="40">
        <v>-4.4379590000000002</v>
      </c>
      <c r="G51" s="40">
        <v>22.516870000000001</v>
      </c>
      <c r="H51" s="40">
        <v>4.1415094999999997</v>
      </c>
      <c r="I51" s="40">
        <v>4.5996189999999997</v>
      </c>
      <c r="J51" s="40">
        <v>-11.7899475</v>
      </c>
      <c r="K51" s="40">
        <v>3.9492250000000002</v>
      </c>
      <c r="L51" s="40">
        <v>-0.58108570000000004</v>
      </c>
      <c r="M51" s="40">
        <v>4.345739</v>
      </c>
      <c r="N51" s="40">
        <v>-1.8416463999999999</v>
      </c>
      <c r="O51" s="40">
        <v>5.2089689999999997</v>
      </c>
      <c r="P51" s="40">
        <v>24.261199999999999</v>
      </c>
      <c r="Q51" s="40">
        <v>2.6999711999999998</v>
      </c>
      <c r="R51" s="40">
        <v>3.4201741000000001</v>
      </c>
      <c r="S51" s="40">
        <v>-26.138628000000001</v>
      </c>
      <c r="T51" s="40">
        <v>-3.1784653999999999</v>
      </c>
      <c r="U51" s="40">
        <v>11.649525000000001</v>
      </c>
      <c r="V51" s="155">
        <v>16.360128</v>
      </c>
      <c r="W51" s="24"/>
    </row>
    <row r="52" spans="1:23" x14ac:dyDescent="0.35">
      <c r="A52" s="2">
        <v>43304</v>
      </c>
      <c r="B52" s="40">
        <v>-5.2917185</v>
      </c>
      <c r="C52" s="40">
        <v>4.5681357</v>
      </c>
      <c r="D52" s="40">
        <v>-10.087168</v>
      </c>
      <c r="E52" s="40">
        <v>-13.9316025</v>
      </c>
      <c r="F52" s="40">
        <v>-6.9405612999999997</v>
      </c>
      <c r="G52" s="40">
        <v>15.672516999999999</v>
      </c>
      <c r="H52" s="40">
        <v>8.5396529999999995</v>
      </c>
      <c r="I52" s="40">
        <v>4.6967505999999997</v>
      </c>
      <c r="J52" s="40">
        <v>-9.3600569999999994</v>
      </c>
      <c r="K52" s="40">
        <v>-6.3516082999999997</v>
      </c>
      <c r="L52" s="40">
        <v>-2.0864785000000001</v>
      </c>
      <c r="M52" s="40">
        <v>-2.6120782</v>
      </c>
      <c r="N52" s="40">
        <v>-12.903845</v>
      </c>
      <c r="O52" s="40">
        <v>1.939106</v>
      </c>
      <c r="P52" s="40">
        <v>10.888994</v>
      </c>
      <c r="Q52" s="40">
        <v>-0.23701190999999999</v>
      </c>
      <c r="R52" s="40">
        <v>6.4975740000000002</v>
      </c>
      <c r="S52" s="40">
        <v>-32.757247999999997</v>
      </c>
      <c r="T52" s="40">
        <v>-6.8108079999999998</v>
      </c>
      <c r="U52" s="40">
        <v>9.489096</v>
      </c>
      <c r="V52" s="155">
        <v>22.254954999999999</v>
      </c>
      <c r="W52" s="24"/>
    </row>
    <row r="53" spans="1:23" x14ac:dyDescent="0.35">
      <c r="A53" s="2">
        <v>43335</v>
      </c>
      <c r="B53" s="40">
        <v>-13.665449000000001</v>
      </c>
      <c r="C53" s="40">
        <v>-3.6472737999999998</v>
      </c>
      <c r="D53" s="40">
        <v>-12.589169</v>
      </c>
      <c r="E53" s="40">
        <v>-8.6943920000000006</v>
      </c>
      <c r="F53" s="40">
        <v>-6.0362099999999996</v>
      </c>
      <c r="G53" s="40">
        <v>3.6343217000000001</v>
      </c>
      <c r="H53" s="40">
        <v>8.5838199999999993</v>
      </c>
      <c r="I53" s="40">
        <v>3.2787679999999999</v>
      </c>
      <c r="J53" s="40">
        <v>-8.8342010000000002</v>
      </c>
      <c r="K53" s="40">
        <v>-1.7124413999999999</v>
      </c>
      <c r="L53" s="40">
        <v>-19.222134</v>
      </c>
      <c r="M53" s="40">
        <v>-8.6898090000000003</v>
      </c>
      <c r="N53" s="40">
        <v>-13.363236000000001</v>
      </c>
      <c r="O53" s="40">
        <v>5.5208444999999999</v>
      </c>
      <c r="P53" s="40">
        <v>-0.34606457000000002</v>
      </c>
      <c r="Q53" s="40">
        <v>8.9988469999999996</v>
      </c>
      <c r="R53" s="40">
        <v>8.3527199999999997</v>
      </c>
      <c r="S53" s="40">
        <v>-52.171641999999999</v>
      </c>
      <c r="T53" s="40">
        <v>-7.1938396000000004</v>
      </c>
      <c r="U53" s="40">
        <v>17.458320000000001</v>
      </c>
      <c r="V53" s="155">
        <v>16.552102999999999</v>
      </c>
      <c r="W53" s="24"/>
    </row>
    <row r="54" spans="1:23" x14ac:dyDescent="0.35">
      <c r="A54" s="2">
        <v>43364</v>
      </c>
      <c r="B54" s="40">
        <v>-13.393580999999999</v>
      </c>
      <c r="C54" s="40">
        <v>-4.283881</v>
      </c>
      <c r="D54" s="40">
        <v>-11.698705</v>
      </c>
      <c r="E54" s="40">
        <v>-17.630762000000001</v>
      </c>
      <c r="F54" s="40">
        <v>-9.2004409999999996</v>
      </c>
      <c r="G54" s="40">
        <v>1.1920929E-4</v>
      </c>
      <c r="H54" s="40">
        <v>6.7525268000000001</v>
      </c>
      <c r="I54" s="40">
        <v>3.9693952000000001</v>
      </c>
      <c r="J54" s="40">
        <v>-6.3700856999999997</v>
      </c>
      <c r="K54" s="40">
        <v>0.31248330000000002</v>
      </c>
      <c r="L54" s="40">
        <v>-18.643277999999999</v>
      </c>
      <c r="M54" s="40">
        <v>-6.5310297000000004</v>
      </c>
      <c r="N54" s="40">
        <v>-10.601902000000001</v>
      </c>
      <c r="O54" s="40">
        <v>-0.55916310000000002</v>
      </c>
      <c r="P54" s="40">
        <v>-4.0410994999999996</v>
      </c>
      <c r="Q54" s="40">
        <v>17.550336999999999</v>
      </c>
      <c r="R54" s="40">
        <v>5.1260469999999998</v>
      </c>
      <c r="S54" s="40">
        <v>-45.936233999999999</v>
      </c>
      <c r="T54" s="40">
        <v>-8.7001799999999996</v>
      </c>
      <c r="U54" s="40">
        <v>11.912846999999999</v>
      </c>
      <c r="V54" s="155">
        <v>12.613545999999999</v>
      </c>
      <c r="W54" s="24"/>
    </row>
    <row r="55" spans="1:23" x14ac:dyDescent="0.35">
      <c r="A55" s="2">
        <v>43396</v>
      </c>
      <c r="B55" s="40">
        <v>-20.22214</v>
      </c>
      <c r="C55" s="40">
        <v>-15.469778</v>
      </c>
      <c r="D55" s="40">
        <v>-16.602594</v>
      </c>
      <c r="E55" s="40">
        <v>-18.326979999999999</v>
      </c>
      <c r="F55" s="40">
        <v>-15.120888000000001</v>
      </c>
      <c r="G55" s="40">
        <v>-13.608355</v>
      </c>
      <c r="H55" s="40">
        <v>1.4092207000000001</v>
      </c>
      <c r="I55" s="40">
        <v>-9.6279140000000005</v>
      </c>
      <c r="J55" s="40">
        <v>-7.2719215999999998</v>
      </c>
      <c r="K55" s="40">
        <v>-13.992232</v>
      </c>
      <c r="L55" s="40">
        <v>-1.4520884000000001</v>
      </c>
      <c r="M55" s="40">
        <v>-15.515779999999999</v>
      </c>
      <c r="N55" s="40">
        <v>-14.094877</v>
      </c>
      <c r="O55" s="40">
        <v>-13.104338</v>
      </c>
      <c r="P55" s="40">
        <v>-14.933449</v>
      </c>
      <c r="Q55" s="40">
        <v>26.247178999999999</v>
      </c>
      <c r="R55" s="40">
        <v>-2.0099459999999998</v>
      </c>
      <c r="S55" s="40">
        <v>-40.895359999999997</v>
      </c>
      <c r="T55" s="40">
        <v>-11.169767</v>
      </c>
      <c r="U55" s="40">
        <v>1.2425184</v>
      </c>
      <c r="V55" s="155">
        <v>15.453374999999999</v>
      </c>
      <c r="W55" s="24"/>
    </row>
    <row r="56" spans="1:23" x14ac:dyDescent="0.35">
      <c r="A56" s="2">
        <v>43427</v>
      </c>
      <c r="B56" s="40">
        <v>-26.022417000000001</v>
      </c>
      <c r="C56" s="40">
        <v>-6.7486579999999998</v>
      </c>
      <c r="D56" s="40">
        <v>-9.9711479999999995</v>
      </c>
      <c r="E56" s="40">
        <v>-15.847832</v>
      </c>
      <c r="F56" s="40">
        <v>-15.998775</v>
      </c>
      <c r="G56" s="40">
        <v>-13.858848999999999</v>
      </c>
      <c r="H56" s="40">
        <v>-1.8175781</v>
      </c>
      <c r="I56" s="40">
        <v>-13.276142</v>
      </c>
      <c r="J56" s="40">
        <v>-20.966470000000001</v>
      </c>
      <c r="K56" s="40">
        <v>-22.024483</v>
      </c>
      <c r="L56" s="40">
        <v>-2.7214526999999999</v>
      </c>
      <c r="M56" s="40">
        <v>-16.216028000000001</v>
      </c>
      <c r="N56" s="40">
        <v>-18.632954000000002</v>
      </c>
      <c r="O56" s="40">
        <v>-7.6504469999999998</v>
      </c>
      <c r="P56" s="40">
        <v>-20.190351</v>
      </c>
      <c r="Q56" s="40">
        <v>45.880209999999998</v>
      </c>
      <c r="R56" s="40">
        <v>-4.9947920000000003</v>
      </c>
      <c r="S56" s="40">
        <v>-32.617440000000002</v>
      </c>
      <c r="T56" s="40">
        <v>-6.7670583999999998</v>
      </c>
      <c r="U56" s="40">
        <v>-8.7833170000000003</v>
      </c>
      <c r="V56" s="155">
        <v>15.037070999999999</v>
      </c>
      <c r="W56" s="24"/>
    </row>
    <row r="57" spans="1:23" x14ac:dyDescent="0.35">
      <c r="A57" s="2">
        <v>43455</v>
      </c>
      <c r="B57" s="40">
        <v>-26.853459999999998</v>
      </c>
      <c r="C57" s="40">
        <v>-17.660677</v>
      </c>
      <c r="D57" s="40">
        <v>-10.079986</v>
      </c>
      <c r="E57" s="40">
        <v>-16.050858000000002</v>
      </c>
      <c r="F57" s="40">
        <v>-13.727819</v>
      </c>
      <c r="G57" s="40">
        <v>-10.637307</v>
      </c>
      <c r="H57" s="40">
        <v>-6.4617870000000002</v>
      </c>
      <c r="I57" s="40">
        <v>-8.9893874999999994</v>
      </c>
      <c r="J57" s="40">
        <v>-15.165025</v>
      </c>
      <c r="K57" s="40">
        <v>-18.382829999999998</v>
      </c>
      <c r="L57" s="40">
        <v>-2.9439986</v>
      </c>
      <c r="M57" s="40">
        <v>-24.549150000000001</v>
      </c>
      <c r="N57" s="40">
        <v>-30.454231</v>
      </c>
      <c r="O57" s="40">
        <v>-7.4791249999999998</v>
      </c>
      <c r="P57" s="40">
        <v>-20.328908999999999</v>
      </c>
      <c r="Q57" s="40">
        <v>21.925522000000001</v>
      </c>
      <c r="R57" s="40">
        <v>-8.1512630000000001</v>
      </c>
      <c r="S57" s="40">
        <v>-38.716296999999997</v>
      </c>
      <c r="T57" s="40">
        <v>-12.949806000000001</v>
      </c>
      <c r="U57" s="40">
        <v>-12.805486</v>
      </c>
      <c r="V57" s="155">
        <v>11.894608</v>
      </c>
      <c r="W57" s="24"/>
    </row>
    <row r="58" spans="1:23" x14ac:dyDescent="0.35">
      <c r="A58" s="2">
        <v>43488</v>
      </c>
      <c r="B58" s="40">
        <v>-28.687168</v>
      </c>
      <c r="C58" s="40">
        <v>-15.95872</v>
      </c>
      <c r="D58" s="40">
        <v>-8.7140450000000005</v>
      </c>
      <c r="E58" s="40">
        <v>-12.653195999999999</v>
      </c>
      <c r="F58" s="40">
        <v>-17.173331999999998</v>
      </c>
      <c r="G58" s="40">
        <v>-15.283561000000001</v>
      </c>
      <c r="H58" s="40">
        <v>-10.960459999999999</v>
      </c>
      <c r="I58" s="40">
        <v>-15.598792</v>
      </c>
      <c r="J58" s="40">
        <v>-13.026846000000001</v>
      </c>
      <c r="K58" s="40">
        <v>-19.885380000000001</v>
      </c>
      <c r="L58" s="40">
        <v>2.2983432000000001</v>
      </c>
      <c r="M58" s="40">
        <v>-23.427855999999998</v>
      </c>
      <c r="N58" s="40">
        <v>-35.809600000000003</v>
      </c>
      <c r="O58" s="40">
        <v>-13.628447</v>
      </c>
      <c r="P58" s="40">
        <v>-24.143750000000001</v>
      </c>
      <c r="Q58" s="40">
        <v>18.704295999999999</v>
      </c>
      <c r="R58" s="40">
        <v>-11.704463000000001</v>
      </c>
      <c r="S58" s="40">
        <v>-37.554585000000003</v>
      </c>
      <c r="T58" s="40">
        <v>-18.400722999999999</v>
      </c>
      <c r="U58" s="40">
        <v>-20.159447</v>
      </c>
      <c r="V58" s="155">
        <v>19.256855000000002</v>
      </c>
      <c r="W58" s="24"/>
    </row>
    <row r="59" spans="1:23" x14ac:dyDescent="0.35">
      <c r="A59" s="2">
        <v>43518</v>
      </c>
      <c r="B59" s="40">
        <v>-14.562225</v>
      </c>
      <c r="C59" s="40">
        <v>-12.478489</v>
      </c>
      <c r="D59" s="40">
        <v>-7.9217377000000004</v>
      </c>
      <c r="E59" s="40">
        <v>-6.2364759999999997</v>
      </c>
      <c r="F59" s="40">
        <v>-12.941795000000001</v>
      </c>
      <c r="G59" s="40">
        <v>-6.1240854000000002</v>
      </c>
      <c r="H59" s="40">
        <v>-8.7962629999999997</v>
      </c>
      <c r="I59" s="40">
        <v>-6.0841560000000001</v>
      </c>
      <c r="J59" s="40">
        <v>-12.030004999999999</v>
      </c>
      <c r="K59" s="40">
        <v>-10.144377</v>
      </c>
      <c r="L59" s="40">
        <v>-1.5331984000000001</v>
      </c>
      <c r="M59" s="40">
        <v>-22.116142</v>
      </c>
      <c r="N59" s="40">
        <v>-26.765941999999999</v>
      </c>
      <c r="O59" s="40">
        <v>-5.0537704999999997</v>
      </c>
      <c r="P59" s="40">
        <v>-13.135999999999999</v>
      </c>
      <c r="Q59" s="40">
        <v>17.125166</v>
      </c>
      <c r="R59" s="40">
        <v>-7.2362659999999996</v>
      </c>
      <c r="S59" s="40">
        <v>-35.206665000000001</v>
      </c>
      <c r="T59" s="40">
        <v>-11.017693</v>
      </c>
      <c r="U59" s="40">
        <v>-8.5934519999999992</v>
      </c>
      <c r="V59" s="155">
        <v>19.855201999999998</v>
      </c>
      <c r="W59" s="24"/>
    </row>
    <row r="60" spans="1:23" x14ac:dyDescent="0.35">
      <c r="A60" s="2">
        <v>43546</v>
      </c>
      <c r="B60" s="40">
        <v>-6.6527367000000002</v>
      </c>
      <c r="C60" s="40">
        <v>-16.017192999999999</v>
      </c>
      <c r="D60" s="40">
        <v>-1.3483107000000001</v>
      </c>
      <c r="E60" s="40">
        <v>0.93327760000000004</v>
      </c>
      <c r="F60" s="40">
        <v>-7.9862833000000002</v>
      </c>
      <c r="G60" s="40">
        <v>-4.3053626999999999</v>
      </c>
      <c r="H60" s="40">
        <v>-11.768019000000001</v>
      </c>
      <c r="I60" s="40">
        <v>-7.0793629999999999</v>
      </c>
      <c r="J60" s="40">
        <v>-12.790649999999999</v>
      </c>
      <c r="K60" s="40">
        <v>-16.467535000000002</v>
      </c>
      <c r="L60" s="40">
        <v>-5.0040602999999999</v>
      </c>
      <c r="M60" s="40">
        <v>-23.583960999999999</v>
      </c>
      <c r="N60" s="40">
        <v>-16.705829999999999</v>
      </c>
      <c r="O60" s="40">
        <v>5.1314950000000001</v>
      </c>
      <c r="P60" s="40">
        <v>-9.9208239999999996</v>
      </c>
      <c r="Q60" s="40">
        <v>14.176643</v>
      </c>
      <c r="R60" s="40">
        <v>-8.4657079999999993</v>
      </c>
      <c r="S60" s="40">
        <v>-40.677833999999997</v>
      </c>
      <c r="T60" s="40">
        <v>-8.0798389999999998</v>
      </c>
      <c r="U60" s="40">
        <v>-13.209618000000001</v>
      </c>
      <c r="V60" s="155">
        <v>16.157639</v>
      </c>
      <c r="W60" s="24"/>
    </row>
    <row r="61" spans="1:23" x14ac:dyDescent="0.35">
      <c r="A61" s="2">
        <v>43578</v>
      </c>
      <c r="B61" s="40">
        <v>2.5148391999999999</v>
      </c>
      <c r="C61" s="40">
        <v>-18.645126000000001</v>
      </c>
      <c r="D61" s="40">
        <v>0.40478705999999998</v>
      </c>
      <c r="E61" s="40">
        <v>5.3298949999999996</v>
      </c>
      <c r="F61" s="40">
        <v>-6.2546434</v>
      </c>
      <c r="G61" s="40">
        <v>-13.1323395</v>
      </c>
      <c r="H61" s="40">
        <v>-13.650608</v>
      </c>
      <c r="I61" s="40">
        <v>2.1049737999999998</v>
      </c>
      <c r="J61" s="40">
        <v>-6.7069235000000003</v>
      </c>
      <c r="K61" s="40">
        <v>-13.552403</v>
      </c>
      <c r="L61" s="40">
        <v>-0.36328434999999998</v>
      </c>
      <c r="M61" s="40">
        <v>-10.695344</v>
      </c>
      <c r="N61" s="40">
        <v>-16.661722000000001</v>
      </c>
      <c r="O61" s="40">
        <v>2.8256296999999999</v>
      </c>
      <c r="P61" s="40">
        <v>-1.6661703999999999</v>
      </c>
      <c r="Q61" s="40">
        <v>16.019355999999998</v>
      </c>
      <c r="R61" s="40">
        <v>-6.638026</v>
      </c>
      <c r="S61" s="40">
        <v>-36.522950000000002</v>
      </c>
      <c r="T61" s="40">
        <v>-0.27275084999999999</v>
      </c>
      <c r="U61" s="40">
        <v>-6.6579522999999998</v>
      </c>
      <c r="V61" s="155">
        <v>15.506290999999999</v>
      </c>
      <c r="W61" s="24"/>
    </row>
    <row r="62" spans="1:23" x14ac:dyDescent="0.35">
      <c r="A62" s="2">
        <v>43608</v>
      </c>
      <c r="B62" s="40">
        <v>-12.047833000000001</v>
      </c>
      <c r="C62" s="40">
        <v>-23.961698999999999</v>
      </c>
      <c r="D62" s="40">
        <v>-0.33972859999999999</v>
      </c>
      <c r="E62" s="40">
        <v>3.2936453999999999</v>
      </c>
      <c r="F62" s="40">
        <v>-6.9060801999999999</v>
      </c>
      <c r="G62" s="40">
        <v>-16.66581</v>
      </c>
      <c r="H62" s="40">
        <v>-14.068657</v>
      </c>
      <c r="I62" s="40">
        <v>-9.394228</v>
      </c>
      <c r="J62" s="40">
        <v>-3.7614345999999999</v>
      </c>
      <c r="K62" s="40">
        <v>-24.62566</v>
      </c>
      <c r="L62" s="40">
        <v>4.3742299999999998</v>
      </c>
      <c r="M62" s="40">
        <v>-18.837463</v>
      </c>
      <c r="N62" s="40">
        <v>-15.432334000000001</v>
      </c>
      <c r="O62" s="40">
        <v>7.9974293999999997</v>
      </c>
      <c r="P62" s="40">
        <v>-19.192731999999999</v>
      </c>
      <c r="Q62" s="40">
        <v>6.8803786999999996</v>
      </c>
      <c r="R62" s="40">
        <v>-8.2008419999999997</v>
      </c>
      <c r="S62" s="40">
        <v>-37.253062999999997</v>
      </c>
      <c r="T62" s="40">
        <v>-13.058638999999999</v>
      </c>
      <c r="U62" s="40">
        <v>-0.99284649999999997</v>
      </c>
      <c r="V62" s="155">
        <v>7.4856996999999996</v>
      </c>
      <c r="W62" s="24"/>
    </row>
    <row r="63" spans="1:23" x14ac:dyDescent="0.35">
      <c r="A63" s="2">
        <v>43637</v>
      </c>
      <c r="B63" s="40">
        <v>1.849556</v>
      </c>
      <c r="C63" s="40">
        <v>-12.657791</v>
      </c>
      <c r="D63" s="40">
        <v>11.032474499999999</v>
      </c>
      <c r="E63" s="40">
        <v>22.231805999999999</v>
      </c>
      <c r="F63" s="40">
        <v>7.928407</v>
      </c>
      <c r="G63" s="40">
        <v>-5.3376856000000004</v>
      </c>
      <c r="H63" s="40">
        <v>-0.73896645999999999</v>
      </c>
      <c r="I63" s="40">
        <v>0.90689660000000005</v>
      </c>
      <c r="J63" s="40">
        <v>0.90326070000000003</v>
      </c>
      <c r="K63" s="40">
        <v>-10.311932000000001</v>
      </c>
      <c r="L63" s="40">
        <v>43.100403</v>
      </c>
      <c r="M63" s="40">
        <v>2.1035789999999999</v>
      </c>
      <c r="N63" s="40">
        <v>2.5617838000000002</v>
      </c>
      <c r="O63" s="40">
        <v>6.2095165000000003</v>
      </c>
      <c r="P63" s="40">
        <v>-9.8938410000000001</v>
      </c>
      <c r="Q63" s="40">
        <v>14.480448000000001</v>
      </c>
      <c r="R63" s="40">
        <v>5.0598383</v>
      </c>
      <c r="S63" s="40">
        <v>-17.825455000000002</v>
      </c>
      <c r="T63" s="40">
        <v>-9.546894</v>
      </c>
      <c r="U63" s="40">
        <v>3.0186533999999998</v>
      </c>
      <c r="V63" s="155">
        <v>9.9048979999999993</v>
      </c>
      <c r="W63" s="24"/>
    </row>
    <row r="64" spans="1:23" x14ac:dyDescent="0.35">
      <c r="A64" s="2">
        <v>43669</v>
      </c>
      <c r="B64" s="40">
        <v>7.8147770000000003</v>
      </c>
      <c r="C64" s="40">
        <v>-13.075214000000001</v>
      </c>
      <c r="D64" s="40">
        <v>14.1549225</v>
      </c>
      <c r="E64" s="40">
        <v>18.229008</v>
      </c>
      <c r="F64" s="40">
        <v>2.6590943</v>
      </c>
      <c r="G64" s="40">
        <v>-2.5542438000000001</v>
      </c>
      <c r="H64" s="40">
        <v>-4.9045506000000003</v>
      </c>
      <c r="I64" s="40">
        <v>0.19843578000000001</v>
      </c>
      <c r="J64" s="40">
        <v>-16.040493000000001</v>
      </c>
      <c r="K64" s="40">
        <v>-9.4098989999999993</v>
      </c>
      <c r="L64" s="40">
        <v>32.997143000000001</v>
      </c>
      <c r="M64" s="40">
        <v>-0.64311030000000002</v>
      </c>
      <c r="N64" s="40">
        <v>6.9823383999999997</v>
      </c>
      <c r="O64" s="40">
        <v>1.0739684</v>
      </c>
      <c r="P64" s="40">
        <v>-4.1534243000000002</v>
      </c>
      <c r="Q64" s="40">
        <v>10.470271</v>
      </c>
      <c r="R64" s="40">
        <v>2.9312252999999999</v>
      </c>
      <c r="S64" s="40">
        <v>-7.5622439999999997</v>
      </c>
      <c r="T64" s="40">
        <v>-3.8125992000000002</v>
      </c>
      <c r="U64" s="40">
        <v>4.8308609999999996</v>
      </c>
      <c r="V64" s="155">
        <v>8.3567029999999995</v>
      </c>
      <c r="W64" s="24"/>
    </row>
    <row r="65" spans="1:23" x14ac:dyDescent="0.35">
      <c r="A65" s="2">
        <v>43700</v>
      </c>
      <c r="B65" s="40">
        <v>11.31748</v>
      </c>
      <c r="C65" s="40">
        <v>-19.564039999999999</v>
      </c>
      <c r="D65" s="40">
        <v>5.3852916000000004</v>
      </c>
      <c r="E65" s="40">
        <v>1.4668821999999999</v>
      </c>
      <c r="F65" s="40">
        <v>-13.273692</v>
      </c>
      <c r="G65" s="40">
        <v>-8.7617689999999993</v>
      </c>
      <c r="H65" s="40">
        <v>-12.101418000000001</v>
      </c>
      <c r="I65" s="40">
        <v>-5.3958653999999999</v>
      </c>
      <c r="J65" s="40">
        <v>-21.3368</v>
      </c>
      <c r="K65" s="40">
        <v>-19.741361999999999</v>
      </c>
      <c r="L65" s="40">
        <v>28.840613999999999</v>
      </c>
      <c r="M65" s="40">
        <v>-13.059646000000001</v>
      </c>
      <c r="N65" s="40">
        <v>2.3241282000000001</v>
      </c>
      <c r="O65" s="40">
        <v>-8.8894839999999995</v>
      </c>
      <c r="P65" s="40">
        <v>-7.7149390000000002</v>
      </c>
      <c r="Q65" s="40">
        <v>1.8480539</v>
      </c>
      <c r="R65" s="40">
        <v>-3.409195</v>
      </c>
      <c r="S65" s="40">
        <v>18.344806999999999</v>
      </c>
      <c r="T65" s="40">
        <v>-9.1147600000000004</v>
      </c>
      <c r="U65" s="40">
        <v>-4.5126143000000001</v>
      </c>
      <c r="V65" s="155">
        <v>7.6173067000000003</v>
      </c>
      <c r="W65" s="24"/>
    </row>
    <row r="66" spans="1:23" x14ac:dyDescent="0.35">
      <c r="A66" s="2">
        <v>43731</v>
      </c>
      <c r="B66" s="40">
        <v>10.671436</v>
      </c>
      <c r="C66" s="40">
        <v>-17.067855999999999</v>
      </c>
      <c r="D66" s="40">
        <v>9.8475929999999998</v>
      </c>
      <c r="E66" s="40">
        <v>11.331367500000001</v>
      </c>
      <c r="F66" s="40">
        <v>-12.866688</v>
      </c>
      <c r="G66" s="40">
        <v>-4.6171308</v>
      </c>
      <c r="H66" s="40">
        <v>-11.120981</v>
      </c>
      <c r="I66" s="40">
        <v>0.37075279999999999</v>
      </c>
      <c r="J66" s="40">
        <v>-11.939107999999999</v>
      </c>
      <c r="K66" s="40">
        <v>-14.385026999999999</v>
      </c>
      <c r="L66" s="40">
        <v>27.426279999999998</v>
      </c>
      <c r="M66" s="40">
        <v>-4.7816634000000002</v>
      </c>
      <c r="N66" s="40">
        <v>13.93689</v>
      </c>
      <c r="O66" s="40">
        <v>3.0644773999999999</v>
      </c>
      <c r="P66" s="40">
        <v>-3.0396402</v>
      </c>
      <c r="Q66" s="40">
        <v>3.9027571999999999</v>
      </c>
      <c r="R66" s="40">
        <v>-7.5923023000000001</v>
      </c>
      <c r="S66" s="40">
        <v>16.031897000000001</v>
      </c>
      <c r="T66" s="40">
        <v>-5.7001533999999996</v>
      </c>
      <c r="U66" s="40">
        <v>-2.7106821999999999</v>
      </c>
      <c r="V66" s="155">
        <v>6.5142509999999998</v>
      </c>
      <c r="W66" s="24"/>
    </row>
    <row r="67" spans="1:23" x14ac:dyDescent="0.35">
      <c r="A67" s="2">
        <v>43761</v>
      </c>
      <c r="B67" s="40">
        <v>20.681345</v>
      </c>
      <c r="C67" s="40">
        <v>-12.023968</v>
      </c>
      <c r="D67" s="40">
        <v>19.374966000000001</v>
      </c>
      <c r="E67" s="40">
        <v>17.791998</v>
      </c>
      <c r="F67" s="40">
        <v>-0.39226412999999999</v>
      </c>
      <c r="G67" s="40">
        <v>1.3651489999999999</v>
      </c>
      <c r="H67" s="40">
        <v>-5.0332189999999999</v>
      </c>
      <c r="I67" s="40">
        <v>19.999206999999998</v>
      </c>
      <c r="J67" s="40">
        <v>-0.88652969999999998</v>
      </c>
      <c r="K67" s="40">
        <v>-1.0124743</v>
      </c>
      <c r="L67" s="40">
        <v>15.553451000000001</v>
      </c>
      <c r="M67" s="40">
        <v>8.0566289999999992</v>
      </c>
      <c r="N67" s="40">
        <v>32.752513999999998</v>
      </c>
      <c r="O67" s="40">
        <v>16.743300999999999</v>
      </c>
      <c r="P67" s="40">
        <v>8.2350729999999999</v>
      </c>
      <c r="Q67" s="40">
        <v>2.9037951999999998</v>
      </c>
      <c r="R67" s="40">
        <v>-1.6339539999999999</v>
      </c>
      <c r="S67" s="40">
        <v>9.901726</v>
      </c>
      <c r="T67" s="40">
        <v>-0.24636388000000001</v>
      </c>
      <c r="U67" s="40">
        <v>5.9810639999999999</v>
      </c>
      <c r="V67" s="155">
        <v>7.6365470000000002</v>
      </c>
      <c r="W67" s="24"/>
    </row>
    <row r="68" spans="1:23" x14ac:dyDescent="0.35">
      <c r="A68" s="2">
        <v>43791</v>
      </c>
      <c r="B68" s="40">
        <v>18.25844</v>
      </c>
      <c r="C68" s="40">
        <v>-25.557922000000001</v>
      </c>
      <c r="D68" s="40">
        <v>3.9014340000000001</v>
      </c>
      <c r="E68" s="40">
        <v>12.127268000000001</v>
      </c>
      <c r="F68" s="40">
        <v>-3.6716700000000002</v>
      </c>
      <c r="G68" s="40">
        <v>-0.50293209999999999</v>
      </c>
      <c r="H68" s="40">
        <v>-4.7356309999999997</v>
      </c>
      <c r="I68" s="40">
        <v>24.849045</v>
      </c>
      <c r="J68" s="40">
        <v>13.474309999999999</v>
      </c>
      <c r="K68" s="40">
        <v>0.21451712000000001</v>
      </c>
      <c r="L68" s="40">
        <v>12.630224</v>
      </c>
      <c r="M68" s="40">
        <v>3.6896825</v>
      </c>
      <c r="N68" s="40">
        <v>41.397606000000003</v>
      </c>
      <c r="O68" s="40">
        <v>7.9810499999999998</v>
      </c>
      <c r="P68" s="40">
        <v>9.0137370000000008</v>
      </c>
      <c r="Q68" s="40">
        <v>-0.35505890000000001</v>
      </c>
      <c r="R68" s="40">
        <v>-0.41635633</v>
      </c>
      <c r="S68" s="40">
        <v>9.8549369999999996</v>
      </c>
      <c r="T68" s="40">
        <v>-5.0131560000000004</v>
      </c>
      <c r="U68" s="40">
        <v>5.3508043000000001</v>
      </c>
      <c r="V68" s="155">
        <v>12.222231000000001</v>
      </c>
      <c r="W68" s="24"/>
    </row>
    <row r="69" spans="1:23" x14ac:dyDescent="0.35">
      <c r="A69" s="2">
        <v>43822</v>
      </c>
      <c r="B69" s="40">
        <v>31.556438</v>
      </c>
      <c r="C69" s="40">
        <v>-16.644794000000001</v>
      </c>
      <c r="D69" s="40">
        <v>7.2942733999999998</v>
      </c>
      <c r="E69" s="40">
        <v>9.1027149999999999</v>
      </c>
      <c r="F69" s="40">
        <v>-6.1432419999999999</v>
      </c>
      <c r="G69" s="40">
        <v>7.4879527000000001</v>
      </c>
      <c r="H69" s="40">
        <v>1.8392563</v>
      </c>
      <c r="I69" s="40">
        <v>34.605716999999999</v>
      </c>
      <c r="J69" s="40">
        <v>16.386831000000001</v>
      </c>
      <c r="K69" s="40">
        <v>8.7630859999999995</v>
      </c>
      <c r="L69" s="40">
        <v>28.955566000000001</v>
      </c>
      <c r="M69" s="40">
        <v>12.334037</v>
      </c>
      <c r="N69" s="40">
        <v>48.203457</v>
      </c>
      <c r="O69" s="40">
        <v>9.7118260000000003</v>
      </c>
      <c r="P69" s="40">
        <v>24.035954</v>
      </c>
      <c r="Q69" s="40">
        <v>-0.88760850000000002</v>
      </c>
      <c r="R69" s="40">
        <v>-1.3639808</v>
      </c>
      <c r="S69" s="40">
        <v>11.875306999999999</v>
      </c>
      <c r="T69" s="40">
        <v>0.97848177000000003</v>
      </c>
      <c r="U69" s="40">
        <v>8.6472990000000003</v>
      </c>
      <c r="V69" s="155">
        <v>14.309036000000001</v>
      </c>
      <c r="W69" s="24"/>
    </row>
    <row r="70" spans="1:23" x14ac:dyDescent="0.35">
      <c r="A70" s="2">
        <v>43853</v>
      </c>
      <c r="B70" s="40">
        <v>26.667058999999998</v>
      </c>
      <c r="C70" s="40">
        <v>-27.876776</v>
      </c>
      <c r="D70" s="40">
        <v>-0.75437427000000001</v>
      </c>
      <c r="E70" s="40">
        <v>-2.6610969999999998</v>
      </c>
      <c r="F70" s="40">
        <v>-10.550857000000001</v>
      </c>
      <c r="G70" s="40">
        <v>4.4661283000000003</v>
      </c>
      <c r="H70" s="40">
        <v>-4.2149663000000004</v>
      </c>
      <c r="I70" s="40">
        <v>30.328346</v>
      </c>
      <c r="J70" s="40">
        <v>9.2783929999999994</v>
      </c>
      <c r="K70" s="40">
        <v>6.0061929999999997</v>
      </c>
      <c r="L70" s="40">
        <v>11.718082000000001</v>
      </c>
      <c r="M70" s="40">
        <v>-1.9562303999999999</v>
      </c>
      <c r="N70" s="40">
        <v>44.209969999999998</v>
      </c>
      <c r="O70" s="40">
        <v>9.9423650000000006</v>
      </c>
      <c r="P70" s="40">
        <v>16.810776000000001</v>
      </c>
      <c r="Q70" s="40">
        <v>-3.0481696</v>
      </c>
      <c r="R70" s="40">
        <v>-2.7006686000000002</v>
      </c>
      <c r="S70" s="40">
        <v>10.068523000000001</v>
      </c>
      <c r="T70" s="40">
        <v>1.2312174</v>
      </c>
      <c r="U70" s="40">
        <v>4.3017864000000001</v>
      </c>
      <c r="V70" s="155">
        <v>-1.7742990999999999</v>
      </c>
      <c r="W70" s="24"/>
    </row>
    <row r="71" spans="1:23" x14ac:dyDescent="0.35">
      <c r="A71" s="2">
        <v>43882</v>
      </c>
      <c r="B71" s="40">
        <v>18.620944999999999</v>
      </c>
      <c r="C71" s="40">
        <v>-33.828969999999998</v>
      </c>
      <c r="D71" s="40">
        <v>-8.0143339999999998</v>
      </c>
      <c r="E71" s="40">
        <v>-5.4782986999999999</v>
      </c>
      <c r="F71" s="40">
        <v>-13.5055485</v>
      </c>
      <c r="G71" s="40">
        <v>-7.168412</v>
      </c>
      <c r="H71" s="40">
        <v>-12.655288000000001</v>
      </c>
      <c r="I71" s="40">
        <v>20.375751000000001</v>
      </c>
      <c r="J71" s="40">
        <v>8.697832</v>
      </c>
      <c r="K71" s="40">
        <v>-6.6297709999999999</v>
      </c>
      <c r="L71" s="40">
        <v>0.19613504000000001</v>
      </c>
      <c r="M71" s="40">
        <v>-4.4757009999999999</v>
      </c>
      <c r="N71" s="40">
        <v>21.714973000000001</v>
      </c>
      <c r="O71" s="40">
        <v>9.3965420000000002</v>
      </c>
      <c r="P71" s="40">
        <v>9.2581389999999999</v>
      </c>
      <c r="Q71" s="40">
        <v>-2.8999685999999998</v>
      </c>
      <c r="R71" s="40">
        <v>-9.2410680000000003</v>
      </c>
      <c r="S71" s="40">
        <v>0.58017969999999996</v>
      </c>
      <c r="T71" s="40">
        <v>-7.1258010000000001</v>
      </c>
      <c r="U71" s="40">
        <v>-9.8413170000000001</v>
      </c>
      <c r="V71" s="155">
        <v>-7.2776079999999999</v>
      </c>
      <c r="W71" s="24"/>
    </row>
    <row r="72" spans="1:23" x14ac:dyDescent="0.35">
      <c r="A72" s="2">
        <v>43913</v>
      </c>
      <c r="B72" s="40">
        <v>-7.3393763999999999</v>
      </c>
      <c r="C72" s="40">
        <v>-56.363472000000002</v>
      </c>
      <c r="D72" s="40">
        <v>-52.699635000000001</v>
      </c>
      <c r="E72" s="40">
        <v>-41.637610000000002</v>
      </c>
      <c r="F72" s="40">
        <v>-44.310600000000001</v>
      </c>
      <c r="G72" s="40">
        <v>-44.580979999999997</v>
      </c>
      <c r="H72" s="40">
        <v>-30.445402000000001</v>
      </c>
      <c r="I72" s="40">
        <v>-8.0597104999999996</v>
      </c>
      <c r="J72" s="40">
        <v>-40.241329999999998</v>
      </c>
      <c r="K72" s="40">
        <v>-34.96416</v>
      </c>
      <c r="L72" s="40">
        <v>-47.078020000000002</v>
      </c>
      <c r="M72" s="40">
        <v>-46.048606999999997</v>
      </c>
      <c r="N72" s="40">
        <v>-35.392982000000003</v>
      </c>
      <c r="O72" s="40">
        <v>-40.292270000000002</v>
      </c>
      <c r="P72" s="40">
        <v>-11.90728</v>
      </c>
      <c r="Q72" s="40">
        <v>-15.715254</v>
      </c>
      <c r="R72" s="40">
        <v>-37.771599999999999</v>
      </c>
      <c r="S72" s="40">
        <v>-22.257947999999999</v>
      </c>
      <c r="T72" s="40">
        <v>-36.972610000000003</v>
      </c>
      <c r="U72" s="40">
        <v>-40.618090000000002</v>
      </c>
      <c r="V72" s="155">
        <v>-34.632786000000003</v>
      </c>
      <c r="W72" s="24"/>
    </row>
    <row r="73" spans="1:23" x14ac:dyDescent="0.35">
      <c r="A73" s="2">
        <v>43944</v>
      </c>
      <c r="B73" s="40">
        <v>-4.7271013000000002</v>
      </c>
      <c r="C73" s="40">
        <v>-45.569705999999996</v>
      </c>
      <c r="D73" s="40">
        <v>-40.935592999999997</v>
      </c>
      <c r="E73" s="40">
        <v>-29.471879999999999</v>
      </c>
      <c r="F73" s="40">
        <v>-36.770527000000001</v>
      </c>
      <c r="G73" s="40">
        <v>-33.532314</v>
      </c>
      <c r="H73" s="40">
        <v>-20.093197</v>
      </c>
      <c r="I73" s="40">
        <v>-0.24985075000000001</v>
      </c>
      <c r="J73" s="40">
        <v>-41.163764999999998</v>
      </c>
      <c r="K73" s="40">
        <v>-19.584173</v>
      </c>
      <c r="L73" s="40">
        <v>-40.047669999999997</v>
      </c>
      <c r="M73" s="40">
        <v>-41.415627000000001</v>
      </c>
      <c r="N73" s="40">
        <v>-30.684888999999998</v>
      </c>
      <c r="O73" s="40">
        <v>-24.755526</v>
      </c>
      <c r="P73" s="40">
        <v>-6.1643600000000003</v>
      </c>
      <c r="Q73" s="40">
        <v>-16.279129999999999</v>
      </c>
      <c r="R73" s="40">
        <v>-23.860323000000001</v>
      </c>
      <c r="S73" s="40">
        <v>-13.314163000000001</v>
      </c>
      <c r="T73" s="40">
        <v>-34.485059999999997</v>
      </c>
      <c r="U73" s="40">
        <v>-28.220956999999999</v>
      </c>
      <c r="V73" s="155">
        <v>-29.749006000000001</v>
      </c>
      <c r="W73" s="24"/>
    </row>
    <row r="74" spans="1:23" x14ac:dyDescent="0.35">
      <c r="A74" s="2">
        <v>43973</v>
      </c>
      <c r="B74" s="40">
        <v>7.9263570000000003</v>
      </c>
      <c r="C74" s="40">
        <v>-36.24127</v>
      </c>
      <c r="D74" s="40">
        <v>-30.173380000000002</v>
      </c>
      <c r="E74" s="40">
        <v>-28.607786000000001</v>
      </c>
      <c r="F74" s="40">
        <v>-29.473412</v>
      </c>
      <c r="G74" s="40">
        <v>-21.449316</v>
      </c>
      <c r="H74" s="40">
        <v>-11.401921</v>
      </c>
      <c r="I74" s="40">
        <v>12.874734999999999</v>
      </c>
      <c r="J74" s="40">
        <v>-28.855239999999998</v>
      </c>
      <c r="K74" s="40">
        <v>-6.3504040000000002</v>
      </c>
      <c r="L74" s="40">
        <v>-35.613166999999997</v>
      </c>
      <c r="M74" s="40">
        <v>-27.866613000000001</v>
      </c>
      <c r="N74" s="40">
        <v>-22.982137999999999</v>
      </c>
      <c r="O74" s="40">
        <v>-24.619167000000001</v>
      </c>
      <c r="P74" s="40">
        <v>6.671691</v>
      </c>
      <c r="Q74" s="40">
        <v>-5.6818485000000001</v>
      </c>
      <c r="R74" s="40">
        <v>-19.849903000000001</v>
      </c>
      <c r="S74" s="40">
        <v>8.8459489999999992</v>
      </c>
      <c r="T74" s="40">
        <v>-22.835557999999999</v>
      </c>
      <c r="U74" s="40">
        <v>-17.232631999999999</v>
      </c>
      <c r="V74" s="155">
        <v>-19.089227999999999</v>
      </c>
      <c r="W74" s="24"/>
    </row>
    <row r="75" spans="1:23" x14ac:dyDescent="0.35">
      <c r="A75" s="2">
        <v>44005</v>
      </c>
      <c r="B75" s="40">
        <v>12.258875</v>
      </c>
      <c r="C75" s="40">
        <v>-35.007922999999998</v>
      </c>
      <c r="D75" s="40">
        <v>-26.571173000000002</v>
      </c>
      <c r="E75" s="40">
        <v>-22.359627</v>
      </c>
      <c r="F75" s="40">
        <v>-23.068957999999999</v>
      </c>
      <c r="G75" s="40">
        <v>-19.596554000000001</v>
      </c>
      <c r="H75" s="40">
        <v>-11.438394000000001</v>
      </c>
      <c r="I75" s="40">
        <v>17.731583000000001</v>
      </c>
      <c r="J75" s="40">
        <v>-23.569458000000001</v>
      </c>
      <c r="K75" s="40">
        <v>-0.67173240000000001</v>
      </c>
      <c r="L75" s="40">
        <v>-29.331572000000001</v>
      </c>
      <c r="M75" s="40">
        <v>-25.718360000000001</v>
      </c>
      <c r="N75" s="40">
        <v>-23.898368999999999</v>
      </c>
      <c r="O75" s="40">
        <v>-14.640432000000001</v>
      </c>
      <c r="P75" s="40">
        <v>14.893972</v>
      </c>
      <c r="Q75" s="40">
        <v>-5.4766535999999997</v>
      </c>
      <c r="R75" s="40">
        <v>-21.006440999999999</v>
      </c>
      <c r="S75" s="40">
        <v>2.1521688000000001</v>
      </c>
      <c r="T75" s="40">
        <v>-19.534141999999999</v>
      </c>
      <c r="U75" s="40">
        <v>-14.500069999999999</v>
      </c>
      <c r="V75" s="155">
        <v>-18.283403</v>
      </c>
      <c r="W75" s="24"/>
    </row>
    <row r="76" spans="1:23" x14ac:dyDescent="0.35">
      <c r="A76" s="2">
        <v>44035</v>
      </c>
      <c r="B76" s="40">
        <v>29.498566</v>
      </c>
      <c r="C76" s="40">
        <v>-29.100162999999998</v>
      </c>
      <c r="D76" s="40">
        <v>-27.070682999999999</v>
      </c>
      <c r="E76" s="40">
        <v>-26.491415</v>
      </c>
      <c r="F76" s="40">
        <v>-20.931153999999999</v>
      </c>
      <c r="G76" s="40">
        <v>-18.805264999999999</v>
      </c>
      <c r="H76" s="40">
        <v>-4.3835106000000001</v>
      </c>
      <c r="I76" s="40">
        <v>23.534405</v>
      </c>
      <c r="J76" s="40">
        <v>-20.28538</v>
      </c>
      <c r="K76" s="40">
        <v>3.7689566999999999</v>
      </c>
      <c r="L76" s="40">
        <v>-27.680094</v>
      </c>
      <c r="M76" s="40">
        <v>-21.450704999999999</v>
      </c>
      <c r="N76" s="40">
        <v>-26.613443</v>
      </c>
      <c r="O76" s="40">
        <v>-5.4355916999999998</v>
      </c>
      <c r="P76" s="40">
        <v>21.945404</v>
      </c>
      <c r="Q76" s="40">
        <v>-3.4821032999999999</v>
      </c>
      <c r="R76" s="40">
        <v>-21.173769</v>
      </c>
      <c r="S76" s="40">
        <v>-6.5581082999999998</v>
      </c>
      <c r="T76" s="40">
        <v>-25.805813000000001</v>
      </c>
      <c r="U76" s="40">
        <v>-12.771922</v>
      </c>
      <c r="V76" s="155">
        <v>-16.260570000000001</v>
      </c>
      <c r="W76" s="24"/>
    </row>
    <row r="77" spans="1:23" x14ac:dyDescent="0.35">
      <c r="A77" s="2">
        <v>44064</v>
      </c>
      <c r="B77" s="40">
        <v>33.850729999999999</v>
      </c>
      <c r="C77" s="40">
        <v>-25.604593000000001</v>
      </c>
      <c r="D77" s="40">
        <v>-19.676262000000001</v>
      </c>
      <c r="E77" s="40">
        <v>-18.733156000000001</v>
      </c>
      <c r="F77" s="40">
        <v>-10.166198</v>
      </c>
      <c r="G77" s="40">
        <v>-5.2163599999999999</v>
      </c>
      <c r="H77" s="40">
        <v>1.5308379999999999</v>
      </c>
      <c r="I77" s="40">
        <v>31.160889999999998</v>
      </c>
      <c r="J77" s="40">
        <v>-13.358492</v>
      </c>
      <c r="K77" s="40">
        <v>19.951523000000002</v>
      </c>
      <c r="L77" s="40">
        <v>-27.443928</v>
      </c>
      <c r="M77" s="40">
        <v>-11.016916999999999</v>
      </c>
      <c r="N77" s="40">
        <v>-21.333403000000001</v>
      </c>
      <c r="O77" s="40">
        <v>4.6324969999999999</v>
      </c>
      <c r="P77" s="40">
        <v>32.626440000000002</v>
      </c>
      <c r="Q77" s="40">
        <v>6.7381380000000002</v>
      </c>
      <c r="R77" s="40">
        <v>-20.691717000000001</v>
      </c>
      <c r="S77" s="40">
        <v>-13.001352000000001</v>
      </c>
      <c r="T77" s="40">
        <v>-16.737252999999999</v>
      </c>
      <c r="U77" s="40">
        <v>-10.169231</v>
      </c>
      <c r="V77" s="155">
        <v>-7.9525414000000003</v>
      </c>
      <c r="W77" s="24"/>
    </row>
    <row r="78" spans="1:23" x14ac:dyDescent="0.35">
      <c r="A78" s="2">
        <v>44097</v>
      </c>
      <c r="B78" s="40">
        <v>30.409718000000002</v>
      </c>
      <c r="C78" s="40">
        <v>-37.140529999999998</v>
      </c>
      <c r="D78" s="40">
        <v>-31.053967</v>
      </c>
      <c r="E78" s="40">
        <v>-21.771729000000001</v>
      </c>
      <c r="F78" s="40">
        <v>-19.125622</v>
      </c>
      <c r="G78" s="40">
        <v>-15.1328745</v>
      </c>
      <c r="H78" s="40">
        <v>-6.5285739999999999</v>
      </c>
      <c r="I78" s="40">
        <v>23.392354999999998</v>
      </c>
      <c r="J78" s="40">
        <v>-27.347342999999999</v>
      </c>
      <c r="K78" s="40">
        <v>13.019311999999999</v>
      </c>
      <c r="L78" s="40">
        <v>-31.121445000000001</v>
      </c>
      <c r="M78" s="40">
        <v>-20.386970000000002</v>
      </c>
      <c r="N78" s="40">
        <v>-29.568321000000001</v>
      </c>
      <c r="O78" s="40">
        <v>-2.7680278</v>
      </c>
      <c r="P78" s="40">
        <v>26.939964</v>
      </c>
      <c r="Q78" s="40">
        <v>0.50432679999999996</v>
      </c>
      <c r="R78" s="40">
        <v>-22.108840000000001</v>
      </c>
      <c r="S78" s="40">
        <v>-22.461302</v>
      </c>
      <c r="T78" s="40">
        <v>-18.963926000000001</v>
      </c>
      <c r="U78" s="40">
        <v>-8.6811904999999996</v>
      </c>
      <c r="V78" s="155">
        <v>-0.47503709999999999</v>
      </c>
      <c r="W78" s="24"/>
    </row>
    <row r="79" spans="1:23" x14ac:dyDescent="0.35">
      <c r="A79" s="2">
        <v>44127</v>
      </c>
      <c r="B79" s="40">
        <v>35.335875999999999</v>
      </c>
      <c r="C79" s="40">
        <v>-28.490947999999999</v>
      </c>
      <c r="D79" s="40">
        <v>-25.009685999999999</v>
      </c>
      <c r="E79" s="40">
        <v>-15.766311</v>
      </c>
      <c r="F79" s="40">
        <v>-26.374715999999999</v>
      </c>
      <c r="G79" s="40">
        <v>-10.016738999999999</v>
      </c>
      <c r="H79" s="40">
        <v>-2.2517204</v>
      </c>
      <c r="I79" s="40">
        <v>24.10444</v>
      </c>
      <c r="J79" s="40">
        <v>-17.449491999999999</v>
      </c>
      <c r="K79" s="40">
        <v>18.232583999999999</v>
      </c>
      <c r="L79" s="40">
        <v>-31.877064000000001</v>
      </c>
      <c r="M79" s="40">
        <v>-12.517601000000001</v>
      </c>
      <c r="N79" s="40">
        <v>-32.232017999999997</v>
      </c>
      <c r="O79" s="40">
        <v>3.3468722999999998</v>
      </c>
      <c r="P79" s="40">
        <v>37.697662000000001</v>
      </c>
      <c r="Q79" s="40">
        <v>1.622355</v>
      </c>
      <c r="R79" s="40">
        <v>-25.612026</v>
      </c>
      <c r="S79" s="40">
        <v>-19.479047999999999</v>
      </c>
      <c r="T79" s="40">
        <v>-22.370100000000001</v>
      </c>
      <c r="U79" s="40">
        <v>-4.0209349999999997</v>
      </c>
      <c r="V79" s="155">
        <v>6.9496511999999999</v>
      </c>
      <c r="W79" s="24"/>
    </row>
    <row r="80" spans="1:23" x14ac:dyDescent="0.35">
      <c r="A80" s="2">
        <v>44158</v>
      </c>
      <c r="B80" s="40">
        <v>44.169795999999998</v>
      </c>
      <c r="C80" s="40">
        <v>-11.320829</v>
      </c>
      <c r="D80" s="40">
        <v>-9.3490179999999992</v>
      </c>
      <c r="E80" s="40">
        <v>-4.7512473999999996</v>
      </c>
      <c r="F80" s="40">
        <v>-15.418725999999999</v>
      </c>
      <c r="G80" s="40">
        <v>-4.5518580000000002</v>
      </c>
      <c r="H80" s="40">
        <v>2.3538350000000001</v>
      </c>
      <c r="I80" s="40">
        <v>29.495930000000001</v>
      </c>
      <c r="J80" s="40">
        <v>-6.4377190000000004</v>
      </c>
      <c r="K80" s="40">
        <v>31.774616000000002</v>
      </c>
      <c r="L80" s="40">
        <v>-23.019473999999999</v>
      </c>
      <c r="M80" s="40">
        <v>-8.7421779999999991</v>
      </c>
      <c r="N80" s="40">
        <v>-23.157119999999999</v>
      </c>
      <c r="O80" s="40">
        <v>7.4361324</v>
      </c>
      <c r="P80" s="40">
        <v>38.283073000000002</v>
      </c>
      <c r="Q80" s="40">
        <v>4.2912720000000002</v>
      </c>
      <c r="R80" s="40">
        <v>-11.09643</v>
      </c>
      <c r="S80" s="40">
        <v>-14.541281</v>
      </c>
      <c r="T80" s="40">
        <v>-12.676257</v>
      </c>
      <c r="U80" s="40">
        <v>1.2056112000000001</v>
      </c>
      <c r="V80" s="155">
        <v>3.815782</v>
      </c>
      <c r="W80" s="24"/>
    </row>
    <row r="81" spans="1:23" x14ac:dyDescent="0.35">
      <c r="A81" s="2">
        <v>44188</v>
      </c>
      <c r="B81" s="40">
        <v>41.570568000000002</v>
      </c>
      <c r="C81" s="40">
        <v>-9.5255320000000001</v>
      </c>
      <c r="D81" s="40">
        <v>-8.8461400000000001</v>
      </c>
      <c r="E81" s="40">
        <v>-3.8354694999999999</v>
      </c>
      <c r="F81" s="40">
        <v>-7.4010252999999997</v>
      </c>
      <c r="G81" s="40">
        <v>-3.2565295999999999</v>
      </c>
      <c r="H81" s="40">
        <v>2.9114841999999999</v>
      </c>
      <c r="I81" s="40">
        <v>27.389752999999999</v>
      </c>
      <c r="J81" s="40">
        <v>-6.4561185999999999</v>
      </c>
      <c r="K81" s="40">
        <v>32.062649999999998</v>
      </c>
      <c r="L81" s="40">
        <v>-19.77806</v>
      </c>
      <c r="M81" s="40">
        <v>-3.1631171999999999</v>
      </c>
      <c r="N81" s="40">
        <v>-13.283348</v>
      </c>
      <c r="O81" s="40">
        <v>10.569429</v>
      </c>
      <c r="P81" s="40">
        <v>26.947545999999999</v>
      </c>
      <c r="Q81" s="40">
        <v>6.7096114</v>
      </c>
      <c r="R81" s="40">
        <v>-10.012263000000001</v>
      </c>
      <c r="S81" s="40">
        <v>-6.0868320000000002</v>
      </c>
      <c r="T81" s="40">
        <v>-5.1078377000000001</v>
      </c>
      <c r="U81" s="40">
        <v>6.6904545000000004</v>
      </c>
      <c r="V81" s="155">
        <v>2.0998955000000001</v>
      </c>
      <c r="W81" s="24"/>
    </row>
    <row r="82" spans="1:23" x14ac:dyDescent="0.35">
      <c r="A82" s="2">
        <v>44218</v>
      </c>
      <c r="B82" s="40">
        <v>49.189532999999997</v>
      </c>
      <c r="C82" s="40">
        <v>0.41569469999999997</v>
      </c>
      <c r="D82" s="40">
        <v>-5.0977706999999999</v>
      </c>
      <c r="E82" s="40">
        <v>-1.0402799</v>
      </c>
      <c r="F82" s="40">
        <v>-8.2214950000000009</v>
      </c>
      <c r="G82" s="40">
        <v>-2.3917853999999998</v>
      </c>
      <c r="H82" s="40">
        <v>0.93748569999999998</v>
      </c>
      <c r="I82" s="40">
        <v>44.564056000000001</v>
      </c>
      <c r="J82" s="40">
        <v>-8.6786379999999994</v>
      </c>
      <c r="K82" s="40">
        <v>47.983837000000001</v>
      </c>
      <c r="L82" s="40">
        <v>-23.168140000000001</v>
      </c>
      <c r="M82" s="40">
        <v>-0.54125190000000001</v>
      </c>
      <c r="N82" s="40">
        <v>-16.781991999999999</v>
      </c>
      <c r="O82" s="40">
        <v>16.922426000000002</v>
      </c>
      <c r="P82" s="40">
        <v>40.936672000000002</v>
      </c>
      <c r="Q82" s="40">
        <v>6.2337875</v>
      </c>
      <c r="R82" s="40">
        <v>-4.8717439999999996</v>
      </c>
      <c r="S82" s="40">
        <v>-2.8162061999999999</v>
      </c>
      <c r="T82" s="40">
        <v>1.2559294999999999</v>
      </c>
      <c r="U82" s="40">
        <v>14.877319</v>
      </c>
      <c r="V82" s="155">
        <v>4.1689873000000004</v>
      </c>
      <c r="W82" s="24"/>
    </row>
    <row r="83" spans="1:23" x14ac:dyDescent="0.35">
      <c r="A83" s="2">
        <v>44250</v>
      </c>
      <c r="B83" s="40">
        <v>50.387540000000001</v>
      </c>
      <c r="C83" s="40">
        <v>10.763168</v>
      </c>
      <c r="D83" s="40">
        <v>1.1500835</v>
      </c>
      <c r="E83" s="40">
        <v>-4.5063376000000002</v>
      </c>
      <c r="F83" s="40">
        <v>-1.0326207000000001</v>
      </c>
      <c r="G83" s="40">
        <v>15.242969499999999</v>
      </c>
      <c r="H83" s="40">
        <v>6.137073</v>
      </c>
      <c r="I83" s="40">
        <v>55.730690000000003</v>
      </c>
      <c r="J83" s="40">
        <v>-8.6934570000000004</v>
      </c>
      <c r="K83" s="40">
        <v>57.092606000000004</v>
      </c>
      <c r="L83" s="40">
        <v>-17.424833</v>
      </c>
      <c r="M83" s="40">
        <v>13.406968000000001</v>
      </c>
      <c r="N83" s="40">
        <v>-7.6691209999999996</v>
      </c>
      <c r="O83" s="40">
        <v>22.083103000000001</v>
      </c>
      <c r="P83" s="40">
        <v>44.584167000000001</v>
      </c>
      <c r="Q83" s="40">
        <v>9.8002800000000008</v>
      </c>
      <c r="R83" s="40">
        <v>0.36921500000000002</v>
      </c>
      <c r="S83" s="40">
        <v>8.8798279999999998</v>
      </c>
      <c r="T83" s="40">
        <v>6.5447927000000004</v>
      </c>
      <c r="U83" s="40">
        <v>21.224032999999999</v>
      </c>
      <c r="V83" s="155">
        <v>15.895617</v>
      </c>
      <c r="W83" s="24"/>
    </row>
    <row r="84" spans="1:23" x14ac:dyDescent="0.35">
      <c r="A84" s="2">
        <v>44278</v>
      </c>
      <c r="B84" s="40">
        <v>55.499912000000002</v>
      </c>
      <c r="C84" s="40">
        <v>87.98442</v>
      </c>
      <c r="D84" s="40">
        <v>92.061520000000002</v>
      </c>
      <c r="E84" s="40">
        <v>45.445869999999999</v>
      </c>
      <c r="F84" s="40">
        <v>45.368429999999996</v>
      </c>
      <c r="G84" s="40">
        <v>65.498824999999997</v>
      </c>
      <c r="H84" s="40">
        <v>37.834359999999997</v>
      </c>
      <c r="I84" s="40">
        <v>93.45402</v>
      </c>
      <c r="J84" s="40">
        <v>73.380300000000005</v>
      </c>
      <c r="K84" s="40">
        <v>123.6336</v>
      </c>
      <c r="L84" s="40">
        <v>62.671599999999998</v>
      </c>
      <c r="M84" s="40">
        <v>104.39588999999999</v>
      </c>
      <c r="N84" s="40">
        <v>75.682130000000001</v>
      </c>
      <c r="O84" s="40">
        <v>106.97098</v>
      </c>
      <c r="P84" s="40">
        <v>58.902929999999998</v>
      </c>
      <c r="Q84" s="40">
        <v>28.027474999999999</v>
      </c>
      <c r="R84" s="40">
        <v>52.69021</v>
      </c>
      <c r="S84" s="40">
        <v>27.477478000000001</v>
      </c>
      <c r="T84" s="40">
        <v>58.204425999999998</v>
      </c>
      <c r="U84" s="40">
        <v>81.783879999999996</v>
      </c>
      <c r="V84" s="155">
        <v>65.980514999999997</v>
      </c>
      <c r="W84" s="24"/>
    </row>
    <row r="85" spans="1:23" x14ac:dyDescent="0.35">
      <c r="A85" s="2">
        <v>44309</v>
      </c>
      <c r="B85" s="40">
        <v>50.085650000000001</v>
      </c>
      <c r="C85" s="40">
        <v>51.163207999999997</v>
      </c>
      <c r="D85" s="40">
        <v>45.047558000000002</v>
      </c>
      <c r="E85" s="40">
        <v>21.584641999999999</v>
      </c>
      <c r="F85" s="40">
        <v>35.919440000000002</v>
      </c>
      <c r="G85" s="40">
        <v>32.264983999999998</v>
      </c>
      <c r="H85" s="40">
        <v>23.973953000000002</v>
      </c>
      <c r="I85" s="40">
        <v>85.061480000000003</v>
      </c>
      <c r="J85" s="40">
        <v>80.221509999999995</v>
      </c>
      <c r="K85" s="40">
        <v>88.021069999999995</v>
      </c>
      <c r="L85" s="40">
        <v>51.018355999999997</v>
      </c>
      <c r="M85" s="40">
        <v>81.225229999999996</v>
      </c>
      <c r="N85" s="40">
        <v>66.386049999999997</v>
      </c>
      <c r="O85" s="40">
        <v>53.930250000000001</v>
      </c>
      <c r="P85" s="40">
        <v>42.411231999999998</v>
      </c>
      <c r="Q85" s="40">
        <v>31.229042</v>
      </c>
      <c r="R85" s="40">
        <v>22.086704000000001</v>
      </c>
      <c r="S85" s="40">
        <v>12.682688000000001</v>
      </c>
      <c r="T85" s="40">
        <v>44.05415</v>
      </c>
      <c r="U85" s="40">
        <v>62.538338000000003</v>
      </c>
      <c r="V85" s="155">
        <v>56.040619999999997</v>
      </c>
      <c r="W85" s="24"/>
    </row>
    <row r="86" spans="1:23" x14ac:dyDescent="0.35">
      <c r="A86" s="2">
        <v>44337</v>
      </c>
      <c r="B86" s="40">
        <v>49.524222999999999</v>
      </c>
      <c r="C86" s="40">
        <v>17.368746000000002</v>
      </c>
      <c r="D86" s="40">
        <v>32.710647999999999</v>
      </c>
      <c r="E86" s="40">
        <v>18.727433999999999</v>
      </c>
      <c r="F86" s="40">
        <v>43.415916000000003</v>
      </c>
      <c r="G86" s="40">
        <v>21.552800999999999</v>
      </c>
      <c r="H86" s="40">
        <v>10.665798000000001</v>
      </c>
      <c r="I86" s="40">
        <v>62.584484000000003</v>
      </c>
      <c r="J86" s="40">
        <v>59.706176999999997</v>
      </c>
      <c r="K86" s="40">
        <v>73.482219999999998</v>
      </c>
      <c r="L86" s="40">
        <v>52.232838000000001</v>
      </c>
      <c r="M86" s="40">
        <v>57.996952</v>
      </c>
      <c r="N86" s="40">
        <v>57.687378000000002</v>
      </c>
      <c r="O86" s="40">
        <v>65.045456000000001</v>
      </c>
      <c r="P86" s="40">
        <v>30.869506999999999</v>
      </c>
      <c r="Q86" s="40">
        <v>27.155135999999999</v>
      </c>
      <c r="R86" s="40">
        <v>17.547643999999998</v>
      </c>
      <c r="S86" s="40">
        <v>12.326109000000001</v>
      </c>
      <c r="T86" s="40">
        <v>50.088859999999997</v>
      </c>
      <c r="U86" s="40">
        <v>41.337085999999999</v>
      </c>
      <c r="V86" s="155">
        <v>47.110294000000003</v>
      </c>
      <c r="W86" s="24"/>
    </row>
    <row r="87" spans="1:23" x14ac:dyDescent="0.35">
      <c r="A87" s="2">
        <v>44370</v>
      </c>
      <c r="B87" s="40">
        <v>39.119433999999998</v>
      </c>
      <c r="C87" s="40">
        <v>15.852618</v>
      </c>
      <c r="D87" s="40">
        <v>13.461447</v>
      </c>
      <c r="E87" s="40">
        <v>14.685726000000001</v>
      </c>
      <c r="F87" s="40">
        <v>26.04804</v>
      </c>
      <c r="G87" s="40">
        <v>-1.0647297</v>
      </c>
      <c r="H87" s="40">
        <v>5.2111505999999999</v>
      </c>
      <c r="I87" s="40">
        <v>58.511913</v>
      </c>
      <c r="J87" s="40">
        <v>45.541130000000003</v>
      </c>
      <c r="K87" s="40">
        <v>61.264049999999997</v>
      </c>
      <c r="L87" s="40">
        <v>37.691592999999997</v>
      </c>
      <c r="M87" s="40">
        <v>40.004170000000002</v>
      </c>
      <c r="N87" s="40">
        <v>42.631638000000002</v>
      </c>
      <c r="O87" s="40">
        <v>49.552129999999998</v>
      </c>
      <c r="P87" s="40">
        <v>21.812688999999999</v>
      </c>
      <c r="Q87" s="40">
        <v>19.318317</v>
      </c>
      <c r="R87" s="40">
        <v>17.372799000000001</v>
      </c>
      <c r="S87" s="40">
        <v>-2.6584387</v>
      </c>
      <c r="T87" s="40">
        <v>43.652259999999998</v>
      </c>
      <c r="U87" s="40">
        <v>45.093406999999999</v>
      </c>
      <c r="V87" s="155">
        <v>50.569546000000003</v>
      </c>
      <c r="W87" s="24"/>
    </row>
    <row r="88" spans="1:23" x14ac:dyDescent="0.35">
      <c r="A88" s="2">
        <v>44400</v>
      </c>
      <c r="B88" s="40">
        <v>21.759437999999999</v>
      </c>
      <c r="C88" s="40">
        <v>1.2146950000000001</v>
      </c>
      <c r="D88" s="40">
        <v>8.1239589999999993</v>
      </c>
      <c r="E88" s="40">
        <v>7.2894095999999999</v>
      </c>
      <c r="F88" s="40">
        <v>21.199249999999999</v>
      </c>
      <c r="G88" s="40">
        <v>-4.1730165000000001</v>
      </c>
      <c r="H88" s="40">
        <v>-5.9805393000000002</v>
      </c>
      <c r="I88" s="40">
        <v>49.777866000000003</v>
      </c>
      <c r="J88" s="40">
        <v>50.271605999999998</v>
      </c>
      <c r="K88" s="40">
        <v>54.006515999999998</v>
      </c>
      <c r="L88" s="40">
        <v>21.952475</v>
      </c>
      <c r="M88" s="40">
        <v>28.444396999999999</v>
      </c>
      <c r="N88" s="40">
        <v>34.170769999999997</v>
      </c>
      <c r="O88" s="40">
        <v>39.542316</v>
      </c>
      <c r="P88" s="40">
        <v>5.0729629999999997</v>
      </c>
      <c r="Q88" s="40">
        <v>14.660192</v>
      </c>
      <c r="R88" s="40">
        <v>13.639533999999999</v>
      </c>
      <c r="S88" s="40">
        <v>-7.0242524</v>
      </c>
      <c r="T88" s="40">
        <v>41.987262999999999</v>
      </c>
      <c r="U88" s="40">
        <v>34.475529999999999</v>
      </c>
      <c r="V88" s="155">
        <v>45.564819999999997</v>
      </c>
      <c r="W88" s="24"/>
    </row>
    <row r="89" spans="1:23" x14ac:dyDescent="0.35">
      <c r="A89" s="2">
        <v>44431</v>
      </c>
      <c r="B89" s="40">
        <v>14.710319500000001</v>
      </c>
      <c r="C89" s="40">
        <v>6.0640334999999999</v>
      </c>
      <c r="D89" s="40">
        <v>10.277998</v>
      </c>
      <c r="E89" s="40">
        <v>8.5192440000000005</v>
      </c>
      <c r="F89" s="40">
        <v>22.739887</v>
      </c>
      <c r="G89" s="40">
        <v>-16.466051</v>
      </c>
      <c r="H89" s="40">
        <v>-5.6754826999999999</v>
      </c>
      <c r="I89" s="40">
        <v>42.402923999999999</v>
      </c>
      <c r="J89" s="40">
        <v>47.815918000000003</v>
      </c>
      <c r="K89" s="40">
        <v>34.864353000000001</v>
      </c>
      <c r="L89" s="40">
        <v>20.006</v>
      </c>
      <c r="M89" s="40">
        <v>29.819834</v>
      </c>
      <c r="N89" s="40">
        <v>39.314438000000003</v>
      </c>
      <c r="O89" s="40">
        <v>40.347349999999999</v>
      </c>
      <c r="P89" s="40">
        <v>-8.0980480000000004</v>
      </c>
      <c r="Q89" s="40">
        <v>16.102993000000001</v>
      </c>
      <c r="R89" s="40">
        <v>21.766995999999999</v>
      </c>
      <c r="S89" s="40">
        <v>16.543472000000001</v>
      </c>
      <c r="T89" s="40">
        <v>41.113197</v>
      </c>
      <c r="U89" s="40">
        <v>37.654389999999999</v>
      </c>
      <c r="V89" s="155">
        <v>42.611027</v>
      </c>
      <c r="W89" s="24"/>
    </row>
    <row r="90" spans="1:23" x14ac:dyDescent="0.35">
      <c r="A90" s="2">
        <v>44462</v>
      </c>
      <c r="B90" s="40">
        <v>17.55545</v>
      </c>
      <c r="C90" s="40">
        <v>20.975207999999999</v>
      </c>
      <c r="D90" s="40">
        <v>26.684116</v>
      </c>
      <c r="E90" s="40">
        <v>17.383623</v>
      </c>
      <c r="F90" s="40">
        <v>39.895175999999999</v>
      </c>
      <c r="G90" s="40">
        <v>-5.4035482000000004</v>
      </c>
      <c r="H90" s="40">
        <v>3.393805</v>
      </c>
      <c r="I90" s="40">
        <v>49.095905000000002</v>
      </c>
      <c r="J90" s="40">
        <v>62.359034999999999</v>
      </c>
      <c r="K90" s="40">
        <v>33.391919999999999</v>
      </c>
      <c r="L90" s="40">
        <v>23.634088999999999</v>
      </c>
      <c r="M90" s="40">
        <v>40.651344000000002</v>
      </c>
      <c r="N90" s="40">
        <v>46.550834999999999</v>
      </c>
      <c r="O90" s="40">
        <v>52.392589999999998</v>
      </c>
      <c r="P90" s="40">
        <v>-5.241549</v>
      </c>
      <c r="Q90" s="40">
        <v>17.537223999999998</v>
      </c>
      <c r="R90" s="40">
        <v>29.045653999999999</v>
      </c>
      <c r="S90" s="40">
        <v>15.285468</v>
      </c>
      <c r="T90" s="40">
        <v>45.530665999999997</v>
      </c>
      <c r="U90" s="40">
        <v>36.634900000000002</v>
      </c>
      <c r="V90" s="155">
        <v>43.216206</v>
      </c>
      <c r="W90" s="24"/>
    </row>
    <row r="91" spans="1:23" x14ac:dyDescent="0.35">
      <c r="A91" s="2">
        <v>44491</v>
      </c>
      <c r="B91" s="40">
        <v>14.358461</v>
      </c>
      <c r="C91" s="40">
        <v>-2.9758513</v>
      </c>
      <c r="D91" s="40">
        <v>32.177320000000002</v>
      </c>
      <c r="E91" s="40">
        <v>15.172625</v>
      </c>
      <c r="F91" s="40">
        <v>51.869594999999997</v>
      </c>
      <c r="G91" s="40">
        <v>1.9354582</v>
      </c>
      <c r="H91" s="40">
        <v>3.8142323</v>
      </c>
      <c r="I91" s="40">
        <v>36.551963999999998</v>
      </c>
      <c r="J91" s="40">
        <v>39.460217</v>
      </c>
      <c r="K91" s="40">
        <v>20.223569999999999</v>
      </c>
      <c r="L91" s="40">
        <v>3.1281232999999999</v>
      </c>
      <c r="M91" s="40">
        <v>30.263662</v>
      </c>
      <c r="N91" s="40">
        <v>52.367355000000003</v>
      </c>
      <c r="O91" s="40">
        <v>42.132210000000001</v>
      </c>
      <c r="P91" s="40">
        <v>-6.4233120000000001</v>
      </c>
      <c r="Q91" s="40">
        <v>20.496738000000001</v>
      </c>
      <c r="R91" s="40">
        <v>35.096347999999999</v>
      </c>
      <c r="S91" s="40">
        <v>6.0151934999999996</v>
      </c>
      <c r="T91" s="40">
        <v>44.076050000000002</v>
      </c>
      <c r="U91" s="40">
        <v>30.090284</v>
      </c>
      <c r="V91" s="155">
        <v>45.724519999999998</v>
      </c>
      <c r="W91" s="24"/>
    </row>
    <row r="92" spans="1:23" x14ac:dyDescent="0.35">
      <c r="A92" s="2">
        <v>44523</v>
      </c>
      <c r="B92" s="40">
        <v>9.2508789999999994</v>
      </c>
      <c r="C92" s="40">
        <v>3.2646774999999999</v>
      </c>
      <c r="D92" s="40">
        <v>9.600676</v>
      </c>
      <c r="E92" s="40">
        <v>0.99294185999999995</v>
      </c>
      <c r="F92" s="40">
        <v>20.350491999999999</v>
      </c>
      <c r="G92" s="40">
        <v>-8.7559400000000007</v>
      </c>
      <c r="H92" s="40">
        <v>-7.0314465000000004</v>
      </c>
      <c r="I92" s="40">
        <v>33.096874</v>
      </c>
      <c r="J92" s="40">
        <v>15.835929</v>
      </c>
      <c r="K92" s="40">
        <v>5.1441790000000003</v>
      </c>
      <c r="L92" s="40">
        <v>-6.6128073000000001</v>
      </c>
      <c r="M92" s="40">
        <v>15.311933</v>
      </c>
      <c r="N92" s="40">
        <v>24.103211999999999</v>
      </c>
      <c r="O92" s="40">
        <v>34.733580000000003</v>
      </c>
      <c r="P92" s="40">
        <v>-15.991110000000001</v>
      </c>
      <c r="Q92" s="40">
        <v>17.838477999999999</v>
      </c>
      <c r="R92" s="40">
        <v>15.909969</v>
      </c>
      <c r="S92" s="40">
        <v>-12.226687999999999</v>
      </c>
      <c r="T92" s="40">
        <v>52.154423000000001</v>
      </c>
      <c r="U92" s="40">
        <v>28.233004000000001</v>
      </c>
      <c r="V92" s="155">
        <v>37.023533</v>
      </c>
      <c r="W92" s="24"/>
    </row>
    <row r="93" spans="1:23" x14ac:dyDescent="0.35">
      <c r="A93" s="2">
        <v>44553</v>
      </c>
      <c r="B93" s="40">
        <v>7.8055380000000003</v>
      </c>
      <c r="C93" s="40">
        <v>-19.872267000000001</v>
      </c>
      <c r="D93" s="40">
        <v>1.301825</v>
      </c>
      <c r="E93" s="40">
        <v>-0.21868348000000001</v>
      </c>
      <c r="F93" s="40">
        <v>10.132515</v>
      </c>
      <c r="G93" s="40">
        <v>-13.600063</v>
      </c>
      <c r="H93" s="40">
        <v>-10.392576</v>
      </c>
      <c r="I93" s="40">
        <v>31.60472</v>
      </c>
      <c r="J93" s="40">
        <v>20.794308000000001</v>
      </c>
      <c r="K93" s="40">
        <v>-0.45227408000000002</v>
      </c>
      <c r="L93" s="40">
        <v>-17.777425999999998</v>
      </c>
      <c r="M93" s="40">
        <v>7.4494360000000004</v>
      </c>
      <c r="N93" s="40">
        <v>7.2477936999999999</v>
      </c>
      <c r="O93" s="40">
        <v>23.316932999999999</v>
      </c>
      <c r="P93" s="40">
        <v>-20.635867999999999</v>
      </c>
      <c r="Q93" s="40">
        <v>13.601744</v>
      </c>
      <c r="R93" s="40">
        <v>15.921378000000001</v>
      </c>
      <c r="S93" s="40">
        <v>-12.726324999999999</v>
      </c>
      <c r="T93" s="40">
        <v>41.283670000000001</v>
      </c>
      <c r="U93" s="40">
        <v>23.886633</v>
      </c>
      <c r="V93" s="155">
        <v>33.177399999999999</v>
      </c>
      <c r="W93" s="24"/>
    </row>
    <row r="94" spans="1:23" x14ac:dyDescent="0.35">
      <c r="A94" s="2">
        <v>44582</v>
      </c>
      <c r="B94" s="40">
        <v>-7.8061939999999996</v>
      </c>
      <c r="C94" s="40">
        <v>-14.146507</v>
      </c>
      <c r="D94" s="40">
        <v>-4.5486392999999996</v>
      </c>
      <c r="E94" s="40">
        <v>-1.8592477000000001</v>
      </c>
      <c r="F94" s="40">
        <v>12.849951000000001</v>
      </c>
      <c r="G94" s="40">
        <v>-3.5383224000000002</v>
      </c>
      <c r="H94" s="40">
        <v>-6.9251180000000003</v>
      </c>
      <c r="I94" s="40">
        <v>13.1683235</v>
      </c>
      <c r="J94" s="40">
        <v>15.0813465</v>
      </c>
      <c r="K94" s="40">
        <v>-20.738219999999998</v>
      </c>
      <c r="L94" s="40">
        <v>-9.1523409999999998</v>
      </c>
      <c r="M94" s="40">
        <v>10.758865</v>
      </c>
      <c r="N94" s="40">
        <v>13.736666</v>
      </c>
      <c r="O94" s="40">
        <v>17.156182999999999</v>
      </c>
      <c r="P94" s="40">
        <v>-29.604642999999999</v>
      </c>
      <c r="Q94" s="40">
        <v>17.589462000000001</v>
      </c>
      <c r="R94" s="40">
        <v>9.1984860000000008</v>
      </c>
      <c r="S94" s="40">
        <v>-26.564485999999999</v>
      </c>
      <c r="T94" s="40">
        <v>31.638193000000001</v>
      </c>
      <c r="U94" s="40">
        <v>8.5427169999999997</v>
      </c>
      <c r="V94" s="155">
        <v>42.970669999999998</v>
      </c>
      <c r="W94" s="24"/>
    </row>
    <row r="95" spans="1:23" x14ac:dyDescent="0.35">
      <c r="A95" s="2">
        <v>44615</v>
      </c>
      <c r="B95" s="40">
        <v>-10.763603</v>
      </c>
      <c r="C95" s="40">
        <v>-18.328683999999999</v>
      </c>
      <c r="D95" s="40">
        <v>2.6228785999999999</v>
      </c>
      <c r="E95" s="40">
        <v>8.8515639999999998</v>
      </c>
      <c r="F95" s="40">
        <v>0.6055355</v>
      </c>
      <c r="G95" s="40">
        <v>-9.6369209999999992</v>
      </c>
      <c r="H95" s="40">
        <v>-1.6254067000000001</v>
      </c>
      <c r="I95" s="40">
        <v>10.368119999999999</v>
      </c>
      <c r="J95" s="40">
        <v>20.136536</v>
      </c>
      <c r="K95" s="40">
        <v>-19.359100000000002</v>
      </c>
      <c r="L95" s="40">
        <v>6.4833759999999998</v>
      </c>
      <c r="M95" s="40">
        <v>8.2191349999999996</v>
      </c>
      <c r="N95" s="40">
        <v>20.531607000000001</v>
      </c>
      <c r="O95" s="40">
        <v>10.398256</v>
      </c>
      <c r="P95" s="40">
        <v>-34.907710000000002</v>
      </c>
      <c r="Q95" s="40">
        <v>26.786507</v>
      </c>
      <c r="R95" s="40">
        <v>13.050687999999999</v>
      </c>
      <c r="S95" s="40">
        <v>-30.399597</v>
      </c>
      <c r="T95" s="40">
        <v>37.164425000000001</v>
      </c>
      <c r="U95" s="40">
        <v>9.5154879999999995</v>
      </c>
      <c r="V95" s="155">
        <v>41.244422999999998</v>
      </c>
      <c r="W95" s="24"/>
    </row>
    <row r="96" spans="1:23" x14ac:dyDescent="0.35">
      <c r="A96" s="2">
        <v>44643</v>
      </c>
      <c r="B96" s="40">
        <v>-6.6819850000000001</v>
      </c>
      <c r="C96" s="40">
        <v>-10.9358425</v>
      </c>
      <c r="D96" s="40">
        <v>10.16643</v>
      </c>
      <c r="E96" s="40">
        <v>4.9259542999999999</v>
      </c>
      <c r="F96" s="40">
        <v>3.8883686000000002</v>
      </c>
      <c r="G96" s="40">
        <v>12.828946</v>
      </c>
      <c r="H96" s="40">
        <v>-0.35974382999999999</v>
      </c>
      <c r="I96" s="40">
        <v>9.3079199999999993</v>
      </c>
      <c r="J96" s="40">
        <v>25.732362999999999</v>
      </c>
      <c r="K96" s="40">
        <v>-16.6892</v>
      </c>
      <c r="L96" s="40">
        <v>20.004975999999999</v>
      </c>
      <c r="M96" s="40">
        <v>18.866598</v>
      </c>
      <c r="N96" s="40">
        <v>3.1473993999999998</v>
      </c>
      <c r="O96" s="40">
        <v>9.8507770000000008</v>
      </c>
      <c r="P96" s="40">
        <v>-33.411304000000001</v>
      </c>
      <c r="Q96" s="40">
        <v>33.537590000000002</v>
      </c>
      <c r="R96" s="40">
        <v>7.2686552999999998</v>
      </c>
      <c r="S96" s="40">
        <v>-9.5178790000000006</v>
      </c>
      <c r="T96" s="40">
        <v>47.434128000000001</v>
      </c>
      <c r="U96" s="40">
        <v>10.001099</v>
      </c>
      <c r="V96" s="155">
        <v>42.678866999999997</v>
      </c>
      <c r="W96" s="24"/>
    </row>
    <row r="97" spans="1:23" x14ac:dyDescent="0.35">
      <c r="A97" s="2">
        <v>44673</v>
      </c>
      <c r="B97" s="40">
        <v>-18.160253999999998</v>
      </c>
      <c r="C97" s="40">
        <v>-18.167899999999999</v>
      </c>
      <c r="D97" s="40">
        <v>16.799046000000001</v>
      </c>
      <c r="E97" s="40">
        <v>4.088044</v>
      </c>
      <c r="F97" s="40">
        <v>-8.8502109999999998</v>
      </c>
      <c r="G97" s="40">
        <v>9.622871</v>
      </c>
      <c r="H97" s="40">
        <v>-4.2787670000000002</v>
      </c>
      <c r="I97" s="40">
        <v>-6.6120567000000001</v>
      </c>
      <c r="J97" s="40">
        <v>12.073076</v>
      </c>
      <c r="K97" s="40">
        <v>-24.565494999999999</v>
      </c>
      <c r="L97" s="40">
        <v>7.2419880000000001</v>
      </c>
      <c r="M97" s="40">
        <v>-1.3563037</v>
      </c>
      <c r="N97" s="40">
        <v>-0.30972958</v>
      </c>
      <c r="O97" s="40">
        <v>18.383109999999999</v>
      </c>
      <c r="P97" s="40">
        <v>-40.674025999999998</v>
      </c>
      <c r="Q97" s="40">
        <v>28.364908</v>
      </c>
      <c r="R97" s="40">
        <v>7.8037976999999996</v>
      </c>
      <c r="S97" s="40">
        <v>5.5665849999999999</v>
      </c>
      <c r="T97" s="40">
        <v>47.135100000000001</v>
      </c>
      <c r="U97" s="40">
        <v>-9.9824369999999991</v>
      </c>
      <c r="V97" s="155">
        <v>36.420546999999999</v>
      </c>
      <c r="W97" s="24"/>
    </row>
    <row r="98" spans="1:23" x14ac:dyDescent="0.35">
      <c r="A98" s="2">
        <v>44704</v>
      </c>
      <c r="B98" s="40">
        <v>-19.121593000000001</v>
      </c>
      <c r="C98" s="40">
        <v>7.1154950000000001</v>
      </c>
      <c r="D98" s="40">
        <v>13.459182</v>
      </c>
      <c r="E98" s="40">
        <v>2.8978467000000001</v>
      </c>
      <c r="F98" s="40">
        <v>-22.526841999999998</v>
      </c>
      <c r="G98" s="40">
        <v>-3.7649154999999999</v>
      </c>
      <c r="H98" s="40">
        <v>-4.2734027000000001</v>
      </c>
      <c r="I98" s="40">
        <v>-4.6435713999999999</v>
      </c>
      <c r="J98" s="40">
        <v>9.1421969999999995</v>
      </c>
      <c r="K98" s="40">
        <v>-23.380953000000002</v>
      </c>
      <c r="L98" s="40">
        <v>2.8146624999999998</v>
      </c>
      <c r="M98" s="40">
        <v>-6.0884356000000004</v>
      </c>
      <c r="N98" s="40">
        <v>-5.3332449999999998</v>
      </c>
      <c r="O98" s="40">
        <v>2.0959496</v>
      </c>
      <c r="P98" s="40">
        <v>-36.712032000000001</v>
      </c>
      <c r="Q98" s="40">
        <v>19.874047999999998</v>
      </c>
      <c r="R98" s="40">
        <v>5.3361177</v>
      </c>
      <c r="S98" s="40">
        <v>-10.015547</v>
      </c>
      <c r="T98" s="40">
        <v>21.485233000000001</v>
      </c>
      <c r="U98" s="40">
        <v>-19.441759999999999</v>
      </c>
      <c r="V98" s="155">
        <v>19.627296000000001</v>
      </c>
      <c r="W98" s="24"/>
    </row>
    <row r="99" spans="1:23" x14ac:dyDescent="0.35">
      <c r="A99" s="2">
        <v>44735</v>
      </c>
      <c r="B99" s="40">
        <v>-14.128833999999999</v>
      </c>
      <c r="C99" s="40">
        <v>-9.5628440000000001</v>
      </c>
      <c r="D99" s="40">
        <v>13.490904</v>
      </c>
      <c r="E99" s="40">
        <v>-18.480920000000001</v>
      </c>
      <c r="F99" s="40">
        <v>-33.535075999999997</v>
      </c>
      <c r="G99" s="40">
        <v>-2.1095931999999999</v>
      </c>
      <c r="H99" s="40">
        <v>-12.012458000000001</v>
      </c>
      <c r="I99" s="40">
        <v>-14.793407</v>
      </c>
      <c r="J99" s="40">
        <v>-0.84725620000000001</v>
      </c>
      <c r="K99" s="40">
        <v>-36.707230000000003</v>
      </c>
      <c r="L99" s="40">
        <v>-25.545269000000001</v>
      </c>
      <c r="M99" s="40">
        <v>-9.6036549999999998</v>
      </c>
      <c r="N99" s="40">
        <v>-12.631947</v>
      </c>
      <c r="O99" s="40">
        <v>-5.2450419999999998</v>
      </c>
      <c r="P99" s="40">
        <v>-31.822192999999999</v>
      </c>
      <c r="Q99" s="40">
        <v>9.7983600000000006</v>
      </c>
      <c r="R99" s="40">
        <v>-2.1650909999999999</v>
      </c>
      <c r="S99" s="40">
        <v>-9.4672090000000004</v>
      </c>
      <c r="T99" s="40">
        <v>11.625635000000001</v>
      </c>
      <c r="U99" s="40">
        <v>-26.640152</v>
      </c>
      <c r="V99" s="155">
        <v>4.9759270000000004</v>
      </c>
      <c r="W99" s="24"/>
    </row>
    <row r="100" spans="1:23" x14ac:dyDescent="0.35">
      <c r="A100" s="2">
        <v>44764</v>
      </c>
      <c r="B100" s="40">
        <v>-18.475086000000001</v>
      </c>
      <c r="C100" s="40">
        <v>-4.2731760000000003</v>
      </c>
      <c r="D100" s="40">
        <v>11.763560999999999</v>
      </c>
      <c r="E100" s="40">
        <v>-11.597699</v>
      </c>
      <c r="F100" s="40">
        <v>-33.448950000000004</v>
      </c>
      <c r="G100" s="40">
        <v>-4.0595350000000003</v>
      </c>
      <c r="H100" s="40">
        <v>-7.1968199999999998</v>
      </c>
      <c r="I100" s="40">
        <v>-18.055510999999999</v>
      </c>
      <c r="J100" s="40">
        <v>-1.895392</v>
      </c>
      <c r="K100" s="40">
        <v>-33.782969999999999</v>
      </c>
      <c r="L100" s="40">
        <v>-24.043583000000002</v>
      </c>
      <c r="M100" s="40">
        <v>-9.7414609999999993</v>
      </c>
      <c r="N100" s="40">
        <v>-11.006069</v>
      </c>
      <c r="O100" s="40">
        <v>-1.4562964</v>
      </c>
      <c r="P100" s="40">
        <v>-32.872635000000002</v>
      </c>
      <c r="Q100" s="40">
        <v>18.55452</v>
      </c>
      <c r="R100" s="40">
        <v>2.3829936999999999E-2</v>
      </c>
      <c r="S100" s="40">
        <v>-9.3059239999999992</v>
      </c>
      <c r="T100" s="40">
        <v>20.970939999999999</v>
      </c>
      <c r="U100" s="40">
        <v>-24.533557999999999</v>
      </c>
      <c r="V100" s="155">
        <v>12.63851</v>
      </c>
      <c r="W100" s="24"/>
    </row>
    <row r="101" spans="1:23" x14ac:dyDescent="0.35">
      <c r="A101" s="2">
        <v>44796</v>
      </c>
      <c r="B101" s="40">
        <v>-15.432983</v>
      </c>
      <c r="C101" s="40">
        <v>5.1937340000000001</v>
      </c>
      <c r="D101" s="40">
        <v>14.459372</v>
      </c>
      <c r="E101" s="40">
        <v>-6.9645586000000002</v>
      </c>
      <c r="F101" s="40">
        <v>-38.106529999999999</v>
      </c>
      <c r="G101" s="40">
        <v>10.011732</v>
      </c>
      <c r="H101" s="40">
        <v>-7.0754346999999997</v>
      </c>
      <c r="I101" s="40">
        <v>-14.687502</v>
      </c>
      <c r="J101" s="40">
        <v>-0.95856189999999997</v>
      </c>
      <c r="K101" s="40">
        <v>-29.327719999999999</v>
      </c>
      <c r="L101" s="40">
        <v>4.0385010000000001</v>
      </c>
      <c r="M101" s="40">
        <v>-6.2067747000000004</v>
      </c>
      <c r="N101" s="40">
        <v>-10.460203999999999</v>
      </c>
      <c r="O101" s="40">
        <v>-0.87408423000000002</v>
      </c>
      <c r="P101" s="40">
        <v>-26.891971999999999</v>
      </c>
      <c r="Q101" s="40">
        <v>20.847584000000001</v>
      </c>
      <c r="R101" s="40">
        <v>3.2552241999999998</v>
      </c>
      <c r="S101" s="40">
        <v>-0.11062026</v>
      </c>
      <c r="T101" s="40">
        <v>15.521145000000001</v>
      </c>
      <c r="U101" s="40">
        <v>-19.734508999999999</v>
      </c>
      <c r="V101" s="155">
        <v>12.881970000000001</v>
      </c>
      <c r="W101" s="24"/>
    </row>
    <row r="102" spans="1:23" x14ac:dyDescent="0.35">
      <c r="A102" s="2">
        <v>44827</v>
      </c>
      <c r="B102" s="40">
        <v>-26.124673999999999</v>
      </c>
      <c r="C102" s="40">
        <v>-3.6811411000000001</v>
      </c>
      <c r="D102" s="40">
        <v>14.623606000000001</v>
      </c>
      <c r="E102" s="40">
        <v>-20.904136999999999</v>
      </c>
      <c r="F102" s="40">
        <v>-47.360813</v>
      </c>
      <c r="G102" s="40">
        <v>-5.4133414999999996</v>
      </c>
      <c r="H102" s="40">
        <v>-13.881468999999999</v>
      </c>
      <c r="I102" s="40">
        <v>-27.887314</v>
      </c>
      <c r="J102" s="40">
        <v>-7.080972</v>
      </c>
      <c r="K102" s="40">
        <v>-38.473289999999999</v>
      </c>
      <c r="L102" s="40">
        <v>2.1867633</v>
      </c>
      <c r="M102" s="40">
        <v>-20.380009000000001</v>
      </c>
      <c r="N102" s="40">
        <v>-20.872264999999999</v>
      </c>
      <c r="O102" s="40">
        <v>-11.549531999999999</v>
      </c>
      <c r="P102" s="40">
        <v>-35.058444999999999</v>
      </c>
      <c r="Q102" s="40">
        <v>9.7302909999999994</v>
      </c>
      <c r="R102" s="40">
        <v>3.4332275000000002E-2</v>
      </c>
      <c r="S102" s="40">
        <v>12.149882</v>
      </c>
      <c r="T102" s="40">
        <v>9.7959759999999996</v>
      </c>
      <c r="U102" s="40">
        <v>-28.432243</v>
      </c>
      <c r="V102" s="155">
        <v>-4.6479701999999998E-2</v>
      </c>
      <c r="W102" s="24"/>
    </row>
    <row r="103" spans="1:23" x14ac:dyDescent="0.35">
      <c r="A103" s="2">
        <v>44855</v>
      </c>
      <c r="B103" s="40">
        <v>-29.64021</v>
      </c>
      <c r="C103" s="40">
        <v>7.8302740000000002</v>
      </c>
      <c r="D103" s="40">
        <v>-1.2158929999999999</v>
      </c>
      <c r="E103" s="40">
        <v>-27.281834</v>
      </c>
      <c r="F103" s="40">
        <v>-50.217154999999998</v>
      </c>
      <c r="G103" s="40">
        <v>-9.9478244999999994</v>
      </c>
      <c r="H103" s="40">
        <v>-17.812628</v>
      </c>
      <c r="I103" s="40">
        <v>-30.393135000000001</v>
      </c>
      <c r="J103" s="40">
        <v>-1.1742294</v>
      </c>
      <c r="K103" s="40">
        <v>-35.897689999999997</v>
      </c>
      <c r="L103" s="40">
        <v>27.66713</v>
      </c>
      <c r="M103" s="40">
        <v>-19.746326</v>
      </c>
      <c r="N103" s="40">
        <v>-15.49179</v>
      </c>
      <c r="O103" s="40">
        <v>-10.811817</v>
      </c>
      <c r="P103" s="40">
        <v>-44.20966</v>
      </c>
      <c r="Q103" s="40">
        <v>7.573855</v>
      </c>
      <c r="R103" s="40">
        <v>-3.1702219999999999</v>
      </c>
      <c r="S103" s="40">
        <v>36.657800000000002</v>
      </c>
      <c r="T103" s="40">
        <v>9.159815</v>
      </c>
      <c r="U103" s="40">
        <v>-39.042369999999998</v>
      </c>
      <c r="V103" s="155">
        <v>2.2372127000000002</v>
      </c>
      <c r="W103" s="24"/>
    </row>
    <row r="104" spans="1:23" x14ac:dyDescent="0.35">
      <c r="A104" s="2">
        <v>44888</v>
      </c>
      <c r="B104" s="40">
        <v>-29.158055999999998</v>
      </c>
      <c r="C104" s="40">
        <v>1.6510606000000001</v>
      </c>
      <c r="D104" s="40">
        <v>-2.3889542E-2</v>
      </c>
      <c r="E104" s="40">
        <v>-19.015629000000001</v>
      </c>
      <c r="F104" s="40">
        <v>-28.467209</v>
      </c>
      <c r="G104" s="40">
        <v>8.0649850000000001</v>
      </c>
      <c r="H104" s="40">
        <v>-9.5558700000000005</v>
      </c>
      <c r="I104" s="40">
        <v>-23.181927000000002</v>
      </c>
      <c r="J104" s="40">
        <v>19.792044000000001</v>
      </c>
      <c r="K104" s="40">
        <v>-25.454509999999999</v>
      </c>
      <c r="L104" s="40">
        <v>12.991773999999999</v>
      </c>
      <c r="M104" s="40">
        <v>0.55298804999999995</v>
      </c>
      <c r="N104" s="40">
        <v>0.11081695599999999</v>
      </c>
      <c r="O104" s="40">
        <v>-7.3423566999999998</v>
      </c>
      <c r="P104" s="40">
        <v>-34.898014000000003</v>
      </c>
      <c r="Q104" s="40">
        <v>1.1756538999999999</v>
      </c>
      <c r="R104" s="40">
        <v>-1.3374507</v>
      </c>
      <c r="S104" s="40">
        <v>75.308586000000005</v>
      </c>
      <c r="T104" s="40">
        <v>-2.1820843000000001</v>
      </c>
      <c r="U104" s="40">
        <v>-45.643700000000003</v>
      </c>
      <c r="V104" s="155">
        <v>-2.1838605000000002</v>
      </c>
      <c r="W104" s="24"/>
    </row>
    <row r="105" spans="1:23" x14ac:dyDescent="0.35">
      <c r="A105" s="2">
        <v>44918</v>
      </c>
      <c r="B105" s="40">
        <v>-28.52984</v>
      </c>
      <c r="C105" s="40">
        <v>23.858906000000001</v>
      </c>
      <c r="D105" s="40">
        <v>-1.8399954E-2</v>
      </c>
      <c r="E105" s="40">
        <v>-17.111260000000001</v>
      </c>
      <c r="F105" s="40">
        <v>-22.889816</v>
      </c>
      <c r="G105" s="40">
        <v>4.2685389999999996</v>
      </c>
      <c r="H105" s="40">
        <v>-4.7299623000000004</v>
      </c>
      <c r="I105" s="40">
        <v>-27.101547</v>
      </c>
      <c r="J105" s="40">
        <v>8.2189449999999997</v>
      </c>
      <c r="K105" s="40">
        <v>-26.719653999999998</v>
      </c>
      <c r="L105" s="40">
        <v>17.653714999999998</v>
      </c>
      <c r="M105" s="40">
        <v>-3.4810721999999998</v>
      </c>
      <c r="N105" s="40">
        <v>3.3204079000000002</v>
      </c>
      <c r="O105" s="40">
        <v>-8.6095869999999994</v>
      </c>
      <c r="P105" s="40">
        <v>-23.911196</v>
      </c>
      <c r="Q105" s="40">
        <v>-4.6684559999999999</v>
      </c>
      <c r="R105" s="40">
        <v>-1.4572263000000001</v>
      </c>
      <c r="S105" s="40">
        <v>82.372535999999997</v>
      </c>
      <c r="T105" s="40">
        <v>-3.7961423000000001</v>
      </c>
      <c r="U105" s="40">
        <v>-40.704216000000002</v>
      </c>
      <c r="V105" s="155">
        <v>-8.7448599999999992</v>
      </c>
      <c r="W105" s="24"/>
    </row>
    <row r="106" spans="1:23" x14ac:dyDescent="0.35">
      <c r="A106" s="2">
        <v>44949</v>
      </c>
      <c r="B106" s="40">
        <v>-14.338844999999999</v>
      </c>
      <c r="C106" s="40">
        <v>14.197611999999999</v>
      </c>
      <c r="D106" s="40">
        <v>1.4745474000000001</v>
      </c>
      <c r="E106" s="40">
        <v>-5.7396229999999999</v>
      </c>
      <c r="F106" s="40">
        <v>-18.347622000000001</v>
      </c>
      <c r="G106" s="40">
        <v>-0.53683519999999996</v>
      </c>
      <c r="H106" s="40">
        <v>1.6390085000000001</v>
      </c>
      <c r="I106" s="40">
        <v>-18.143528</v>
      </c>
      <c r="J106" s="40">
        <v>21.659779</v>
      </c>
      <c r="K106" s="40">
        <v>-13.224553999999999</v>
      </c>
      <c r="L106" s="40">
        <v>9.9658599999999993</v>
      </c>
      <c r="M106" s="40">
        <v>-4.0476799999999997</v>
      </c>
      <c r="N106" s="40">
        <v>8.1732639999999996</v>
      </c>
      <c r="O106" s="40">
        <v>-7.4444889999999999</v>
      </c>
      <c r="P106" s="40">
        <v>-11.101751999999999</v>
      </c>
      <c r="Q106" s="40">
        <v>-7.7905892999999997</v>
      </c>
      <c r="R106" s="40">
        <v>1.8944502000000001</v>
      </c>
      <c r="S106" s="40">
        <v>87.633803999999998</v>
      </c>
      <c r="T106" s="40">
        <v>-7.1050224000000002</v>
      </c>
      <c r="U106" s="40">
        <v>-33.198982000000001</v>
      </c>
      <c r="V106" s="155">
        <v>-10.9652815</v>
      </c>
      <c r="W106" s="24"/>
    </row>
    <row r="107" spans="1:23" x14ac:dyDescent="0.35">
      <c r="A107" s="2">
        <v>44980</v>
      </c>
      <c r="B107" s="40">
        <v>-16.357825999999999</v>
      </c>
      <c r="C107" s="40">
        <v>20.355474000000001</v>
      </c>
      <c r="D107" s="40">
        <v>-2.2816540000000001</v>
      </c>
      <c r="E107" s="40">
        <v>-15.817171</v>
      </c>
      <c r="F107" s="40">
        <v>-15.60514</v>
      </c>
      <c r="G107" s="40">
        <v>-9.3346409999999995</v>
      </c>
      <c r="H107" s="40">
        <v>-10.221505000000001</v>
      </c>
      <c r="I107" s="40">
        <v>-17.688542999999999</v>
      </c>
      <c r="J107" s="40">
        <v>21.450256</v>
      </c>
      <c r="K107" s="40">
        <v>-14.736748</v>
      </c>
      <c r="L107" s="40">
        <v>-3.9348483000000001</v>
      </c>
      <c r="M107" s="40">
        <v>-15.967536000000001</v>
      </c>
      <c r="N107" s="40">
        <v>15.184628999999999</v>
      </c>
      <c r="O107" s="40">
        <v>-10.189188</v>
      </c>
      <c r="P107" s="40">
        <v>-15.40494</v>
      </c>
      <c r="Q107" s="40">
        <v>-15.762419</v>
      </c>
      <c r="R107" s="40">
        <v>-2.5924741999999998</v>
      </c>
      <c r="S107" s="40">
        <v>82.937706000000006</v>
      </c>
      <c r="T107" s="40">
        <v>-11.650335</v>
      </c>
      <c r="U107" s="40">
        <v>-39.990394999999999</v>
      </c>
      <c r="V107" s="155">
        <v>-18.687075</v>
      </c>
      <c r="W107" s="24"/>
    </row>
    <row r="108" spans="1:23" x14ac:dyDescent="0.35">
      <c r="A108" s="2">
        <v>45008</v>
      </c>
      <c r="B108" s="40">
        <v>-10.430580000000001</v>
      </c>
      <c r="C108" s="40">
        <v>5.9332370000000001</v>
      </c>
      <c r="D108" s="40">
        <v>-5.5160580000000001</v>
      </c>
      <c r="E108" s="40">
        <v>-9.2743160000000007</v>
      </c>
      <c r="F108" s="40">
        <v>-17.353434</v>
      </c>
      <c r="G108" s="40">
        <v>-17.952883</v>
      </c>
      <c r="H108" s="40">
        <v>-12.043476</v>
      </c>
      <c r="I108" s="40">
        <v>-13.02473</v>
      </c>
      <c r="J108" s="40">
        <v>11.056482000000001</v>
      </c>
      <c r="K108" s="40">
        <v>-13.236928000000001</v>
      </c>
      <c r="L108" s="40">
        <v>-21.924876999999999</v>
      </c>
      <c r="M108" s="40">
        <v>-22.757815999999998</v>
      </c>
      <c r="N108" s="40">
        <v>20.409811000000001</v>
      </c>
      <c r="O108" s="40">
        <v>-11.131506999999999</v>
      </c>
      <c r="P108" s="40">
        <v>-8.4698619999999991</v>
      </c>
      <c r="Q108" s="40">
        <v>-23.326874</v>
      </c>
      <c r="R108" s="40">
        <v>-5.0239859999999998</v>
      </c>
      <c r="S108" s="40">
        <v>75.722530000000006</v>
      </c>
      <c r="T108" s="40">
        <v>-22.465198999999998</v>
      </c>
      <c r="U108" s="40">
        <v>-38.081496999999999</v>
      </c>
      <c r="V108" s="155">
        <v>-18.874973000000001</v>
      </c>
      <c r="W108" s="24"/>
    </row>
    <row r="109" spans="1:23" x14ac:dyDescent="0.35">
      <c r="A109" s="2">
        <v>45037</v>
      </c>
      <c r="B109" s="40">
        <v>-2.7165115000000002</v>
      </c>
      <c r="C109" s="40">
        <v>8.2993980000000001</v>
      </c>
      <c r="D109" s="40">
        <v>-2.5994240999999998</v>
      </c>
      <c r="E109" s="40">
        <v>-12.433899</v>
      </c>
      <c r="F109" s="40">
        <v>-0.27317405</v>
      </c>
      <c r="G109" s="40">
        <v>-3.1114101000000001</v>
      </c>
      <c r="H109" s="40">
        <v>-10.367459</v>
      </c>
      <c r="I109" s="40">
        <v>-10.088682</v>
      </c>
      <c r="J109" s="40">
        <v>20.054614999999998</v>
      </c>
      <c r="K109" s="40">
        <v>-8.8157949999999996</v>
      </c>
      <c r="L109" s="40">
        <v>-14.006000500000001</v>
      </c>
      <c r="M109" s="40">
        <v>-10.120994</v>
      </c>
      <c r="N109" s="40">
        <v>20.233286</v>
      </c>
      <c r="O109" s="40">
        <v>-10.782999</v>
      </c>
      <c r="P109" s="40">
        <v>1.6518831</v>
      </c>
      <c r="Q109" s="40">
        <v>-22.977812</v>
      </c>
      <c r="R109" s="40">
        <v>-7.8193545000000002</v>
      </c>
      <c r="S109" s="40">
        <v>46.899532000000001</v>
      </c>
      <c r="T109" s="40">
        <v>-17.799264999999998</v>
      </c>
      <c r="U109" s="40">
        <v>-30.807780999999999</v>
      </c>
      <c r="V109" s="155">
        <v>-17.352646</v>
      </c>
      <c r="W109" s="24"/>
    </row>
    <row r="110" spans="1:23" x14ac:dyDescent="0.35">
      <c r="A110" s="2">
        <v>45069</v>
      </c>
      <c r="B110" s="40">
        <v>-8.5726794999999996</v>
      </c>
      <c r="C110" s="40">
        <v>10.301076999999999</v>
      </c>
      <c r="D110" s="40">
        <v>3.6542892</v>
      </c>
      <c r="E110" s="40">
        <v>-7.6882124000000003</v>
      </c>
      <c r="F110" s="40">
        <v>14.341461000000001</v>
      </c>
      <c r="G110" s="40">
        <v>4.3139934999999996</v>
      </c>
      <c r="H110" s="40">
        <v>-9.4654199999999999</v>
      </c>
      <c r="I110" s="40">
        <v>-3.4048854999999998</v>
      </c>
      <c r="J110" s="40">
        <v>19.596147999999999</v>
      </c>
      <c r="K110" s="40">
        <v>-6.0084762999999999</v>
      </c>
      <c r="L110" s="40">
        <v>-3.5242974999999999</v>
      </c>
      <c r="M110" s="40">
        <v>-14.528316500000001</v>
      </c>
      <c r="N110" s="40">
        <v>37.830840000000002</v>
      </c>
      <c r="O110" s="40">
        <v>-0.33922790000000003</v>
      </c>
      <c r="P110" s="40">
        <v>-6.4171075999999996</v>
      </c>
      <c r="Q110" s="40">
        <v>-11.593216999999999</v>
      </c>
      <c r="R110" s="40">
        <v>-6.1420735999999998</v>
      </c>
      <c r="S110" s="40">
        <v>47.026133999999999</v>
      </c>
      <c r="T110" s="40">
        <v>-10.496992000000001</v>
      </c>
      <c r="U110" s="40">
        <v>-18.642043999999999</v>
      </c>
      <c r="V110" s="155">
        <v>-5.8271350000000002</v>
      </c>
      <c r="W110" s="24"/>
    </row>
    <row r="111" spans="1:23" x14ac:dyDescent="0.35">
      <c r="A111" s="2">
        <v>45100</v>
      </c>
      <c r="B111" s="40">
        <v>-18.750715</v>
      </c>
      <c r="C111" s="40">
        <v>24.526834000000001</v>
      </c>
      <c r="D111" s="40">
        <v>2.4335265000000001</v>
      </c>
      <c r="E111" s="40">
        <v>2.7729870000000001</v>
      </c>
      <c r="F111" s="40">
        <v>35.481200000000001</v>
      </c>
      <c r="G111" s="40">
        <v>20.644855</v>
      </c>
      <c r="H111" s="40">
        <v>-5.2473903000000002</v>
      </c>
      <c r="I111" s="40">
        <v>7.0721270000000001</v>
      </c>
      <c r="J111" s="40">
        <v>38.736297999999998</v>
      </c>
      <c r="K111" s="40">
        <v>11.967838</v>
      </c>
      <c r="L111" s="40">
        <v>32.820723999999998</v>
      </c>
      <c r="M111" s="40">
        <v>-5.0386009999999999</v>
      </c>
      <c r="N111" s="40">
        <v>54.058872000000001</v>
      </c>
      <c r="O111" s="40">
        <v>8.3580020000000008</v>
      </c>
      <c r="P111" s="40">
        <v>-16.659838000000001</v>
      </c>
      <c r="Q111" s="40">
        <v>-8.3229959999999998</v>
      </c>
      <c r="R111" s="40">
        <v>-3.3442259999999999</v>
      </c>
      <c r="S111" s="40">
        <v>53.371119999999998</v>
      </c>
      <c r="T111" s="40">
        <v>-1.5009165</v>
      </c>
      <c r="U111" s="40">
        <v>-6.7087054000000004</v>
      </c>
      <c r="V111" s="155">
        <v>2.8289200000000001</v>
      </c>
      <c r="W111" s="24"/>
    </row>
    <row r="112" spans="1:23" x14ac:dyDescent="0.35">
      <c r="A112" s="2">
        <v>45128</v>
      </c>
      <c r="B112" s="40">
        <v>-15.757132</v>
      </c>
      <c r="C112" s="40">
        <v>30.955850000000002</v>
      </c>
      <c r="D112" s="40">
        <v>7.9197050000000004</v>
      </c>
      <c r="E112" s="40">
        <v>9.8593829999999993</v>
      </c>
      <c r="F112" s="40">
        <v>51.456977999999999</v>
      </c>
      <c r="G112" s="40">
        <v>33.311439999999997</v>
      </c>
      <c r="H112" s="40">
        <v>-1.2625396</v>
      </c>
      <c r="I112" s="40">
        <v>9.550535</v>
      </c>
      <c r="J112" s="40">
        <v>42.587400000000002</v>
      </c>
      <c r="K112" s="40">
        <v>12.834453999999999</v>
      </c>
      <c r="L112" s="40">
        <v>39.936340000000001</v>
      </c>
      <c r="M112" s="40">
        <v>5.6263924000000003</v>
      </c>
      <c r="N112" s="40">
        <v>75.282359999999997</v>
      </c>
      <c r="O112" s="40">
        <v>7.6384306000000004</v>
      </c>
      <c r="P112" s="40">
        <v>-11.562799999999999</v>
      </c>
      <c r="Q112" s="40">
        <v>-11.659879</v>
      </c>
      <c r="R112" s="40">
        <v>-1.1032759999999999</v>
      </c>
      <c r="S112" s="40">
        <v>73.228049999999996</v>
      </c>
      <c r="T112" s="40">
        <v>-5.5277405000000002</v>
      </c>
      <c r="U112" s="40">
        <v>-1.3329268000000001</v>
      </c>
      <c r="V112" s="155">
        <v>4.2164326000000002E-2</v>
      </c>
      <c r="W112" s="24"/>
    </row>
    <row r="113" spans="1:23" x14ac:dyDescent="0.35">
      <c r="A113" s="2">
        <v>45161</v>
      </c>
      <c r="B113" s="40">
        <v>-18.013238999999999</v>
      </c>
      <c r="C113" s="40">
        <v>15.896082</v>
      </c>
      <c r="D113" s="40">
        <v>0.2399087</v>
      </c>
      <c r="E113" s="40">
        <v>-7.2097360000000004</v>
      </c>
      <c r="F113" s="40">
        <v>47.131410000000002</v>
      </c>
      <c r="G113" s="40">
        <v>27.587854</v>
      </c>
      <c r="H113" s="40">
        <v>-2.7064919999999999</v>
      </c>
      <c r="I113" s="40">
        <v>5.1539419999999998</v>
      </c>
      <c r="J113" s="40">
        <v>37.505339999999997</v>
      </c>
      <c r="K113" s="40">
        <v>7.2433113999999996</v>
      </c>
      <c r="L113" s="40">
        <v>9.6525189999999998</v>
      </c>
      <c r="M113" s="40">
        <v>-1.3418673999999999</v>
      </c>
      <c r="N113" s="40">
        <v>58.361935000000003</v>
      </c>
      <c r="O113" s="40">
        <v>2.6039124</v>
      </c>
      <c r="P113" s="40">
        <v>-8.1214849999999998</v>
      </c>
      <c r="Q113" s="40">
        <v>-18.371033000000001</v>
      </c>
      <c r="R113" s="40">
        <v>-5.1763890000000004</v>
      </c>
      <c r="S113" s="40">
        <v>62.975143000000003</v>
      </c>
      <c r="T113" s="40">
        <v>-5.1750182999999996</v>
      </c>
      <c r="U113" s="40">
        <v>-6.5643253000000001</v>
      </c>
      <c r="V113" s="155">
        <v>-8.0807739999999999</v>
      </c>
      <c r="W113" s="24"/>
    </row>
    <row r="114" spans="1:23" x14ac:dyDescent="0.35">
      <c r="A114" s="2">
        <v>45191</v>
      </c>
      <c r="B114" s="40">
        <v>-7.4704350000000002</v>
      </c>
      <c r="C114" s="40">
        <v>9.1683749999999993</v>
      </c>
      <c r="D114" s="40">
        <v>-2.868843</v>
      </c>
      <c r="E114" s="40">
        <v>1.5952826</v>
      </c>
      <c r="F114" s="40">
        <v>47.043480000000002</v>
      </c>
      <c r="G114" s="40">
        <v>25.787842000000001</v>
      </c>
      <c r="H114" s="40">
        <v>2.4056910999999999</v>
      </c>
      <c r="I114" s="40">
        <v>14.040172999999999</v>
      </c>
      <c r="J114" s="40">
        <v>33.178234000000003</v>
      </c>
      <c r="K114" s="40">
        <v>17.419743</v>
      </c>
      <c r="L114" s="40">
        <v>6.7435619999999998</v>
      </c>
      <c r="M114" s="40">
        <v>4.4771789999999996</v>
      </c>
      <c r="N114" s="40">
        <v>57.667529999999999</v>
      </c>
      <c r="O114" s="40">
        <v>4.8814773999999996</v>
      </c>
      <c r="P114" s="40">
        <v>1.5954256</v>
      </c>
      <c r="Q114" s="40">
        <v>-13.515223000000001</v>
      </c>
      <c r="R114" s="40">
        <v>-7.4576560000000001</v>
      </c>
      <c r="S114" s="40">
        <v>67.249849999999995</v>
      </c>
      <c r="T114" s="40">
        <v>0.23828745000000001</v>
      </c>
      <c r="U114" s="40">
        <v>0.79708100000000004</v>
      </c>
      <c r="V114" s="155">
        <v>-3.5888969999999998</v>
      </c>
      <c r="W114" s="24"/>
    </row>
    <row r="115" spans="1:23" x14ac:dyDescent="0.35">
      <c r="A115" s="2">
        <v>45222</v>
      </c>
      <c r="B115" s="40">
        <v>-10.528772999999999</v>
      </c>
      <c r="C115" s="40">
        <v>4.3810368000000004</v>
      </c>
      <c r="D115" s="40">
        <v>-9.9367439999999991</v>
      </c>
      <c r="E115" s="40">
        <v>3.9895773000000001</v>
      </c>
      <c r="F115" s="40">
        <v>66.104354999999998</v>
      </c>
      <c r="G115" s="40">
        <v>16.853892999999999</v>
      </c>
      <c r="H115" s="40">
        <v>0.77022314000000003</v>
      </c>
      <c r="I115" s="40">
        <v>23.332547999999999</v>
      </c>
      <c r="J115" s="40">
        <v>15.613258</v>
      </c>
      <c r="K115" s="40">
        <v>14.806843000000001</v>
      </c>
      <c r="L115" s="40">
        <v>-3.5736560000000002</v>
      </c>
      <c r="M115" s="40">
        <v>1.6315580000000001</v>
      </c>
      <c r="N115" s="40">
        <v>47.404682000000001</v>
      </c>
      <c r="O115" s="40">
        <v>4.726839</v>
      </c>
      <c r="P115" s="40">
        <v>5.6843995999999999</v>
      </c>
      <c r="Q115" s="40">
        <v>-20.026218</v>
      </c>
      <c r="R115" s="40">
        <v>-12.141418</v>
      </c>
      <c r="S115" s="40">
        <v>34.697519999999997</v>
      </c>
      <c r="T115" s="40">
        <v>-10.320515</v>
      </c>
      <c r="U115" s="40">
        <v>7.7422259999999996</v>
      </c>
      <c r="V115" s="155">
        <v>-16.151655000000002</v>
      </c>
      <c r="W115" s="24"/>
    </row>
    <row r="116" spans="1:23" x14ac:dyDescent="0.35">
      <c r="A116" s="2">
        <v>45252</v>
      </c>
      <c r="B116" s="40">
        <v>-7.7178899999999997</v>
      </c>
      <c r="C116" s="40">
        <v>10.912442</v>
      </c>
      <c r="D116" s="40">
        <v>-5.5546939999999996</v>
      </c>
      <c r="E116" s="40">
        <v>-0.46765208000000003</v>
      </c>
      <c r="F116" s="40">
        <v>51.899338</v>
      </c>
      <c r="G116" s="40">
        <v>9.5460650000000005</v>
      </c>
      <c r="H116" s="40">
        <v>1.5981197</v>
      </c>
      <c r="I116" s="40">
        <v>16.904879000000001</v>
      </c>
      <c r="J116" s="40">
        <v>19.209910000000001</v>
      </c>
      <c r="K116" s="40">
        <v>11.964846</v>
      </c>
      <c r="L116" s="40">
        <v>26.323174999999999</v>
      </c>
      <c r="M116" s="40">
        <v>-6.3523053999999997</v>
      </c>
      <c r="N116" s="40">
        <v>46.746040000000001</v>
      </c>
      <c r="O116" s="40">
        <v>5.5839540000000003</v>
      </c>
      <c r="P116" s="40">
        <v>3.6906957999999999</v>
      </c>
      <c r="Q116" s="40">
        <v>-9.6992855000000002</v>
      </c>
      <c r="R116" s="40">
        <v>-13.407415</v>
      </c>
      <c r="S116" s="40">
        <v>13.768482000000001</v>
      </c>
      <c r="T116" s="40">
        <v>-2.7551114999999999</v>
      </c>
      <c r="U116" s="40">
        <v>22.666084000000001</v>
      </c>
      <c r="V116" s="155">
        <v>0.99790095999999995</v>
      </c>
      <c r="W116" s="24"/>
    </row>
    <row r="117" spans="1:23" x14ac:dyDescent="0.35">
      <c r="A117" s="2">
        <v>45282</v>
      </c>
      <c r="B117" s="40">
        <v>-13.243646</v>
      </c>
      <c r="C117" s="40">
        <v>10.431933000000001</v>
      </c>
      <c r="D117" s="40">
        <v>1.0193348</v>
      </c>
      <c r="E117" s="40">
        <v>1.8053889000000001</v>
      </c>
      <c r="F117" s="40">
        <v>51.224564000000001</v>
      </c>
      <c r="G117" s="40">
        <v>27.066158000000001</v>
      </c>
      <c r="H117" s="40">
        <v>-1.1116385</v>
      </c>
      <c r="I117" s="40">
        <v>23.62349</v>
      </c>
      <c r="J117" s="40">
        <v>36.574542999999998</v>
      </c>
      <c r="K117" s="40">
        <v>15.366006</v>
      </c>
      <c r="L117" s="40">
        <v>30.279278000000001</v>
      </c>
      <c r="M117" s="40">
        <v>-1.6298592000000001</v>
      </c>
      <c r="N117" s="40">
        <v>44.776119999999999</v>
      </c>
      <c r="O117" s="40">
        <v>16.246355000000001</v>
      </c>
      <c r="P117" s="40">
        <v>-13.545012</v>
      </c>
      <c r="Q117" s="40">
        <v>-2.1411717000000001</v>
      </c>
      <c r="R117" s="40">
        <v>-13.087398</v>
      </c>
      <c r="S117" s="40">
        <v>-5.7030079999999996</v>
      </c>
      <c r="T117" s="40">
        <v>-0.42934418000000002</v>
      </c>
      <c r="U117" s="40">
        <v>11.223221000000001</v>
      </c>
      <c r="V117" s="155">
        <v>15.151059999999999</v>
      </c>
      <c r="W117" s="24"/>
    </row>
    <row r="118" spans="1:23" x14ac:dyDescent="0.35">
      <c r="A118" s="2">
        <v>45314</v>
      </c>
      <c r="B118" s="40">
        <v>-27.654135</v>
      </c>
      <c r="C118" s="40">
        <v>-5.0814924000000001</v>
      </c>
      <c r="D118" s="40">
        <v>-3.2505929999999998</v>
      </c>
      <c r="E118" s="40">
        <v>-7.6061487000000003</v>
      </c>
      <c r="F118" s="40">
        <v>27.118946000000001</v>
      </c>
      <c r="G118" s="40">
        <v>11.826361</v>
      </c>
      <c r="H118" s="40">
        <v>-9.3910269999999993</v>
      </c>
      <c r="I118" s="40">
        <v>12.022245</v>
      </c>
      <c r="J118" s="40">
        <v>14.363073999999999</v>
      </c>
      <c r="K118" s="40">
        <v>-5.3816022999999999</v>
      </c>
      <c r="L118" s="40">
        <v>19.836639999999999</v>
      </c>
      <c r="M118" s="40">
        <v>-14.493137000000001</v>
      </c>
      <c r="N118" s="40">
        <v>33.693897</v>
      </c>
      <c r="O118" s="40">
        <v>14.70387</v>
      </c>
      <c r="P118" s="40">
        <v>-29.946636000000002</v>
      </c>
      <c r="Q118" s="40">
        <v>-4.9581885000000003</v>
      </c>
      <c r="R118" s="40">
        <v>-19.447279000000002</v>
      </c>
      <c r="S118" s="40">
        <v>-3.1763077000000002</v>
      </c>
      <c r="T118" s="40">
        <v>2.9821276999999999</v>
      </c>
      <c r="U118" s="40">
        <v>2.9104709999999998</v>
      </c>
      <c r="V118" s="155">
        <v>12.634086999999999</v>
      </c>
      <c r="W118" s="24"/>
    </row>
    <row r="119" spans="1:23" x14ac:dyDescent="0.35">
      <c r="A119" s="2">
        <v>45345</v>
      </c>
      <c r="B119" s="40">
        <v>-18.336373999999999</v>
      </c>
      <c r="C119" s="40">
        <v>-8.1063749999999999</v>
      </c>
      <c r="D119" s="40">
        <v>1.2879609999999999</v>
      </c>
      <c r="E119" s="40">
        <v>5.0590872999999998</v>
      </c>
      <c r="F119" s="40">
        <v>57.749557000000003</v>
      </c>
      <c r="G119" s="40">
        <v>25.278616</v>
      </c>
      <c r="H119" s="40">
        <v>1.3632177999999999</v>
      </c>
      <c r="I119" s="40">
        <v>16.569089999999999</v>
      </c>
      <c r="J119" s="40">
        <v>17.867743999999998</v>
      </c>
      <c r="K119" s="40">
        <v>10.483122</v>
      </c>
      <c r="L119" s="40">
        <v>23.150326</v>
      </c>
      <c r="M119" s="40">
        <v>-6.2942266</v>
      </c>
      <c r="N119" s="40">
        <v>28.385591999999999</v>
      </c>
      <c r="O119" s="40">
        <v>31.720756999999999</v>
      </c>
      <c r="P119" s="40">
        <v>-15.920544</v>
      </c>
      <c r="Q119" s="40">
        <v>2.2689341999999999</v>
      </c>
      <c r="R119" s="40">
        <v>-15.390897000000001</v>
      </c>
      <c r="S119" s="40">
        <v>17.139471</v>
      </c>
      <c r="T119" s="40">
        <v>2.7559399999999998</v>
      </c>
      <c r="U119" s="40">
        <v>17.696370000000002</v>
      </c>
      <c r="V119" s="155">
        <v>25.695335</v>
      </c>
      <c r="W119" s="24"/>
    </row>
    <row r="120" spans="1:23" x14ac:dyDescent="0.35">
      <c r="A120" s="2">
        <v>45373</v>
      </c>
      <c r="B120" s="40">
        <v>-15.4254675</v>
      </c>
      <c r="C120" s="40">
        <v>-1.2234925999999999</v>
      </c>
      <c r="D120" s="40">
        <v>3.7235618000000001</v>
      </c>
      <c r="E120" s="40">
        <v>3.599453</v>
      </c>
      <c r="F120" s="40">
        <v>60.713160000000002</v>
      </c>
      <c r="G120" s="40">
        <v>41.654229999999998</v>
      </c>
      <c r="H120" s="40">
        <v>4.9982069999999998</v>
      </c>
      <c r="I120" s="40">
        <v>22.325218</v>
      </c>
      <c r="J120" s="40">
        <v>22.565066999999999</v>
      </c>
      <c r="K120" s="40">
        <v>15.656101</v>
      </c>
      <c r="L120" s="40">
        <v>30.683744000000001</v>
      </c>
      <c r="M120" s="40">
        <v>-2.0427585000000001</v>
      </c>
      <c r="N120" s="40">
        <v>38.440143999999997</v>
      </c>
      <c r="O120" s="40">
        <v>31.288634999999999</v>
      </c>
      <c r="P120" s="40">
        <v>-14.274364</v>
      </c>
      <c r="Q120" s="40">
        <v>6.9433927999999998</v>
      </c>
      <c r="R120" s="40">
        <v>-12.872529</v>
      </c>
      <c r="S120" s="40">
        <v>12.215529999999999</v>
      </c>
      <c r="T120" s="40">
        <v>9.3068120000000008</v>
      </c>
      <c r="U120" s="40">
        <v>23.207854999999999</v>
      </c>
      <c r="V120" s="155">
        <v>23.239971000000001</v>
      </c>
      <c r="W120" s="24"/>
    </row>
    <row r="121" spans="1:23" x14ac:dyDescent="0.35">
      <c r="A121" s="2">
        <v>45405</v>
      </c>
      <c r="B121" s="40">
        <v>-16.185611999999999</v>
      </c>
      <c r="C121" s="40">
        <v>0.89621543999999997</v>
      </c>
      <c r="D121" s="40">
        <v>-8.7315799999999992</v>
      </c>
      <c r="E121" s="40">
        <v>-0.67516564999999995</v>
      </c>
      <c r="F121" s="40">
        <v>43.745792000000002</v>
      </c>
      <c r="G121" s="40">
        <v>32.640520000000002</v>
      </c>
      <c r="H121" s="40">
        <v>4.0334580000000004</v>
      </c>
      <c r="I121" s="40">
        <v>18.779254999999999</v>
      </c>
      <c r="J121" s="40">
        <v>13.454413000000001</v>
      </c>
      <c r="K121" s="40">
        <v>4.9993752999999996</v>
      </c>
      <c r="L121" s="40">
        <v>19.417774000000001</v>
      </c>
      <c r="M121" s="40">
        <v>-7.0897759999999996</v>
      </c>
      <c r="N121" s="40">
        <v>30.437778000000002</v>
      </c>
      <c r="O121" s="40">
        <v>30.662929999999999</v>
      </c>
      <c r="P121" s="40">
        <v>-12.193704</v>
      </c>
      <c r="Q121" s="40">
        <v>0.67721604999999996</v>
      </c>
      <c r="R121" s="40">
        <v>-12.891757999999999</v>
      </c>
      <c r="S121" s="40">
        <v>19.526875</v>
      </c>
      <c r="T121" s="40">
        <v>-1.4357865000000001</v>
      </c>
      <c r="U121" s="40">
        <v>6.4147470000000002</v>
      </c>
      <c r="V121" s="155">
        <v>10.128307</v>
      </c>
      <c r="W121" s="24"/>
    </row>
    <row r="122" spans="1:23" x14ac:dyDescent="0.35">
      <c r="A122" s="2">
        <v>45435</v>
      </c>
      <c r="B122">
        <v>-8.8529529999999994</v>
      </c>
      <c r="C122">
        <v>1.5075445000000001</v>
      </c>
      <c r="D122">
        <v>-11.764174000000001</v>
      </c>
      <c r="E122">
        <v>-1.2965321999999999</v>
      </c>
      <c r="F122">
        <v>43.4343</v>
      </c>
      <c r="G122">
        <v>48.779870000000003</v>
      </c>
      <c r="H122">
        <v>13.929987000000001</v>
      </c>
      <c r="I122">
        <v>27.998733999999999</v>
      </c>
      <c r="J122">
        <v>15.479195000000001</v>
      </c>
      <c r="K122">
        <v>5.1337599999999997</v>
      </c>
      <c r="L122">
        <v>9.1134070000000005</v>
      </c>
      <c r="M122">
        <v>13.382864</v>
      </c>
      <c r="N122">
        <v>25.907229999999998</v>
      </c>
      <c r="O122">
        <v>31.076550000000001</v>
      </c>
      <c r="P122">
        <v>2.2150517000000001</v>
      </c>
      <c r="Q122">
        <v>-9.0104220000000002</v>
      </c>
      <c r="R122">
        <v>-10.880613</v>
      </c>
      <c r="S122">
        <v>55.717243000000003</v>
      </c>
      <c r="T122">
        <v>-0.92445016000000002</v>
      </c>
      <c r="U122">
        <v>9.7123740000000005</v>
      </c>
      <c r="V122" s="1">
        <v>3.4082294000000002</v>
      </c>
    </row>
    <row r="123" spans="1:23" x14ac:dyDescent="0.35">
      <c r="A123" s="2"/>
    </row>
    <row r="124" spans="1:23" x14ac:dyDescent="0.35">
      <c r="A124" s="2"/>
    </row>
    <row r="125" spans="1:23" x14ac:dyDescent="0.35">
      <c r="A125" s="2"/>
    </row>
    <row r="126" spans="1:23" x14ac:dyDescent="0.35">
      <c r="A126" s="2" t="s">
        <v>85</v>
      </c>
      <c r="B126" s="40" cm="1">
        <f t="array" ref="B126">MIN(_xlfn._xlws.FILTER(B2:B122, ISNUMBER(B2:B122)))</f>
        <v>-29.64021</v>
      </c>
      <c r="C126" s="40" cm="1">
        <f t="array" ref="C126">MIN(_xlfn._xlws.FILTER(C2:C122, ISNUMBER(C2:C122)))</f>
        <v>-56.363472000000002</v>
      </c>
      <c r="D126" s="40" cm="1">
        <f t="array" ref="D126">MIN(_xlfn._xlws.FILTER(D2:D122, ISNUMBER(D2:D122)))</f>
        <v>-52.699635000000001</v>
      </c>
      <c r="E126" s="40" cm="1">
        <f t="array" ref="E126">MIN(_xlfn._xlws.FILTER(E2:E122, ISNUMBER(E2:E122)))</f>
        <v>-41.637610000000002</v>
      </c>
      <c r="F126" s="40" cm="1">
        <f t="array" ref="F126">MIN(_xlfn._xlws.FILTER(F2:F122, ISNUMBER(F2:F122)))</f>
        <v>-50.217154999999998</v>
      </c>
      <c r="G126" s="40" cm="1">
        <f t="array" ref="G126">MIN(_xlfn._xlws.FILTER(G2:G122, ISNUMBER(G2:G122)))</f>
        <v>-44.580979999999997</v>
      </c>
      <c r="H126" s="40" cm="1">
        <f t="array" ref="H126">MIN(_xlfn._xlws.FILTER(H2:H122, ISNUMBER(H2:H122)))</f>
        <v>-37.239806999999999</v>
      </c>
      <c r="I126" s="40" cm="1">
        <f t="array" ref="I126">MIN(_xlfn._xlws.FILTER(I2:I122, ISNUMBER(I2:I122)))</f>
        <v>-30.393135000000001</v>
      </c>
      <c r="J126" s="40" cm="1">
        <f t="array" ref="J126">MIN(_xlfn._xlws.FILTER(J2:J122, ISNUMBER(J2:J122)))</f>
        <v>-41.163764999999998</v>
      </c>
      <c r="K126" s="40" cm="1">
        <f t="array" ref="K126">MIN(_xlfn._xlws.FILTER(K2:K122, ISNUMBER(K2:K122)))</f>
        <v>-38.473289999999999</v>
      </c>
      <c r="L126" s="40" cm="1">
        <f t="array" ref="L126">MIN(_xlfn._xlws.FILTER(L2:L122, ISNUMBER(L2:L122)))</f>
        <v>-53.172694999999997</v>
      </c>
      <c r="M126" s="40" cm="1">
        <f t="array" ref="M126">MIN(_xlfn._xlws.FILTER(M2:M122, ISNUMBER(M2:M122)))</f>
        <v>-46.048606999999997</v>
      </c>
      <c r="N126" s="40" cm="1">
        <f t="array" ref="N126">MIN(_xlfn._xlws.FILTER(N2:N122, ISNUMBER(N2:N122)))</f>
        <v>-54.621259999999999</v>
      </c>
      <c r="O126" s="40" cm="1">
        <f t="array" ref="O126">MIN(_xlfn._xlws.FILTER(O2:O122, ISNUMBER(O2:O122)))</f>
        <v>-40.292270000000002</v>
      </c>
      <c r="P126" s="40" cm="1">
        <f t="array" ref="P126">MIN(_xlfn._xlws.FILTER(P2:P122, ISNUMBER(P2:P122)))</f>
        <v>-44.20966</v>
      </c>
      <c r="Q126" s="40" cm="1">
        <f t="array" ref="Q126">MIN(_xlfn._xlws.FILTER(Q2:Q122, ISNUMBER(Q2:Q122)))</f>
        <v>-26.365058999999999</v>
      </c>
      <c r="R126" s="40" cm="1">
        <f t="array" ref="R126">MIN(_xlfn._xlws.FILTER(R2:R122, ISNUMBER(R2:R122)))</f>
        <v>-37.771599999999999</v>
      </c>
      <c r="S126" s="40" cm="1">
        <f t="array" ref="S126">MIN(_xlfn._xlws.FILTER(S2:S122, ISNUMBER(S2:S122)))</f>
        <v>-52.171641999999999</v>
      </c>
      <c r="T126" s="40" cm="1">
        <f t="array" ref="T126">MIN(_xlfn._xlws.FILTER(T2:T122, ISNUMBER(T2:T122)))</f>
        <v>-36.972610000000003</v>
      </c>
      <c r="U126" s="40" cm="1">
        <f t="array" ref="U126">MIN(_xlfn._xlws.FILTER(U2:U122, ISNUMBER(U2:U122)))</f>
        <v>-45.643700000000003</v>
      </c>
      <c r="V126" s="155" cm="1">
        <f t="array" ref="V126">MIN(_xlfn._xlws.FILTER(V2:V122, ISNUMBER(V2:V122)))</f>
        <v>-34.632786000000003</v>
      </c>
      <c r="W126" s="24"/>
    </row>
    <row r="127" spans="1:23" x14ac:dyDescent="0.35">
      <c r="A127" s="2" t="s">
        <v>396</v>
      </c>
      <c r="B127" s="42" cm="1">
        <f t="array" ref="B127">MAX(_xlfn._xlws.FILTER(B1:B122, ISNUMBER(B1:B122)))</f>
        <v>55.499912000000002</v>
      </c>
      <c r="C127" s="42" cm="1">
        <f t="array" ref="C127">MAX(_xlfn._xlws.FILTER(C1:C122, ISNUMBER(C1:C122)))</f>
        <v>87.98442</v>
      </c>
      <c r="D127" s="42" cm="1">
        <f t="array" ref="D127">MAX(_xlfn._xlws.FILTER(D1:D122, ISNUMBER(D1:D122)))</f>
        <v>92.061520000000002</v>
      </c>
      <c r="E127" s="42" cm="1">
        <f t="array" ref="E127">MAX(_xlfn._xlws.FILTER(E1:E122, ISNUMBER(E1:E122)))</f>
        <v>45.445869999999999</v>
      </c>
      <c r="F127" s="42" cm="1">
        <f t="array" ref="F127">MAX(_xlfn._xlws.FILTER(F1:F122, ISNUMBER(F1:F122)))</f>
        <v>66.104354999999998</v>
      </c>
      <c r="G127" s="42" cm="1">
        <f t="array" ref="G127">MAX(_xlfn._xlws.FILTER(G1:G122, ISNUMBER(G1:G122)))</f>
        <v>87.569199999999995</v>
      </c>
      <c r="H127" s="42" cm="1">
        <f t="array" ref="H127">MAX(_xlfn._xlws.FILTER(H1:H122, ISNUMBER(H1:H122)))</f>
        <v>37.834359999999997</v>
      </c>
      <c r="I127" s="42" cm="1">
        <f t="array" ref="I127">MAX(_xlfn._xlws.FILTER(I1:I122, ISNUMBER(I1:I122)))</f>
        <v>93.45402</v>
      </c>
      <c r="J127" s="42" cm="1">
        <f t="array" ref="J127">MAX(_xlfn._xlws.FILTER(J1:J122, ISNUMBER(J1:J122)))</f>
        <v>80.221509999999995</v>
      </c>
      <c r="K127" s="42" cm="1">
        <f t="array" ref="K127">MAX(_xlfn._xlws.FILTER(K1:K122, ISNUMBER(K1:K122)))</f>
        <v>123.6336</v>
      </c>
      <c r="L127" s="42" cm="1">
        <f t="array" ref="L127">MAX(_xlfn._xlws.FILTER(L1:L122, ISNUMBER(L1:L122)))</f>
        <v>112.55723999999999</v>
      </c>
      <c r="M127" s="42" cm="1">
        <f t="array" ref="M127">MAX(_xlfn._xlws.FILTER(M1:M122, ISNUMBER(M1:M122)))</f>
        <v>104.39588999999999</v>
      </c>
      <c r="N127" s="42" cm="1">
        <f t="array" ref="N127">MAX(_xlfn._xlws.FILTER(N1:N122, ISNUMBER(N1:N122)))</f>
        <v>75.682130000000001</v>
      </c>
      <c r="O127" s="42" cm="1">
        <f t="array" ref="O127">MAX(_xlfn._xlws.FILTER(O1:O122, ISNUMBER(O1:O122)))</f>
        <v>106.97098</v>
      </c>
      <c r="P127" s="42" cm="1">
        <f t="array" ref="P127">MAX(_xlfn._xlws.FILTER(P1:P122, ISNUMBER(P1:P122)))</f>
        <v>63.962161999999999</v>
      </c>
      <c r="Q127" s="42" cm="1">
        <f t="array" ref="Q127">MAX(_xlfn._xlws.FILTER(Q1:Q122, ISNUMBER(Q1:Q122)))</f>
        <v>45.880209999999998</v>
      </c>
      <c r="R127" s="42" cm="1">
        <f t="array" ref="R127">MAX(_xlfn._xlws.FILTER(R1:R122, ISNUMBER(R1:R122)))</f>
        <v>52.69021</v>
      </c>
      <c r="S127" s="42" cm="1">
        <f t="array" ref="S127">MAX(_xlfn._xlws.FILTER(S1:S122, ISNUMBER(S1:S122)))</f>
        <v>87.633803999999998</v>
      </c>
      <c r="T127" s="42" cm="1">
        <f t="array" ref="T127">MAX(_xlfn._xlws.FILTER(T1:T122, ISNUMBER(T1:T122)))</f>
        <v>58.204425999999998</v>
      </c>
      <c r="U127" s="42" cm="1">
        <f t="array" ref="U127">MAX(_xlfn._xlws.FILTER(U1:U122, ISNUMBER(U1:U122)))</f>
        <v>81.783879999999996</v>
      </c>
      <c r="V127" s="156" cm="1">
        <f t="array" ref="V127">MAX(_xlfn._xlws.FILTER(V1:V122, ISNUMBER(V1:V122)))</f>
        <v>65.980514999999997</v>
      </c>
    </row>
    <row r="128" spans="1:23" x14ac:dyDescent="0.35">
      <c r="A128" s="2" t="s">
        <v>397</v>
      </c>
      <c r="B128" s="40" cm="1">
        <f t="array" ref="B128">MEDIAN(_xlfn._xlws.FILTER(B1:B122, ISNUMBER(B1:B122)))</f>
        <v>2.1821975999999998</v>
      </c>
      <c r="C128" s="40" cm="1">
        <f t="array" ref="C128">MEDIAN(_xlfn._xlws.FILTER(C1:C122, ISNUMBER(C1:C122)))</f>
        <v>-4.2731760000000003</v>
      </c>
      <c r="D128" s="40" cm="1">
        <f t="array" ref="D128">MEDIAN(_xlfn._xlws.FILTER(D1:D122, ISNUMBER(D1:D122)))</f>
        <v>1.4635563</v>
      </c>
      <c r="E128" s="40" cm="1">
        <f t="array" ref="E128">MEDIAN(_xlfn._xlws.FILTER(E1:E122, ISNUMBER(E1:E122)))</f>
        <v>-0.67516564999999995</v>
      </c>
      <c r="F128" s="40" cm="1">
        <f t="array" ref="F128">MEDIAN(_xlfn._xlws.FILTER(F1:F122, ISNUMBER(F1:F122)))</f>
        <v>-6.9405612999999997</v>
      </c>
      <c r="G128" s="40" cm="1">
        <f t="array" ref="G128">MEDIAN(_xlfn._xlws.FILTER(G1:G122, ISNUMBER(G1:G122)))</f>
        <v>-0.50293209999999999</v>
      </c>
      <c r="H128" s="40" cm="1">
        <f t="array" ref="H128">MEDIAN(_xlfn._xlws.FILTER(H1:H122, ISNUMBER(H1:H122)))</f>
        <v>-4.2734027000000001</v>
      </c>
      <c r="I128" s="40" cm="1">
        <f t="array" ref="I128">MEDIAN(_xlfn._xlws.FILTER(I1:I122, ISNUMBER(I1:I122)))</f>
        <v>13.7642145</v>
      </c>
      <c r="J128" s="40" cm="1">
        <f t="array" ref="J128">MEDIAN(_xlfn._xlws.FILTER(J1:J122, ISNUMBER(J1:J122)))</f>
        <v>-0.84725620000000001</v>
      </c>
      <c r="K128" s="40" cm="1">
        <f t="array" ref="K128">MEDIAN(_xlfn._xlws.FILTER(K1:K122, ISNUMBER(K1:K122)))</f>
        <v>0.31248330000000002</v>
      </c>
      <c r="L128" s="40" cm="1">
        <f t="array" ref="L128">MEDIAN(_xlfn._xlws.FILTER(L1:L122, ISNUMBER(L1:L122)))</f>
        <v>4.0385010000000001</v>
      </c>
      <c r="M128" s="40" cm="1">
        <f t="array" ref="M128">MEDIAN(_xlfn._xlws.FILTER(M1:M122, ISNUMBER(M1:M122)))</f>
        <v>-1.3563037</v>
      </c>
      <c r="N128" s="40" cm="1">
        <f t="array" ref="N128">MEDIAN(_xlfn._xlws.FILTER(N1:N122, ISNUMBER(N1:N122)))</f>
        <v>0.3266096</v>
      </c>
      <c r="O128" s="40" cm="1">
        <f t="array" ref="O128">MEDIAN(_xlfn._xlws.FILTER(O1:O122, ISNUMBER(O1:O122)))</f>
        <v>7.4361324</v>
      </c>
      <c r="P128" s="40" cm="1">
        <f t="array" ref="P128">MEDIAN(_xlfn._xlws.FILTER(P1:P122, ISNUMBER(P1:P122)))</f>
        <v>2.2150517000000001</v>
      </c>
      <c r="Q128" s="40" cm="1">
        <f t="array" ref="Q128">MEDIAN(_xlfn._xlws.FILTER(Q1:Q122, ISNUMBER(Q1:Q122)))</f>
        <v>-0.23701190999999999</v>
      </c>
      <c r="R128" s="40" cm="1">
        <f t="array" ref="R128">MEDIAN(_xlfn._xlws.FILTER(R1:R122, ISNUMBER(R1:R122)))</f>
        <v>3.4332275000000002E-2</v>
      </c>
      <c r="S128" s="40" cm="1">
        <f t="array" ref="S128">MEDIAN(_xlfn._xlws.FILTER(S1:S122, ISNUMBER(S1:S122)))</f>
        <v>-0.72522759999999997</v>
      </c>
      <c r="T128" s="40" cm="1">
        <f t="array" ref="T128">MEDIAN(_xlfn._xlws.FILTER(T1:T122, ISNUMBER(T1:T122)))</f>
        <v>-1.5009165</v>
      </c>
      <c r="U128" s="40" cm="1">
        <f t="array" ref="U128">MEDIAN(_xlfn._xlws.FILTER(U1:U122, ISNUMBER(U1:U122)))</f>
        <v>-0.40193795999999998</v>
      </c>
      <c r="V128" s="155" cm="1">
        <f t="array" ref="V128">MEDIAN(_xlfn._xlws.FILTER(V1:V122, ISNUMBER(V1:V122)))</f>
        <v>11.895061</v>
      </c>
      <c r="W128" s="9"/>
    </row>
    <row r="129" spans="1:22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157"/>
    </row>
    <row r="130" spans="1:22" x14ac:dyDescent="0.35">
      <c r="A130" s="2" t="s">
        <v>87</v>
      </c>
      <c r="B130">
        <f>COUNTIF(B2:B122, "&lt;"&amp;Assumption!$F$50)</f>
        <v>30</v>
      </c>
      <c r="C130">
        <f>COUNTIF(C2:C122, "&lt;"&amp;Assumption!$F$50)</f>
        <v>46</v>
      </c>
      <c r="D130">
        <f>COUNTIF(D2:D122, "&lt;"&amp;Assumption!$F$50)</f>
        <v>27</v>
      </c>
      <c r="E130">
        <f>COUNTIF(E2:E122, "&lt;"&amp;Assumption!$F$50)</f>
        <v>32</v>
      </c>
      <c r="F130">
        <f>COUNTIF(F2:F122, "&lt;"&amp;Assumption!$F$50)</f>
        <v>53</v>
      </c>
      <c r="G130">
        <f>COUNTIF(G2:G122, "&lt;"&amp;Assumption!$F$50)</f>
        <v>28</v>
      </c>
      <c r="H130">
        <f>COUNTIF(H2:H122, "&lt;"&amp;Assumption!$F$50)</f>
        <v>31</v>
      </c>
      <c r="I130">
        <f>COUNTIF(I2:I122, "&lt;"&amp;Assumption!$F$50)</f>
        <v>21</v>
      </c>
      <c r="J130">
        <f>COUNTIF(J2:J122, "&lt;"&amp;Assumption!$F$50)</f>
        <v>32</v>
      </c>
      <c r="K130">
        <f>COUNTIF(K2:K122, "&lt;"&amp;Assumption!$F$50)</f>
        <v>37</v>
      </c>
      <c r="L130">
        <f>COUNTIF(L2:L122, "&lt;"&amp;Assumption!$F$50)</f>
        <v>38</v>
      </c>
      <c r="M130">
        <f>COUNTIF(M2:M122, "&lt;"&amp;Assumption!$F$50)</f>
        <v>34</v>
      </c>
      <c r="N130">
        <f>COUNTIF(N2:N122, "&lt;"&amp;Assumption!$F$50)</f>
        <v>52</v>
      </c>
      <c r="O130">
        <f>COUNTIF(O2:O122, "&lt;"&amp;Assumption!$F$50)</f>
        <v>17</v>
      </c>
      <c r="P130">
        <f>COUNTIF(P2:P122, "&lt;"&amp;Assumption!$F$50)</f>
        <v>38</v>
      </c>
      <c r="Q130">
        <f>COUNTIF(Q2:Q122, "&lt;"&amp;Assumption!$F$50)</f>
        <v>29</v>
      </c>
      <c r="R130">
        <f>COUNTIF(R2:R122, "&lt;"&amp;Assumption!$F$50)</f>
        <v>26</v>
      </c>
      <c r="S130">
        <f>COUNTIF(S2:S122, "&lt;"&amp;Assumption!$F$50)</f>
        <v>45</v>
      </c>
      <c r="T130">
        <f>COUNTIF(T2:T122, "&lt;"&amp;Assumption!$F$50)</f>
        <v>31</v>
      </c>
      <c r="U130">
        <f>COUNTIF(U2:U122, "&lt;"&amp;Assumption!$F$50)</f>
        <v>37</v>
      </c>
      <c r="V130" s="1">
        <f>COUNTIF(V2:V122, "&lt;"&amp;Assumption!$F$50)</f>
        <v>12</v>
      </c>
    </row>
    <row r="131" spans="1:22" x14ac:dyDescent="0.35">
      <c r="A131" s="2" t="s">
        <v>86</v>
      </c>
      <c r="B131">
        <f>COUNT(B1:B122)</f>
        <v>84</v>
      </c>
      <c r="C131">
        <f t="shared" ref="C131:V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109</v>
      </c>
      <c r="R131">
        <f t="shared" si="0"/>
        <v>121</v>
      </c>
      <c r="S131">
        <f t="shared" si="0"/>
        <v>121</v>
      </c>
      <c r="T131">
        <f t="shared" si="0"/>
        <v>109</v>
      </c>
      <c r="U131">
        <f t="shared" si="0"/>
        <v>121</v>
      </c>
      <c r="V131" s="1">
        <f t="shared" si="0"/>
        <v>93</v>
      </c>
    </row>
    <row r="132" spans="1:22" x14ac:dyDescent="0.35">
      <c r="A132" s="2"/>
    </row>
    <row r="133" spans="1:22" x14ac:dyDescent="0.35">
      <c r="A133" s="2" t="s">
        <v>400</v>
      </c>
      <c r="B133" s="9">
        <f>B130/B131</f>
        <v>0.35714285714285715</v>
      </c>
      <c r="C133" s="9">
        <f t="shared" ref="C133:V133" si="1">C130/C131</f>
        <v>0.38016528925619836</v>
      </c>
      <c r="D133" s="9">
        <f t="shared" si="1"/>
        <v>0.2231404958677686</v>
      </c>
      <c r="E133" s="9">
        <f t="shared" si="1"/>
        <v>0.26446280991735538</v>
      </c>
      <c r="F133" s="9">
        <f t="shared" si="1"/>
        <v>0.43801652892561982</v>
      </c>
      <c r="G133" s="9">
        <f t="shared" si="1"/>
        <v>0.23140495867768596</v>
      </c>
      <c r="H133" s="9">
        <f t="shared" si="1"/>
        <v>0.256198347107438</v>
      </c>
      <c r="I133" s="9">
        <f t="shared" si="1"/>
        <v>0.17355371900826447</v>
      </c>
      <c r="J133" s="9">
        <f t="shared" si="1"/>
        <v>0.26446280991735538</v>
      </c>
      <c r="K133" s="9">
        <f t="shared" si="1"/>
        <v>0.30578512396694213</v>
      </c>
      <c r="L133" s="9">
        <f t="shared" si="1"/>
        <v>0.31404958677685951</v>
      </c>
      <c r="M133" s="9">
        <f t="shared" si="1"/>
        <v>0.28099173553719009</v>
      </c>
      <c r="N133" s="9">
        <f t="shared" si="1"/>
        <v>0.42975206611570249</v>
      </c>
      <c r="O133" s="9">
        <f t="shared" si="1"/>
        <v>0.14049586776859505</v>
      </c>
      <c r="P133" s="9">
        <f t="shared" si="1"/>
        <v>0.31404958677685951</v>
      </c>
      <c r="Q133" s="9">
        <f t="shared" si="1"/>
        <v>0.26605504587155965</v>
      </c>
      <c r="R133" s="9">
        <f t="shared" si="1"/>
        <v>0.21487603305785125</v>
      </c>
      <c r="S133" s="9">
        <f t="shared" si="1"/>
        <v>0.37190082644628097</v>
      </c>
      <c r="T133" s="9">
        <f t="shared" si="1"/>
        <v>0.28440366972477066</v>
      </c>
      <c r="U133" s="9">
        <f t="shared" si="1"/>
        <v>0.30578512396694213</v>
      </c>
      <c r="V133" s="48">
        <f t="shared" si="1"/>
        <v>0.12903225806451613</v>
      </c>
    </row>
    <row r="134" spans="1:22" x14ac:dyDescent="0.35">
      <c r="A134" s="2"/>
    </row>
    <row r="135" spans="1:22" x14ac:dyDescent="0.35">
      <c r="A135" s="2"/>
      <c r="B135" s="115"/>
      <c r="C135" s="115"/>
      <c r="D135" s="115"/>
      <c r="E135" s="115"/>
      <c r="F135" s="115"/>
      <c r="G135" s="115"/>
      <c r="H135" s="115"/>
      <c r="I135" s="115"/>
      <c r="J135" s="1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48"/>
    </row>
    <row r="136" spans="1:22" x14ac:dyDescent="0.35">
      <c r="A136" s="2" t="s">
        <v>403</v>
      </c>
      <c r="B136" s="40" cm="1">
        <f t="array" ref="B136">_xlfn.PERCENTRANK.EXC(_xlfn._xlws.FILTER(B2:B122, ISNUMBER(B2:B122)),B120)</f>
        <v>0.23499999999999999</v>
      </c>
      <c r="C136" s="40" cm="1">
        <f t="array" ref="C136">_xlfn.PERCENTRANK.EXC(_xlfn._xlws.FILTER(C2:C122, ISNUMBER(C2:C122)),C120)</f>
        <v>0.54900000000000004</v>
      </c>
      <c r="D136" s="40" cm="1">
        <f t="array" ref="D136">_xlfn.PERCENTRANK.EXC(_xlfn._xlws.FILTER(D2:D122, ISNUMBER(D2:D122)),D120)</f>
        <v>0.58099999999999996</v>
      </c>
      <c r="E136" s="40" cm="1">
        <f t="array" ref="E136">_xlfn.PERCENTRANK.EXC(_xlfn._xlws.FILTER(E2:E122, ISNUMBER(E2:E122)),E120)</f>
        <v>0.63900000000000001</v>
      </c>
      <c r="F136" s="40" cm="1">
        <f t="array" ref="F136">_xlfn.PERCENTRANK.EXC(_xlfn._xlws.FILTER(F2:F122, ISNUMBER(F2:F122)),F120)</f>
        <v>0.97499999999999998</v>
      </c>
      <c r="G136" s="40" cm="1">
        <f t="array" ref="G136">_xlfn.PERCENTRANK.EXC(_xlfn._xlws.FILTER(G2:G122, ISNUMBER(G2:G122)),G120)</f>
        <v>0.91800000000000004</v>
      </c>
      <c r="H136" s="40" cm="1">
        <f t="array" ref="H136">_xlfn.PERCENTRANK.EXC(_xlfn._xlws.FILTER(H2:H122, ISNUMBER(H2:H122)),H120)</f>
        <v>0.81100000000000005</v>
      </c>
      <c r="I136" s="40" cm="1">
        <f t="array" ref="I136">_xlfn.PERCENTRANK.EXC(_xlfn._xlws.FILTER(I2:I122, ISNUMBER(I2:I122)),I120)</f>
        <v>0.68</v>
      </c>
      <c r="J136" s="40" cm="1">
        <f t="array" ref="J136">_xlfn.PERCENTRANK.EXC(_xlfn._xlws.FILTER(J2:J122, ISNUMBER(J2:J122)),J120)</f>
        <v>0.877</v>
      </c>
      <c r="K136" s="40" cm="1">
        <f t="array" ref="K136">_xlfn.PERCENTRANK.EXC(_xlfn._xlws.FILTER(K2:K122, ISNUMBER(K2:K122)),K120)</f>
        <v>0.70399999999999996</v>
      </c>
      <c r="L136" s="40" cm="1">
        <f t="array" ref="L136">_xlfn.PERCENTRANK.EXC(_xlfn._xlws.FILTER(L2:L122, ISNUMBER(L2:L122)),L120)</f>
        <v>0.84399999999999997</v>
      </c>
      <c r="M136" s="40" cm="1">
        <f t="array" ref="M136">_xlfn.PERCENTRANK.EXC(_xlfn._xlws.FILTER(M2:M122, ISNUMBER(M2:M122)),M120)</f>
        <v>0.46700000000000003</v>
      </c>
      <c r="N136" s="40" cm="1">
        <f t="array" ref="N136">_xlfn.PERCENTRANK.EXC(_xlfn._xlws.FILTER(N2:N122, ISNUMBER(N2:N122)),N120)</f>
        <v>0.81100000000000005</v>
      </c>
      <c r="O136" s="40" cm="1">
        <f t="array" ref="O136">_xlfn.PERCENTRANK.EXC(_xlfn._xlws.FILTER(O2:O122, ISNUMBER(O2:O122)),O120)</f>
        <v>0.84399999999999997</v>
      </c>
      <c r="P136" s="40" cm="1">
        <f t="array" ref="P136">_xlfn.PERCENTRANK.EXC(_xlfn._xlws.FILTER(P2:P122, ISNUMBER(P2:P122)),P120)</f>
        <v>0.245</v>
      </c>
      <c r="Q136" s="40" cm="1">
        <f t="array" ref="Q136">_xlfn.PERCENTRANK.EXC(_xlfn._xlws.FILTER(Q2:Q122, ISNUMBER(Q2:Q122)),Q120)</f>
        <v>0.68100000000000005</v>
      </c>
      <c r="R136" s="40" cm="1">
        <f t="array" ref="R136">_xlfn.PERCENTRANK.EXC(_xlfn._xlws.FILTER(R2:R122, ISNUMBER(R2:R122)),R120)</f>
        <v>0.155</v>
      </c>
      <c r="S136" s="40" cm="1">
        <f t="array" ref="S136">_xlfn.PERCENTRANK.EXC(_xlfn._xlws.FILTER(S2:S122, ISNUMBER(S2:S122)),S120)</f>
        <v>0.69599999999999995</v>
      </c>
      <c r="T136" s="40" cm="1">
        <f t="array" ref="T136">_xlfn.PERCENTRANK.EXC(_xlfn._xlws.FILTER(T2:T122, ISNUMBER(T2:T122)),T120)</f>
        <v>0.76300000000000001</v>
      </c>
      <c r="U136" s="40" cm="1">
        <f t="array" ref="U136">_xlfn.PERCENTRANK.EXC(_xlfn._xlws.FILTER(U2:U122, ISNUMBER(U2:U122)),U120)</f>
        <v>0.84399999999999997</v>
      </c>
      <c r="V136" s="155" cm="1">
        <f t="array" ref="V136">_xlfn.PERCENTRANK.EXC(_xlfn._xlws.FILTER(V2:V122, ISNUMBER(V2:V122)),V120)</f>
        <v>0.78700000000000003</v>
      </c>
    </row>
    <row r="137" spans="1:22" x14ac:dyDescent="0.35">
      <c r="A137" s="2" t="s">
        <v>402</v>
      </c>
      <c r="B137" s="40" cm="1">
        <f t="array" ref="B137">_xlfn.PERCENTRANK.EXC(_xlfn._xlws.FILTER(B2:B122, ISNUMBER(B2:B122)),B121)</f>
        <v>0.2</v>
      </c>
      <c r="C137" s="40" cm="1">
        <f t="array" ref="C137">_xlfn.PERCENTRANK.EXC(_xlfn._xlws.FILTER(C2:C122, ISNUMBER(C2:C122)),C121)</f>
        <v>0.56499999999999995</v>
      </c>
      <c r="D137" s="40" cm="1">
        <f t="array" ref="D137">_xlfn.PERCENTRANK.EXC(_xlfn._xlws.FILTER(D2:D122, ISNUMBER(D2:D122)),D121)</f>
        <v>0.27800000000000002</v>
      </c>
      <c r="E137" s="40" cm="1">
        <f t="array" ref="E137">_xlfn.PERCENTRANK.EXC(_xlfn._xlws.FILTER(E2:E122, ISNUMBER(E2:E122)),E121)</f>
        <v>0.5</v>
      </c>
      <c r="F137" s="40" cm="1">
        <f t="array" ref="F137">_xlfn.PERCENTRANK.EXC(_xlfn._xlws.FILTER(F2:F122, ISNUMBER(F2:F122)),F121)</f>
        <v>0.85199999999999998</v>
      </c>
      <c r="G137" s="40" cm="1">
        <f t="array" ref="G137">_xlfn.PERCENTRANK.EXC(_xlfn._xlws.FILTER(G2:G122, ISNUMBER(G2:G122)),G121)</f>
        <v>0.89300000000000002</v>
      </c>
      <c r="H137" s="40" cm="1">
        <f t="array" ref="H137">_xlfn.PERCENTRANK.EXC(_xlfn._xlws.FILTER(H2:H122, ISNUMBER(H2:H122)),H121)</f>
        <v>0.77</v>
      </c>
      <c r="I137" s="40" cm="1">
        <f t="array" ref="I137">_xlfn.PERCENTRANK.EXC(_xlfn._xlws.FILTER(I2:I122, ISNUMBER(I2:I122)),I121)</f>
        <v>0.63100000000000001</v>
      </c>
      <c r="J137" s="40" cm="1">
        <f t="array" ref="J137">_xlfn.PERCENTRANK.EXC(_xlfn._xlws.FILTER(J2:J122, ISNUMBER(J2:J122)),J121)</f>
        <v>0.68799999999999994</v>
      </c>
      <c r="K137" s="40" cm="1">
        <f t="array" ref="K137">_xlfn.PERCENTRANK.EXC(_xlfn._xlws.FILTER(K2:K122, ISNUMBER(K2:K122)),K121)</f>
        <v>0.55700000000000005</v>
      </c>
      <c r="L137" s="40" cm="1">
        <f t="array" ref="L137">_xlfn.PERCENTRANK.EXC(_xlfn._xlws.FILTER(L2:L122, ISNUMBER(L2:L122)),L121)</f>
        <v>0.67200000000000004</v>
      </c>
      <c r="M137" s="40" cm="1">
        <f t="array" ref="M137">_xlfn.PERCENTRANK.EXC(_xlfn._xlws.FILTER(M2:M122, ISNUMBER(M2:M122)),M121)</f>
        <v>0.34399999999999997</v>
      </c>
      <c r="N137" s="40" cm="1">
        <f t="array" ref="N137">_xlfn.PERCENTRANK.EXC(_xlfn._xlws.FILTER(N2:N122, ISNUMBER(N2:N122)),N121)</f>
        <v>0.73699999999999999</v>
      </c>
      <c r="O137" s="40" cm="1">
        <f t="array" ref="O137">_xlfn.PERCENTRANK.EXC(_xlfn._xlws.FILTER(O2:O122, ISNUMBER(O2:O122)),O121)</f>
        <v>0.82699999999999996</v>
      </c>
      <c r="P137" s="40" cm="1">
        <f t="array" ref="P137">_xlfn.PERCENTRANK.EXC(_xlfn._xlws.FILTER(P2:P122, ISNUMBER(P2:P122)),P121)</f>
        <v>0.27800000000000002</v>
      </c>
      <c r="Q137" s="40" cm="1">
        <f t="array" ref="Q137">_xlfn.PERCENTRANK.EXC(_xlfn._xlws.FILTER(Q2:Q122, ISNUMBER(Q2:Q122)),Q121)</f>
        <v>0.51800000000000002</v>
      </c>
      <c r="R137" s="40" cm="1">
        <f t="array" ref="R137">_xlfn.PERCENTRANK.EXC(_xlfn._xlws.FILTER(R2:R122, ISNUMBER(R2:R122)),R121)</f>
        <v>0.14699999999999999</v>
      </c>
      <c r="S137" s="40" cm="1">
        <f t="array" ref="S137">_xlfn.PERCENTRANK.EXC(_xlfn._xlws.FILTER(S2:S122, ISNUMBER(S2:S122)),S121)</f>
        <v>0.81100000000000005</v>
      </c>
      <c r="T137" s="40" cm="1">
        <f t="array" ref="T137">_xlfn.PERCENTRANK.EXC(_xlfn._xlws.FILTER(T2:T122, ISNUMBER(T2:T122)),T121)</f>
        <v>0.51800000000000002</v>
      </c>
      <c r="U137" s="40" cm="1">
        <f t="array" ref="U137">_xlfn.PERCENTRANK.EXC(_xlfn._xlws.FILTER(U2:U122, ISNUMBER(U2:U122)),U121)</f>
        <v>0.64700000000000002</v>
      </c>
      <c r="V137" s="155" cm="1">
        <f t="array" ref="V137">_xlfn.PERCENTRANK.EXC(_xlfn._xlws.FILTER(V2:V122, ISNUMBER(V2:V122)),V121)</f>
        <v>0.45700000000000002</v>
      </c>
    </row>
    <row r="138" spans="1:22" x14ac:dyDescent="0.35">
      <c r="A138" s="2" t="s">
        <v>507</v>
      </c>
      <c r="B138" s="40" cm="1">
        <f t="array" ref="B138">_xlfn.PERCENTRANK.EXC(_xlfn._xlws.FILTER(B2:B122, ISNUMBER(B2:B122)),B122)</f>
        <v>0.36399999999999999</v>
      </c>
      <c r="C138" s="40" cm="1">
        <f t="array" ref="C138">_xlfn.PERCENTRANK.EXC(_xlfn._xlws.FILTER(C2:C122, ISNUMBER(C2:C122)),C122)</f>
        <v>0.58099999999999996</v>
      </c>
      <c r="D138" s="40" cm="1">
        <f t="array" ref="D138">_xlfn.PERCENTRANK.EXC(_xlfn._xlws.FILTER(D2:D122, ISNUMBER(D2:D122)),D122)</f>
        <v>0.188</v>
      </c>
      <c r="E138" s="40" cm="1">
        <f t="array" ref="E138">_xlfn.PERCENTRANK.EXC(_xlfn._xlws.FILTER(E2:E122, ISNUMBER(E2:E122)),E122)</f>
        <v>0.47499999999999998</v>
      </c>
      <c r="F138" s="40" cm="1">
        <f t="array" ref="F138">_xlfn.PERCENTRANK.EXC(_xlfn._xlws.FILTER(F2:F122, ISNUMBER(F2:F122)),F122)</f>
        <v>0.84399999999999997</v>
      </c>
      <c r="G138" s="40" cm="1">
        <f t="array" ref="G138">_xlfn.PERCENTRANK.EXC(_xlfn._xlws.FILTER(G2:G122, ISNUMBER(G2:G122)),G122)</f>
        <v>0.94199999999999995</v>
      </c>
      <c r="H138" s="40" cm="1">
        <f t="array" ref="H138">_xlfn.PERCENTRANK.EXC(_xlfn._xlws.FILTER(H2:H122, ISNUMBER(H2:H122)),H122)</f>
        <v>0.90100000000000002</v>
      </c>
      <c r="I138" s="40" cm="1">
        <f t="array" ref="I138">_xlfn.PERCENTRANK.EXC(_xlfn._xlws.FILTER(I2:I122, ISNUMBER(I2:I122)),I122)</f>
        <v>0.81899999999999995</v>
      </c>
      <c r="J138" s="40" cm="1">
        <f t="array" ref="J138">_xlfn.PERCENTRANK.EXC(_xlfn._xlws.FILTER(J2:J122, ISNUMBER(J2:J122)),J122)</f>
        <v>0.73699999999999999</v>
      </c>
      <c r="K138" s="40" cm="1">
        <f t="array" ref="K138">_xlfn.PERCENTRANK.EXC(_xlfn._xlws.FILTER(K2:K122, ISNUMBER(K2:K122)),K122)</f>
        <v>0.56499999999999995</v>
      </c>
      <c r="L138" s="40" cm="1">
        <f t="array" ref="L138">_xlfn.PERCENTRANK.EXC(_xlfn._xlws.FILTER(L2:L122, ISNUMBER(L2:L122)),L122)</f>
        <v>0.54</v>
      </c>
      <c r="M138" s="40" cm="1">
        <f t="array" ref="M138">_xlfn.PERCENTRANK.EXC(_xlfn._xlws.FILTER(M2:M122, ISNUMBER(M2:M122)),M122)</f>
        <v>0.754</v>
      </c>
      <c r="N138" s="40" cm="1">
        <f t="array" ref="N138">_xlfn.PERCENTRANK.EXC(_xlfn._xlws.FILTER(N2:N122, ISNUMBER(N2:N122)),N122)</f>
        <v>0.70399999999999996</v>
      </c>
      <c r="O138" s="40" cm="1">
        <f t="array" ref="O138">_xlfn.PERCENTRANK.EXC(_xlfn._xlws.FILTER(O2:O122, ISNUMBER(O2:O122)),O122)</f>
        <v>0.83599999999999997</v>
      </c>
      <c r="P138" s="40" cm="1">
        <f t="array" ref="P138">_xlfn.PERCENTRANK.EXC(_xlfn._xlws.FILTER(P2:P122, ISNUMBER(P2:P122)),P122)</f>
        <v>0.5</v>
      </c>
      <c r="Q138" s="40" cm="1">
        <f t="array" ref="Q138">_xlfn.PERCENTRANK.EXC(_xlfn._xlws.FILTER(Q2:Q122, ISNUMBER(Q2:Q122)),Q122)</f>
        <v>0.3</v>
      </c>
      <c r="R138" s="40" cm="1">
        <f t="array" ref="R138">_xlfn.PERCENTRANK.EXC(_xlfn._xlws.FILTER(R2:R122, ISNUMBER(R2:R122)),R122)</f>
        <v>0.20399999999999999</v>
      </c>
      <c r="S138" s="40" cm="1">
        <f t="array" ref="S138">_xlfn.PERCENTRANK.EXC(_xlfn._xlws.FILTER(S2:S122, ISNUMBER(S2:S122)),S122)</f>
        <v>0.92600000000000005</v>
      </c>
      <c r="T138" s="40" cm="1">
        <f t="array" ref="T138">_xlfn.PERCENTRANK.EXC(_xlfn._xlws.FILTER(T2:T122, ISNUMBER(T2:T122)),T122)</f>
        <v>0.52700000000000002</v>
      </c>
      <c r="U138" s="40" cm="1">
        <f t="array" ref="U138">_xlfn.PERCENTRANK.EXC(_xlfn._xlws.FILTER(U2:U122, ISNUMBER(U2:U122)),U122)</f>
        <v>0.72099999999999997</v>
      </c>
      <c r="V138" s="155" cm="1">
        <f t="array" ref="V138">_xlfn.PERCENTRANK.EXC(_xlfn._xlws.FILTER(V2:V122, ISNUMBER(V2:V122)),V122)</f>
        <v>0.308</v>
      </c>
    </row>
    <row r="139" spans="1:22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155"/>
    </row>
    <row r="140" spans="1:22" x14ac:dyDescent="0.35">
      <c r="A140" s="2" t="s">
        <v>467</v>
      </c>
      <c r="B140" s="40">
        <f t="shared" ref="B140:V140" si="2">AVERAGE(B136:B138)</f>
        <v>0.26633333333333331</v>
      </c>
      <c r="C140" s="40">
        <f t="shared" si="2"/>
        <v>0.56499999999999995</v>
      </c>
      <c r="D140" s="40">
        <f t="shared" si="2"/>
        <v>0.34899999999999998</v>
      </c>
      <c r="E140" s="40">
        <f t="shared" si="2"/>
        <v>0.53799999999999992</v>
      </c>
      <c r="F140" s="40">
        <f t="shared" si="2"/>
        <v>0.89033333333333331</v>
      </c>
      <c r="G140" s="40">
        <f t="shared" si="2"/>
        <v>0.91766666666666674</v>
      </c>
      <c r="H140" s="40">
        <f t="shared" si="2"/>
        <v>0.82733333333333337</v>
      </c>
      <c r="I140" s="40">
        <f t="shared" si="2"/>
        <v>0.71</v>
      </c>
      <c r="J140" s="40">
        <f t="shared" si="2"/>
        <v>0.76733333333333331</v>
      </c>
      <c r="K140" s="40">
        <f t="shared" si="2"/>
        <v>0.60866666666666669</v>
      </c>
      <c r="L140" s="40">
        <f t="shared" si="2"/>
        <v>0.68533333333333335</v>
      </c>
      <c r="M140" s="40">
        <f t="shared" si="2"/>
        <v>0.52166666666666661</v>
      </c>
      <c r="N140" s="40">
        <f t="shared" si="2"/>
        <v>0.75066666666666659</v>
      </c>
      <c r="O140" s="40">
        <f t="shared" si="2"/>
        <v>0.83566666666666656</v>
      </c>
      <c r="P140" s="40">
        <f t="shared" si="2"/>
        <v>0.34100000000000003</v>
      </c>
      <c r="Q140" s="40">
        <f t="shared" si="2"/>
        <v>0.4996666666666667</v>
      </c>
      <c r="R140" s="40">
        <f t="shared" si="2"/>
        <v>0.16866666666666666</v>
      </c>
      <c r="S140" s="40">
        <f t="shared" si="2"/>
        <v>0.81100000000000005</v>
      </c>
      <c r="T140" s="40">
        <f t="shared" si="2"/>
        <v>0.60266666666666679</v>
      </c>
      <c r="U140" s="40">
        <f t="shared" si="2"/>
        <v>0.7373333333333334</v>
      </c>
      <c r="V140" s="155">
        <f t="shared" si="2"/>
        <v>0.51733333333333331</v>
      </c>
    </row>
    <row r="141" spans="1:22" x14ac:dyDescent="0.35">
      <c r="A141" s="2"/>
    </row>
    <row r="142" spans="1:22" x14ac:dyDescent="0.35">
      <c r="A142" s="2"/>
    </row>
    <row r="143" spans="1:22" x14ac:dyDescent="0.35">
      <c r="A143" s="2"/>
    </row>
    <row r="144" spans="1:22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6"/>
  <sheetViews>
    <sheetView workbookViewId="0">
      <selection activeCell="G3" sqref="G3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B2" t="s">
        <v>864</v>
      </c>
      <c r="C2" t="s">
        <v>865</v>
      </c>
      <c r="D2" t="s">
        <v>866</v>
      </c>
      <c r="E2" t="s">
        <v>867</v>
      </c>
      <c r="F2" t="s">
        <v>868</v>
      </c>
      <c r="G2" t="s">
        <v>29</v>
      </c>
      <c r="H2" t="s">
        <v>870</v>
      </c>
      <c r="I2" t="s">
        <v>871</v>
      </c>
      <c r="J2" t="s">
        <v>872</v>
      </c>
      <c r="K2" t="s">
        <v>873</v>
      </c>
      <c r="L2" t="s">
        <v>874</v>
      </c>
      <c r="M2" t="s">
        <v>875</v>
      </c>
      <c r="N2" t="s">
        <v>876</v>
      </c>
      <c r="O2" t="s">
        <v>877</v>
      </c>
      <c r="P2" t="s">
        <v>864</v>
      </c>
      <c r="Q2" t="s">
        <v>878</v>
      </c>
      <c r="R2" t="s">
        <v>914</v>
      </c>
      <c r="S2" t="s">
        <v>879</v>
      </c>
      <c r="T2" t="s">
        <v>880</v>
      </c>
      <c r="U2" t="s">
        <v>37</v>
      </c>
      <c r="V2" t="s">
        <v>882</v>
      </c>
    </row>
    <row r="3" spans="1:22" x14ac:dyDescent="0.35">
      <c r="A3" s="2" cm="1">
        <f t="array" ref="A3:A22">_xll.FDSB(C2,"JULIAN(FMA_EPS(NTMA,-20AY,0,CY,,""PORTAGG"",""MEANR"").dates)")</f>
        <v>38352</v>
      </c>
      <c r="B3" t="str" cm="1">
        <f t="array" ref="B3:B22">_xll.FDSB(B2,"FMA_EPS(NTMA,-20AY,0,CY,,""PORTAGG"",""MEANR"")")</f>
        <v/>
      </c>
      <c r="C3" cm="1">
        <f t="array" ref="C3:C22">_xll.FDSB(C2,"FMA_EPS(NTMA,-20AY,0,CY,,""PORTAGG"",""MEANR"")")</f>
        <v>13.434564576232701</v>
      </c>
      <c r="D3" cm="1">
        <f t="array" ref="D3:D22">_xll.FDSB(D2,"FMA_EPS(NTMA,-20AY,0,CY,,""PORTAGG"",""MEANR"")")</f>
        <v>29.328407388037199</v>
      </c>
      <c r="E3" cm="1">
        <f t="array" ref="E3:E22">_xll.FDSB(E2,"FMA_EPS(NTMA,-20AY,0,CY,,""PORTAGG"",""MEANR"")")</f>
        <v>8.5922008253969793</v>
      </c>
      <c r="F3" cm="1">
        <f t="array" ref="F3:F22">_xll.FDSB(F2,"FMA_EPS(NTMA,-20AY,0,CY,,""PORTAGG"",""MEANR"")")</f>
        <v>11.3956611787009</v>
      </c>
      <c r="G3" t="str" cm="1">
        <f t="array" ref="G3:G22">_xll.FDSB(G2,"FMA_EPS(NTMA,-20AY,0,CY,,""PORTAGG"",""MEANR"")")</f>
        <v/>
      </c>
      <c r="H3" cm="1">
        <f t="array" ref="H3:H22">_xll.FDSB(H2,"FMA_EPS(NTMA,-20AY,0,CY,,""PORTAGG"",""MEANR"")")</f>
        <v>10.1502703335633</v>
      </c>
      <c r="I3" cm="1">
        <f t="array" ref="I3:I22">_xll.FDSB(I2,"FMA_EPS(NTMA,-20AY,0,CY,,""PORTAGG"",""MEANR"")")</f>
        <v>9.1203142637957306</v>
      </c>
      <c r="J3" cm="1">
        <f t="array" ref="J3:J22">_xll.FDSB(J2,"FMA_EPS(NTMA,-20AY,0,CY,,""PORTAGG"",""MEANR"")")</f>
        <v>12.7623750851153</v>
      </c>
      <c r="K3" cm="1">
        <f t="array" ref="K3:K22">_xll.FDSB(K2,"FMA_EPS(NTMA,-20AY,0,CY,,""PORTAGG"",""MEANR"")")</f>
        <v>25.662347195809001</v>
      </c>
      <c r="L3" cm="1">
        <f t="array" ref="L3:L22">_xll.FDSB(L2,"FMA_EPS(NTMA,-20AY,0,CY,,""PORTAGG"",""MEANR"")")</f>
        <v>15.9634949001004</v>
      </c>
      <c r="M3" cm="1">
        <f t="array" ref="M3:M22">_xll.FDSB(M2,"FMA_EPS(NTMA,-20AY,0,CY,,""PORTAGG"",""MEANR"")")</f>
        <v>21.173858585297399</v>
      </c>
      <c r="N3" cm="1">
        <f t="array" ref="N3:N22">_xll.FDSB(N2,"FMA_EPS(NTMA,-20AY,0,CY,,""PORTAGG"",""MEANR"")")</f>
        <v>10.0263829592273</v>
      </c>
      <c r="O3" cm="1">
        <f t="array" ref="O3:O22">_xll.FDSB(O2,"FMA_EPS(NTMA,-20AY,0,CY,,""PORTAGG"",""MEANR"")")</f>
        <v>17.002762686970801</v>
      </c>
      <c r="P3" t="str" cm="1">
        <f t="array" ref="P3:P22">_xll.FDSB(P2,"FMA_EPS(NTMA,-20AY,0,CY,,""PORTAGG"",""MEANR"")")</f>
        <v/>
      </c>
      <c r="Q3" t="str" cm="1">
        <f t="array" ref="Q3:Q22">_xll.FDSB(Q2,"FMA_EPS(NTMA,-20AY,0,CY,,""PORTAGG"",""MEANR"")")</f>
        <v/>
      </c>
      <c r="R3" cm="1">
        <f t="array" ref="R3:R22">_xll.FDSB(R2,"FMA_EPS(NTMA,-20AY,0,CY,,""PORTAGG"",""MEANR"")")</f>
        <v>31.2696221195453</v>
      </c>
      <c r="S3" cm="1">
        <f t="array" ref="S3:S22">_xll.FDSB(S2,"FMA_EPS(NTMA,-20AY,0,CY,,""PORTAGG"",""MEANR"")")</f>
        <v>9.8646328541385593</v>
      </c>
      <c r="T3" t="str" cm="1">
        <f t="array" ref="T3:T22">_xll.FDSB(T2,"FMA_EPS(NTMA,-20AY,0,CY,,""PORTAGG"",""MEANR"")")</f>
        <v/>
      </c>
      <c r="U3" t="str" cm="1">
        <f t="array" ref="U3:U22">_xll.FDSB(U2,"FMA_EPS(NTMA,-20AY,0,CY,,""PORTAGG"",""MEANR"")")</f>
        <v/>
      </c>
      <c r="V3" t="str" cm="1">
        <f t="array" ref="V3:V22">_xll.FDSB(V2,"FMA_EPS(NTMA,-20AY,0,CY,,""PORTAGG"",""MEANR"")")</f>
        <v/>
      </c>
    </row>
    <row r="4" spans="1:22" x14ac:dyDescent="0.35">
      <c r="A4" s="2">
        <v>38716</v>
      </c>
      <c r="B4">
        <v>5.0849569667120598</v>
      </c>
      <c r="C4">
        <v>13.9377456000386</v>
      </c>
      <c r="D4">
        <v>28.502304622053899</v>
      </c>
      <c r="E4">
        <v>10.2584058872744</v>
      </c>
      <c r="F4">
        <v>13.1552545733141</v>
      </c>
      <c r="G4" t="str">
        <v/>
      </c>
      <c r="H4">
        <v>10.4437641251748</v>
      </c>
      <c r="I4">
        <v>8.9303476254385998</v>
      </c>
      <c r="J4">
        <v>17.492700987289101</v>
      </c>
      <c r="K4">
        <v>29.7949627913341</v>
      </c>
      <c r="L4">
        <v>22.269679165579401</v>
      </c>
      <c r="M4">
        <v>23.7133706065956</v>
      </c>
      <c r="N4">
        <v>10.1383155721295</v>
      </c>
      <c r="O4">
        <v>19.822720636055699</v>
      </c>
      <c r="P4">
        <v>5.0849569667120598</v>
      </c>
      <c r="Q4" t="str">
        <v/>
      </c>
      <c r="R4">
        <v>27.830708973543</v>
      </c>
      <c r="S4">
        <v>13.697013097437001</v>
      </c>
      <c r="T4" t="str">
        <v/>
      </c>
      <c r="U4" t="str">
        <v/>
      </c>
      <c r="V4" t="str">
        <v/>
      </c>
    </row>
    <row r="5" spans="1:22" x14ac:dyDescent="0.35">
      <c r="A5" s="2">
        <v>39080</v>
      </c>
      <c r="B5">
        <v>6.0338155171964196</v>
      </c>
      <c r="C5">
        <v>16.9673771165975</v>
      </c>
      <c r="D5">
        <v>34.685901402476503</v>
      </c>
      <c r="E5">
        <v>13.469280972785601</v>
      </c>
      <c r="F5">
        <v>20.138294009379599</v>
      </c>
      <c r="G5" t="str">
        <v/>
      </c>
      <c r="H5">
        <v>12.9724796418955</v>
      </c>
      <c r="I5">
        <v>10.2763772347485</v>
      </c>
      <c r="J5">
        <v>24.322714007841299</v>
      </c>
      <c r="K5">
        <v>31.250374805375401</v>
      </c>
      <c r="L5">
        <v>25.3174251708984</v>
      </c>
      <c r="M5">
        <v>27.645162928456401</v>
      </c>
      <c r="N5">
        <v>13.780296395743999</v>
      </c>
      <c r="O5">
        <v>24.865697095124499</v>
      </c>
      <c r="P5">
        <v>6.0338155171964196</v>
      </c>
      <c r="Q5">
        <v>8.1997996508561393</v>
      </c>
      <c r="R5">
        <v>28.9087147679287</v>
      </c>
      <c r="S5">
        <v>15.4857358154397</v>
      </c>
      <c r="T5">
        <v>9.51942202383999</v>
      </c>
      <c r="U5" t="str">
        <v/>
      </c>
      <c r="V5" t="str">
        <v/>
      </c>
    </row>
    <row r="6" spans="1:22" x14ac:dyDescent="0.35">
      <c r="A6" s="2">
        <v>39447</v>
      </c>
      <c r="B6">
        <v>10.2264803534379</v>
      </c>
      <c r="C6">
        <v>22.3266043070326</v>
      </c>
      <c r="D6">
        <v>3676.2417673763898</v>
      </c>
      <c r="E6">
        <v>18.211056811030801</v>
      </c>
      <c r="F6">
        <v>27.2509703511728</v>
      </c>
      <c r="G6" t="str">
        <v/>
      </c>
      <c r="H6">
        <v>18.250339618841501</v>
      </c>
      <c r="I6">
        <v>12.364251957099199</v>
      </c>
      <c r="J6">
        <v>28.635869198830701</v>
      </c>
      <c r="K6">
        <v>35.671095666108002</v>
      </c>
      <c r="L6">
        <v>34.973662117333703</v>
      </c>
      <c r="M6">
        <v>34.561632181906702</v>
      </c>
      <c r="N6">
        <v>19.068788451230098</v>
      </c>
      <c r="O6">
        <v>36.988283944428701</v>
      </c>
      <c r="P6">
        <v>10.2264803534379</v>
      </c>
      <c r="Q6">
        <v>9.8686300832495508</v>
      </c>
      <c r="R6">
        <v>30.297662290330599</v>
      </c>
      <c r="S6">
        <v>22.335232530358301</v>
      </c>
      <c r="T6">
        <v>6.2741725599174698</v>
      </c>
      <c r="U6" t="str">
        <v/>
      </c>
      <c r="V6">
        <v>3.96336847567451</v>
      </c>
    </row>
    <row r="7" spans="1:22" x14ac:dyDescent="0.35">
      <c r="A7" s="2">
        <v>39813</v>
      </c>
      <c r="B7">
        <v>9.2256018344914992</v>
      </c>
      <c r="C7">
        <v>16.972614299954699</v>
      </c>
      <c r="D7">
        <v>35.3597916554534</v>
      </c>
      <c r="E7">
        <v>13.051550229378901</v>
      </c>
      <c r="F7">
        <v>17.815469153300199</v>
      </c>
      <c r="G7" t="str">
        <v/>
      </c>
      <c r="H7">
        <v>14.0466581252587</v>
      </c>
      <c r="I7">
        <v>4.81199406443955</v>
      </c>
      <c r="J7">
        <v>18.398112178707098</v>
      </c>
      <c r="K7">
        <v>19.0450116297318</v>
      </c>
      <c r="L7">
        <v>24.6574673527732</v>
      </c>
      <c r="M7">
        <v>25.2671072778123</v>
      </c>
      <c r="N7">
        <v>14.4348202091653</v>
      </c>
      <c r="O7">
        <v>27.436164618174999</v>
      </c>
      <c r="P7">
        <v>9.2256018344914992</v>
      </c>
      <c r="Q7">
        <v>11.841618351085501</v>
      </c>
      <c r="R7">
        <v>23.8840282811916</v>
      </c>
      <c r="S7">
        <v>17.019420756228701</v>
      </c>
      <c r="T7">
        <v>8.0207481936270408</v>
      </c>
      <c r="U7" t="str">
        <v/>
      </c>
      <c r="V7">
        <v>3.2662604239358299</v>
      </c>
    </row>
    <row r="8" spans="1:22" x14ac:dyDescent="0.35">
      <c r="A8" s="2">
        <v>40178</v>
      </c>
      <c r="B8">
        <v>11.172170635010501</v>
      </c>
      <c r="C8">
        <v>22.045037488644301</v>
      </c>
      <c r="D8">
        <v>47.736144700177597</v>
      </c>
      <c r="E8">
        <v>16.0518603317777</v>
      </c>
      <c r="F8">
        <v>15.6334740740598</v>
      </c>
      <c r="G8">
        <v>2.32525395129155</v>
      </c>
      <c r="H8">
        <v>15.3757138406976</v>
      </c>
      <c r="I8">
        <v>7.9148861520771696</v>
      </c>
      <c r="J8">
        <v>21.122558654936402</v>
      </c>
      <c r="K8">
        <v>29.953975453925199</v>
      </c>
      <c r="L8">
        <v>33.0231081589585</v>
      </c>
      <c r="M8">
        <v>27.848981543161202</v>
      </c>
      <c r="N8">
        <v>11.777677999312401</v>
      </c>
      <c r="O8">
        <v>31.175992210796799</v>
      </c>
      <c r="P8">
        <v>11.172170635010501</v>
      </c>
      <c r="Q8">
        <v>9.7651145501040304</v>
      </c>
      <c r="R8">
        <v>35.389277737747101</v>
      </c>
      <c r="S8">
        <v>19.583149948253201</v>
      </c>
      <c r="T8">
        <v>5.6130526578387299</v>
      </c>
      <c r="U8">
        <v>1.7655692979856199</v>
      </c>
      <c r="V8">
        <v>2.53989246401814</v>
      </c>
    </row>
    <row r="9" spans="1:22" x14ac:dyDescent="0.35">
      <c r="A9" s="2">
        <v>40543</v>
      </c>
      <c r="B9">
        <v>14.2299143361003</v>
      </c>
      <c r="C9">
        <v>30.880542839610801</v>
      </c>
      <c r="D9">
        <v>65.769342621641997</v>
      </c>
      <c r="E9">
        <v>24.458649668672901</v>
      </c>
      <c r="F9">
        <v>20.0842977011357</v>
      </c>
      <c r="G9">
        <v>3.7045509962640399</v>
      </c>
      <c r="H9">
        <v>21.430664410270701</v>
      </c>
      <c r="I9">
        <v>11.891895954229099</v>
      </c>
      <c r="J9">
        <v>25.2833135475083</v>
      </c>
      <c r="K9">
        <v>37.906953014038002</v>
      </c>
      <c r="L9">
        <v>41.0114711872356</v>
      </c>
      <c r="M9">
        <v>37.978963069454203</v>
      </c>
      <c r="N9">
        <v>7.8987242847613599</v>
      </c>
      <c r="O9">
        <v>39.399448287295499</v>
      </c>
      <c r="P9">
        <v>14.2299143361003</v>
      </c>
      <c r="Q9">
        <v>8.6719190289465793</v>
      </c>
      <c r="R9">
        <v>41.786625850275499</v>
      </c>
      <c r="S9">
        <v>23.345771630522901</v>
      </c>
      <c r="T9">
        <v>4.4877335446446303</v>
      </c>
      <c r="U9">
        <v>1.77344510490664</v>
      </c>
      <c r="V9">
        <v>2.77600916912685</v>
      </c>
    </row>
    <row r="10" spans="1:22" x14ac:dyDescent="0.35">
      <c r="A10" s="2">
        <v>40907</v>
      </c>
      <c r="B10">
        <v>15.4690015453803</v>
      </c>
      <c r="C10">
        <v>24.552408537181201</v>
      </c>
      <c r="D10">
        <v>77.346909090614204</v>
      </c>
      <c r="E10">
        <v>25.970387374977399</v>
      </c>
      <c r="F10">
        <v>17.725643748249102</v>
      </c>
      <c r="G10">
        <v>3.9100031056468501</v>
      </c>
      <c r="H10">
        <v>21.349017614840399</v>
      </c>
      <c r="I10">
        <v>8.7872843312793307</v>
      </c>
      <c r="J10">
        <v>25.363261988991599</v>
      </c>
      <c r="K10">
        <v>39.165024540945602</v>
      </c>
      <c r="L10">
        <v>37.007882634304003</v>
      </c>
      <c r="M10">
        <v>35.9045018487394</v>
      </c>
      <c r="N10">
        <v>4.2553200766717696</v>
      </c>
      <c r="O10">
        <v>33.207570085117901</v>
      </c>
      <c r="P10">
        <v>15.4690015453803</v>
      </c>
      <c r="Q10">
        <v>9.6607184301562992</v>
      </c>
      <c r="R10">
        <v>42.213108357164799</v>
      </c>
      <c r="S10">
        <v>19.9467070950164</v>
      </c>
      <c r="T10">
        <v>4.3627653297222899</v>
      </c>
      <c r="U10">
        <v>1.79926295005356</v>
      </c>
      <c r="V10">
        <v>3.2952128280511599</v>
      </c>
    </row>
    <row r="11" spans="1:22" x14ac:dyDescent="0.35">
      <c r="A11" s="2">
        <v>41274</v>
      </c>
      <c r="B11">
        <v>14.1959016123051</v>
      </c>
      <c r="C11">
        <v>26.169136062574299</v>
      </c>
      <c r="D11">
        <v>77.305189144590102</v>
      </c>
      <c r="E11">
        <v>28.057121050887599</v>
      </c>
      <c r="F11">
        <v>16.740047713355001</v>
      </c>
      <c r="G11">
        <v>3.95899801372697</v>
      </c>
      <c r="H11">
        <v>22.688480628153599</v>
      </c>
      <c r="I11">
        <v>9.2480782933114796</v>
      </c>
      <c r="J11">
        <v>28.0716519822771</v>
      </c>
      <c r="K11">
        <v>44.428480693781999</v>
      </c>
      <c r="L11">
        <v>30.109429091146598</v>
      </c>
      <c r="M11">
        <v>33.843661536537198</v>
      </c>
      <c r="N11">
        <v>3.4875799233974099</v>
      </c>
      <c r="O11">
        <v>33.401599807044498</v>
      </c>
      <c r="P11">
        <v>14.1959016123051</v>
      </c>
      <c r="Q11">
        <v>10.032167550511801</v>
      </c>
      <c r="R11">
        <v>48.114746973891002</v>
      </c>
      <c r="S11">
        <v>22.867118795456701</v>
      </c>
      <c r="T11">
        <v>4.5777608941325196</v>
      </c>
      <c r="U11">
        <v>2.1935186011017</v>
      </c>
      <c r="V11">
        <v>3.6105144468135402</v>
      </c>
    </row>
    <row r="12" spans="1:22" x14ac:dyDescent="0.35">
      <c r="A12" s="2">
        <v>41639</v>
      </c>
      <c r="B12">
        <v>16.0802582554231</v>
      </c>
      <c r="C12">
        <v>23.683868392776201</v>
      </c>
      <c r="D12">
        <v>63.441435673400598</v>
      </c>
      <c r="E12">
        <v>26.002546336643899</v>
      </c>
      <c r="F12">
        <v>17.3182407358996</v>
      </c>
      <c r="G12">
        <v>2.8202218503368601</v>
      </c>
      <c r="H12">
        <v>22.317891358013298</v>
      </c>
      <c r="I12">
        <v>10.335608729129101</v>
      </c>
      <c r="J12">
        <v>26.2005304543781</v>
      </c>
      <c r="K12">
        <v>44.151808890174003</v>
      </c>
      <c r="L12">
        <v>25.624881086071898</v>
      </c>
      <c r="M12">
        <v>28.3585622697464</v>
      </c>
      <c r="N12">
        <v>1.35869561359766</v>
      </c>
      <c r="O12">
        <v>29.9102522143572</v>
      </c>
      <c r="P12">
        <v>16.0802582554231</v>
      </c>
      <c r="Q12">
        <v>9.6964761998417899</v>
      </c>
      <c r="R12">
        <v>45.5007724746185</v>
      </c>
      <c r="S12">
        <v>20.082880330268502</v>
      </c>
      <c r="T12">
        <v>5.6185255603787096</v>
      </c>
      <c r="U12">
        <v>2.0345477246873198</v>
      </c>
      <c r="V12">
        <v>3.7978958686548001</v>
      </c>
    </row>
    <row r="13" spans="1:22" x14ac:dyDescent="0.35">
      <c r="A13" s="2">
        <v>42004</v>
      </c>
      <c r="B13">
        <v>16.6306210914505</v>
      </c>
      <c r="C13">
        <v>20.4877824093345</v>
      </c>
      <c r="D13">
        <v>63.874105605238</v>
      </c>
      <c r="E13">
        <v>28.327573023517299</v>
      </c>
      <c r="F13">
        <v>14.552565432564201</v>
      </c>
      <c r="G13">
        <v>2.5800472765187399</v>
      </c>
      <c r="H13">
        <v>20.491120731199398</v>
      </c>
      <c r="I13">
        <v>11.5748258148764</v>
      </c>
      <c r="J13">
        <v>23.6403453539385</v>
      </c>
      <c r="K13">
        <v>37.529910720556103</v>
      </c>
      <c r="L13">
        <v>21.0352241233002</v>
      </c>
      <c r="M13">
        <v>25.4355494971776</v>
      </c>
      <c r="N13">
        <v>2.30816157475713</v>
      </c>
      <c r="O13">
        <v>32.635673377426201</v>
      </c>
      <c r="P13">
        <v>16.6306210914505</v>
      </c>
      <c r="Q13">
        <v>9.7275664879185797</v>
      </c>
      <c r="R13">
        <v>42.846065697040999</v>
      </c>
      <c r="S13">
        <v>19.5514117112726</v>
      </c>
      <c r="T13">
        <v>6.6276583968020901</v>
      </c>
      <c r="U13">
        <v>1.5703955829648499</v>
      </c>
      <c r="V13">
        <v>3.7500511590498902</v>
      </c>
    </row>
    <row r="14" spans="1:22" x14ac:dyDescent="0.35">
      <c r="A14" s="2">
        <v>42369</v>
      </c>
      <c r="B14">
        <v>16.640425298627001</v>
      </c>
      <c r="C14">
        <v>18.4268311165022</v>
      </c>
      <c r="D14">
        <v>48.752618492065203</v>
      </c>
      <c r="E14">
        <v>26.217086843705498</v>
      </c>
      <c r="F14">
        <v>12.491276881256599</v>
      </c>
      <c r="G14">
        <v>1.7402921975997001</v>
      </c>
      <c r="H14">
        <v>16.012857621985699</v>
      </c>
      <c r="I14">
        <v>10.818274707680301</v>
      </c>
      <c r="J14">
        <v>20.954555901450501</v>
      </c>
      <c r="K14">
        <v>33.459612643889997</v>
      </c>
      <c r="L14">
        <v>13.1501919917959</v>
      </c>
      <c r="M14">
        <v>19.9580367513956</v>
      </c>
      <c r="N14">
        <v>1.4022964691147199</v>
      </c>
      <c r="O14">
        <v>32.803372477551903</v>
      </c>
      <c r="P14">
        <v>16.640425298627001</v>
      </c>
      <c r="Q14">
        <v>9.2580209054864202</v>
      </c>
      <c r="R14">
        <v>39.047339763588397</v>
      </c>
      <c r="S14">
        <v>17.401191947957599</v>
      </c>
      <c r="T14">
        <v>6.4932849928941803</v>
      </c>
      <c r="U14">
        <v>1.29980601244052</v>
      </c>
      <c r="V14">
        <v>3.2910319076638199</v>
      </c>
    </row>
    <row r="15" spans="1:22" x14ac:dyDescent="0.35">
      <c r="A15" s="2">
        <v>42734</v>
      </c>
      <c r="B15">
        <v>16.5240809032362</v>
      </c>
      <c r="C15">
        <v>17.2536219467367</v>
      </c>
      <c r="D15">
        <v>55.988904163635198</v>
      </c>
      <c r="E15">
        <v>26.557287186914401</v>
      </c>
      <c r="F15">
        <v>13.2484078165723</v>
      </c>
      <c r="G15">
        <v>2.8587512141432998</v>
      </c>
      <c r="H15">
        <v>14.379141073513299</v>
      </c>
      <c r="I15">
        <v>11.1314122132999</v>
      </c>
      <c r="J15">
        <v>19.8032110904755</v>
      </c>
      <c r="K15">
        <v>36.537927929167203</v>
      </c>
      <c r="L15">
        <v>17.125192658189</v>
      </c>
      <c r="M15">
        <v>24.096632837755202</v>
      </c>
      <c r="N15">
        <v>0.48515441037968599</v>
      </c>
      <c r="O15">
        <v>33.358186869155702</v>
      </c>
      <c r="P15">
        <v>16.5240809032362</v>
      </c>
      <c r="Q15">
        <v>8.1341841933758605</v>
      </c>
      <c r="R15">
        <v>39.7546846722989</v>
      </c>
      <c r="S15">
        <v>16.482662150029899</v>
      </c>
      <c r="T15">
        <v>6.0861078287768198</v>
      </c>
      <c r="U15">
        <v>1.0361948033030399</v>
      </c>
      <c r="V15">
        <v>2.8201608521155102</v>
      </c>
    </row>
    <row r="16" spans="1:22" x14ac:dyDescent="0.35">
      <c r="A16" s="2">
        <v>43098</v>
      </c>
      <c r="B16">
        <v>19.021710790433701</v>
      </c>
      <c r="C16">
        <v>26.363304905960199</v>
      </c>
      <c r="D16">
        <v>62.060562018711998</v>
      </c>
      <c r="E16">
        <v>30.208789832529</v>
      </c>
      <c r="F16">
        <v>19.471618619553499</v>
      </c>
      <c r="G16">
        <v>3.0493946041890001</v>
      </c>
      <c r="H16">
        <v>17.421806582670801</v>
      </c>
      <c r="I16">
        <v>13.688243472002901</v>
      </c>
      <c r="J16">
        <v>23.417378316250598</v>
      </c>
      <c r="K16">
        <v>53.6332908559232</v>
      </c>
      <c r="L16">
        <v>19.018321624573499</v>
      </c>
      <c r="M16">
        <v>27.723577253282201</v>
      </c>
      <c r="N16">
        <v>0.50597941155248904</v>
      </c>
      <c r="O16">
        <v>38.022971364529099</v>
      </c>
      <c r="P16">
        <v>19.021710790433701</v>
      </c>
      <c r="Q16">
        <v>7.8063683836513604</v>
      </c>
      <c r="R16">
        <v>47.2983820623366</v>
      </c>
      <c r="S16">
        <v>20.8864123256607</v>
      </c>
      <c r="T16">
        <v>7.1196723903505896</v>
      </c>
      <c r="U16">
        <v>0.937220389578586</v>
      </c>
      <c r="V16">
        <v>3.2115537135205399</v>
      </c>
    </row>
    <row r="17" spans="1:22" x14ac:dyDescent="0.35">
      <c r="A17" s="2">
        <v>43465</v>
      </c>
      <c r="B17">
        <v>18.005603285854001</v>
      </c>
      <c r="C17">
        <v>21.6808239098782</v>
      </c>
      <c r="D17">
        <v>62.720518466032097</v>
      </c>
      <c r="E17">
        <v>29.617777137877201</v>
      </c>
      <c r="F17">
        <v>18.0244220851928</v>
      </c>
      <c r="G17">
        <v>2.6545938156590698</v>
      </c>
      <c r="H17">
        <v>16.346373454046699</v>
      </c>
      <c r="I17">
        <v>12.893459081837699</v>
      </c>
      <c r="J17">
        <v>25.545457616017199</v>
      </c>
      <c r="K17">
        <v>45.924113688163203</v>
      </c>
      <c r="L17">
        <v>20.421960422512399</v>
      </c>
      <c r="M17">
        <v>26.704915589881299</v>
      </c>
      <c r="N17">
        <v>0.451702417206922</v>
      </c>
      <c r="O17">
        <v>36.620398667265697</v>
      </c>
      <c r="P17">
        <v>18.005603285854001</v>
      </c>
      <c r="Q17">
        <v>8.3367750968187107</v>
      </c>
      <c r="R17">
        <v>49.708084418047697</v>
      </c>
      <c r="S17">
        <v>19.084889838822601</v>
      </c>
      <c r="T17">
        <v>7.1378854296696597</v>
      </c>
      <c r="U17">
        <v>1.0390404741058199</v>
      </c>
      <c r="V17">
        <v>3.27157784678448</v>
      </c>
    </row>
    <row r="18" spans="1:22" x14ac:dyDescent="0.35">
      <c r="A18" s="2">
        <v>43830</v>
      </c>
      <c r="B18">
        <v>17.637359718325101</v>
      </c>
      <c r="C18">
        <v>17.386192150320198</v>
      </c>
      <c r="D18">
        <v>63.732476742214899</v>
      </c>
      <c r="E18">
        <v>33.663276014182301</v>
      </c>
      <c r="F18">
        <v>16.918160023137599</v>
      </c>
      <c r="G18">
        <v>2.4380740905973202</v>
      </c>
      <c r="H18">
        <v>15.698795472226999</v>
      </c>
      <c r="I18">
        <v>12.9786240188185</v>
      </c>
      <c r="J18">
        <v>25.369127373460199</v>
      </c>
      <c r="K18">
        <v>35.902481244264102</v>
      </c>
      <c r="L18">
        <v>20.130019637657298</v>
      </c>
      <c r="M18">
        <v>31.878251370645302</v>
      </c>
      <c r="N18">
        <v>0.58009613257671799</v>
      </c>
      <c r="O18">
        <v>36.3147882909564</v>
      </c>
      <c r="P18">
        <v>17.637359718325101</v>
      </c>
      <c r="Q18">
        <v>7.7374565221448997</v>
      </c>
      <c r="R18">
        <v>48.124032372698501</v>
      </c>
      <c r="S18">
        <v>22.565965975237901</v>
      </c>
      <c r="T18">
        <v>7.0206655003888097</v>
      </c>
      <c r="U18">
        <v>1.1160182264929299</v>
      </c>
      <c r="V18">
        <v>2.3531585109682398</v>
      </c>
    </row>
    <row r="19" spans="1:22" x14ac:dyDescent="0.35">
      <c r="A19" s="2">
        <v>44196</v>
      </c>
      <c r="B19">
        <v>17.492000469322502</v>
      </c>
      <c r="C19">
        <v>15.4747210424778</v>
      </c>
      <c r="D19">
        <v>51.526922623903502</v>
      </c>
      <c r="E19">
        <v>25.625710924974001</v>
      </c>
      <c r="F19">
        <v>12.725119300051601</v>
      </c>
      <c r="G19">
        <v>2.4114100754571299</v>
      </c>
      <c r="H19">
        <v>16.388226157019499</v>
      </c>
      <c r="I19">
        <v>15.9439970068329</v>
      </c>
      <c r="J19">
        <v>22.3569609127116</v>
      </c>
      <c r="K19">
        <v>42.801850774947603</v>
      </c>
      <c r="L19">
        <v>15.318800813901101</v>
      </c>
      <c r="M19">
        <v>34.374878434371603</v>
      </c>
      <c r="N19">
        <v>0.55741767368310902</v>
      </c>
      <c r="O19">
        <v>33.7104852000639</v>
      </c>
      <c r="P19">
        <v>17.492000469322502</v>
      </c>
      <c r="Q19">
        <v>7.7846531590948196</v>
      </c>
      <c r="R19">
        <v>34.710630730171303</v>
      </c>
      <c r="S19">
        <v>23.281428089933101</v>
      </c>
      <c r="T19">
        <v>5.1277339664560504</v>
      </c>
      <c r="U19">
        <v>1.03737377793235</v>
      </c>
      <c r="V19">
        <v>1.93303150127544</v>
      </c>
    </row>
    <row r="20" spans="1:22" x14ac:dyDescent="0.35">
      <c r="A20" s="2">
        <v>44561</v>
      </c>
      <c r="B20">
        <v>21.2730178266387</v>
      </c>
      <c r="C20">
        <v>18.685686268485899</v>
      </c>
      <c r="D20">
        <v>58.771705602480203</v>
      </c>
      <c r="E20">
        <v>24.890007164849699</v>
      </c>
      <c r="F20">
        <v>16.795925418676902</v>
      </c>
      <c r="G20">
        <v>2.9485499366939401</v>
      </c>
      <c r="H20">
        <v>16.008552450331301</v>
      </c>
      <c r="I20">
        <v>24.305116442736701</v>
      </c>
      <c r="J20">
        <v>28.181628201673298</v>
      </c>
      <c r="K20">
        <v>51.305065728679303</v>
      </c>
      <c r="L20">
        <v>18.753940755243999</v>
      </c>
      <c r="M20">
        <v>36.851318548266597</v>
      </c>
      <c r="N20">
        <v>0.62188546902171704</v>
      </c>
      <c r="O20">
        <v>47.0115895528156</v>
      </c>
      <c r="P20">
        <v>21.2730178266387</v>
      </c>
      <c r="Q20">
        <v>9.3577310145755703</v>
      </c>
      <c r="R20">
        <v>40.272341500770501</v>
      </c>
      <c r="S20">
        <v>19.758356819770899</v>
      </c>
      <c r="T20">
        <v>7.5479683625438199</v>
      </c>
      <c r="U20">
        <v>1.28884335629541</v>
      </c>
      <c r="V20">
        <v>3.0736788281273801</v>
      </c>
    </row>
    <row r="21" spans="1:22" x14ac:dyDescent="0.35">
      <c r="A21" s="2">
        <v>44925</v>
      </c>
      <c r="B21">
        <v>20.368942799063198</v>
      </c>
      <c r="C21">
        <v>25.909162089116698</v>
      </c>
      <c r="D21">
        <v>64.972794212626397</v>
      </c>
      <c r="E21">
        <v>26.836878670313801</v>
      </c>
      <c r="F21">
        <v>17.088924383662398</v>
      </c>
      <c r="G21">
        <v>3.11609678108668</v>
      </c>
      <c r="H21">
        <v>16.6997810143762</v>
      </c>
      <c r="I21">
        <v>19.760160861146598</v>
      </c>
      <c r="J21">
        <v>32.531987143471497</v>
      </c>
      <c r="K21">
        <v>35.389415155657098</v>
      </c>
      <c r="L21">
        <v>21.276739434503298</v>
      </c>
      <c r="M21">
        <v>38.612287222708098</v>
      </c>
      <c r="N21">
        <v>0.86953187662514597</v>
      </c>
      <c r="O21">
        <v>46.041257831987501</v>
      </c>
      <c r="P21">
        <v>20.368942799063198</v>
      </c>
      <c r="Q21">
        <v>9.9739874595000497</v>
      </c>
      <c r="R21">
        <v>42.481578232910898</v>
      </c>
      <c r="S21">
        <v>36.400827564125699</v>
      </c>
      <c r="T21">
        <v>11.391861362325301</v>
      </c>
      <c r="U21">
        <v>1.1112749295061899</v>
      </c>
      <c r="V21">
        <v>3.62874668882188</v>
      </c>
    </row>
    <row r="22" spans="1:22" x14ac:dyDescent="0.35">
      <c r="A22" s="2">
        <v>45289</v>
      </c>
      <c r="B22">
        <v>19.107529593419599</v>
      </c>
      <c r="C22">
        <v>28.703846210101901</v>
      </c>
      <c r="D22">
        <v>67.989157026237706</v>
      </c>
      <c r="E22">
        <v>30.8315679687197</v>
      </c>
      <c r="F22">
        <v>23.395588724849102</v>
      </c>
      <c r="G22">
        <v>2.9600670636541899</v>
      </c>
      <c r="H22">
        <v>16.756842039278698</v>
      </c>
      <c r="I22">
        <v>19.098037240379401</v>
      </c>
      <c r="J22">
        <v>39.442384315645299</v>
      </c>
      <c r="K22">
        <v>41.703318146167398</v>
      </c>
      <c r="L22">
        <v>24.331109550928101</v>
      </c>
      <c r="M22">
        <v>33.920219282975701</v>
      </c>
      <c r="N22">
        <v>1.21959709581891</v>
      </c>
      <c r="O22">
        <v>54.684933662871103</v>
      </c>
      <c r="P22">
        <v>19.107529593419599</v>
      </c>
      <c r="Q22">
        <v>9.6132080179228101</v>
      </c>
      <c r="R22">
        <v>40.1816074670961</v>
      </c>
      <c r="S22">
        <v>47.716878299100998</v>
      </c>
      <c r="T22">
        <v>11.0560462161177</v>
      </c>
      <c r="U22">
        <v>0.88605728251453697</v>
      </c>
      <c r="V22">
        <v>3.01142146924842</v>
      </c>
    </row>
    <row r="24" spans="1:22" x14ac:dyDescent="0.35">
      <c r="B24" s="8">
        <f t="shared" ref="B24:V24" si="0">COUNT(B1:B22)</f>
        <v>19</v>
      </c>
      <c r="C24" s="8">
        <f t="shared" si="0"/>
        <v>20</v>
      </c>
      <c r="D24" s="8">
        <f t="shared" si="0"/>
        <v>20</v>
      </c>
      <c r="E24" s="8">
        <f t="shared" si="0"/>
        <v>20</v>
      </c>
      <c r="F24" s="8">
        <f t="shared" si="0"/>
        <v>20</v>
      </c>
      <c r="G24" s="8">
        <f t="shared" si="0"/>
        <v>15</v>
      </c>
      <c r="H24" s="8">
        <f t="shared" si="0"/>
        <v>20</v>
      </c>
      <c r="I24" s="8">
        <f t="shared" si="0"/>
        <v>20</v>
      </c>
      <c r="J24" s="8">
        <f t="shared" si="0"/>
        <v>20</v>
      </c>
      <c r="K24" s="8">
        <f t="shared" si="0"/>
        <v>20</v>
      </c>
      <c r="L24" s="8">
        <f t="shared" si="0"/>
        <v>20</v>
      </c>
      <c r="M24" s="8">
        <f t="shared" si="0"/>
        <v>20</v>
      </c>
      <c r="N24" s="8">
        <f t="shared" si="0"/>
        <v>20</v>
      </c>
      <c r="O24" s="8">
        <f t="shared" si="0"/>
        <v>20</v>
      </c>
      <c r="P24" s="8">
        <f t="shared" si="0"/>
        <v>19</v>
      </c>
      <c r="Q24" s="8">
        <f t="shared" si="0"/>
        <v>18</v>
      </c>
      <c r="R24" s="8">
        <f t="shared" si="0"/>
        <v>20</v>
      </c>
      <c r="S24" s="8">
        <f t="shared" si="0"/>
        <v>20</v>
      </c>
      <c r="T24" s="8">
        <f t="shared" si="0"/>
        <v>18</v>
      </c>
      <c r="U24" s="8">
        <f t="shared" si="0"/>
        <v>15</v>
      </c>
      <c r="V24" s="8">
        <f t="shared" si="0"/>
        <v>17</v>
      </c>
    </row>
    <row r="26" spans="1:22" x14ac:dyDescent="0.35">
      <c r="A26" t="s">
        <v>90</v>
      </c>
      <c r="B26" s="50" cm="1">
        <f t="array" ref="B26">(B22/INDEX(B3:B22,MATCH(TRUE,INDEX(ISNUMBER(B3:B22),0),0)))^(1/B24)-1</f>
        <v>7.2158031213186868E-2</v>
      </c>
      <c r="C26" s="50" cm="1">
        <f t="array" ref="C26">(C22/INDEX(C3:C22,MATCH(TRUE,INDEX(ISNUMBER(C3:C22),0),0)))^(1/C24)-1</f>
        <v>3.8689699842754832E-2</v>
      </c>
      <c r="D26" s="50" cm="1">
        <f t="array" ref="D26">(D22/INDEX(D3:D22,MATCH(TRUE,INDEX(ISNUMBER(D3:D22),0),0)))^(1/D24)-1</f>
        <v>4.293576021016543E-2</v>
      </c>
      <c r="E26" s="50" cm="1">
        <f t="array" ref="E26">(E22/INDEX(E3:E22,MATCH(TRUE,INDEX(ISNUMBER(E3:E22),0),0)))^(1/E24)-1</f>
        <v>6.5968962435704714E-2</v>
      </c>
      <c r="F26" s="50" cm="1">
        <f t="array" ref="F26">(F22/INDEX(F3:F22,MATCH(TRUE,INDEX(ISNUMBER(F3:F22),0),0)))^(1/F24)-1</f>
        <v>3.6620331475524681E-2</v>
      </c>
      <c r="G26" s="50" cm="1">
        <f t="array" ref="G26">(G22/INDEX(G3:G22,MATCH(TRUE,INDEX(ISNUMBER(G3:G22),0),0)))^(1/G24)-1</f>
        <v>1.6222354113517135E-2</v>
      </c>
      <c r="H26" s="50" cm="1">
        <f t="array" ref="H26">(H22/INDEX(H3:H22,MATCH(TRUE,INDEX(ISNUMBER(H3:H22),0),0)))^(1/H24)-1</f>
        <v>2.538209198075303E-2</v>
      </c>
      <c r="I26" s="50" cm="1">
        <f t="array" ref="I26">(I22/INDEX(I3:I22,MATCH(TRUE,INDEX(ISNUMBER(I3:I22),0),0)))^(1/I24)-1</f>
        <v>3.7645355776196432E-2</v>
      </c>
      <c r="J26" s="50" cm="1">
        <f t="array" ref="J26">(J22/INDEX(J3:J22,MATCH(TRUE,INDEX(ISNUMBER(J3:J22),0),0)))^(1/J24)-1</f>
        <v>5.8038772053721877E-2</v>
      </c>
      <c r="K26" s="50" cm="1">
        <f t="array" ref="K26">(K22/INDEX(K3:K22,MATCH(TRUE,INDEX(ISNUMBER(K3:K22),0),0)))^(1/K24)-1</f>
        <v>2.4574898584932559E-2</v>
      </c>
      <c r="L26" s="50" cm="1">
        <f t="array" ref="L26">(L22/INDEX(L3:L22,MATCH(TRUE,INDEX(ISNUMBER(L3:L22),0),0)))^(1/L24)-1</f>
        <v>2.1296154873781781E-2</v>
      </c>
      <c r="M26" s="50" cm="1">
        <f t="array" ref="M26">(M22/INDEX(M3:M22,MATCH(TRUE,INDEX(ISNUMBER(M3:M22),0),0)))^(1/M24)-1</f>
        <v>2.384197868685578E-2</v>
      </c>
      <c r="N26" s="50" cm="1">
        <f t="array" ref="N26">(N22/INDEX(N3:N22,MATCH(TRUE,INDEX(ISNUMBER(N3:N22),0),0)))^(1/N24)-1</f>
        <v>-9.9977006807554725E-2</v>
      </c>
      <c r="O26" s="50" cm="1">
        <f t="array" ref="O26">(O22/INDEX(O3:O22,MATCH(TRUE,INDEX(ISNUMBER(O3:O22),0),0)))^(1/O24)-1</f>
        <v>6.0150224907122407E-2</v>
      </c>
      <c r="P26" s="50" cm="1">
        <f t="array" ref="P26">(P22/INDEX(P3:P22,MATCH(TRUE,INDEX(ISNUMBER(P3:P22),0),0)))^(1/P24)-1</f>
        <v>7.2158031213186868E-2</v>
      </c>
      <c r="Q26" s="50" cm="1">
        <f t="array" ref="Q26">(Q22/INDEX(Q3:Q22,MATCH(TRUE,INDEX(ISNUMBER(Q3:Q22),0),0)))^(1/Q24)-1</f>
        <v>8.8740466700483189E-3</v>
      </c>
      <c r="R26" s="50" cm="1">
        <f t="array" ref="R26">(R22/INDEX(R3:R22,MATCH(TRUE,INDEX(ISNUMBER(R3:R22),0),0)))^(1/R24)-1</f>
        <v>1.2617045604024435E-2</v>
      </c>
      <c r="S26" s="50" cm="1">
        <f t="array" ref="S26">(S22/INDEX(S3:S22,MATCH(TRUE,INDEX(ISNUMBER(S3:S22),0),0)))^(1/S24)-1</f>
        <v>8.2005715561249914E-2</v>
      </c>
      <c r="T26" s="50" cm="1">
        <f t="array" ref="T26">(T22/INDEX(T3:T22,MATCH(TRUE,INDEX(ISNUMBER(T3:T22),0),0)))^(1/T24)-1</f>
        <v>8.3481705833627906E-3</v>
      </c>
      <c r="U26" s="50" cm="1">
        <f t="array" ref="U26">(U22/INDEX(U3:U22,MATCH(TRUE,INDEX(ISNUMBER(U3:U22),0),0)))^(1/U24)-1</f>
        <v>-4.4922819308067519E-2</v>
      </c>
      <c r="V26" s="50" cm="1">
        <f t="array" ref="V26">(V22/INDEX(V3:V22,MATCH(TRUE,INDEX(ISNUMBER(V3:V22),0),0)))^(1/V24)-1</f>
        <v>-1.602793246050882E-2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4" customWidth="1"/>
    <col min="23" max="23" width="9.453125" customWidth="1"/>
  </cols>
  <sheetData>
    <row r="1" spans="1:24" ht="18.5" x14ac:dyDescent="0.45">
      <c r="A1" s="86" t="s">
        <v>569</v>
      </c>
      <c r="B1" s="87"/>
      <c r="C1" s="84"/>
      <c r="D1" s="84"/>
      <c r="E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4" x14ac:dyDescent="0.35">
      <c r="A2" s="84"/>
      <c r="B2" s="87"/>
      <c r="C2" s="84"/>
      <c r="D2" s="84"/>
      <c r="E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4" ht="21" x14ac:dyDescent="0.5">
      <c r="A3" s="88" t="s">
        <v>740</v>
      </c>
      <c r="B3" s="89"/>
      <c r="C3" s="84"/>
      <c r="D3" s="84"/>
      <c r="E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1:24" x14ac:dyDescent="0.35">
      <c r="A4" s="106" t="s">
        <v>570</v>
      </c>
      <c r="B4" s="89"/>
      <c r="C4" s="84"/>
      <c r="D4" s="84"/>
      <c r="E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</row>
    <row r="5" spans="1:24" x14ac:dyDescent="0.35">
      <c r="A5" s="84"/>
      <c r="B5" s="87"/>
      <c r="C5" s="84"/>
      <c r="D5" s="84"/>
      <c r="E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</row>
    <row r="6" spans="1:24" x14ac:dyDescent="0.35">
      <c r="A6" s="96"/>
      <c r="B6" s="99"/>
      <c r="C6" s="84"/>
      <c r="D6" s="84"/>
      <c r="E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</row>
    <row r="7" spans="1:24" x14ac:dyDescent="0.35">
      <c r="A7" s="216"/>
      <c r="B7" s="216"/>
      <c r="C7" s="84"/>
      <c r="D7" s="84"/>
      <c r="E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</row>
    <row r="8" spans="1:24" x14ac:dyDescent="0.35">
      <c r="A8" s="104"/>
      <c r="B8" s="104"/>
      <c r="C8" s="217" t="s">
        <v>571</v>
      </c>
      <c r="D8" s="218"/>
      <c r="E8" s="219"/>
      <c r="G8" s="84"/>
      <c r="H8" s="84"/>
      <c r="I8" s="84"/>
      <c r="J8" s="84"/>
      <c r="K8" s="84"/>
      <c r="L8" s="217" t="s">
        <v>572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90" t="s">
        <v>573</v>
      </c>
      <c r="B9" s="90" t="s">
        <v>574</v>
      </c>
      <c r="C9" s="108" t="s">
        <v>575</v>
      </c>
      <c r="D9" s="109" t="s">
        <v>576</v>
      </c>
      <c r="E9" s="110" t="s">
        <v>577</v>
      </c>
      <c r="F9" s="114" t="s">
        <v>745</v>
      </c>
      <c r="G9" s="100" t="s">
        <v>741</v>
      </c>
      <c r="H9" s="102" t="s">
        <v>742</v>
      </c>
      <c r="I9" s="102" t="s">
        <v>743</v>
      </c>
      <c r="J9" s="101" t="s">
        <v>744</v>
      </c>
      <c r="K9" s="103"/>
      <c r="L9" s="113">
        <v>2012</v>
      </c>
      <c r="M9" s="91">
        <v>2013</v>
      </c>
      <c r="N9" s="91">
        <v>2014</v>
      </c>
      <c r="O9" s="91">
        <v>2015</v>
      </c>
      <c r="P9" s="91">
        <v>2016</v>
      </c>
      <c r="Q9" s="91">
        <v>2017</v>
      </c>
      <c r="R9" s="91">
        <v>2018</v>
      </c>
      <c r="S9" s="91">
        <v>2019</v>
      </c>
      <c r="T9" s="91">
        <v>2020</v>
      </c>
      <c r="U9" s="91">
        <v>2021</v>
      </c>
      <c r="V9" s="92">
        <v>2022</v>
      </c>
      <c r="W9" s="101" t="s">
        <v>751</v>
      </c>
      <c r="X9" s="101" t="s">
        <v>752</v>
      </c>
    </row>
    <row r="10" spans="1:24" x14ac:dyDescent="0.35">
      <c r="A10" s="85" t="s">
        <v>578</v>
      </c>
      <c r="B10" s="85" t="s">
        <v>579</v>
      </c>
      <c r="C10" s="93">
        <v>-6.330015897488761</v>
      </c>
      <c r="D10" s="94">
        <v>-1.9803203632740796</v>
      </c>
      <c r="E10" s="95">
        <v>1.4438839505667156</v>
      </c>
      <c r="G10" s="107" t="s">
        <v>580</v>
      </c>
      <c r="H10" s="105">
        <v>34.781666666666666</v>
      </c>
      <c r="I10" s="97">
        <v>154</v>
      </c>
      <c r="J10" s="98">
        <v>32</v>
      </c>
      <c r="K10" s="85"/>
      <c r="L10" s="93">
        <v>19.865459911417584</v>
      </c>
      <c r="M10" s="94">
        <v>9.8957883924851959</v>
      </c>
      <c r="N10" s="94">
        <v>6.5854081038949879</v>
      </c>
      <c r="O10" s="94">
        <v>0.98799999999999999</v>
      </c>
      <c r="P10" s="94">
        <v>2.1640000000000001</v>
      </c>
      <c r="Q10" s="94">
        <v>2.6469999999999998</v>
      </c>
      <c r="R10" s="94">
        <v>1.1890000000000001</v>
      </c>
      <c r="S10" s="94">
        <v>3.9119999999999999</v>
      </c>
      <c r="T10" s="94">
        <v>-2.351</v>
      </c>
      <c r="U10" s="94">
        <v>-2.4</v>
      </c>
      <c r="V10" s="95">
        <v>-5</v>
      </c>
      <c r="W10" s="95">
        <f>AVERAGE(D10,E10)</f>
        <v>-0.26821820635368199</v>
      </c>
    </row>
    <row r="11" spans="1:24" x14ac:dyDescent="0.35">
      <c r="A11" s="85" t="s">
        <v>227</v>
      </c>
      <c r="B11" s="85" t="s">
        <v>581</v>
      </c>
      <c r="C11" s="93">
        <v>2.8369230771995602</v>
      </c>
      <c r="D11" s="94">
        <v>2.527708680261509</v>
      </c>
      <c r="E11" s="95">
        <v>2.499335307066497</v>
      </c>
      <c r="G11" s="107" t="s">
        <v>401</v>
      </c>
      <c r="H11" s="105">
        <v>71.94876523650197</v>
      </c>
      <c r="I11" s="97">
        <v>80</v>
      </c>
      <c r="J11" s="98">
        <v>40</v>
      </c>
      <c r="K11" s="85"/>
      <c r="L11" s="93">
        <v>1.4329514555018943</v>
      </c>
      <c r="M11" s="94">
        <v>1.0096624423848639</v>
      </c>
      <c r="N11" s="94">
        <v>1.7987489151280414</v>
      </c>
      <c r="O11" s="94">
        <v>2.2189999999999999</v>
      </c>
      <c r="P11" s="94">
        <v>3.3149999999999999</v>
      </c>
      <c r="Q11" s="94">
        <v>3.802</v>
      </c>
      <c r="R11" s="94">
        <v>4.0190000000000001</v>
      </c>
      <c r="S11" s="94">
        <v>2.0880000000000001</v>
      </c>
      <c r="T11" s="94">
        <v>-3.4820000000000002</v>
      </c>
      <c r="U11" s="94">
        <v>8.516</v>
      </c>
      <c r="V11" s="95">
        <v>3.74</v>
      </c>
      <c r="W11" s="95">
        <f t="shared" ref="W11:W74" si="0">AVERAGE(D11,E11)</f>
        <v>2.513521993664003</v>
      </c>
    </row>
    <row r="12" spans="1:24" x14ac:dyDescent="0.35">
      <c r="A12" s="85" t="s">
        <v>582</v>
      </c>
      <c r="B12" s="85" t="s">
        <v>583</v>
      </c>
      <c r="C12" s="93">
        <v>0.36545353196819619</v>
      </c>
      <c r="D12" s="94">
        <v>0.98216884294510809</v>
      </c>
      <c r="E12" s="95">
        <v>1.9643097765769557</v>
      </c>
      <c r="G12" s="107" t="s">
        <v>584</v>
      </c>
      <c r="H12" s="105">
        <v>77.429986450518911</v>
      </c>
      <c r="I12" s="97">
        <v>59</v>
      </c>
      <c r="J12" s="98">
        <v>2</v>
      </c>
      <c r="K12" s="85"/>
      <c r="L12" s="93">
        <v>3.3999999982054412</v>
      </c>
      <c r="M12" s="94">
        <v>2.8000000002529002</v>
      </c>
      <c r="N12" s="94">
        <v>3.8000000007790273</v>
      </c>
      <c r="O12" s="94">
        <v>3.7</v>
      </c>
      <c r="P12" s="94">
        <v>3.2</v>
      </c>
      <c r="Q12" s="94">
        <v>1.4</v>
      </c>
      <c r="R12" s="94">
        <v>1.2</v>
      </c>
      <c r="S12" s="94">
        <v>1</v>
      </c>
      <c r="T12" s="94">
        <v>-5.0999999999999996</v>
      </c>
      <c r="U12" s="94">
        <v>3.4</v>
      </c>
      <c r="V12" s="95">
        <v>2.931</v>
      </c>
      <c r="W12" s="95">
        <f t="shared" si="0"/>
        <v>1.4732393097610319</v>
      </c>
    </row>
    <row r="13" spans="1:24" x14ac:dyDescent="0.35">
      <c r="A13" s="85" t="s">
        <v>582</v>
      </c>
      <c r="B13" s="85" t="s">
        <v>585</v>
      </c>
      <c r="C13" s="93">
        <v>-0.62057485054567429</v>
      </c>
      <c r="D13" s="94">
        <v>-0.7759815069387388</v>
      </c>
      <c r="E13" s="95">
        <v>0.38358743648301274</v>
      </c>
      <c r="G13" s="107" t="s">
        <v>580</v>
      </c>
      <c r="H13" s="105">
        <v>43.142397643089645</v>
      </c>
      <c r="I13" s="97">
        <v>147</v>
      </c>
      <c r="J13" s="98">
        <v>42</v>
      </c>
      <c r="K13" s="85"/>
      <c r="L13" s="93">
        <v>8.5421473366219605</v>
      </c>
      <c r="M13" s="94">
        <v>4.9545904703972692</v>
      </c>
      <c r="N13" s="94">
        <v>4.8226255512268246</v>
      </c>
      <c r="O13" s="94">
        <v>0.94399999999999995</v>
      </c>
      <c r="P13" s="94">
        <v>-2.58</v>
      </c>
      <c r="Q13" s="94">
        <v>-0.15</v>
      </c>
      <c r="R13" s="94">
        <v>-1.3160000000000001</v>
      </c>
      <c r="S13" s="94">
        <v>-0.70199999999999996</v>
      </c>
      <c r="T13" s="94">
        <v>-5.6379999999999999</v>
      </c>
      <c r="U13" s="94">
        <v>1.0920000000000001</v>
      </c>
      <c r="V13" s="95">
        <v>2.8410000000000002</v>
      </c>
      <c r="W13" s="95">
        <f t="shared" si="0"/>
        <v>-0.19619703522786303</v>
      </c>
    </row>
    <row r="14" spans="1:24" x14ac:dyDescent="0.35">
      <c r="A14" s="85" t="s">
        <v>586</v>
      </c>
      <c r="B14" s="85" t="s">
        <v>587</v>
      </c>
      <c r="C14" s="93">
        <v>1.5213184649000233</v>
      </c>
      <c r="D14" s="94">
        <v>2.4231703477095579E-4</v>
      </c>
      <c r="E14" s="95">
        <v>0.30638889849419204</v>
      </c>
      <c r="G14" s="107" t="s">
        <v>424</v>
      </c>
      <c r="H14" s="105">
        <v>63.902477118742887</v>
      </c>
      <c r="I14" s="97">
        <v>116</v>
      </c>
      <c r="J14" s="98">
        <v>16</v>
      </c>
      <c r="K14" s="85"/>
      <c r="L14" s="93">
        <v>-1.0264204544320839</v>
      </c>
      <c r="M14" s="94">
        <v>2.4053237807943506</v>
      </c>
      <c r="N14" s="94">
        <v>-2.5126153208139428</v>
      </c>
      <c r="O14" s="94">
        <v>2.7309999999999999</v>
      </c>
      <c r="P14" s="94">
        <v>-2.08</v>
      </c>
      <c r="Q14" s="94">
        <v>2.819</v>
      </c>
      <c r="R14" s="94">
        <v>-2.617</v>
      </c>
      <c r="S14" s="94">
        <v>-2.0009999999999999</v>
      </c>
      <c r="T14" s="94">
        <v>-9.9429999999999996</v>
      </c>
      <c r="U14" s="94">
        <v>10.398</v>
      </c>
      <c r="V14" s="95">
        <v>5.2430000000000003</v>
      </c>
      <c r="W14" s="95">
        <f t="shared" si="0"/>
        <v>0.1533156077644815</v>
      </c>
    </row>
    <row r="15" spans="1:24" x14ac:dyDescent="0.35">
      <c r="A15" s="85" t="s">
        <v>227</v>
      </c>
      <c r="B15" s="85" t="s">
        <v>588</v>
      </c>
      <c r="C15" s="93">
        <v>3.3694630969417716</v>
      </c>
      <c r="D15" s="94">
        <v>4.5685193344935815</v>
      </c>
      <c r="E15" s="95">
        <v>4.0499977792169295</v>
      </c>
      <c r="G15" s="107" t="s">
        <v>584</v>
      </c>
      <c r="H15" s="105">
        <v>81.866330149150926</v>
      </c>
      <c r="I15" s="97">
        <v>42</v>
      </c>
      <c r="J15" s="98">
        <v>28</v>
      </c>
      <c r="K15" s="85"/>
      <c r="L15" s="93">
        <v>7.200000000964871</v>
      </c>
      <c r="M15" s="94">
        <v>3.2999999999999674</v>
      </c>
      <c r="N15" s="94">
        <v>3.6000000005899464</v>
      </c>
      <c r="O15" s="94">
        <v>3.254</v>
      </c>
      <c r="P15" s="94">
        <v>0.19500000000000001</v>
      </c>
      <c r="Q15" s="94">
        <v>7.5179999999999998</v>
      </c>
      <c r="R15" s="94">
        <v>5.2249999999999996</v>
      </c>
      <c r="S15" s="94">
        <v>7.6310000000000002</v>
      </c>
      <c r="T15" s="94">
        <v>-7.1509999999999998</v>
      </c>
      <c r="U15" s="94">
        <v>5.6840000000000002</v>
      </c>
      <c r="V15" s="95">
        <v>12.603999999999999</v>
      </c>
      <c r="W15" s="95">
        <f t="shared" si="0"/>
        <v>4.3092585568552551</v>
      </c>
    </row>
    <row r="16" spans="1:24" x14ac:dyDescent="0.35">
      <c r="A16" s="85" t="s">
        <v>578</v>
      </c>
      <c r="B16" s="85" t="s">
        <v>589</v>
      </c>
      <c r="C16" s="93">
        <v>1.9372779726990919</v>
      </c>
      <c r="D16" s="94">
        <v>1.9542949107595797</v>
      </c>
      <c r="E16" s="95">
        <v>2.221593328352145</v>
      </c>
      <c r="G16" s="107" t="s">
        <v>417</v>
      </c>
      <c r="H16" s="105">
        <v>96.36744549025839</v>
      </c>
      <c r="I16" s="97">
        <v>11</v>
      </c>
      <c r="J16" s="98">
        <v>3</v>
      </c>
      <c r="K16" s="85"/>
      <c r="L16" s="93">
        <v>3.9181617722068416</v>
      </c>
      <c r="M16" s="94">
        <v>2.5848751108311681</v>
      </c>
      <c r="N16" s="94">
        <v>2.5331154467594699</v>
      </c>
      <c r="O16" s="94">
        <v>2.2829999999999999</v>
      </c>
      <c r="P16" s="94">
        <v>2.6909999999999998</v>
      </c>
      <c r="Q16" s="94">
        <v>2.383</v>
      </c>
      <c r="R16" s="94">
        <v>2.8149999999999999</v>
      </c>
      <c r="S16" s="94">
        <v>1.9430000000000001</v>
      </c>
      <c r="T16" s="94">
        <v>-1.8140000000000001</v>
      </c>
      <c r="U16" s="94">
        <v>5.1959999999999997</v>
      </c>
      <c r="V16" s="95">
        <v>3.661</v>
      </c>
      <c r="W16" s="95">
        <f t="shared" si="0"/>
        <v>2.0879441195558623</v>
      </c>
    </row>
    <row r="17" spans="1:23" x14ac:dyDescent="0.35">
      <c r="A17" s="85" t="s">
        <v>227</v>
      </c>
      <c r="B17" s="85" t="s">
        <v>590</v>
      </c>
      <c r="C17" s="93">
        <v>0.89080434606740866</v>
      </c>
      <c r="D17" s="94">
        <v>1.1485693717847134</v>
      </c>
      <c r="E17" s="95">
        <v>1.1982825816158282</v>
      </c>
      <c r="G17" s="107" t="s">
        <v>417</v>
      </c>
      <c r="H17" s="105">
        <v>95.913594407477049</v>
      </c>
      <c r="I17" s="97">
        <v>15</v>
      </c>
      <c r="J17" s="98">
        <v>10</v>
      </c>
      <c r="K17" s="85"/>
      <c r="L17" s="93">
        <v>0.68044557681670037</v>
      </c>
      <c r="M17" s="94">
        <v>2.5504712197222973E-2</v>
      </c>
      <c r="N17" s="94">
        <v>0.66127284885259119</v>
      </c>
      <c r="O17" s="94">
        <v>1.0149999999999999</v>
      </c>
      <c r="P17" s="94">
        <v>1.9890000000000001</v>
      </c>
      <c r="Q17" s="94">
        <v>2.2589999999999999</v>
      </c>
      <c r="R17" s="94">
        <v>2.4249999999999998</v>
      </c>
      <c r="S17" s="94">
        <v>1.5169999999999999</v>
      </c>
      <c r="T17" s="94">
        <v>-6.4539999999999997</v>
      </c>
      <c r="U17" s="94">
        <v>4.5570000000000004</v>
      </c>
      <c r="V17" s="95">
        <v>4.9969999999999999</v>
      </c>
      <c r="W17" s="95">
        <f t="shared" si="0"/>
        <v>1.1734259767002708</v>
      </c>
    </row>
    <row r="18" spans="1:23" x14ac:dyDescent="0.35">
      <c r="A18" s="85" t="s">
        <v>578</v>
      </c>
      <c r="B18" s="85" t="s">
        <v>591</v>
      </c>
      <c r="C18" s="93">
        <v>1.8824891899037688</v>
      </c>
      <c r="D18" s="94">
        <v>1.9289874111129146</v>
      </c>
      <c r="E18" s="95">
        <v>1.6182050869221642</v>
      </c>
      <c r="G18" s="107" t="s">
        <v>424</v>
      </c>
      <c r="H18" s="105">
        <v>66.732349416312132</v>
      </c>
      <c r="I18" s="97">
        <v>106</v>
      </c>
      <c r="J18" s="98">
        <v>20</v>
      </c>
      <c r="K18" s="85"/>
      <c r="L18" s="93">
        <v>2.1652394301296014</v>
      </c>
      <c r="M18" s="94">
        <v>5.8098009451315624</v>
      </c>
      <c r="N18" s="94">
        <v>2.7505070296654104</v>
      </c>
      <c r="O18" s="94">
        <v>1.05</v>
      </c>
      <c r="P18" s="94">
        <v>-3.0640000000000001</v>
      </c>
      <c r="Q18" s="94">
        <v>0.154</v>
      </c>
      <c r="R18" s="94">
        <v>1.5</v>
      </c>
      <c r="S18" s="94">
        <v>2.48</v>
      </c>
      <c r="T18" s="94">
        <v>-4.1989999999999998</v>
      </c>
      <c r="U18" s="94">
        <v>5.6</v>
      </c>
      <c r="V18" s="95">
        <v>4.6459999999999999</v>
      </c>
      <c r="W18" s="95">
        <f t="shared" si="0"/>
        <v>1.7735962490175394</v>
      </c>
    </row>
    <row r="19" spans="1:23" x14ac:dyDescent="0.35">
      <c r="A19" s="85" t="s">
        <v>586</v>
      </c>
      <c r="B19" s="85" t="s">
        <v>592</v>
      </c>
      <c r="C19" s="93">
        <v>-1.3025041762945944</v>
      </c>
      <c r="D19" s="94">
        <v>-5.1450420089638182E-2</v>
      </c>
      <c r="E19" s="95">
        <v>0.16369977541730307</v>
      </c>
      <c r="G19" s="107" t="s">
        <v>584</v>
      </c>
      <c r="H19" s="105">
        <v>79.378460082017611</v>
      </c>
      <c r="I19" s="97">
        <v>54</v>
      </c>
      <c r="J19" s="98">
        <v>8</v>
      </c>
      <c r="K19" s="85"/>
      <c r="L19" s="93">
        <v>3.0868791768834938</v>
      </c>
      <c r="M19" s="94">
        <v>-3.5838746627962172</v>
      </c>
      <c r="N19" s="94">
        <v>2.2881473175630553</v>
      </c>
      <c r="O19" s="94">
        <v>0.997</v>
      </c>
      <c r="P19" s="94">
        <v>-0.85799999999999998</v>
      </c>
      <c r="Q19" s="94">
        <v>3.05</v>
      </c>
      <c r="R19" s="94">
        <v>1.831</v>
      </c>
      <c r="S19" s="94">
        <v>1.8959999999999999</v>
      </c>
      <c r="T19" s="94">
        <v>-23.823</v>
      </c>
      <c r="U19" s="94">
        <v>13.72</v>
      </c>
      <c r="V19" s="95">
        <v>10.983000000000001</v>
      </c>
      <c r="W19" s="95">
        <f t="shared" si="0"/>
        <v>5.6124677663832445E-2</v>
      </c>
    </row>
    <row r="20" spans="1:23" x14ac:dyDescent="0.35">
      <c r="A20" s="85" t="s">
        <v>593</v>
      </c>
      <c r="B20" s="85" t="s">
        <v>594</v>
      </c>
      <c r="C20" s="93">
        <v>0.41671802598486352</v>
      </c>
      <c r="D20" s="94">
        <v>1.1307360567982316</v>
      </c>
      <c r="E20" s="95">
        <v>2.5452347834856504</v>
      </c>
      <c r="G20" s="107" t="s">
        <v>584</v>
      </c>
      <c r="H20" s="105">
        <v>77.128033983685327</v>
      </c>
      <c r="I20" s="97">
        <v>60</v>
      </c>
      <c r="J20" s="98">
        <v>7</v>
      </c>
      <c r="K20" s="85"/>
      <c r="L20" s="93">
        <v>3.7281084304601642</v>
      </c>
      <c r="M20" s="94">
        <v>5.41683981012069</v>
      </c>
      <c r="N20" s="94">
        <v>4.3503908525296939</v>
      </c>
      <c r="O20" s="94">
        <v>2.4849999999999999</v>
      </c>
      <c r="P20" s="94">
        <v>3.5579999999999998</v>
      </c>
      <c r="Q20" s="94">
        <v>4.2919999999999998</v>
      </c>
      <c r="R20" s="94">
        <v>2.11</v>
      </c>
      <c r="S20" s="94">
        <v>2.1669999999999998</v>
      </c>
      <c r="T20" s="94">
        <v>-4.6449999999999996</v>
      </c>
      <c r="U20" s="94">
        <v>2.67</v>
      </c>
      <c r="V20" s="95">
        <v>4.194</v>
      </c>
      <c r="W20" s="95">
        <f t="shared" si="0"/>
        <v>1.837985420141941</v>
      </c>
    </row>
    <row r="21" spans="1:23" x14ac:dyDescent="0.35">
      <c r="A21" s="85" t="s">
        <v>578</v>
      </c>
      <c r="B21" s="85" t="s">
        <v>595</v>
      </c>
      <c r="C21" s="93">
        <v>8.4780836054535911</v>
      </c>
      <c r="D21" s="94">
        <v>9.4495577005361255</v>
      </c>
      <c r="E21" s="95">
        <v>9.0902336923363691</v>
      </c>
      <c r="G21" s="107" t="s">
        <v>424</v>
      </c>
      <c r="H21" s="105">
        <v>59.78425810407569</v>
      </c>
      <c r="I21" s="97">
        <v>125</v>
      </c>
      <c r="J21" s="98">
        <v>25</v>
      </c>
      <c r="K21" s="85"/>
      <c r="L21" s="93">
        <v>15.458182784890836</v>
      </c>
      <c r="M21" s="94">
        <v>8.997951209804727</v>
      </c>
      <c r="N21" s="94">
        <v>9.1371359215878698</v>
      </c>
      <c r="O21" s="94">
        <v>6.5529999999999999</v>
      </c>
      <c r="P21" s="94">
        <v>7.1139999999999999</v>
      </c>
      <c r="Q21" s="94">
        <v>6.59</v>
      </c>
      <c r="R21" s="94">
        <v>7.319</v>
      </c>
      <c r="S21" s="94">
        <v>7.8819999999999997</v>
      </c>
      <c r="T21" s="94">
        <v>3.448</v>
      </c>
      <c r="U21" s="94">
        <v>6.9390000000000001</v>
      </c>
      <c r="V21" s="95">
        <v>7.1</v>
      </c>
      <c r="W21" s="95">
        <f t="shared" si="0"/>
        <v>9.2698956964362473</v>
      </c>
    </row>
    <row r="22" spans="1:23" x14ac:dyDescent="0.35">
      <c r="A22" s="85" t="s">
        <v>227</v>
      </c>
      <c r="B22" s="85" t="s">
        <v>596</v>
      </c>
      <c r="C22" s="93">
        <v>-1.0891270418666776</v>
      </c>
      <c r="D22" s="94">
        <v>0.24141365794498881</v>
      </c>
      <c r="E22" s="95">
        <v>-4.7343951578571186E-3</v>
      </c>
      <c r="G22" s="107" t="s">
        <v>584</v>
      </c>
      <c r="H22" s="105">
        <v>78.939379492547943</v>
      </c>
      <c r="I22" s="97">
        <v>55</v>
      </c>
      <c r="J22" s="98">
        <v>34</v>
      </c>
      <c r="K22" s="85"/>
      <c r="L22" s="93">
        <v>1.6871355364283958</v>
      </c>
      <c r="M22" s="94">
        <v>1.0034708408564619</v>
      </c>
      <c r="N22" s="94">
        <v>1.7263848541700804</v>
      </c>
      <c r="O22" s="94">
        <v>-3.83</v>
      </c>
      <c r="P22" s="94">
        <v>-2.536</v>
      </c>
      <c r="Q22" s="94">
        <v>2.5409999999999999</v>
      </c>
      <c r="R22" s="94">
        <v>3.1379999999999999</v>
      </c>
      <c r="S22" s="94">
        <v>1.446</v>
      </c>
      <c r="T22" s="94">
        <v>-0.67300000000000004</v>
      </c>
      <c r="U22" s="94">
        <v>2.2730000000000001</v>
      </c>
      <c r="V22" s="95">
        <v>-4.7409999999999997</v>
      </c>
      <c r="W22" s="95">
        <f t="shared" si="0"/>
        <v>0.11833963139356585</v>
      </c>
    </row>
    <row r="23" spans="1:23" x14ac:dyDescent="0.35">
      <c r="A23" s="85" t="s">
        <v>227</v>
      </c>
      <c r="B23" s="85" t="s">
        <v>597</v>
      </c>
      <c r="C23" s="93">
        <v>1.1690569098094628</v>
      </c>
      <c r="D23" s="94">
        <v>1.3937649310878042</v>
      </c>
      <c r="E23" s="95">
        <v>1.4413818728578276</v>
      </c>
      <c r="G23" s="107" t="s">
        <v>417</v>
      </c>
      <c r="H23" s="105">
        <v>93.483251457156101</v>
      </c>
      <c r="I23" s="97">
        <v>21</v>
      </c>
      <c r="J23" s="98">
        <v>14</v>
      </c>
      <c r="K23" s="85"/>
      <c r="L23" s="93">
        <v>0.73922990508162567</v>
      </c>
      <c r="M23" s="94">
        <v>0.45922805011605522</v>
      </c>
      <c r="N23" s="94">
        <v>1.578523229524472</v>
      </c>
      <c r="O23" s="94">
        <v>2.0409999999999999</v>
      </c>
      <c r="P23" s="94">
        <v>1.2669999999999999</v>
      </c>
      <c r="Q23" s="94">
        <v>1.62</v>
      </c>
      <c r="R23" s="94">
        <v>1.7929999999999999</v>
      </c>
      <c r="S23" s="94">
        <v>2.2410000000000001</v>
      </c>
      <c r="T23" s="94">
        <v>-5.3620000000000001</v>
      </c>
      <c r="U23" s="94">
        <v>6.1340000000000003</v>
      </c>
      <c r="V23" s="95">
        <v>3.0910000000000002</v>
      </c>
      <c r="W23" s="95">
        <f t="shared" si="0"/>
        <v>1.4175734019728159</v>
      </c>
    </row>
    <row r="24" spans="1:23" x14ac:dyDescent="0.35">
      <c r="A24" s="85" t="s">
        <v>582</v>
      </c>
      <c r="B24" s="85" t="s">
        <v>598</v>
      </c>
      <c r="C24" s="93">
        <v>5.666147255627263</v>
      </c>
      <c r="D24" s="94">
        <v>6.110859714036887</v>
      </c>
      <c r="E24" s="95">
        <v>5.477732246862832</v>
      </c>
      <c r="G24" s="107" t="s">
        <v>401</v>
      </c>
      <c r="H24" s="105">
        <v>73.01184037118577</v>
      </c>
      <c r="I24" s="97">
        <v>75</v>
      </c>
      <c r="J24" s="98">
        <v>7</v>
      </c>
      <c r="K24" s="85"/>
      <c r="L24" s="93">
        <v>4.811223315687994</v>
      </c>
      <c r="M24" s="94">
        <v>7.1914337214494379</v>
      </c>
      <c r="N24" s="94">
        <v>6.3576790979193039</v>
      </c>
      <c r="O24" s="94">
        <v>1.778</v>
      </c>
      <c r="P24" s="94">
        <v>3.34</v>
      </c>
      <c r="Q24" s="94">
        <v>5.6719999999999997</v>
      </c>
      <c r="R24" s="94">
        <v>6.6970000000000001</v>
      </c>
      <c r="S24" s="94">
        <v>6.8659999999999997</v>
      </c>
      <c r="T24" s="94">
        <v>3.8490000000000002</v>
      </c>
      <c r="U24" s="94">
        <v>7.1550000000000002</v>
      </c>
      <c r="V24" s="95">
        <v>6.0209999999999999</v>
      </c>
      <c r="W24" s="95">
        <f t="shared" si="0"/>
        <v>5.7942959804498599</v>
      </c>
    </row>
    <row r="25" spans="1:23" x14ac:dyDescent="0.35">
      <c r="A25" s="85" t="s">
        <v>578</v>
      </c>
      <c r="B25" s="85" t="s">
        <v>599</v>
      </c>
      <c r="C25" s="93">
        <v>-0.76587225840651918</v>
      </c>
      <c r="D25" s="94">
        <v>1.2676841708430198</v>
      </c>
      <c r="E25" s="95">
        <v>3.3347663550896245</v>
      </c>
      <c r="G25" s="107" t="s">
        <v>580</v>
      </c>
      <c r="H25" s="105">
        <v>55.154482190816807</v>
      </c>
      <c r="I25" s="97">
        <v>132</v>
      </c>
      <c r="J25" s="98">
        <v>28</v>
      </c>
      <c r="K25" s="85"/>
      <c r="L25" s="93">
        <v>5.1184008580053391</v>
      </c>
      <c r="M25" s="94">
        <v>2.1199726329821678</v>
      </c>
      <c r="N25" s="94">
        <v>5.7764956801372422</v>
      </c>
      <c r="O25" s="94">
        <v>6.2210000000000001</v>
      </c>
      <c r="P25" s="94">
        <v>7.4080000000000004</v>
      </c>
      <c r="Q25" s="94">
        <v>6.3220000000000001</v>
      </c>
      <c r="R25" s="94">
        <v>3.835</v>
      </c>
      <c r="S25" s="94">
        <v>4.4249999999999998</v>
      </c>
      <c r="T25" s="94">
        <v>-2.3479999999999999</v>
      </c>
      <c r="U25" s="94">
        <v>-3.3319999999999999</v>
      </c>
      <c r="V25" s="95">
        <v>4.3250000000000002</v>
      </c>
      <c r="W25" s="95">
        <f t="shared" si="0"/>
        <v>2.3012252629663221</v>
      </c>
    </row>
    <row r="26" spans="1:23" x14ac:dyDescent="0.35">
      <c r="A26" s="85" t="s">
        <v>586</v>
      </c>
      <c r="B26" s="85" t="s">
        <v>600</v>
      </c>
      <c r="C26" s="93">
        <v>-2.2304131763273283E-2</v>
      </c>
      <c r="D26" s="94">
        <v>1.2603639469641159</v>
      </c>
      <c r="E26" s="95">
        <v>3.1673454908146104</v>
      </c>
      <c r="G26" s="107" t="s">
        <v>580</v>
      </c>
      <c r="H26" s="105">
        <v>31.085526545532133</v>
      </c>
      <c r="I26" s="97">
        <v>155</v>
      </c>
      <c r="J26" s="98">
        <v>25</v>
      </c>
      <c r="K26" s="85"/>
      <c r="L26" s="93">
        <v>5.122274660983769</v>
      </c>
      <c r="M26" s="94">
        <v>6.7960117055974338</v>
      </c>
      <c r="N26" s="94">
        <v>5.4605671536850453</v>
      </c>
      <c r="O26" s="94">
        <v>4.8570000000000002</v>
      </c>
      <c r="P26" s="94">
        <v>4.2640000000000002</v>
      </c>
      <c r="Q26" s="94">
        <v>4.1950000000000003</v>
      </c>
      <c r="R26" s="94">
        <v>4.2240000000000002</v>
      </c>
      <c r="S26" s="94">
        <v>2.2170000000000001</v>
      </c>
      <c r="T26" s="94">
        <v>-8.7379999999999995</v>
      </c>
      <c r="U26" s="94">
        <v>6.1059999999999999</v>
      </c>
      <c r="V26" s="95">
        <v>3.2</v>
      </c>
      <c r="W26" s="95">
        <f t="shared" si="0"/>
        <v>2.2138547188893631</v>
      </c>
    </row>
    <row r="27" spans="1:23" x14ac:dyDescent="0.35">
      <c r="A27" s="85" t="s">
        <v>227</v>
      </c>
      <c r="B27" s="85" t="s">
        <v>601</v>
      </c>
      <c r="C27" s="93">
        <v>2.6460933550704002</v>
      </c>
      <c r="D27" s="94">
        <v>2.9046927076515017</v>
      </c>
      <c r="E27" s="95">
        <v>2.7421493700034771</v>
      </c>
      <c r="G27" s="107" t="s">
        <v>424</v>
      </c>
      <c r="H27" s="105">
        <v>66.414016463166035</v>
      </c>
      <c r="I27" s="97">
        <v>108</v>
      </c>
      <c r="J27" s="98">
        <v>41</v>
      </c>
      <c r="K27" s="85"/>
      <c r="L27" s="93">
        <v>-0.82183647421687545</v>
      </c>
      <c r="M27" s="94">
        <v>2.3498566632458062</v>
      </c>
      <c r="N27" s="94">
        <v>1.1538510920040257</v>
      </c>
      <c r="O27" s="94">
        <v>4.3140000000000001</v>
      </c>
      <c r="P27" s="94">
        <v>3.242</v>
      </c>
      <c r="Q27" s="94">
        <v>3.2440000000000002</v>
      </c>
      <c r="R27" s="94">
        <v>3.8290000000000002</v>
      </c>
      <c r="S27" s="94">
        <v>2.8860000000000001</v>
      </c>
      <c r="T27" s="94">
        <v>-3.0150000000000001</v>
      </c>
      <c r="U27" s="94">
        <v>7.3920000000000003</v>
      </c>
      <c r="V27" s="95">
        <v>3.8</v>
      </c>
      <c r="W27" s="95">
        <f t="shared" si="0"/>
        <v>2.8234210388274894</v>
      </c>
    </row>
    <row r="28" spans="1:23" x14ac:dyDescent="0.35">
      <c r="A28" s="85" t="s">
        <v>582</v>
      </c>
      <c r="B28" s="85" t="s">
        <v>602</v>
      </c>
      <c r="C28" s="93">
        <v>2.6588943634134665</v>
      </c>
      <c r="D28" s="94">
        <v>1.4503583241093798</v>
      </c>
      <c r="E28" s="95">
        <v>2.7752039527026096</v>
      </c>
      <c r="G28" s="107" t="s">
        <v>401</v>
      </c>
      <c r="H28" s="105">
        <v>74.531513757725932</v>
      </c>
      <c r="I28" s="97">
        <v>70</v>
      </c>
      <c r="J28" s="98">
        <v>6</v>
      </c>
      <c r="K28" s="85"/>
      <c r="L28" s="93">
        <v>4.4561672130978769</v>
      </c>
      <c r="M28" s="94">
        <v>11.343424252775241</v>
      </c>
      <c r="N28" s="94">
        <v>4.149289893135184</v>
      </c>
      <c r="O28" s="94">
        <v>-4.851</v>
      </c>
      <c r="P28" s="94">
        <v>7.202</v>
      </c>
      <c r="Q28" s="94">
        <v>4.1130000000000004</v>
      </c>
      <c r="R28" s="94">
        <v>4.1900000000000004</v>
      </c>
      <c r="S28" s="94">
        <v>3.0329999999999999</v>
      </c>
      <c r="T28" s="94">
        <v>-8.7260000000000009</v>
      </c>
      <c r="U28" s="94">
        <v>11.84</v>
      </c>
      <c r="V28" s="95">
        <v>6.4329999999999998</v>
      </c>
      <c r="W28" s="95">
        <f t="shared" si="0"/>
        <v>2.1127811384059947</v>
      </c>
    </row>
    <row r="29" spans="1:23" x14ac:dyDescent="0.35">
      <c r="A29" s="85" t="s">
        <v>586</v>
      </c>
      <c r="B29" s="85" t="s">
        <v>603</v>
      </c>
      <c r="C29" s="93">
        <v>1.146428167182445</v>
      </c>
      <c r="D29" s="94">
        <v>1.295085878975577</v>
      </c>
      <c r="E29" s="95">
        <v>0.42795301380476047</v>
      </c>
      <c r="G29" s="107" t="s">
        <v>584</v>
      </c>
      <c r="H29" s="105">
        <v>79.569249143394813</v>
      </c>
      <c r="I29" s="97">
        <v>51</v>
      </c>
      <c r="J29" s="98">
        <v>7</v>
      </c>
      <c r="K29" s="85"/>
      <c r="L29" s="93">
        <v>1.9211503183629988</v>
      </c>
      <c r="M29" s="94">
        <v>3.0048463050570873</v>
      </c>
      <c r="N29" s="94">
        <v>0.50395574024224987</v>
      </c>
      <c r="O29" s="94">
        <v>-3.5459999999999998</v>
      </c>
      <c r="P29" s="94">
        <v>-3.2759999999999998</v>
      </c>
      <c r="Q29" s="94">
        <v>1.323</v>
      </c>
      <c r="R29" s="94">
        <v>1.784</v>
      </c>
      <c r="S29" s="94">
        <v>1.2210000000000001</v>
      </c>
      <c r="T29" s="94">
        <v>-3.2770000000000001</v>
      </c>
      <c r="U29" s="94">
        <v>4.9889999999999999</v>
      </c>
      <c r="V29" s="95">
        <v>2.9009999999999998</v>
      </c>
      <c r="W29" s="95">
        <f t="shared" si="0"/>
        <v>0.86151944639016875</v>
      </c>
    </row>
    <row r="30" spans="1:23" x14ac:dyDescent="0.35">
      <c r="A30" s="85" t="s">
        <v>578</v>
      </c>
      <c r="B30" s="85" t="s">
        <v>604</v>
      </c>
      <c r="C30" s="93">
        <v>-0.66374440025495085</v>
      </c>
      <c r="D30" s="94">
        <v>0.37078358077795581</v>
      </c>
      <c r="E30" s="95">
        <v>-0.44114896551331606</v>
      </c>
      <c r="G30" s="107" t="s">
        <v>580</v>
      </c>
      <c r="H30" s="105">
        <v>47.581995606084838</v>
      </c>
      <c r="I30" s="97">
        <v>142</v>
      </c>
      <c r="J30" s="98">
        <v>30</v>
      </c>
      <c r="K30" s="85"/>
      <c r="L30" s="93">
        <v>0.91284167096442625</v>
      </c>
      <c r="M30" s="94">
        <v>-2.1260285174017546</v>
      </c>
      <c r="N30" s="94">
        <v>-2.5083525664456063</v>
      </c>
      <c r="O30" s="94">
        <v>-0.40500000000000003</v>
      </c>
      <c r="P30" s="94">
        <v>-2.4649999999999999</v>
      </c>
      <c r="Q30" s="94">
        <v>1.329</v>
      </c>
      <c r="R30" s="94">
        <v>5.1999999999999998E-2</v>
      </c>
      <c r="S30" s="94">
        <v>3.8690000000000002</v>
      </c>
      <c r="T30" s="94">
        <v>1.1339999999999999</v>
      </c>
      <c r="U30" s="94">
        <v>-1.591</v>
      </c>
      <c r="V30" s="95">
        <v>-1.51</v>
      </c>
      <c r="W30" s="95">
        <f t="shared" si="0"/>
        <v>-3.5182692367680124E-2</v>
      </c>
    </row>
    <row r="31" spans="1:23" x14ac:dyDescent="0.35">
      <c r="A31" s="85" t="s">
        <v>227</v>
      </c>
      <c r="B31" s="85" t="s">
        <v>605</v>
      </c>
      <c r="C31" s="93">
        <v>2.2325090532704595</v>
      </c>
      <c r="D31" s="94">
        <v>2.7879873369299979</v>
      </c>
      <c r="E31" s="95">
        <v>2.7412414949005814</v>
      </c>
      <c r="G31" s="107" t="s">
        <v>584</v>
      </c>
      <c r="H31" s="105">
        <v>82.826908120877093</v>
      </c>
      <c r="I31" s="97">
        <v>40</v>
      </c>
      <c r="J31" s="98">
        <v>26</v>
      </c>
      <c r="K31" s="85"/>
      <c r="L31" s="93">
        <v>0.36058318828756941</v>
      </c>
      <c r="M31" s="94">
        <v>0.31873576132258219</v>
      </c>
      <c r="N31" s="94">
        <v>1.8945471424192788</v>
      </c>
      <c r="O31" s="94">
        <v>3.4279999999999999</v>
      </c>
      <c r="P31" s="94">
        <v>3.04</v>
      </c>
      <c r="Q31" s="94">
        <v>2.762</v>
      </c>
      <c r="R31" s="94">
        <v>2.6850000000000001</v>
      </c>
      <c r="S31" s="94">
        <v>4.0380000000000003</v>
      </c>
      <c r="T31" s="94">
        <v>-3.9590000000000001</v>
      </c>
      <c r="U31" s="94">
        <v>7.6349999999999998</v>
      </c>
      <c r="V31" s="95">
        <v>3.3610000000000002</v>
      </c>
      <c r="W31" s="95">
        <f t="shared" si="0"/>
        <v>2.7646144159152897</v>
      </c>
    </row>
    <row r="32" spans="1:23" x14ac:dyDescent="0.35">
      <c r="A32" s="85" t="s">
        <v>582</v>
      </c>
      <c r="B32" s="85" t="s">
        <v>606</v>
      </c>
      <c r="C32" s="93">
        <v>3.7461786866062718</v>
      </c>
      <c r="D32" s="94">
        <v>4.6060819779328632</v>
      </c>
      <c r="E32" s="95">
        <v>4.9153359042722222</v>
      </c>
      <c r="G32" s="107" t="s">
        <v>401</v>
      </c>
      <c r="H32" s="105">
        <v>71.439342263551737</v>
      </c>
      <c r="I32" s="97">
        <v>81</v>
      </c>
      <c r="J32" s="98">
        <v>11</v>
      </c>
      <c r="K32" s="85"/>
      <c r="L32" s="93">
        <v>6.4526723809054332</v>
      </c>
      <c r="M32" s="94">
        <v>5.7926055919056534</v>
      </c>
      <c r="N32" s="94">
        <v>4.3268456132150384</v>
      </c>
      <c r="O32" s="94">
        <v>3.9209999999999998</v>
      </c>
      <c r="P32" s="94">
        <v>5.9580000000000002</v>
      </c>
      <c r="Q32" s="94">
        <v>6.2030000000000003</v>
      </c>
      <c r="R32" s="94">
        <v>6.6029999999999998</v>
      </c>
      <c r="S32" s="94">
        <v>5.6890000000000001</v>
      </c>
      <c r="T32" s="94">
        <v>1.931</v>
      </c>
      <c r="U32" s="94">
        <v>6.9050000000000002</v>
      </c>
      <c r="V32" s="95">
        <v>2.4729999999999999</v>
      </c>
      <c r="W32" s="95">
        <f t="shared" si="0"/>
        <v>4.7607089411025427</v>
      </c>
    </row>
    <row r="33" spans="1:23" x14ac:dyDescent="0.35">
      <c r="A33" s="85" t="s">
        <v>582</v>
      </c>
      <c r="B33" s="85" t="s">
        <v>607</v>
      </c>
      <c r="C33" s="93">
        <v>1.3140617594302739</v>
      </c>
      <c r="D33" s="94">
        <v>1.4727306023839093</v>
      </c>
      <c r="E33" s="95">
        <v>1.2263384025287261</v>
      </c>
      <c r="G33" s="107" t="s">
        <v>580</v>
      </c>
      <c r="H33" s="105">
        <v>45.872398734881529</v>
      </c>
      <c r="I33" s="97">
        <v>144</v>
      </c>
      <c r="J33" s="98">
        <v>40</v>
      </c>
      <c r="K33" s="85"/>
      <c r="L33" s="93">
        <v>4.4467082221454284</v>
      </c>
      <c r="M33" s="94">
        <v>4.9241952612883146</v>
      </c>
      <c r="N33" s="94">
        <v>4.2406516436807848</v>
      </c>
      <c r="O33" s="94">
        <v>-3.9</v>
      </c>
      <c r="P33" s="94">
        <v>-0.6</v>
      </c>
      <c r="Q33" s="94">
        <v>0.5</v>
      </c>
      <c r="R33" s="94">
        <v>1.61</v>
      </c>
      <c r="S33" s="94">
        <v>1.8420000000000001</v>
      </c>
      <c r="T33" s="94">
        <v>0.33500000000000002</v>
      </c>
      <c r="U33" s="94">
        <v>3.1190000000000002</v>
      </c>
      <c r="V33" s="95">
        <v>1.827</v>
      </c>
      <c r="W33" s="95">
        <f t="shared" si="0"/>
        <v>1.3495345024563177</v>
      </c>
    </row>
    <row r="34" spans="1:23" x14ac:dyDescent="0.35">
      <c r="A34" s="85" t="s">
        <v>582</v>
      </c>
      <c r="B34" s="85" t="s">
        <v>608</v>
      </c>
      <c r="C34" s="93">
        <v>0.23646198785876038</v>
      </c>
      <c r="D34" s="94">
        <v>2.1534613712418604</v>
      </c>
      <c r="E34" s="95">
        <v>2.1525774639498785</v>
      </c>
      <c r="G34" s="107" t="s">
        <v>401</v>
      </c>
      <c r="H34" s="105">
        <v>72.784877013329833</v>
      </c>
      <c r="I34" s="97">
        <v>78</v>
      </c>
      <c r="J34" s="98">
        <v>9</v>
      </c>
      <c r="K34" s="85"/>
      <c r="L34" s="93">
        <v>1.0819182787712764</v>
      </c>
      <c r="M34" s="94">
        <v>0.80279760057422567</v>
      </c>
      <c r="N34" s="94">
        <v>0.61121266620786829</v>
      </c>
      <c r="O34" s="94">
        <v>1.0069999999999999</v>
      </c>
      <c r="P34" s="94">
        <v>4.7060000000000004</v>
      </c>
      <c r="Q34" s="94">
        <v>3.702</v>
      </c>
      <c r="R34" s="94">
        <v>14.566000000000001</v>
      </c>
      <c r="S34" s="94">
        <v>5.6680000000000001</v>
      </c>
      <c r="T34" s="94">
        <v>-14.782999999999999</v>
      </c>
      <c r="U34" s="94">
        <v>7</v>
      </c>
      <c r="V34" s="95">
        <v>10.5</v>
      </c>
      <c r="W34" s="95">
        <f t="shared" si="0"/>
        <v>2.1530194175958695</v>
      </c>
    </row>
    <row r="35" spans="1:23" x14ac:dyDescent="0.35">
      <c r="A35" s="85" t="s">
        <v>578</v>
      </c>
      <c r="B35" s="85" t="s">
        <v>609</v>
      </c>
      <c r="C35" s="93">
        <v>1.5881444792890331</v>
      </c>
      <c r="D35" s="94">
        <v>3.8205347927408928</v>
      </c>
      <c r="E35" s="95">
        <v>5.437149341759695</v>
      </c>
      <c r="G35" s="107" t="s">
        <v>580</v>
      </c>
      <c r="H35" s="105">
        <v>41.696651110677628</v>
      </c>
      <c r="I35" s="97">
        <v>149</v>
      </c>
      <c r="J35" s="98">
        <v>31</v>
      </c>
      <c r="K35" s="85"/>
      <c r="L35" s="93">
        <v>7.3133455053000533</v>
      </c>
      <c r="M35" s="94">
        <v>7.3566651488797472</v>
      </c>
      <c r="N35" s="94">
        <v>7.1425711007429467</v>
      </c>
      <c r="O35" s="94">
        <v>7.0359999999999996</v>
      </c>
      <c r="P35" s="94">
        <v>6.8630000000000004</v>
      </c>
      <c r="Q35" s="94">
        <v>6.9969999999999999</v>
      </c>
      <c r="R35" s="94">
        <v>7.4690000000000003</v>
      </c>
      <c r="S35" s="94">
        <v>7.0540000000000003</v>
      </c>
      <c r="T35" s="94">
        <v>-3.0960000000000001</v>
      </c>
      <c r="U35" s="94">
        <v>3.0259999999999998</v>
      </c>
      <c r="V35" s="95">
        <v>5.0119999999999996</v>
      </c>
      <c r="W35" s="95">
        <f t="shared" si="0"/>
        <v>4.6288420672502939</v>
      </c>
    </row>
    <row r="36" spans="1:23" x14ac:dyDescent="0.35">
      <c r="A36" s="85" t="s">
        <v>582</v>
      </c>
      <c r="B36" s="85" t="s">
        <v>610</v>
      </c>
      <c r="C36" s="93">
        <v>2.4193069652844734</v>
      </c>
      <c r="D36" s="94">
        <v>3.5683606479580687</v>
      </c>
      <c r="E36" s="95">
        <v>4.2936580650607903</v>
      </c>
      <c r="G36" s="107" t="s">
        <v>424</v>
      </c>
      <c r="H36" s="105">
        <v>66.487838229569903</v>
      </c>
      <c r="I36" s="97">
        <v>107</v>
      </c>
      <c r="J36" s="98">
        <v>24</v>
      </c>
      <c r="K36" s="85"/>
      <c r="L36" s="93">
        <v>4.5432650156673571</v>
      </c>
      <c r="M36" s="94">
        <v>5.4042657097173343</v>
      </c>
      <c r="N36" s="94">
        <v>5.8840593266804415</v>
      </c>
      <c r="O36" s="94">
        <v>5.6</v>
      </c>
      <c r="P36" s="94">
        <v>4.4790000000000001</v>
      </c>
      <c r="Q36" s="94">
        <v>3.5409999999999999</v>
      </c>
      <c r="R36" s="94">
        <v>4.0220000000000002</v>
      </c>
      <c r="S36" s="94">
        <v>3.4220000000000002</v>
      </c>
      <c r="T36" s="94">
        <v>0.53900000000000003</v>
      </c>
      <c r="U36" s="94">
        <v>3.649</v>
      </c>
      <c r="V36" s="95">
        <v>3.383</v>
      </c>
      <c r="W36" s="95">
        <f t="shared" si="0"/>
        <v>3.9310093565094295</v>
      </c>
    </row>
    <row r="37" spans="1:23" x14ac:dyDescent="0.35">
      <c r="A37" s="85" t="s">
        <v>586</v>
      </c>
      <c r="B37" s="85" t="s">
        <v>611</v>
      </c>
      <c r="C37" s="93">
        <v>0.80505563787092171</v>
      </c>
      <c r="D37" s="94">
        <v>1.279888102037452</v>
      </c>
      <c r="E37" s="95">
        <v>1.6398804050051563</v>
      </c>
      <c r="G37" s="107" t="s">
        <v>417</v>
      </c>
      <c r="H37" s="105">
        <v>95.837528170961207</v>
      </c>
      <c r="I37" s="97">
        <v>17</v>
      </c>
      <c r="J37" s="98">
        <v>2</v>
      </c>
      <c r="K37" s="85"/>
      <c r="L37" s="93">
        <v>1.762222549554276</v>
      </c>
      <c r="M37" s="94">
        <v>2.3291225223044822</v>
      </c>
      <c r="N37" s="94">
        <v>2.8700360387422155</v>
      </c>
      <c r="O37" s="94">
        <v>0.65900000000000003</v>
      </c>
      <c r="P37" s="94">
        <v>1.0009999999999999</v>
      </c>
      <c r="Q37" s="94">
        <v>3.04</v>
      </c>
      <c r="R37" s="94">
        <v>2.7770000000000001</v>
      </c>
      <c r="S37" s="94">
        <v>1.8879999999999999</v>
      </c>
      <c r="T37" s="94">
        <v>-5.0739999999999998</v>
      </c>
      <c r="U37" s="94">
        <v>5.0119999999999996</v>
      </c>
      <c r="V37" s="95">
        <v>3.3959999999999999</v>
      </c>
      <c r="W37" s="95">
        <f t="shared" si="0"/>
        <v>1.4598842535213041</v>
      </c>
    </row>
    <row r="38" spans="1:23" x14ac:dyDescent="0.35">
      <c r="A38" s="85" t="s">
        <v>582</v>
      </c>
      <c r="B38" s="85" t="s">
        <v>612</v>
      </c>
      <c r="C38" s="93">
        <v>0.72569907638180275</v>
      </c>
      <c r="D38" s="94">
        <v>1.8043988935163791</v>
      </c>
      <c r="E38" s="95">
        <v>-2.2645674209426092</v>
      </c>
      <c r="G38" s="107" t="s">
        <v>580</v>
      </c>
      <c r="H38" s="105">
        <v>41.466247411534134</v>
      </c>
      <c r="I38" s="97">
        <v>150</v>
      </c>
      <c r="J38" s="98">
        <v>44</v>
      </c>
      <c r="K38" s="85"/>
      <c r="L38" s="93">
        <v>5.053761253569192</v>
      </c>
      <c r="M38" s="94">
        <v>-36.391977098388679</v>
      </c>
      <c r="N38" s="94">
        <v>8.1070515326508011E-2</v>
      </c>
      <c r="O38" s="94">
        <v>4.3380000000000001</v>
      </c>
      <c r="P38" s="94">
        <v>4.75</v>
      </c>
      <c r="Q38" s="94">
        <v>4.5279999999999996</v>
      </c>
      <c r="R38" s="94">
        <v>3.82</v>
      </c>
      <c r="S38" s="94">
        <v>2.97</v>
      </c>
      <c r="T38" s="94">
        <v>0.95899999999999996</v>
      </c>
      <c r="U38" s="94">
        <v>0.98299999999999998</v>
      </c>
      <c r="V38" s="95">
        <v>0.378</v>
      </c>
      <c r="W38" s="95">
        <f t="shared" si="0"/>
        <v>-0.23008426371311508</v>
      </c>
    </row>
    <row r="39" spans="1:23" x14ac:dyDescent="0.35">
      <c r="A39" s="85" t="s">
        <v>582</v>
      </c>
      <c r="B39" s="85" t="s">
        <v>613</v>
      </c>
      <c r="C39" s="93">
        <v>-0.11885802228936981</v>
      </c>
      <c r="D39" s="94">
        <v>1.0424126086531427</v>
      </c>
      <c r="E39" s="95">
        <v>1.0693731739606749</v>
      </c>
      <c r="G39" s="107" t="s">
        <v>580</v>
      </c>
      <c r="H39" s="105">
        <v>46.134841898100355</v>
      </c>
      <c r="I39" s="97">
        <v>143</v>
      </c>
      <c r="J39" s="98">
        <v>39</v>
      </c>
      <c r="K39" s="85"/>
      <c r="L39" s="93">
        <v>8.8825760717031557</v>
      </c>
      <c r="M39" s="94">
        <v>5.7000013628586537</v>
      </c>
      <c r="N39" s="94">
        <v>6.8999850453216673</v>
      </c>
      <c r="O39" s="94">
        <v>1.77</v>
      </c>
      <c r="P39" s="94">
        <v>-5.5579999999999998</v>
      </c>
      <c r="Q39" s="94">
        <v>-2.38</v>
      </c>
      <c r="R39" s="94">
        <v>2.355</v>
      </c>
      <c r="S39" s="94">
        <v>3.419</v>
      </c>
      <c r="T39" s="94">
        <v>-2.1419999999999999</v>
      </c>
      <c r="U39" s="94">
        <v>-1.1020000000000001</v>
      </c>
      <c r="V39" s="95">
        <v>2.4940000000000002</v>
      </c>
      <c r="W39" s="95">
        <f t="shared" si="0"/>
        <v>1.0558928913069088</v>
      </c>
    </row>
    <row r="40" spans="1:23" x14ac:dyDescent="0.35">
      <c r="A40" s="85" t="s">
        <v>586</v>
      </c>
      <c r="B40" s="85" t="s">
        <v>614</v>
      </c>
      <c r="C40" s="93">
        <v>2.4572143474803632</v>
      </c>
      <c r="D40" s="94">
        <v>3.0605383736418856</v>
      </c>
      <c r="E40" s="95">
        <v>2.6285168981251106</v>
      </c>
      <c r="G40" s="107" t="s">
        <v>417</v>
      </c>
      <c r="H40" s="105">
        <v>89.938976035792962</v>
      </c>
      <c r="I40" s="97">
        <v>28</v>
      </c>
      <c r="J40" s="98">
        <v>3</v>
      </c>
      <c r="K40" s="85"/>
      <c r="L40" s="93">
        <v>5.3186280004141473</v>
      </c>
      <c r="M40" s="94">
        <v>4.0450042981489593</v>
      </c>
      <c r="N40" s="94">
        <v>1.7667397836386938</v>
      </c>
      <c r="O40" s="94">
        <v>2.1520000000000001</v>
      </c>
      <c r="P40" s="94">
        <v>1.7529999999999999</v>
      </c>
      <c r="Q40" s="94">
        <v>1.3580000000000001</v>
      </c>
      <c r="R40" s="94">
        <v>3.99</v>
      </c>
      <c r="S40" s="94">
        <v>0.74299999999999999</v>
      </c>
      <c r="T40" s="94">
        <v>-6.1449999999999996</v>
      </c>
      <c r="U40" s="94">
        <v>11.737</v>
      </c>
      <c r="V40" s="95">
        <v>2.44</v>
      </c>
      <c r="W40" s="95">
        <f t="shared" si="0"/>
        <v>2.8445276358834981</v>
      </c>
    </row>
    <row r="41" spans="1:23" x14ac:dyDescent="0.35">
      <c r="A41" s="85" t="s">
        <v>578</v>
      </c>
      <c r="B41" s="85" t="s">
        <v>615</v>
      </c>
      <c r="C41" s="93">
        <v>4.4136018906123953</v>
      </c>
      <c r="D41" s="94">
        <v>5.1836523723133077</v>
      </c>
      <c r="E41" s="95">
        <v>6.1897338385474399</v>
      </c>
      <c r="G41" s="107" t="s">
        <v>584</v>
      </c>
      <c r="H41" s="105">
        <v>79.714044846147502</v>
      </c>
      <c r="I41" s="97">
        <v>50</v>
      </c>
      <c r="J41" s="98">
        <v>7</v>
      </c>
      <c r="K41" s="85"/>
      <c r="L41" s="93">
        <v>7.8596274932851555</v>
      </c>
      <c r="M41" s="94">
        <v>7.7686152841281606</v>
      </c>
      <c r="N41" s="94">
        <v>7.4245236561990726</v>
      </c>
      <c r="O41" s="94">
        <v>7.0179999999999998</v>
      </c>
      <c r="P41" s="94">
        <v>6.851</v>
      </c>
      <c r="Q41" s="94">
        <v>6.9470000000000001</v>
      </c>
      <c r="R41" s="94">
        <v>6.7510000000000003</v>
      </c>
      <c r="S41" s="94">
        <v>5.9509999999999996</v>
      </c>
      <c r="T41" s="94">
        <v>2.242</v>
      </c>
      <c r="U41" s="94">
        <v>8.4499999999999993</v>
      </c>
      <c r="V41" s="95">
        <v>2.988</v>
      </c>
      <c r="W41" s="95">
        <f t="shared" si="0"/>
        <v>5.6866931054303738</v>
      </c>
    </row>
    <row r="42" spans="1:23" x14ac:dyDescent="0.35">
      <c r="A42" s="85" t="s">
        <v>586</v>
      </c>
      <c r="B42" s="85" t="s">
        <v>616</v>
      </c>
      <c r="C42" s="93">
        <v>3.4115994769119862</v>
      </c>
      <c r="D42" s="94">
        <v>2.9902381196408978</v>
      </c>
      <c r="E42" s="95">
        <v>3.0937390088282557</v>
      </c>
      <c r="G42" s="107" t="s">
        <v>584</v>
      </c>
      <c r="H42" s="105">
        <v>79.943455242802315</v>
      </c>
      <c r="I42" s="97">
        <v>48</v>
      </c>
      <c r="J42" s="98">
        <v>6</v>
      </c>
      <c r="K42" s="85"/>
      <c r="L42" s="93">
        <v>3.9126357671611296</v>
      </c>
      <c r="M42" s="94">
        <v>5.1339935199566966</v>
      </c>
      <c r="N42" s="94">
        <v>4.4990300011097339</v>
      </c>
      <c r="O42" s="94">
        <v>2.956</v>
      </c>
      <c r="P42" s="94">
        <v>2.0880000000000001</v>
      </c>
      <c r="Q42" s="94">
        <v>1.359</v>
      </c>
      <c r="R42" s="94">
        <v>2.5640000000000001</v>
      </c>
      <c r="S42" s="94">
        <v>3.1869999999999998</v>
      </c>
      <c r="T42" s="94">
        <v>-7.2519999999999998</v>
      </c>
      <c r="U42" s="94">
        <v>11.016</v>
      </c>
      <c r="V42" s="95">
        <v>7.4960000000000004</v>
      </c>
      <c r="W42" s="95">
        <f t="shared" si="0"/>
        <v>3.0419885642345768</v>
      </c>
    </row>
    <row r="43" spans="1:23" x14ac:dyDescent="0.35">
      <c r="A43" s="85" t="s">
        <v>582</v>
      </c>
      <c r="B43" s="85" t="s">
        <v>617</v>
      </c>
      <c r="C43" s="93">
        <v>1.4424277454801349</v>
      </c>
      <c r="D43" s="94">
        <v>1.9425285111170032</v>
      </c>
      <c r="E43" s="95">
        <v>2.451644301489786</v>
      </c>
      <c r="G43" s="107" t="s">
        <v>424</v>
      </c>
      <c r="H43" s="105">
        <v>68.943026951610364</v>
      </c>
      <c r="I43" s="97">
        <v>96</v>
      </c>
      <c r="J43" s="98">
        <v>17</v>
      </c>
      <c r="K43" s="85"/>
      <c r="L43" s="93">
        <v>3.2002729031888046</v>
      </c>
      <c r="M43" s="94">
        <v>4.4998742153082745</v>
      </c>
      <c r="N43" s="94">
        <v>2.1000064383028905</v>
      </c>
      <c r="O43" s="94">
        <v>1.147</v>
      </c>
      <c r="P43" s="94">
        <v>3.32</v>
      </c>
      <c r="Q43" s="94">
        <v>3.8159999999999998</v>
      </c>
      <c r="R43" s="94">
        <v>3.6419999999999999</v>
      </c>
      <c r="S43" s="94">
        <v>1.7609999999999999</v>
      </c>
      <c r="T43" s="94">
        <v>-0.19600000000000001</v>
      </c>
      <c r="U43" s="94">
        <v>2.1120000000000001</v>
      </c>
      <c r="V43" s="95">
        <v>2.431</v>
      </c>
      <c r="W43" s="95">
        <f t="shared" si="0"/>
        <v>2.1970864063033946</v>
      </c>
    </row>
    <row r="44" spans="1:23" x14ac:dyDescent="0.35">
      <c r="A44" s="85" t="s">
        <v>582</v>
      </c>
      <c r="B44" s="85" t="s">
        <v>618</v>
      </c>
      <c r="C44" s="93">
        <v>4.8306254668632809</v>
      </c>
      <c r="D44" s="94">
        <v>4.9384402884992351</v>
      </c>
      <c r="E44" s="95">
        <v>5.5494362942043685</v>
      </c>
      <c r="G44" s="107" t="s">
        <v>580</v>
      </c>
      <c r="H44" s="105">
        <v>40.102703133666751</v>
      </c>
      <c r="I44" s="97">
        <v>151</v>
      </c>
      <c r="J44" s="98">
        <v>45</v>
      </c>
      <c r="K44" s="85"/>
      <c r="L44" s="93">
        <v>7.0868989467193844</v>
      </c>
      <c r="M44" s="94">
        <v>8.4819566360875722</v>
      </c>
      <c r="N44" s="94">
        <v>9.4702880971408341</v>
      </c>
      <c r="O44" s="94">
        <v>6.36</v>
      </c>
      <c r="P44" s="94">
        <v>0.39400000000000002</v>
      </c>
      <c r="Q44" s="94">
        <v>3.6579999999999999</v>
      </c>
      <c r="R44" s="94">
        <v>4.8250000000000002</v>
      </c>
      <c r="S44" s="94">
        <v>4.4850000000000003</v>
      </c>
      <c r="T44" s="94">
        <v>1.671</v>
      </c>
      <c r="U44" s="94">
        <v>6.2290000000000001</v>
      </c>
      <c r="V44" s="95">
        <v>6.6269999999999998</v>
      </c>
      <c r="W44" s="95">
        <f t="shared" si="0"/>
        <v>5.2439382913518013</v>
      </c>
    </row>
    <row r="45" spans="1:23" x14ac:dyDescent="0.35">
      <c r="A45" s="85" t="s">
        <v>582</v>
      </c>
      <c r="B45" s="85" t="s">
        <v>619</v>
      </c>
      <c r="C45" s="93">
        <v>-1.9540231466170455</v>
      </c>
      <c r="D45" s="94">
        <v>-2.1626068363397866</v>
      </c>
      <c r="E45" s="95">
        <v>-2.4351268953680449</v>
      </c>
      <c r="G45" s="107" t="s">
        <v>580</v>
      </c>
      <c r="H45" s="105">
        <v>42.318471362744162</v>
      </c>
      <c r="I45" s="97">
        <v>148</v>
      </c>
      <c r="J45" s="98">
        <v>43</v>
      </c>
      <c r="K45" s="85"/>
      <c r="L45" s="93">
        <v>9.9471531425756439</v>
      </c>
      <c r="M45" s="94">
        <v>-0.71243445187648202</v>
      </c>
      <c r="N45" s="94">
        <v>6.7166793337864945</v>
      </c>
      <c r="O45" s="94">
        <v>-3.5510000000000002</v>
      </c>
      <c r="P45" s="94">
        <v>-10.782999999999999</v>
      </c>
      <c r="Q45" s="94">
        <v>-4.383</v>
      </c>
      <c r="R45" s="94">
        <v>-4.8049999999999997</v>
      </c>
      <c r="S45" s="94">
        <v>1.026</v>
      </c>
      <c r="T45" s="94">
        <v>-6.1980000000000004</v>
      </c>
      <c r="U45" s="94">
        <v>1.5</v>
      </c>
      <c r="V45" s="95">
        <v>2.7850000000000001</v>
      </c>
      <c r="W45" s="95">
        <f t="shared" si="0"/>
        <v>-2.298866865853916</v>
      </c>
    </row>
    <row r="46" spans="1:23" x14ac:dyDescent="0.35">
      <c r="A46" s="85" t="s">
        <v>586</v>
      </c>
      <c r="B46" s="85" t="s">
        <v>620</v>
      </c>
      <c r="C46" s="93">
        <v>2.4986852323448439</v>
      </c>
      <c r="D46" s="94">
        <v>3.7972658363557565</v>
      </c>
      <c r="E46" s="95">
        <v>3.649680120396992</v>
      </c>
      <c r="G46" s="107" t="s">
        <v>584</v>
      </c>
      <c r="H46" s="105">
        <v>86.218051096846139</v>
      </c>
      <c r="I46" s="97">
        <v>34</v>
      </c>
      <c r="J46" s="98">
        <v>4</v>
      </c>
      <c r="K46" s="85"/>
      <c r="L46" s="93">
        <v>4.7969199185815947</v>
      </c>
      <c r="M46" s="94">
        <v>2.2690274004615811</v>
      </c>
      <c r="N46" s="94">
        <v>3.5153385639114227</v>
      </c>
      <c r="O46" s="94">
        <v>3.6520000000000001</v>
      </c>
      <c r="P46" s="94">
        <v>4.2039999999999997</v>
      </c>
      <c r="Q46" s="94">
        <v>4.1580000000000004</v>
      </c>
      <c r="R46" s="94">
        <v>2.6160000000000001</v>
      </c>
      <c r="S46" s="94">
        <v>2.4180000000000001</v>
      </c>
      <c r="T46" s="94">
        <v>-4.2729999999999997</v>
      </c>
      <c r="U46" s="94">
        <v>7.7809999999999997</v>
      </c>
      <c r="V46" s="95">
        <v>4.3239999999999998</v>
      </c>
      <c r="W46" s="95">
        <f t="shared" si="0"/>
        <v>3.7234729783763743</v>
      </c>
    </row>
    <row r="47" spans="1:23" x14ac:dyDescent="0.35">
      <c r="A47" s="85" t="s">
        <v>582</v>
      </c>
      <c r="B47" s="85" t="s">
        <v>621</v>
      </c>
      <c r="C47" s="93">
        <v>5.2133244785906863</v>
      </c>
      <c r="D47" s="94">
        <v>5.7501340546816326</v>
      </c>
      <c r="E47" s="95">
        <v>6.9731316213943906</v>
      </c>
      <c r="G47" s="107" t="s">
        <v>424</v>
      </c>
      <c r="H47" s="105">
        <v>69.121915522328067</v>
      </c>
      <c r="I47" s="97">
        <v>95</v>
      </c>
      <c r="J47" s="98">
        <v>16</v>
      </c>
      <c r="K47" s="85"/>
      <c r="L47" s="93">
        <v>10.706504103485498</v>
      </c>
      <c r="M47" s="94">
        <v>8.8894213015542505</v>
      </c>
      <c r="N47" s="94">
        <v>8.7940773902773532</v>
      </c>
      <c r="O47" s="94">
        <v>8.843</v>
      </c>
      <c r="P47" s="94">
        <v>7.173</v>
      </c>
      <c r="Q47" s="94">
        <v>6.1429999999999998</v>
      </c>
      <c r="R47" s="94">
        <v>3.7509999999999999</v>
      </c>
      <c r="S47" s="94">
        <v>8.31</v>
      </c>
      <c r="T47" s="94">
        <v>1.7</v>
      </c>
      <c r="U47" s="94">
        <v>7</v>
      </c>
      <c r="V47" s="95">
        <v>6.7</v>
      </c>
      <c r="W47" s="95">
        <f t="shared" si="0"/>
        <v>6.3616328380380116</v>
      </c>
    </row>
    <row r="48" spans="1:23" x14ac:dyDescent="0.35">
      <c r="A48" s="85" t="s">
        <v>227</v>
      </c>
      <c r="B48" s="85" t="s">
        <v>622</v>
      </c>
      <c r="C48" s="93">
        <v>3.2016110581527757</v>
      </c>
      <c r="D48" s="94">
        <v>3.6386983370098269</v>
      </c>
      <c r="E48" s="95">
        <v>2.6484109069949024</v>
      </c>
      <c r="G48" s="107" t="s">
        <v>584</v>
      </c>
      <c r="H48" s="105">
        <v>83.891853807505186</v>
      </c>
      <c r="I48" s="97">
        <v>39</v>
      </c>
      <c r="J48" s="98">
        <v>25</v>
      </c>
      <c r="K48" s="85"/>
      <c r="L48" s="93">
        <v>-2.2376475412236791</v>
      </c>
      <c r="M48" s="94">
        <v>-0.54854848857064353</v>
      </c>
      <c r="N48" s="94">
        <v>-0.10392849719394197</v>
      </c>
      <c r="O48" s="94">
        <v>2.524</v>
      </c>
      <c r="P48" s="94">
        <v>3.56</v>
      </c>
      <c r="Q48" s="94">
        <v>3.4140000000000001</v>
      </c>
      <c r="R48" s="94">
        <v>2.7989999999999999</v>
      </c>
      <c r="S48" s="94">
        <v>3.42</v>
      </c>
      <c r="T48" s="94">
        <v>-8.58</v>
      </c>
      <c r="U48" s="94">
        <v>13.07</v>
      </c>
      <c r="V48" s="95">
        <v>6.3319999999999999</v>
      </c>
      <c r="W48" s="95">
        <f t="shared" si="0"/>
        <v>3.1435546220023647</v>
      </c>
    </row>
    <row r="49" spans="1:23" x14ac:dyDescent="0.35">
      <c r="A49" s="85" t="s">
        <v>227</v>
      </c>
      <c r="B49" s="85" t="s">
        <v>623</v>
      </c>
      <c r="C49" s="93">
        <v>2.5096449899315587</v>
      </c>
      <c r="D49" s="94">
        <v>3.8028194592395037</v>
      </c>
      <c r="E49" s="95">
        <v>2.5630103304818297</v>
      </c>
      <c r="G49" s="107" t="s">
        <v>584</v>
      </c>
      <c r="H49" s="105">
        <v>87.255396390154942</v>
      </c>
      <c r="I49" s="97">
        <v>32</v>
      </c>
      <c r="J49" s="98">
        <v>21</v>
      </c>
      <c r="K49" s="85"/>
      <c r="L49" s="93">
        <v>-3.4468220858971224</v>
      </c>
      <c r="M49" s="94">
        <v>-6.5530782549911972</v>
      </c>
      <c r="N49" s="94">
        <v>-1.8293091092200273</v>
      </c>
      <c r="O49" s="94">
        <v>3.4180000000000001</v>
      </c>
      <c r="P49" s="94">
        <v>6.5739999999999998</v>
      </c>
      <c r="Q49" s="94">
        <v>5.7329999999999997</v>
      </c>
      <c r="R49" s="94">
        <v>5.649</v>
      </c>
      <c r="S49" s="94">
        <v>5.5289999999999999</v>
      </c>
      <c r="T49" s="94">
        <v>-4.3710000000000004</v>
      </c>
      <c r="U49" s="94">
        <v>6.6369999999999996</v>
      </c>
      <c r="V49" s="95">
        <v>5.6319999999999997</v>
      </c>
      <c r="W49" s="95">
        <f t="shared" si="0"/>
        <v>3.1829148948606667</v>
      </c>
    </row>
    <row r="50" spans="1:23" x14ac:dyDescent="0.35">
      <c r="A50" s="85" t="s">
        <v>227</v>
      </c>
      <c r="B50" s="85" t="s">
        <v>624</v>
      </c>
      <c r="C50" s="93">
        <v>7.8479275411136307E-2</v>
      </c>
      <c r="D50" s="94">
        <v>1.4620184569118511</v>
      </c>
      <c r="E50" s="95">
        <v>2.1534461321011111</v>
      </c>
      <c r="G50" s="107" t="s">
        <v>417</v>
      </c>
      <c r="H50" s="105">
        <v>91.450544124021832</v>
      </c>
      <c r="I50" s="97">
        <v>23</v>
      </c>
      <c r="J50" s="98">
        <v>15</v>
      </c>
      <c r="K50" s="85"/>
      <c r="L50" s="93">
        <v>-0.79984428098029747</v>
      </c>
      <c r="M50" s="94">
        <v>-0.48367104180935355</v>
      </c>
      <c r="N50" s="94">
        <v>2.7151161333034923</v>
      </c>
      <c r="O50" s="94">
        <v>5.3879999999999999</v>
      </c>
      <c r="P50" s="94">
        <v>2.5369999999999999</v>
      </c>
      <c r="Q50" s="94">
        <v>5.1689999999999996</v>
      </c>
      <c r="R50" s="94">
        <v>3.22</v>
      </c>
      <c r="S50" s="94">
        <v>3.03</v>
      </c>
      <c r="T50" s="94">
        <v>-5.5030000000000001</v>
      </c>
      <c r="U50" s="94">
        <v>3.5529999999999999</v>
      </c>
      <c r="V50" s="95">
        <v>2.4420000000000002</v>
      </c>
      <c r="W50" s="95">
        <f t="shared" si="0"/>
        <v>1.8077322945064811</v>
      </c>
    </row>
    <row r="51" spans="1:23" x14ac:dyDescent="0.35">
      <c r="A51" s="85" t="s">
        <v>227</v>
      </c>
      <c r="B51" s="85" t="s">
        <v>625</v>
      </c>
      <c r="C51" s="93">
        <v>2.1173186821453305</v>
      </c>
      <c r="D51" s="94">
        <v>2.0745382872927598</v>
      </c>
      <c r="E51" s="95">
        <v>2.0535686786969709</v>
      </c>
      <c r="G51" s="107" t="s">
        <v>417</v>
      </c>
      <c r="H51" s="105">
        <v>97.848591628257381</v>
      </c>
      <c r="I51" s="97">
        <v>3</v>
      </c>
      <c r="J51" s="98">
        <v>2</v>
      </c>
      <c r="K51" s="85"/>
      <c r="L51" s="93">
        <v>0.22649979701625131</v>
      </c>
      <c r="M51" s="94">
        <v>0.93334095705108477</v>
      </c>
      <c r="N51" s="94">
        <v>1.6193938166337245</v>
      </c>
      <c r="O51" s="94">
        <v>2.343</v>
      </c>
      <c r="P51" s="94">
        <v>3.2480000000000002</v>
      </c>
      <c r="Q51" s="94">
        <v>2.819</v>
      </c>
      <c r="R51" s="94">
        <v>1.9910000000000001</v>
      </c>
      <c r="S51" s="94">
        <v>1.4930000000000001</v>
      </c>
      <c r="T51" s="94">
        <v>-1.994</v>
      </c>
      <c r="U51" s="94">
        <v>4.8570000000000002</v>
      </c>
      <c r="V51" s="95">
        <v>3.6230000000000002</v>
      </c>
      <c r="W51" s="95">
        <f t="shared" si="0"/>
        <v>2.0640534829948654</v>
      </c>
    </row>
    <row r="52" spans="1:23" x14ac:dyDescent="0.35">
      <c r="A52" s="85" t="s">
        <v>586</v>
      </c>
      <c r="B52" s="85" t="s">
        <v>626</v>
      </c>
      <c r="C52" s="93">
        <v>3.1998461156594438</v>
      </c>
      <c r="D52" s="94">
        <v>4.316018962980106</v>
      </c>
      <c r="E52" s="95">
        <v>5.1698060844696858</v>
      </c>
      <c r="G52" s="107" t="s">
        <v>584</v>
      </c>
      <c r="H52" s="105">
        <v>76.661181476266762</v>
      </c>
      <c r="I52" s="97">
        <v>62</v>
      </c>
      <c r="J52" s="98">
        <v>9</v>
      </c>
      <c r="K52" s="85"/>
      <c r="L52" s="93">
        <v>2.7173678967056243</v>
      </c>
      <c r="M52" s="94">
        <v>4.8752050933227107</v>
      </c>
      <c r="N52" s="94">
        <v>7.0504636896591117</v>
      </c>
      <c r="O52" s="94">
        <v>6.9269999999999996</v>
      </c>
      <c r="P52" s="94">
        <v>6.6589999999999998</v>
      </c>
      <c r="Q52" s="94">
        <v>4.6669999999999998</v>
      </c>
      <c r="R52" s="94">
        <v>6.9829999999999997</v>
      </c>
      <c r="S52" s="94">
        <v>5.0519999999999996</v>
      </c>
      <c r="T52" s="94">
        <v>-6.72</v>
      </c>
      <c r="U52" s="94">
        <v>12.272</v>
      </c>
      <c r="V52" s="95">
        <v>4.9489999999999998</v>
      </c>
      <c r="W52" s="95">
        <f t="shared" si="0"/>
        <v>4.7429125237248959</v>
      </c>
    </row>
    <row r="53" spans="1:23" x14ac:dyDescent="0.35">
      <c r="A53" s="85" t="s">
        <v>586</v>
      </c>
      <c r="B53" s="85" t="s">
        <v>627</v>
      </c>
      <c r="C53" s="93">
        <v>-0.32141867374969602</v>
      </c>
      <c r="D53" s="94">
        <v>6.5490773887200149E-2</v>
      </c>
      <c r="E53" s="95">
        <v>1.0130868701887064</v>
      </c>
      <c r="G53" s="111" t="s">
        <v>424</v>
      </c>
      <c r="H53" s="105">
        <v>61.323621492965962</v>
      </c>
      <c r="I53" s="97">
        <v>123</v>
      </c>
      <c r="J53" s="98">
        <v>20</v>
      </c>
      <c r="K53" s="85"/>
      <c r="L53" s="93">
        <v>5.641962066711991</v>
      </c>
      <c r="M53" s="94">
        <v>4.9465112669062528</v>
      </c>
      <c r="N53" s="94">
        <v>3.7888685492083329</v>
      </c>
      <c r="O53" s="94">
        <v>9.9000000000000005E-2</v>
      </c>
      <c r="P53" s="94">
        <v>-1.226</v>
      </c>
      <c r="Q53" s="94">
        <v>2.3679999999999999</v>
      </c>
      <c r="R53" s="94">
        <v>1.2889999999999999</v>
      </c>
      <c r="S53" s="94">
        <v>1.2E-2</v>
      </c>
      <c r="T53" s="94">
        <v>-7.7880000000000003</v>
      </c>
      <c r="U53" s="94">
        <v>4.2350000000000003</v>
      </c>
      <c r="V53" s="95">
        <v>3.0390000000000001</v>
      </c>
      <c r="W53" s="95">
        <f t="shared" si="0"/>
        <v>0.53928882203795325</v>
      </c>
    </row>
    <row r="54" spans="1:23" x14ac:dyDescent="0.35">
      <c r="A54" s="85" t="s">
        <v>582</v>
      </c>
      <c r="B54" s="85" t="s">
        <v>628</v>
      </c>
      <c r="C54" s="93">
        <v>4.4912036839904523</v>
      </c>
      <c r="D54" s="94">
        <v>4.8680352120142656</v>
      </c>
      <c r="E54" s="95">
        <v>4.2302867143853229</v>
      </c>
      <c r="G54" s="107" t="s">
        <v>424</v>
      </c>
      <c r="H54" s="105">
        <v>63.405428674671668</v>
      </c>
      <c r="I54" s="97">
        <v>119</v>
      </c>
      <c r="J54" s="98">
        <v>28</v>
      </c>
      <c r="K54" s="85"/>
      <c r="L54" s="93">
        <v>2.2261997966213811</v>
      </c>
      <c r="M54" s="94">
        <v>2.1854660547123101</v>
      </c>
      <c r="N54" s="94">
        <v>2.9159118788358169</v>
      </c>
      <c r="O54" s="94">
        <v>4.4340000000000002</v>
      </c>
      <c r="P54" s="94">
        <v>4.5060000000000002</v>
      </c>
      <c r="Q54" s="94">
        <v>2.3690000000000002</v>
      </c>
      <c r="R54" s="94">
        <v>5.3310000000000004</v>
      </c>
      <c r="S54" s="94">
        <v>5.5339999999999998</v>
      </c>
      <c r="T54" s="94">
        <v>3.5139999999999998</v>
      </c>
      <c r="U54" s="94">
        <v>3.3069999999999999</v>
      </c>
      <c r="V54" s="95">
        <v>6.609</v>
      </c>
      <c r="W54" s="95">
        <f t="shared" si="0"/>
        <v>4.5491609631997942</v>
      </c>
    </row>
    <row r="55" spans="1:23" x14ac:dyDescent="0.35">
      <c r="A55" s="85" t="s">
        <v>586</v>
      </c>
      <c r="B55" s="85" t="s">
        <v>629</v>
      </c>
      <c r="C55" s="93">
        <v>1.3471265984384528</v>
      </c>
      <c r="D55" s="94">
        <v>1.776882859029727</v>
      </c>
      <c r="E55" s="95">
        <v>2.0016468394263187</v>
      </c>
      <c r="G55" s="107" t="s">
        <v>401</v>
      </c>
      <c r="H55" s="105">
        <v>69.210174273537845</v>
      </c>
      <c r="I55" s="97">
        <v>94</v>
      </c>
      <c r="J55" s="98">
        <v>13</v>
      </c>
      <c r="K55" s="85"/>
      <c r="L55" s="93">
        <v>2.8155018217952783</v>
      </c>
      <c r="M55" s="94">
        <v>2.2337536818851604</v>
      </c>
      <c r="N55" s="94">
        <v>1.7112232058649222</v>
      </c>
      <c r="O55" s="94">
        <v>2.395</v>
      </c>
      <c r="P55" s="94">
        <v>2.5419999999999998</v>
      </c>
      <c r="Q55" s="94">
        <v>2.2530000000000001</v>
      </c>
      <c r="R55" s="94">
        <v>2.4119999999999999</v>
      </c>
      <c r="S55" s="94">
        <v>2.4350000000000001</v>
      </c>
      <c r="T55" s="94">
        <v>-8.1750000000000007</v>
      </c>
      <c r="U55" s="94">
        <v>10.269</v>
      </c>
      <c r="V55" s="95">
        <v>2.8</v>
      </c>
      <c r="W55" s="95">
        <f t="shared" si="0"/>
        <v>1.8892648492280228</v>
      </c>
    </row>
    <row r="56" spans="1:23" x14ac:dyDescent="0.35">
      <c r="A56" s="85" t="s">
        <v>227</v>
      </c>
      <c r="B56" s="85" t="s">
        <v>630</v>
      </c>
      <c r="C56" s="93">
        <v>1.972770435214799</v>
      </c>
      <c r="D56" s="94">
        <v>2.6853264084946815</v>
      </c>
      <c r="E56" s="95">
        <v>2.7928430899179402</v>
      </c>
      <c r="G56" s="107" t="s">
        <v>584</v>
      </c>
      <c r="H56" s="105">
        <v>82.267245472231053</v>
      </c>
      <c r="I56" s="97">
        <v>41</v>
      </c>
      <c r="J56" s="98">
        <v>27</v>
      </c>
      <c r="K56" s="85"/>
      <c r="L56" s="93">
        <v>3.1248431915696226</v>
      </c>
      <c r="M56" s="94">
        <v>1.346187835760732</v>
      </c>
      <c r="N56" s="94">
        <v>2.9873258188549392</v>
      </c>
      <c r="O56" s="94">
        <v>1.853</v>
      </c>
      <c r="P56" s="94">
        <v>3.1549999999999998</v>
      </c>
      <c r="Q56" s="94">
        <v>5.7919999999999998</v>
      </c>
      <c r="R56" s="94">
        <v>3.7839999999999998</v>
      </c>
      <c r="S56" s="94">
        <v>3.74</v>
      </c>
      <c r="T56" s="94">
        <v>-0.55100000000000005</v>
      </c>
      <c r="U56" s="94">
        <v>8.0129999999999999</v>
      </c>
      <c r="V56" s="95">
        <v>-1.2869999999999999</v>
      </c>
      <c r="W56" s="95">
        <f t="shared" si="0"/>
        <v>2.7390847492063108</v>
      </c>
    </row>
    <row r="57" spans="1:23" x14ac:dyDescent="0.35">
      <c r="A57" s="85" t="s">
        <v>582</v>
      </c>
      <c r="B57" s="85" t="s">
        <v>631</v>
      </c>
      <c r="C57" s="93">
        <v>2.1841699351578647</v>
      </c>
      <c r="D57" s="94">
        <v>2.1180367535848621</v>
      </c>
      <c r="E57" s="95">
        <v>2.094572895591984</v>
      </c>
      <c r="G57" s="107" t="s">
        <v>424</v>
      </c>
      <c r="H57" s="105">
        <v>63.876381030610304</v>
      </c>
      <c r="I57" s="97">
        <v>117</v>
      </c>
      <c r="J57" s="98">
        <v>27</v>
      </c>
      <c r="K57" s="85"/>
      <c r="L57" s="93">
        <v>5.3913093065302364</v>
      </c>
      <c r="M57" s="94">
        <v>3.8622718821819677</v>
      </c>
      <c r="N57" s="94">
        <v>0.91319649477376841</v>
      </c>
      <c r="O57" s="94">
        <v>2.2269999999999999</v>
      </c>
      <c r="P57" s="94">
        <v>1.0629999999999999</v>
      </c>
      <c r="Q57" s="94">
        <v>2.0270000000000001</v>
      </c>
      <c r="R57" s="94">
        <v>2.3690000000000002</v>
      </c>
      <c r="S57" s="94">
        <v>2.7040000000000002</v>
      </c>
      <c r="T57" s="94">
        <v>-1.56</v>
      </c>
      <c r="U57" s="94">
        <v>7.883</v>
      </c>
      <c r="V57" s="95">
        <v>0.46700000000000003</v>
      </c>
      <c r="W57" s="95">
        <f t="shared" si="0"/>
        <v>2.1063048245884231</v>
      </c>
    </row>
    <row r="58" spans="1:23" x14ac:dyDescent="0.35">
      <c r="A58" s="85" t="s">
        <v>582</v>
      </c>
      <c r="B58" s="85" t="s">
        <v>632</v>
      </c>
      <c r="C58" s="93">
        <v>6.0178655257344227</v>
      </c>
      <c r="D58" s="94">
        <v>6.6428861766961944</v>
      </c>
      <c r="E58" s="95">
        <v>8.3305963840047514</v>
      </c>
      <c r="G58" s="107" t="s">
        <v>580</v>
      </c>
      <c r="H58" s="105">
        <v>58.357971531116526</v>
      </c>
      <c r="I58" s="97">
        <v>128</v>
      </c>
      <c r="J58" s="98">
        <v>31</v>
      </c>
      <c r="K58" s="85"/>
      <c r="L58" s="93">
        <v>8.6478116333741841</v>
      </c>
      <c r="M58" s="94">
        <v>10.582270048267214</v>
      </c>
      <c r="N58" s="94">
        <v>10.257492961005118</v>
      </c>
      <c r="O58" s="94">
        <v>10.4</v>
      </c>
      <c r="P58" s="94">
        <v>8</v>
      </c>
      <c r="Q58" s="94">
        <v>10.210000000000001</v>
      </c>
      <c r="R58" s="94">
        <v>7.7030000000000003</v>
      </c>
      <c r="S58" s="94">
        <v>9.0370000000000008</v>
      </c>
      <c r="T58" s="94">
        <v>6.0570000000000004</v>
      </c>
      <c r="U58" s="94">
        <v>6.2649999999999997</v>
      </c>
      <c r="V58" s="95">
        <v>6.3579999999999997</v>
      </c>
      <c r="W58" s="95">
        <f t="shared" si="0"/>
        <v>7.4867412803504729</v>
      </c>
    </row>
    <row r="59" spans="1:23" x14ac:dyDescent="0.35">
      <c r="A59" s="85" t="s">
        <v>227</v>
      </c>
      <c r="B59" s="85" t="s">
        <v>633</v>
      </c>
      <c r="C59" s="93">
        <v>0.92513707934396283</v>
      </c>
      <c r="D59" s="94">
        <v>1.065704979127502</v>
      </c>
      <c r="E59" s="95">
        <v>1.0351636365421246</v>
      </c>
      <c r="G59" s="107" t="s">
        <v>417</v>
      </c>
      <c r="H59" s="105">
        <v>97.443307672167862</v>
      </c>
      <c r="I59" s="97">
        <v>5</v>
      </c>
      <c r="J59" s="98">
        <v>3</v>
      </c>
      <c r="K59" s="85"/>
      <c r="L59" s="93">
        <v>-1.3973545576374944</v>
      </c>
      <c r="M59" s="94">
        <v>-0.90201849743960727</v>
      </c>
      <c r="N59" s="94">
        <v>-0.36494028121428063</v>
      </c>
      <c r="O59" s="94">
        <v>0.54400000000000004</v>
      </c>
      <c r="P59" s="94">
        <v>2.8109999999999999</v>
      </c>
      <c r="Q59" s="94">
        <v>3.1920000000000002</v>
      </c>
      <c r="R59" s="94">
        <v>1.1399999999999999</v>
      </c>
      <c r="S59" s="94">
        <v>1.224</v>
      </c>
      <c r="T59" s="94">
        <v>-2.355</v>
      </c>
      <c r="U59" s="94">
        <v>3.0459999999999998</v>
      </c>
      <c r="V59" s="95">
        <v>2.0840000000000001</v>
      </c>
      <c r="W59" s="95">
        <f t="shared" si="0"/>
        <v>1.0504343078348133</v>
      </c>
    </row>
    <row r="60" spans="1:23" x14ac:dyDescent="0.35">
      <c r="A60" s="85" t="s">
        <v>227</v>
      </c>
      <c r="B60" s="85" t="s">
        <v>634</v>
      </c>
      <c r="C60" s="93">
        <v>0.35484098705607092</v>
      </c>
      <c r="D60" s="94">
        <v>0.85541697677951056</v>
      </c>
      <c r="E60" s="95">
        <v>1.0299722548507528</v>
      </c>
      <c r="G60" s="107" t="s">
        <v>417</v>
      </c>
      <c r="H60" s="105">
        <v>94.937245038342397</v>
      </c>
      <c r="I60" s="97">
        <v>20</v>
      </c>
      <c r="J60" s="98">
        <v>13</v>
      </c>
      <c r="K60" s="85"/>
      <c r="L60" s="93">
        <v>0.31313474167845923</v>
      </c>
      <c r="M60" s="94">
        <v>0.5763266794418439</v>
      </c>
      <c r="N60" s="94">
        <v>0.95618304768384532</v>
      </c>
      <c r="O60" s="94">
        <v>1.0549999999999999</v>
      </c>
      <c r="P60" s="94">
        <v>0.98199999999999998</v>
      </c>
      <c r="Q60" s="94">
        <v>2.4489999999999998</v>
      </c>
      <c r="R60" s="94">
        <v>1.8240000000000001</v>
      </c>
      <c r="S60" s="94">
        <v>1.8839999999999999</v>
      </c>
      <c r="T60" s="94">
        <v>-7.907</v>
      </c>
      <c r="U60" s="94">
        <v>6.77</v>
      </c>
      <c r="V60" s="95">
        <v>2.6059999999999999</v>
      </c>
      <c r="W60" s="95">
        <f t="shared" si="0"/>
        <v>0.9426946158151317</v>
      </c>
    </row>
    <row r="61" spans="1:23" x14ac:dyDescent="0.35">
      <c r="A61" s="85" t="s">
        <v>582</v>
      </c>
      <c r="B61" s="85" t="s">
        <v>635</v>
      </c>
      <c r="C61" s="93">
        <v>0.80490169914342324</v>
      </c>
      <c r="D61" s="94">
        <v>1.4271603442411074</v>
      </c>
      <c r="E61" s="95">
        <v>2.3419356903168431</v>
      </c>
      <c r="G61" s="107" t="s">
        <v>580</v>
      </c>
      <c r="H61" s="105">
        <v>37.219050826761183</v>
      </c>
      <c r="I61" s="97">
        <v>153</v>
      </c>
      <c r="J61" s="98">
        <v>46</v>
      </c>
      <c r="K61" s="85"/>
      <c r="L61" s="93">
        <v>5.251076917504065</v>
      </c>
      <c r="M61" s="94">
        <v>5.6386990033869457</v>
      </c>
      <c r="N61" s="94">
        <v>4.3149644410747063</v>
      </c>
      <c r="O61" s="94">
        <v>3.879</v>
      </c>
      <c r="P61" s="94">
        <v>2.0910000000000002</v>
      </c>
      <c r="Q61" s="94">
        <v>0.47299999999999998</v>
      </c>
      <c r="R61" s="94">
        <v>0.84299999999999997</v>
      </c>
      <c r="S61" s="94">
        <v>3.915</v>
      </c>
      <c r="T61" s="94">
        <v>-1.8640000000000001</v>
      </c>
      <c r="U61" s="94">
        <v>1.484</v>
      </c>
      <c r="V61" s="95">
        <v>2.8479999999999999</v>
      </c>
      <c r="W61" s="95">
        <f t="shared" si="0"/>
        <v>1.8845480172789753</v>
      </c>
    </row>
    <row r="62" spans="1:23" x14ac:dyDescent="0.35">
      <c r="A62" s="85" t="s">
        <v>582</v>
      </c>
      <c r="B62" s="85" t="s">
        <v>636</v>
      </c>
      <c r="C62" s="93">
        <v>3.0839257560593802</v>
      </c>
      <c r="D62" s="94">
        <v>4.5260960958580343</v>
      </c>
      <c r="E62" s="95">
        <v>3.4750911540431417</v>
      </c>
      <c r="G62" s="107" t="s">
        <v>424</v>
      </c>
      <c r="H62" s="105">
        <v>65.416670727464805</v>
      </c>
      <c r="I62" s="97">
        <v>114</v>
      </c>
      <c r="J62" s="98">
        <v>26</v>
      </c>
      <c r="K62" s="85"/>
      <c r="L62" s="93">
        <v>5.2415692463074244</v>
      </c>
      <c r="M62" s="94">
        <v>2.8727687903269969</v>
      </c>
      <c r="N62" s="94">
        <v>-1.4073824951095362</v>
      </c>
      <c r="O62" s="94">
        <v>4.0579999999999998</v>
      </c>
      <c r="P62" s="94">
        <v>1.9430000000000001</v>
      </c>
      <c r="Q62" s="94">
        <v>4.8230000000000004</v>
      </c>
      <c r="R62" s="94">
        <v>7.2350000000000003</v>
      </c>
      <c r="S62" s="94">
        <v>6.2220000000000004</v>
      </c>
      <c r="T62" s="94">
        <v>0.59099999999999997</v>
      </c>
      <c r="U62" s="94">
        <v>4.2649999999999997</v>
      </c>
      <c r="V62" s="95">
        <v>4.4409999999999998</v>
      </c>
      <c r="W62" s="95">
        <f t="shared" si="0"/>
        <v>4.0005936249505876</v>
      </c>
    </row>
    <row r="63" spans="1:23" x14ac:dyDescent="0.35">
      <c r="A63" s="85" t="s">
        <v>227</v>
      </c>
      <c r="B63" s="85" t="s">
        <v>637</v>
      </c>
      <c r="C63" s="93">
        <v>4.283743954922925</v>
      </c>
      <c r="D63" s="94">
        <v>4.5348375618438741</v>
      </c>
      <c r="E63" s="95">
        <v>4.1477466898679483</v>
      </c>
      <c r="G63" s="107" t="s">
        <v>584</v>
      </c>
      <c r="H63" s="105">
        <v>80.727500391697276</v>
      </c>
      <c r="I63" s="97">
        <v>46</v>
      </c>
      <c r="J63" s="98">
        <v>31</v>
      </c>
      <c r="K63" s="85"/>
      <c r="L63" s="93">
        <v>6.3690083063386043</v>
      </c>
      <c r="M63" s="94">
        <v>3.6213053519627643</v>
      </c>
      <c r="N63" s="94">
        <v>4.4319248230907649</v>
      </c>
      <c r="O63" s="94">
        <v>3.0270000000000001</v>
      </c>
      <c r="P63" s="94">
        <v>2.9060000000000001</v>
      </c>
      <c r="Q63" s="94">
        <v>4.843</v>
      </c>
      <c r="R63" s="94">
        <v>4.843</v>
      </c>
      <c r="S63" s="94">
        <v>4.9820000000000002</v>
      </c>
      <c r="T63" s="94">
        <v>-6.76</v>
      </c>
      <c r="U63" s="94">
        <v>10.465999999999999</v>
      </c>
      <c r="V63" s="95">
        <v>10.109</v>
      </c>
      <c r="W63" s="95">
        <f t="shared" si="0"/>
        <v>4.3412921258559116</v>
      </c>
    </row>
    <row r="64" spans="1:23" x14ac:dyDescent="0.35">
      <c r="A64" s="85" t="s">
        <v>227</v>
      </c>
      <c r="B64" s="85" t="s">
        <v>638</v>
      </c>
      <c r="C64" s="93">
        <v>0.19639292345923209</v>
      </c>
      <c r="D64" s="94">
        <v>0.54722001304448042</v>
      </c>
      <c r="E64" s="95">
        <v>1.1791658469401556</v>
      </c>
      <c r="G64" s="107" t="s">
        <v>417</v>
      </c>
      <c r="H64" s="105">
        <v>96.79194200114037</v>
      </c>
      <c r="I64" s="97">
        <v>8</v>
      </c>
      <c r="J64" s="98">
        <v>6</v>
      </c>
      <c r="K64" s="85"/>
      <c r="L64" s="93">
        <v>0.41955108005357267</v>
      </c>
      <c r="M64" s="94">
        <v>0.42824326167218907</v>
      </c>
      <c r="N64" s="94">
        <v>2.2256887491492803</v>
      </c>
      <c r="O64" s="94">
        <v>1.4870000000000001</v>
      </c>
      <c r="P64" s="94">
        <v>2.23</v>
      </c>
      <c r="Q64" s="94">
        <v>2.68</v>
      </c>
      <c r="R64" s="94">
        <v>0.98399999999999999</v>
      </c>
      <c r="S64" s="94">
        <v>1.054</v>
      </c>
      <c r="T64" s="94">
        <v>-3.6920000000000002</v>
      </c>
      <c r="U64" s="94">
        <v>2.625</v>
      </c>
      <c r="V64" s="95">
        <v>1.778</v>
      </c>
      <c r="W64" s="95">
        <f t="shared" si="0"/>
        <v>0.863192929992318</v>
      </c>
    </row>
    <row r="65" spans="1:23" x14ac:dyDescent="0.35">
      <c r="A65" s="85" t="s">
        <v>582</v>
      </c>
      <c r="B65" s="85" t="s">
        <v>639</v>
      </c>
      <c r="C65" s="93">
        <v>3.0107142168638523</v>
      </c>
      <c r="D65" s="94">
        <v>4.8285507296226937</v>
      </c>
      <c r="E65" s="95">
        <v>4.7980640567336197</v>
      </c>
      <c r="G65" s="107" t="s">
        <v>401</v>
      </c>
      <c r="H65" s="105">
        <v>69.704517199471169</v>
      </c>
      <c r="I65" s="97">
        <v>89</v>
      </c>
      <c r="J65" s="98">
        <v>13</v>
      </c>
      <c r="K65" s="85"/>
      <c r="L65" s="93">
        <v>9.2927894045967889</v>
      </c>
      <c r="M65" s="94">
        <v>7.3125250073312458</v>
      </c>
      <c r="N65" s="94">
        <v>2.8974388369154251</v>
      </c>
      <c r="O65" s="94">
        <v>2.121</v>
      </c>
      <c r="P65" s="94">
        <v>3.3730000000000002</v>
      </c>
      <c r="Q65" s="94">
        <v>8.1289999999999996</v>
      </c>
      <c r="R65" s="94">
        <v>6.2</v>
      </c>
      <c r="S65" s="94">
        <v>6.508</v>
      </c>
      <c r="T65" s="94">
        <v>0.51400000000000001</v>
      </c>
      <c r="U65" s="94">
        <v>5.3559999999999999</v>
      </c>
      <c r="V65" s="95">
        <v>3.2189999999999999</v>
      </c>
      <c r="W65" s="95">
        <f t="shared" si="0"/>
        <v>4.8133073931781567</v>
      </c>
    </row>
    <row r="66" spans="1:23" x14ac:dyDescent="0.35">
      <c r="A66" s="85" t="s">
        <v>227</v>
      </c>
      <c r="B66" s="85" t="s">
        <v>640</v>
      </c>
      <c r="C66" s="93">
        <v>1.4800990034344652</v>
      </c>
      <c r="D66" s="94">
        <v>1.2580147511245698</v>
      </c>
      <c r="E66" s="95">
        <v>0.45671215262543807</v>
      </c>
      <c r="G66" s="107" t="s">
        <v>417</v>
      </c>
      <c r="H66" s="105">
        <v>87.308557455608167</v>
      </c>
      <c r="I66" s="97">
        <v>31</v>
      </c>
      <c r="J66" s="98">
        <v>20</v>
      </c>
      <c r="K66" s="85"/>
      <c r="L66" s="93">
        <v>-7.3004939606978656</v>
      </c>
      <c r="M66" s="94">
        <v>-3.2414250560129267</v>
      </c>
      <c r="N66" s="94">
        <v>0.73977713855774985</v>
      </c>
      <c r="O66" s="94">
        <v>-0.19600000000000001</v>
      </c>
      <c r="P66" s="94">
        <v>-0.48699999999999999</v>
      </c>
      <c r="Q66" s="94">
        <v>1.0920000000000001</v>
      </c>
      <c r="R66" s="94">
        <v>1.6679999999999999</v>
      </c>
      <c r="S66" s="94">
        <v>1.8839999999999999</v>
      </c>
      <c r="T66" s="94">
        <v>-9.0039999999999996</v>
      </c>
      <c r="U66" s="94">
        <v>8.4339999999999993</v>
      </c>
      <c r="V66" s="95">
        <v>5.9139999999999997</v>
      </c>
      <c r="W66" s="95">
        <f t="shared" si="0"/>
        <v>0.85736345187500396</v>
      </c>
    </row>
    <row r="67" spans="1:23" x14ac:dyDescent="0.35">
      <c r="A67" s="85" t="s">
        <v>586</v>
      </c>
      <c r="B67" s="85" t="s">
        <v>641</v>
      </c>
      <c r="C67" s="93">
        <v>3.3306625930319189</v>
      </c>
      <c r="D67" s="94">
        <v>3.4919746764532578</v>
      </c>
      <c r="E67" s="95">
        <v>3.5384372691175781</v>
      </c>
      <c r="G67" s="107" t="s">
        <v>401</v>
      </c>
      <c r="H67" s="105">
        <v>71.336652243067974</v>
      </c>
      <c r="I67" s="97">
        <v>82</v>
      </c>
      <c r="J67" s="98">
        <v>10</v>
      </c>
      <c r="K67" s="85"/>
      <c r="L67" s="93">
        <v>2.9698574079878068</v>
      </c>
      <c r="M67" s="94">
        <v>3.6975861001947585</v>
      </c>
      <c r="N67" s="94">
        <v>4.4439780738522474</v>
      </c>
      <c r="O67" s="94">
        <v>4.0919999999999996</v>
      </c>
      <c r="P67" s="94">
        <v>2.6779999999999999</v>
      </c>
      <c r="Q67" s="94">
        <v>3.08</v>
      </c>
      <c r="R67" s="94">
        <v>3.407</v>
      </c>
      <c r="S67" s="94">
        <v>4.0019999999999998</v>
      </c>
      <c r="T67" s="94">
        <v>-1.764</v>
      </c>
      <c r="U67" s="94">
        <v>7.9809999999999999</v>
      </c>
      <c r="V67" s="95">
        <v>4.0090000000000003</v>
      </c>
      <c r="W67" s="95">
        <f t="shared" si="0"/>
        <v>3.5152059727854179</v>
      </c>
    </row>
    <row r="68" spans="1:23" x14ac:dyDescent="0.35">
      <c r="A68" s="85" t="s">
        <v>582</v>
      </c>
      <c r="B68" s="85" t="s">
        <v>642</v>
      </c>
      <c r="C68" s="93">
        <v>4.3705772513408236</v>
      </c>
      <c r="D68" s="94">
        <v>4.9898667622307658</v>
      </c>
      <c r="E68" s="95">
        <v>5.729233966321412</v>
      </c>
      <c r="G68" s="107" t="s">
        <v>580</v>
      </c>
      <c r="H68" s="105">
        <v>50.297438492745087</v>
      </c>
      <c r="I68" s="97">
        <v>138</v>
      </c>
      <c r="J68" s="98">
        <v>36</v>
      </c>
      <c r="K68" s="85"/>
      <c r="L68" s="93">
        <v>5.9152881384417997</v>
      </c>
      <c r="M68" s="94">
        <v>3.9456854305126305</v>
      </c>
      <c r="N68" s="94">
        <v>3.6965411823164165</v>
      </c>
      <c r="O68" s="94">
        <v>3.8260000000000001</v>
      </c>
      <c r="P68" s="94">
        <v>10.821</v>
      </c>
      <c r="Q68" s="94">
        <v>10.3</v>
      </c>
      <c r="R68" s="94">
        <v>6.3579999999999997</v>
      </c>
      <c r="S68" s="94">
        <v>5.617</v>
      </c>
      <c r="T68" s="94">
        <v>4.92</v>
      </c>
      <c r="U68" s="94">
        <v>4.2919999999999998</v>
      </c>
      <c r="V68" s="95">
        <v>4.2939999999999996</v>
      </c>
      <c r="W68" s="95">
        <f t="shared" si="0"/>
        <v>5.3595503642760889</v>
      </c>
    </row>
    <row r="69" spans="1:23" x14ac:dyDescent="0.35">
      <c r="A69" s="85" t="s">
        <v>582</v>
      </c>
      <c r="B69" s="85" t="s">
        <v>643</v>
      </c>
      <c r="C69" s="93">
        <v>1.5927018196488341</v>
      </c>
      <c r="D69" s="94">
        <v>2.1053991541019057</v>
      </c>
      <c r="E69" s="95">
        <v>3.2889383993762955</v>
      </c>
      <c r="G69" s="107" t="s">
        <v>580</v>
      </c>
      <c r="H69" s="105">
        <v>54.70982708603303</v>
      </c>
      <c r="I69" s="97">
        <v>134</v>
      </c>
      <c r="J69" s="98">
        <v>34</v>
      </c>
      <c r="K69" s="85"/>
      <c r="L69" s="93">
        <v>-1.7126830118107121</v>
      </c>
      <c r="M69" s="94">
        <v>3.255904265176933</v>
      </c>
      <c r="N69" s="94">
        <v>0.96456075098132787</v>
      </c>
      <c r="O69" s="94">
        <v>6.1340000000000003</v>
      </c>
      <c r="P69" s="94">
        <v>5.3070000000000004</v>
      </c>
      <c r="Q69" s="94">
        <v>4.7889999999999997</v>
      </c>
      <c r="R69" s="94">
        <v>3.7610000000000001</v>
      </c>
      <c r="S69" s="94">
        <v>4.5</v>
      </c>
      <c r="T69" s="94">
        <v>1.5</v>
      </c>
      <c r="U69" s="94">
        <v>6.4</v>
      </c>
      <c r="V69" s="95">
        <v>3.5</v>
      </c>
      <c r="W69" s="95">
        <f t="shared" si="0"/>
        <v>2.6971687767391006</v>
      </c>
    </row>
    <row r="70" spans="1:23" x14ac:dyDescent="0.35">
      <c r="A70" s="85" t="s">
        <v>586</v>
      </c>
      <c r="B70" s="85" t="s">
        <v>644</v>
      </c>
      <c r="C70" s="93">
        <v>40.872083180158647</v>
      </c>
      <c r="D70" s="94">
        <v>25.198248131969379</v>
      </c>
      <c r="E70" s="95">
        <v>13.395686805616647</v>
      </c>
      <c r="G70" s="107" t="s">
        <v>580</v>
      </c>
      <c r="H70" s="105">
        <v>56.740934863022261</v>
      </c>
      <c r="I70" s="97">
        <v>129</v>
      </c>
      <c r="J70" s="98">
        <v>21</v>
      </c>
      <c r="K70" s="85"/>
      <c r="L70" s="93">
        <v>5.3836234687298372</v>
      </c>
      <c r="M70" s="94">
        <v>3.6535047680067998</v>
      </c>
      <c r="N70" s="94">
        <v>1.6860277321410588</v>
      </c>
      <c r="O70" s="94">
        <v>0.68700000000000006</v>
      </c>
      <c r="P70" s="94">
        <v>3.8069999999999999</v>
      </c>
      <c r="Q70" s="94">
        <v>3.734</v>
      </c>
      <c r="R70" s="94">
        <v>4.4409999999999998</v>
      </c>
      <c r="S70" s="94">
        <v>5.3529999999999998</v>
      </c>
      <c r="T70" s="94">
        <v>43.48</v>
      </c>
      <c r="U70" s="94">
        <v>20.059999999999999</v>
      </c>
      <c r="V70" s="95">
        <v>62.287999999999997</v>
      </c>
      <c r="W70" s="95">
        <f t="shared" si="0"/>
        <v>19.296967468793014</v>
      </c>
    </row>
    <row r="71" spans="1:23" x14ac:dyDescent="0.35">
      <c r="A71" s="85" t="s">
        <v>586</v>
      </c>
      <c r="B71" s="85" t="s">
        <v>645</v>
      </c>
      <c r="C71" s="93">
        <v>-0.34574931867293879</v>
      </c>
      <c r="D71" s="94">
        <v>0.64565822904871784</v>
      </c>
      <c r="E71" s="95">
        <v>2.5156599586003026</v>
      </c>
      <c r="G71" s="107" t="s">
        <v>580</v>
      </c>
      <c r="H71" s="105">
        <v>54.401198784391461</v>
      </c>
      <c r="I71" s="97">
        <v>135</v>
      </c>
      <c r="J71" s="98">
        <v>22</v>
      </c>
      <c r="K71" s="85"/>
      <c r="L71" s="93">
        <v>-7.4695954800602468E-2</v>
      </c>
      <c r="M71" s="94">
        <v>9.2111856449685803</v>
      </c>
      <c r="N71" s="94">
        <v>1.9148137793287729</v>
      </c>
      <c r="O71" s="94">
        <v>2.5630000000000002</v>
      </c>
      <c r="P71" s="94">
        <v>1.8120000000000001</v>
      </c>
      <c r="Q71" s="94">
        <v>2.5099999999999998</v>
      </c>
      <c r="R71" s="94">
        <v>1.6679999999999999</v>
      </c>
      <c r="S71" s="94">
        <v>-1.6850000000000001</v>
      </c>
      <c r="T71" s="94">
        <v>-3.343</v>
      </c>
      <c r="U71" s="94">
        <v>-1.798</v>
      </c>
      <c r="V71" s="95">
        <v>-1.6819999999999999</v>
      </c>
      <c r="W71" s="95">
        <f t="shared" si="0"/>
        <v>1.5806590938245102</v>
      </c>
    </row>
    <row r="72" spans="1:23" x14ac:dyDescent="0.35">
      <c r="A72" s="85" t="s">
        <v>586</v>
      </c>
      <c r="B72" s="85" t="s">
        <v>646</v>
      </c>
      <c r="C72" s="93">
        <v>2.1352529558121391</v>
      </c>
      <c r="D72" s="94">
        <v>2.5786313755856494</v>
      </c>
      <c r="E72" s="95">
        <v>3.1291474397337593</v>
      </c>
      <c r="G72" s="107" t="s">
        <v>580</v>
      </c>
      <c r="H72" s="105">
        <v>39.565152370912173</v>
      </c>
      <c r="I72" s="97">
        <v>152</v>
      </c>
      <c r="J72" s="98">
        <v>24</v>
      </c>
      <c r="K72" s="85"/>
      <c r="L72" s="93">
        <v>4.1286877486693667</v>
      </c>
      <c r="M72" s="94">
        <v>2.7915597574680358</v>
      </c>
      <c r="N72" s="94">
        <v>3.0580805621437066</v>
      </c>
      <c r="O72" s="94">
        <v>3.84</v>
      </c>
      <c r="P72" s="94">
        <v>3.8929999999999998</v>
      </c>
      <c r="Q72" s="94">
        <v>4.843</v>
      </c>
      <c r="R72" s="94">
        <v>3.8450000000000002</v>
      </c>
      <c r="S72" s="94">
        <v>2.653</v>
      </c>
      <c r="T72" s="94">
        <v>-8.9649999999999999</v>
      </c>
      <c r="U72" s="94">
        <v>12.534000000000001</v>
      </c>
      <c r="V72" s="95">
        <v>4</v>
      </c>
      <c r="W72" s="95">
        <f t="shared" si="0"/>
        <v>2.8538894076597043</v>
      </c>
    </row>
    <row r="73" spans="1:23" x14ac:dyDescent="0.35">
      <c r="A73" s="85" t="s">
        <v>578</v>
      </c>
      <c r="B73" s="85" t="s">
        <v>647</v>
      </c>
      <c r="C73" s="93">
        <v>-1.3866109004180949</v>
      </c>
      <c r="D73" s="94">
        <v>-0.61127068207094126</v>
      </c>
      <c r="E73" s="95">
        <v>1.1000622223137801</v>
      </c>
      <c r="G73" s="107" t="s">
        <v>417</v>
      </c>
      <c r="H73" s="105">
        <v>95.561927385722356</v>
      </c>
      <c r="I73" s="97">
        <v>18</v>
      </c>
      <c r="J73" s="98">
        <v>5</v>
      </c>
      <c r="K73" s="85"/>
      <c r="L73" s="93">
        <v>1.7002747714417163</v>
      </c>
      <c r="M73" s="94">
        <v>3.1015497799994041</v>
      </c>
      <c r="N73" s="94">
        <v>2.7623919976975242</v>
      </c>
      <c r="O73" s="94">
        <v>2.3879999999999999</v>
      </c>
      <c r="P73" s="94">
        <v>2.1749999999999998</v>
      </c>
      <c r="Q73" s="94">
        <v>3.7959999999999998</v>
      </c>
      <c r="R73" s="94">
        <v>2.847</v>
      </c>
      <c r="S73" s="94">
        <v>-1.6719999999999999</v>
      </c>
      <c r="T73" s="94">
        <v>-6.5449999999999999</v>
      </c>
      <c r="U73" s="94">
        <v>6.4480000000000004</v>
      </c>
      <c r="V73" s="95">
        <v>-3.5070000000000001</v>
      </c>
      <c r="W73" s="95">
        <f t="shared" si="0"/>
        <v>0.24439577012141944</v>
      </c>
    </row>
    <row r="74" spans="1:23" x14ac:dyDescent="0.35">
      <c r="A74" s="85" t="s">
        <v>227</v>
      </c>
      <c r="B74" s="85" t="s">
        <v>648</v>
      </c>
      <c r="C74" s="93">
        <v>2.362570497371097</v>
      </c>
      <c r="D74" s="94">
        <v>3.4329643388785636</v>
      </c>
      <c r="E74" s="95">
        <v>3.366609258538622</v>
      </c>
      <c r="G74" s="107" t="s">
        <v>401</v>
      </c>
      <c r="H74" s="105">
        <v>75.842312832768172</v>
      </c>
      <c r="I74" s="97">
        <v>67</v>
      </c>
      <c r="J74" s="98">
        <v>37</v>
      </c>
      <c r="K74" s="85"/>
      <c r="L74" s="93">
        <v>-1.4717888510830746</v>
      </c>
      <c r="M74" s="94">
        <v>1.9629840486290608</v>
      </c>
      <c r="N74" s="94">
        <v>4.1950824094780925</v>
      </c>
      <c r="O74" s="94">
        <v>3.7069999999999999</v>
      </c>
      <c r="P74" s="94">
        <v>2.2010000000000001</v>
      </c>
      <c r="Q74" s="94">
        <v>4.2720000000000002</v>
      </c>
      <c r="R74" s="94">
        <v>5.3620000000000001</v>
      </c>
      <c r="S74" s="94">
        <v>4.8579999999999997</v>
      </c>
      <c r="T74" s="94">
        <v>-4.5469999999999997</v>
      </c>
      <c r="U74" s="94">
        <v>7.117</v>
      </c>
      <c r="V74" s="95">
        <v>4.9000000000000004</v>
      </c>
      <c r="W74" s="95">
        <f t="shared" si="0"/>
        <v>3.3997867987085928</v>
      </c>
    </row>
    <row r="75" spans="1:23" x14ac:dyDescent="0.35">
      <c r="A75" s="85" t="s">
        <v>227</v>
      </c>
      <c r="B75" s="85" t="s">
        <v>649</v>
      </c>
      <c r="C75" s="93">
        <v>1.1623871589995449</v>
      </c>
      <c r="D75" s="94">
        <v>2.1481166990517275</v>
      </c>
      <c r="E75" s="95">
        <v>3.1810733517810608</v>
      </c>
      <c r="G75" s="107" t="s">
        <v>417</v>
      </c>
      <c r="H75" s="105">
        <v>95.11269526919466</v>
      </c>
      <c r="I75" s="97">
        <v>19</v>
      </c>
      <c r="J75" s="98">
        <v>12</v>
      </c>
      <c r="K75" s="85"/>
      <c r="L75" s="93">
        <v>1.0636366074376145</v>
      </c>
      <c r="M75" s="94">
        <v>4.5524603201510816</v>
      </c>
      <c r="N75" s="94">
        <v>1.687215017506406</v>
      </c>
      <c r="O75" s="94">
        <v>4.4370000000000003</v>
      </c>
      <c r="P75" s="94">
        <v>6.3040000000000003</v>
      </c>
      <c r="Q75" s="94">
        <v>4.1950000000000003</v>
      </c>
      <c r="R75" s="94">
        <v>4.8890000000000002</v>
      </c>
      <c r="S75" s="94">
        <v>1.8049999999999999</v>
      </c>
      <c r="T75" s="94">
        <v>-7.242</v>
      </c>
      <c r="U75" s="94">
        <v>4.3330000000000002</v>
      </c>
      <c r="V75" s="95">
        <v>6.4450000000000003</v>
      </c>
      <c r="W75" s="95">
        <f t="shared" ref="W75:W138" si="1">AVERAGE(D75,E75)</f>
        <v>2.6645950254163941</v>
      </c>
    </row>
    <row r="76" spans="1:23" x14ac:dyDescent="0.35">
      <c r="A76" s="85" t="s">
        <v>578</v>
      </c>
      <c r="B76" s="85" t="s">
        <v>650</v>
      </c>
      <c r="C76" s="93">
        <v>2.7398620097403459</v>
      </c>
      <c r="D76" s="94">
        <v>3.6623835250989556</v>
      </c>
      <c r="E76" s="95">
        <v>5.5227254922200597</v>
      </c>
      <c r="G76" s="107" t="s">
        <v>424</v>
      </c>
      <c r="H76" s="105">
        <v>66.198052259063019</v>
      </c>
      <c r="I76" s="97">
        <v>109</v>
      </c>
      <c r="J76" s="98">
        <v>21</v>
      </c>
      <c r="K76" s="85"/>
      <c r="L76" s="93">
        <v>5.4563589507228496</v>
      </c>
      <c r="M76" s="94">
        <v>6.3861064009482602</v>
      </c>
      <c r="N76" s="94">
        <v>7.410227605088517</v>
      </c>
      <c r="O76" s="94">
        <v>7.9960000000000004</v>
      </c>
      <c r="P76" s="94">
        <v>8.2560000000000002</v>
      </c>
      <c r="Q76" s="94">
        <v>6.7949999999999999</v>
      </c>
      <c r="R76" s="94">
        <v>6.4539999999999997</v>
      </c>
      <c r="S76" s="94">
        <v>3.871</v>
      </c>
      <c r="T76" s="94">
        <v>-5.8310000000000004</v>
      </c>
      <c r="U76" s="94">
        <v>9.0500000000000007</v>
      </c>
      <c r="V76" s="95">
        <v>6.8310000000000004</v>
      </c>
      <c r="W76" s="95">
        <f t="shared" si="1"/>
        <v>4.5925545086595072</v>
      </c>
    </row>
    <row r="77" spans="1:23" x14ac:dyDescent="0.35">
      <c r="A77" s="85" t="s">
        <v>578</v>
      </c>
      <c r="B77" s="85" t="s">
        <v>651</v>
      </c>
      <c r="C77" s="93">
        <v>2.2622053552423305</v>
      </c>
      <c r="D77" s="94">
        <v>3.3867361875690394</v>
      </c>
      <c r="E77" s="95">
        <v>4.2439953782461792</v>
      </c>
      <c r="G77" s="107" t="s">
        <v>401</v>
      </c>
      <c r="H77" s="105">
        <v>71.158529876167961</v>
      </c>
      <c r="I77" s="97">
        <v>83</v>
      </c>
      <c r="J77" s="98">
        <v>14</v>
      </c>
      <c r="K77" s="85"/>
      <c r="L77" s="93">
        <v>6.0300506530561035</v>
      </c>
      <c r="M77" s="94">
        <v>5.5572636889101181</v>
      </c>
      <c r="N77" s="94">
        <v>5.0066684257549943</v>
      </c>
      <c r="O77" s="94">
        <v>4.8760000000000003</v>
      </c>
      <c r="P77" s="94">
        <v>5.0330000000000004</v>
      </c>
      <c r="Q77" s="94">
        <v>5.07</v>
      </c>
      <c r="R77" s="94">
        <v>5.1740000000000004</v>
      </c>
      <c r="S77" s="94">
        <v>5.0190000000000001</v>
      </c>
      <c r="T77" s="94">
        <v>-2.0659999999999998</v>
      </c>
      <c r="U77" s="94">
        <v>3.7029999999999998</v>
      </c>
      <c r="V77" s="95">
        <v>5.3090000000000002</v>
      </c>
      <c r="W77" s="95">
        <f t="shared" si="1"/>
        <v>3.8153657829076093</v>
      </c>
    </row>
    <row r="78" spans="1:23" x14ac:dyDescent="0.35">
      <c r="A78" s="85" t="s">
        <v>227</v>
      </c>
      <c r="B78" s="85" t="s">
        <v>652</v>
      </c>
      <c r="C78" s="93">
        <v>10.534737934438866</v>
      </c>
      <c r="D78" s="94">
        <v>8.9900271540683807</v>
      </c>
      <c r="E78" s="95">
        <v>9.0332345891797274</v>
      </c>
      <c r="G78" s="107" t="s">
        <v>417</v>
      </c>
      <c r="H78" s="105">
        <v>96.106887509545572</v>
      </c>
      <c r="I78" s="97">
        <v>12</v>
      </c>
      <c r="J78" s="98">
        <v>9</v>
      </c>
      <c r="K78" s="85"/>
      <c r="L78" s="93">
        <v>0.22571484300232808</v>
      </c>
      <c r="M78" s="94">
        <v>1.3516340039407124</v>
      </c>
      <c r="N78" s="94">
        <v>8.5566879851340367</v>
      </c>
      <c r="O78" s="94">
        <v>24.370999999999999</v>
      </c>
      <c r="P78" s="94">
        <v>2.0070000000000001</v>
      </c>
      <c r="Q78" s="94">
        <v>9.0050000000000008</v>
      </c>
      <c r="R78" s="94">
        <v>8.5280000000000005</v>
      </c>
      <c r="S78" s="94">
        <v>5.4409999999999998</v>
      </c>
      <c r="T78" s="94">
        <v>6.1840000000000002</v>
      </c>
      <c r="U78" s="94">
        <v>13.587999999999999</v>
      </c>
      <c r="V78" s="95">
        <v>11.97</v>
      </c>
      <c r="W78" s="95">
        <f t="shared" si="1"/>
        <v>9.0116308716240532</v>
      </c>
    </row>
    <row r="79" spans="1:23" x14ac:dyDescent="0.35">
      <c r="A79" s="85" t="s">
        <v>593</v>
      </c>
      <c r="B79" s="85" t="s">
        <v>653</v>
      </c>
      <c r="C79" s="93">
        <v>4.2964072248328211</v>
      </c>
      <c r="D79" s="94">
        <v>4.3056817639917977</v>
      </c>
      <c r="E79" s="95">
        <v>3.9225915638386066</v>
      </c>
      <c r="G79" s="107" t="s">
        <v>417</v>
      </c>
      <c r="H79" s="105">
        <v>91.08708937267636</v>
      </c>
      <c r="I79" s="97">
        <v>24</v>
      </c>
      <c r="J79" s="98">
        <v>2</v>
      </c>
      <c r="K79" s="85"/>
      <c r="L79" s="93">
        <v>2.2572375479441442</v>
      </c>
      <c r="M79" s="94">
        <v>4.1480545517150818</v>
      </c>
      <c r="N79" s="94">
        <v>3.7582001903069706</v>
      </c>
      <c r="O79" s="94">
        <v>2.4860000000000002</v>
      </c>
      <c r="P79" s="94">
        <v>4.5220000000000002</v>
      </c>
      <c r="Q79" s="94">
        <v>4.2759999999999998</v>
      </c>
      <c r="R79" s="94">
        <v>4.07</v>
      </c>
      <c r="S79" s="94">
        <v>4.1559999999999997</v>
      </c>
      <c r="T79" s="94">
        <v>-1.857</v>
      </c>
      <c r="U79" s="94">
        <v>8.6120000000000001</v>
      </c>
      <c r="V79" s="95">
        <v>6.4320000000000004</v>
      </c>
      <c r="W79" s="95">
        <f t="shared" si="1"/>
        <v>4.1141366639152022</v>
      </c>
    </row>
    <row r="80" spans="1:23" x14ac:dyDescent="0.35">
      <c r="A80" s="85" t="s">
        <v>227</v>
      </c>
      <c r="B80" s="85" t="s">
        <v>654</v>
      </c>
      <c r="C80" s="93">
        <v>0.2182802501019987</v>
      </c>
      <c r="D80" s="94">
        <v>0.31439174572445161</v>
      </c>
      <c r="E80" s="95">
        <v>0.34271436280863821</v>
      </c>
      <c r="G80" s="107" t="s">
        <v>417</v>
      </c>
      <c r="H80" s="105">
        <v>88.947746010825512</v>
      </c>
      <c r="I80" s="97">
        <v>29</v>
      </c>
      <c r="J80" s="98">
        <v>18</v>
      </c>
      <c r="K80" s="85"/>
      <c r="L80" s="93">
        <v>-2.9809057682377182</v>
      </c>
      <c r="M80" s="94">
        <v>-1.8410654508824811</v>
      </c>
      <c r="N80" s="94">
        <v>-4.5475423638333965E-3</v>
      </c>
      <c r="O80" s="94">
        <v>0.77800000000000002</v>
      </c>
      <c r="P80" s="94">
        <v>1.2929999999999999</v>
      </c>
      <c r="Q80" s="94">
        <v>1.6679999999999999</v>
      </c>
      <c r="R80" s="94">
        <v>0.92600000000000005</v>
      </c>
      <c r="S80" s="94">
        <v>0.48299999999999998</v>
      </c>
      <c r="T80" s="94">
        <v>-8.9789999999999992</v>
      </c>
      <c r="U80" s="94">
        <v>6.9870000000000001</v>
      </c>
      <c r="V80" s="95">
        <v>3.6749999999999998</v>
      </c>
      <c r="W80" s="95">
        <f t="shared" si="1"/>
        <v>0.32855305426654491</v>
      </c>
    </row>
    <row r="81" spans="1:23" x14ac:dyDescent="0.35">
      <c r="A81" s="85" t="s">
        <v>586</v>
      </c>
      <c r="B81" s="85" t="s">
        <v>655</v>
      </c>
      <c r="C81" s="93">
        <v>-0.70306474958997667</v>
      </c>
      <c r="D81" s="94">
        <v>0.12887839009743107</v>
      </c>
      <c r="E81" s="95">
        <v>0.51362317164571625</v>
      </c>
      <c r="G81" s="107" t="s">
        <v>580</v>
      </c>
      <c r="H81" s="105">
        <v>53.312824662633638</v>
      </c>
      <c r="I81" s="97">
        <v>137</v>
      </c>
      <c r="J81" s="98">
        <v>23</v>
      </c>
      <c r="K81" s="85"/>
      <c r="L81" s="93">
        <v>-0.61363603986913318</v>
      </c>
      <c r="M81" s="94">
        <v>0.51768601280242099</v>
      </c>
      <c r="N81" s="94">
        <v>0.68982235737431619</v>
      </c>
      <c r="O81" s="94">
        <v>0.86899999999999999</v>
      </c>
      <c r="P81" s="94">
        <v>1.498</v>
      </c>
      <c r="Q81" s="94">
        <v>0.67900000000000005</v>
      </c>
      <c r="R81" s="94">
        <v>1.827</v>
      </c>
      <c r="S81" s="94">
        <v>0.97</v>
      </c>
      <c r="T81" s="94">
        <v>-9.92</v>
      </c>
      <c r="U81" s="94">
        <v>4.601</v>
      </c>
      <c r="V81" s="95">
        <v>4</v>
      </c>
      <c r="W81" s="95">
        <f t="shared" si="1"/>
        <v>0.32125078087157366</v>
      </c>
    </row>
    <row r="82" spans="1:23" x14ac:dyDescent="0.35">
      <c r="A82" s="85" t="s">
        <v>578</v>
      </c>
      <c r="B82" s="85" t="s">
        <v>656</v>
      </c>
      <c r="C82" s="93">
        <v>-0.63095756344230258</v>
      </c>
      <c r="D82" s="94">
        <v>2.4039609383130767E-3</v>
      </c>
      <c r="E82" s="95">
        <v>0.62673306790392846</v>
      </c>
      <c r="G82" s="107" t="s">
        <v>417</v>
      </c>
      <c r="H82" s="105">
        <v>96.063700314273362</v>
      </c>
      <c r="I82" s="97">
        <v>13</v>
      </c>
      <c r="J82" s="98">
        <v>4</v>
      </c>
      <c r="K82" s="85"/>
      <c r="L82" s="93">
        <v>1.495089585949261</v>
      </c>
      <c r="M82" s="94">
        <v>2.0002678411015018</v>
      </c>
      <c r="N82" s="94">
        <v>0.3747194763313248</v>
      </c>
      <c r="O82" s="94">
        <v>1.5609999999999999</v>
      </c>
      <c r="P82" s="94">
        <v>0.754</v>
      </c>
      <c r="Q82" s="94">
        <v>1.675</v>
      </c>
      <c r="R82" s="94">
        <v>0.64300000000000002</v>
      </c>
      <c r="S82" s="94">
        <v>-0.40200000000000002</v>
      </c>
      <c r="T82" s="94">
        <v>-4.2789999999999999</v>
      </c>
      <c r="U82" s="94">
        <v>2.145</v>
      </c>
      <c r="V82" s="95">
        <v>1.075</v>
      </c>
      <c r="W82" s="95">
        <f t="shared" si="1"/>
        <v>0.31456851442112077</v>
      </c>
    </row>
    <row r="83" spans="1:23" x14ac:dyDescent="0.35">
      <c r="A83" s="85" t="s">
        <v>593</v>
      </c>
      <c r="B83" s="85" t="s">
        <v>657</v>
      </c>
      <c r="C83" s="93">
        <v>1.1049470799269878</v>
      </c>
      <c r="D83" s="94">
        <v>1.8757952650954479</v>
      </c>
      <c r="E83" s="95">
        <v>2.1806440475090172</v>
      </c>
      <c r="G83" s="107" t="s">
        <v>584</v>
      </c>
      <c r="H83" s="105">
        <v>79.514216326138751</v>
      </c>
      <c r="I83" s="97">
        <v>53</v>
      </c>
      <c r="J83" s="98">
        <v>5</v>
      </c>
      <c r="K83" s="85"/>
      <c r="L83" s="93">
        <v>2.6511707480297244</v>
      </c>
      <c r="M83" s="94">
        <v>2.8287666404585154</v>
      </c>
      <c r="N83" s="94">
        <v>3.0963303471105994</v>
      </c>
      <c r="O83" s="94">
        <v>2.496</v>
      </c>
      <c r="P83" s="94">
        <v>1.994</v>
      </c>
      <c r="Q83" s="94">
        <v>2.4740000000000002</v>
      </c>
      <c r="R83" s="94">
        <v>1.919</v>
      </c>
      <c r="S83" s="94">
        <v>1.927</v>
      </c>
      <c r="T83" s="94">
        <v>-1.57</v>
      </c>
      <c r="U83" s="94">
        <v>2.2280000000000002</v>
      </c>
      <c r="V83" s="95">
        <v>2.7109999999999999</v>
      </c>
      <c r="W83" s="95">
        <f t="shared" si="1"/>
        <v>2.0282196563022326</v>
      </c>
    </row>
    <row r="84" spans="1:23" x14ac:dyDescent="0.35">
      <c r="A84" s="85" t="s">
        <v>578</v>
      </c>
      <c r="B84" s="85" t="s">
        <v>658</v>
      </c>
      <c r="C84" s="93">
        <v>1.6270169093285825</v>
      </c>
      <c r="D84" s="94">
        <v>2.6878144462378906</v>
      </c>
      <c r="E84" s="95">
        <v>2.9947418753666133</v>
      </c>
      <c r="G84" s="107" t="s">
        <v>401</v>
      </c>
      <c r="H84" s="105">
        <v>70.400737065727981</v>
      </c>
      <c r="I84" s="97">
        <v>88</v>
      </c>
      <c r="J84" s="98">
        <v>16</v>
      </c>
      <c r="K84" s="85"/>
      <c r="L84" s="93">
        <v>4.7999999999927256</v>
      </c>
      <c r="M84" s="94">
        <v>5.9999999992556203</v>
      </c>
      <c r="N84" s="94">
        <v>4.2000000006304088</v>
      </c>
      <c r="O84" s="94">
        <v>1</v>
      </c>
      <c r="P84" s="94">
        <v>0.9</v>
      </c>
      <c r="Q84" s="94">
        <v>3.9009999999999998</v>
      </c>
      <c r="R84" s="94">
        <v>4.0999999999999996</v>
      </c>
      <c r="S84" s="94">
        <v>4.5</v>
      </c>
      <c r="T84" s="94">
        <v>-2.6</v>
      </c>
      <c r="U84" s="94">
        <v>4.0999999999999996</v>
      </c>
      <c r="V84" s="95">
        <v>3.214</v>
      </c>
      <c r="W84" s="95">
        <f t="shared" si="1"/>
        <v>2.8412781608022519</v>
      </c>
    </row>
    <row r="85" spans="1:23" x14ac:dyDescent="0.35">
      <c r="A85" s="85" t="s">
        <v>582</v>
      </c>
      <c r="B85" s="85" t="s">
        <v>659</v>
      </c>
      <c r="C85" s="93">
        <v>4.1600595320631983</v>
      </c>
      <c r="D85" s="94">
        <v>5.4481436952905637</v>
      </c>
      <c r="E85" s="95">
        <v>5.4875646773576481</v>
      </c>
      <c r="G85" s="107" t="s">
        <v>424</v>
      </c>
      <c r="H85" s="105">
        <v>68.853006787769303</v>
      </c>
      <c r="I85" s="97">
        <v>97</v>
      </c>
      <c r="J85" s="98">
        <v>18</v>
      </c>
      <c r="K85" s="85"/>
      <c r="L85" s="93">
        <v>4.5632091307112006</v>
      </c>
      <c r="M85" s="94">
        <v>5.8786805667541637</v>
      </c>
      <c r="N85" s="94">
        <v>5.3571256444996713</v>
      </c>
      <c r="O85" s="94">
        <v>4.968</v>
      </c>
      <c r="P85" s="94">
        <v>4.2140000000000004</v>
      </c>
      <c r="Q85" s="94">
        <v>3.8159999999999998</v>
      </c>
      <c r="R85" s="94">
        <v>5.6710000000000003</v>
      </c>
      <c r="S85" s="94">
        <v>5.1139999999999999</v>
      </c>
      <c r="T85" s="94">
        <v>-0.25</v>
      </c>
      <c r="U85" s="94">
        <v>7.5170000000000003</v>
      </c>
      <c r="V85" s="95">
        <v>5.3689999999999998</v>
      </c>
      <c r="W85" s="95">
        <f t="shared" si="1"/>
        <v>5.4678541863241055</v>
      </c>
    </row>
    <row r="86" spans="1:23" x14ac:dyDescent="0.35">
      <c r="A86" s="85" t="s">
        <v>578</v>
      </c>
      <c r="B86" s="85" t="s">
        <v>660</v>
      </c>
      <c r="C86" s="93">
        <v>1.9788311578699647</v>
      </c>
      <c r="D86" s="94">
        <v>2.1951704861675969</v>
      </c>
      <c r="E86" s="95">
        <v>2.6249033043728831</v>
      </c>
      <c r="G86" s="107" t="s">
        <v>417</v>
      </c>
      <c r="H86" s="105">
        <v>90.58627012288828</v>
      </c>
      <c r="I86" s="97">
        <v>26</v>
      </c>
      <c r="J86" s="98">
        <v>6</v>
      </c>
      <c r="K86" s="85"/>
      <c r="L86" s="93">
        <v>2.4025309924618736</v>
      </c>
      <c r="M86" s="94">
        <v>3.1647086364718322</v>
      </c>
      <c r="N86" s="94">
        <v>3.2024537945736018</v>
      </c>
      <c r="O86" s="94">
        <v>2.8090000000000002</v>
      </c>
      <c r="P86" s="94">
        <v>2.9470000000000001</v>
      </c>
      <c r="Q86" s="94">
        <v>3.16</v>
      </c>
      <c r="R86" s="94">
        <v>2.907</v>
      </c>
      <c r="S86" s="94">
        <v>2.2440000000000002</v>
      </c>
      <c r="T86" s="94">
        <v>-0.70899999999999996</v>
      </c>
      <c r="U86" s="94">
        <v>4.1449999999999996</v>
      </c>
      <c r="V86" s="95">
        <v>2.5609999999999999</v>
      </c>
      <c r="W86" s="95">
        <f t="shared" si="1"/>
        <v>2.41003689527024</v>
      </c>
    </row>
    <row r="87" spans="1:23" x14ac:dyDescent="0.35">
      <c r="A87" s="85" t="s">
        <v>593</v>
      </c>
      <c r="B87" s="85" t="s">
        <v>661</v>
      </c>
      <c r="C87" s="93">
        <v>2.9560258753336122E-2</v>
      </c>
      <c r="D87" s="94">
        <v>0.3483533742255629</v>
      </c>
      <c r="E87" s="95">
        <v>0.20315822263521355</v>
      </c>
      <c r="G87" s="107" t="s">
        <v>424</v>
      </c>
      <c r="H87" s="105">
        <v>67.205820265011681</v>
      </c>
      <c r="I87" s="97">
        <v>105</v>
      </c>
      <c r="J87" s="98">
        <v>10</v>
      </c>
      <c r="K87" s="85"/>
      <c r="L87" s="93">
        <v>6.6258183001417628</v>
      </c>
      <c r="M87" s="94">
        <v>1.1493004370652051</v>
      </c>
      <c r="N87" s="94">
        <v>0.5008769821586383</v>
      </c>
      <c r="O87" s="94">
        <v>0.59299999999999997</v>
      </c>
      <c r="P87" s="94">
        <v>2.9260000000000002</v>
      </c>
      <c r="Q87" s="94">
        <v>-4.7140000000000004</v>
      </c>
      <c r="R87" s="94">
        <v>2.4369999999999998</v>
      </c>
      <c r="S87" s="94">
        <v>-0.55200000000000005</v>
      </c>
      <c r="T87" s="94">
        <v>-8.8550000000000004</v>
      </c>
      <c r="U87" s="94">
        <v>1.3080000000000001</v>
      </c>
      <c r="V87" s="95">
        <v>8.1769999999999996</v>
      </c>
      <c r="W87" s="95">
        <f t="shared" si="1"/>
        <v>0.27575579843038822</v>
      </c>
    </row>
    <row r="88" spans="1:23" x14ac:dyDescent="0.35">
      <c r="A88" s="85" t="s">
        <v>578</v>
      </c>
      <c r="B88" s="85" t="s">
        <v>662</v>
      </c>
      <c r="C88" s="93">
        <v>0.51489333561212103</v>
      </c>
      <c r="D88" s="94">
        <v>1.9645834232370651</v>
      </c>
      <c r="E88" s="95">
        <v>3.7392958747352045</v>
      </c>
      <c r="G88" s="107" t="s">
        <v>401</v>
      </c>
      <c r="H88" s="105">
        <v>70.898067394091115</v>
      </c>
      <c r="I88" s="97">
        <v>86</v>
      </c>
      <c r="J88" s="98">
        <v>15</v>
      </c>
      <c r="K88" s="85"/>
      <c r="L88" s="93">
        <v>-8.8150201010635656E-2</v>
      </c>
      <c r="M88" s="94">
        <v>10.915469454314421</v>
      </c>
      <c r="N88" s="94">
        <v>4.024038625768628</v>
      </c>
      <c r="O88" s="94">
        <v>3.8759999999999999</v>
      </c>
      <c r="P88" s="94">
        <v>4.3360000000000003</v>
      </c>
      <c r="Q88" s="94">
        <v>4.74</v>
      </c>
      <c r="R88" s="94">
        <v>3.4590000000000001</v>
      </c>
      <c r="S88" s="94">
        <v>4.601</v>
      </c>
      <c r="T88" s="94">
        <v>-8.6170000000000009</v>
      </c>
      <c r="U88" s="94">
        <v>3.742</v>
      </c>
      <c r="V88" s="95">
        <v>7</v>
      </c>
      <c r="W88" s="95">
        <f t="shared" si="1"/>
        <v>2.8519396489861348</v>
      </c>
    </row>
    <row r="89" spans="1:23" x14ac:dyDescent="0.35">
      <c r="A89" s="85" t="s">
        <v>578</v>
      </c>
      <c r="B89" s="85" t="s">
        <v>663</v>
      </c>
      <c r="C89" s="93">
        <v>1.7571611332634074</v>
      </c>
      <c r="D89" s="94">
        <v>3.3757795121775569</v>
      </c>
      <c r="E89" s="95">
        <v>5.3509947789500245</v>
      </c>
      <c r="G89" s="107" t="s">
        <v>580</v>
      </c>
      <c r="H89" s="105">
        <v>58.394766440551741</v>
      </c>
      <c r="I89" s="97">
        <v>127</v>
      </c>
      <c r="J89" s="98">
        <v>26</v>
      </c>
      <c r="K89" s="85"/>
      <c r="L89" s="93">
        <v>8.0260984340408665</v>
      </c>
      <c r="M89" s="94">
        <v>8.0263002263775007</v>
      </c>
      <c r="N89" s="94">
        <v>7.6119634407438159</v>
      </c>
      <c r="O89" s="94">
        <v>7.27</v>
      </c>
      <c r="P89" s="94">
        <v>7.0229999999999997</v>
      </c>
      <c r="Q89" s="94">
        <v>6.851</v>
      </c>
      <c r="R89" s="94">
        <v>6.2889999999999997</v>
      </c>
      <c r="S89" s="94">
        <v>4.6520000000000001</v>
      </c>
      <c r="T89" s="94">
        <v>-0.435</v>
      </c>
      <c r="U89" s="94">
        <v>2.0609999999999999</v>
      </c>
      <c r="V89" s="95">
        <v>2.2519999999999998</v>
      </c>
      <c r="W89" s="95">
        <f t="shared" si="1"/>
        <v>4.3633871455637907</v>
      </c>
    </row>
    <row r="90" spans="1:23" x14ac:dyDescent="0.35">
      <c r="A90" s="85" t="s">
        <v>227</v>
      </c>
      <c r="B90" s="85" t="s">
        <v>664</v>
      </c>
      <c r="C90" s="93">
        <v>1.2465800540070626</v>
      </c>
      <c r="D90" s="94">
        <v>2.186383184955365</v>
      </c>
      <c r="E90" s="95">
        <v>2.3979634558628948</v>
      </c>
      <c r="G90" s="107" t="s">
        <v>584</v>
      </c>
      <c r="H90" s="105">
        <v>81.044610107182237</v>
      </c>
      <c r="I90" s="97">
        <v>44</v>
      </c>
      <c r="J90" s="98">
        <v>29</v>
      </c>
      <c r="K90" s="85"/>
      <c r="L90" s="93">
        <v>4.1342316499835752</v>
      </c>
      <c r="M90" s="94">
        <v>2.3280042634440163</v>
      </c>
      <c r="N90" s="94">
        <v>1.9151903779433241</v>
      </c>
      <c r="O90" s="94">
        <v>3.8849999999999998</v>
      </c>
      <c r="P90" s="94">
        <v>2.3690000000000002</v>
      </c>
      <c r="Q90" s="94">
        <v>3.3119999999999998</v>
      </c>
      <c r="R90" s="94">
        <v>3.992</v>
      </c>
      <c r="S90" s="94">
        <v>2.57</v>
      </c>
      <c r="T90" s="94">
        <v>-2.2029999999999998</v>
      </c>
      <c r="U90" s="94">
        <v>4.0640000000000001</v>
      </c>
      <c r="V90" s="95">
        <v>1.976</v>
      </c>
      <c r="W90" s="95">
        <f t="shared" si="1"/>
        <v>2.2921733204091299</v>
      </c>
    </row>
    <row r="91" spans="1:23" x14ac:dyDescent="0.35">
      <c r="A91" s="85" t="s">
        <v>593</v>
      </c>
      <c r="B91" s="85" t="s">
        <v>665</v>
      </c>
      <c r="C91" s="93">
        <v>-11.570507599610414</v>
      </c>
      <c r="D91" s="94">
        <v>-8.8972805759156888</v>
      </c>
      <c r="E91" s="95">
        <v>-3.6804003540223951</v>
      </c>
      <c r="G91" s="107" t="s">
        <v>401</v>
      </c>
      <c r="H91" s="105">
        <v>70.925074776605015</v>
      </c>
      <c r="I91" s="97">
        <v>85</v>
      </c>
      <c r="J91" s="98">
        <v>9</v>
      </c>
      <c r="K91" s="85"/>
      <c r="L91" s="93">
        <v>2.5405417890992656</v>
      </c>
      <c r="M91" s="94">
        <v>3.8110224147865268</v>
      </c>
      <c r="N91" s="94">
        <v>2.4536595719223264</v>
      </c>
      <c r="O91" s="94">
        <v>0.46100000000000002</v>
      </c>
      <c r="P91" s="94">
        <v>1.556</v>
      </c>
      <c r="Q91" s="94">
        <v>0.90300000000000002</v>
      </c>
      <c r="R91" s="94">
        <v>-1.885</v>
      </c>
      <c r="S91" s="94">
        <v>-6.915</v>
      </c>
      <c r="T91" s="94">
        <v>-25.907</v>
      </c>
      <c r="U91" s="94">
        <v>-5.4</v>
      </c>
      <c r="V91" s="95">
        <v>-5.4</v>
      </c>
      <c r="W91" s="95">
        <f t="shared" si="1"/>
        <v>-6.2888404649690415</v>
      </c>
    </row>
    <row r="92" spans="1:23" x14ac:dyDescent="0.35">
      <c r="A92" s="85" t="s">
        <v>582</v>
      </c>
      <c r="B92" s="85" t="s">
        <v>666</v>
      </c>
      <c r="C92" s="93">
        <v>-1.7564836758548363</v>
      </c>
      <c r="D92" s="94">
        <v>-1.6866052500791207</v>
      </c>
      <c r="E92" s="95">
        <v>0.46596555472186996</v>
      </c>
      <c r="G92" s="107" t="s">
        <v>424</v>
      </c>
      <c r="H92" s="105">
        <v>68.290636352612694</v>
      </c>
      <c r="I92" s="97">
        <v>100</v>
      </c>
      <c r="J92" s="98">
        <v>20</v>
      </c>
      <c r="K92" s="85"/>
      <c r="L92" s="93">
        <v>6.7436269408569842</v>
      </c>
      <c r="M92" s="94">
        <v>4.1869122037746749</v>
      </c>
      <c r="N92" s="94">
        <v>2.8839688442816156</v>
      </c>
      <c r="O92" s="94">
        <v>3.2480000000000002</v>
      </c>
      <c r="P92" s="94">
        <v>1.877</v>
      </c>
      <c r="Q92" s="94">
        <v>-2.734</v>
      </c>
      <c r="R92" s="94">
        <v>-1.304</v>
      </c>
      <c r="S92" s="94">
        <v>-1.9710000000000001</v>
      </c>
      <c r="T92" s="94">
        <v>-3.9020000000000001</v>
      </c>
      <c r="U92" s="94">
        <v>2.1019999999999999</v>
      </c>
      <c r="V92" s="95">
        <v>2.093</v>
      </c>
      <c r="W92" s="95">
        <f t="shared" si="1"/>
        <v>-0.61031984767862535</v>
      </c>
    </row>
    <row r="93" spans="1:23" x14ac:dyDescent="0.35">
      <c r="A93" s="85" t="s">
        <v>582</v>
      </c>
      <c r="B93" s="85" t="s">
        <v>667</v>
      </c>
      <c r="C93" s="93">
        <v>2.2030305181955034</v>
      </c>
      <c r="D93" s="94">
        <v>1.043410797540445</v>
      </c>
      <c r="E93" s="95">
        <v>1.5173155129903693</v>
      </c>
      <c r="G93" s="107" t="s">
        <v>580</v>
      </c>
      <c r="H93" s="105">
        <v>56.232966845120316</v>
      </c>
      <c r="I93" s="97">
        <v>130</v>
      </c>
      <c r="J93" s="98">
        <v>32</v>
      </c>
      <c r="K93" s="85"/>
      <c r="L93" s="93">
        <v>7.9938156931364137</v>
      </c>
      <c r="M93" s="94">
        <v>8.6872878163968235</v>
      </c>
      <c r="N93" s="94">
        <v>0.70139310028752089</v>
      </c>
      <c r="O93" s="94">
        <v>7.0000000000000001E-3</v>
      </c>
      <c r="P93" s="94">
        <v>-1.63</v>
      </c>
      <c r="Q93" s="94">
        <v>2.4689999999999999</v>
      </c>
      <c r="R93" s="94">
        <v>1.242</v>
      </c>
      <c r="S93" s="94">
        <v>-2.516</v>
      </c>
      <c r="T93" s="94">
        <v>-2.9670000000000001</v>
      </c>
      <c r="U93" s="94">
        <v>5.0110000000000001</v>
      </c>
      <c r="V93" s="95">
        <v>4.8109999999999999</v>
      </c>
      <c r="W93" s="95">
        <f t="shared" si="1"/>
        <v>1.2803631552654071</v>
      </c>
    </row>
    <row r="94" spans="1:23" x14ac:dyDescent="0.35">
      <c r="A94" s="85" t="s">
        <v>582</v>
      </c>
      <c r="B94" s="85" t="s">
        <v>668</v>
      </c>
      <c r="C94" s="93">
        <v>5.1304452243001952</v>
      </c>
      <c r="D94" s="94">
        <v>3.4484900722276279</v>
      </c>
      <c r="E94" s="95">
        <v>1.2335060569262035</v>
      </c>
      <c r="G94" s="107" t="s">
        <v>580</v>
      </c>
      <c r="H94" s="105">
        <v>48.008478383672035</v>
      </c>
      <c r="I94" s="97">
        <v>140</v>
      </c>
      <c r="J94" s="98">
        <v>38</v>
      </c>
      <c r="K94" s="85"/>
      <c r="L94" s="93">
        <v>274.10446739057375</v>
      </c>
      <c r="M94" s="94">
        <v>-13.994834968637873</v>
      </c>
      <c r="N94" s="94">
        <v>-10.842440326997824</v>
      </c>
      <c r="O94" s="94">
        <v>-0.84299999999999997</v>
      </c>
      <c r="P94" s="94">
        <v>-1.4910000000000001</v>
      </c>
      <c r="Q94" s="94">
        <v>32.491999999999997</v>
      </c>
      <c r="R94" s="94">
        <v>7.9409999999999998</v>
      </c>
      <c r="S94" s="94">
        <v>-11.196</v>
      </c>
      <c r="T94" s="94">
        <v>-29.456</v>
      </c>
      <c r="U94" s="94">
        <v>28.335000000000001</v>
      </c>
      <c r="V94" s="95">
        <v>-12.813000000000001</v>
      </c>
      <c r="W94" s="95">
        <f t="shared" si="1"/>
        <v>2.3409980645769157</v>
      </c>
    </row>
    <row r="95" spans="1:23" x14ac:dyDescent="0.35">
      <c r="A95" s="85" t="s">
        <v>227</v>
      </c>
      <c r="B95" s="85" t="s">
        <v>669</v>
      </c>
      <c r="C95" s="93">
        <v>2.5853990379055336</v>
      </c>
      <c r="D95" s="94">
        <v>3.2350334175799356</v>
      </c>
      <c r="E95" s="95">
        <v>3.2063173772679532</v>
      </c>
      <c r="G95" s="107" t="s">
        <v>584</v>
      </c>
      <c r="H95" s="105">
        <v>80.769738018881156</v>
      </c>
      <c r="I95" s="97">
        <v>45</v>
      </c>
      <c r="J95" s="98">
        <v>30</v>
      </c>
      <c r="K95" s="85"/>
      <c r="L95" s="93">
        <v>3.8333027642866848</v>
      </c>
      <c r="M95" s="94">
        <v>3.5584246313476826</v>
      </c>
      <c r="N95" s="94">
        <v>3.5079712171273361</v>
      </c>
      <c r="O95" s="94">
        <v>2.024</v>
      </c>
      <c r="P95" s="94">
        <v>2.5190000000000001</v>
      </c>
      <c r="Q95" s="94">
        <v>4.282</v>
      </c>
      <c r="R95" s="94">
        <v>3.9929999999999999</v>
      </c>
      <c r="S95" s="94">
        <v>4.625</v>
      </c>
      <c r="T95" s="94">
        <v>-2.1999999999999999E-2</v>
      </c>
      <c r="U95" s="94">
        <v>5.9809999999999999</v>
      </c>
      <c r="V95" s="95">
        <v>1.8879999999999999</v>
      </c>
      <c r="W95" s="95">
        <f t="shared" si="1"/>
        <v>3.2206753974239444</v>
      </c>
    </row>
    <row r="96" spans="1:23" x14ac:dyDescent="0.35">
      <c r="A96" s="85" t="s">
        <v>227</v>
      </c>
      <c r="B96" s="85" t="s">
        <v>670</v>
      </c>
      <c r="C96" s="93">
        <v>1.9225945961039326</v>
      </c>
      <c r="D96" s="94">
        <v>1.8607829332780268</v>
      </c>
      <c r="E96" s="95">
        <v>2.36159954003623</v>
      </c>
      <c r="G96" s="107" t="s">
        <v>417</v>
      </c>
      <c r="H96" s="105">
        <v>96.778306193425522</v>
      </c>
      <c r="I96" s="97">
        <v>9</v>
      </c>
      <c r="J96" s="98">
        <v>7</v>
      </c>
      <c r="K96" s="85"/>
      <c r="L96" s="93">
        <v>1.6499020297865346</v>
      </c>
      <c r="M96" s="94">
        <v>3.1717904991600552</v>
      </c>
      <c r="N96" s="94">
        <v>2.6230860157719222</v>
      </c>
      <c r="O96" s="94">
        <v>2.2679999999999998</v>
      </c>
      <c r="P96" s="94">
        <v>4.9779999999999998</v>
      </c>
      <c r="Q96" s="94">
        <v>1.3169999999999999</v>
      </c>
      <c r="R96" s="94">
        <v>1.2190000000000001</v>
      </c>
      <c r="S96" s="94">
        <v>2.3199999999999998</v>
      </c>
      <c r="T96" s="94">
        <v>-0.79700000000000004</v>
      </c>
      <c r="U96" s="94">
        <v>5.1029999999999998</v>
      </c>
      <c r="V96" s="95">
        <v>1.5489999999999999</v>
      </c>
      <c r="W96" s="95">
        <f t="shared" si="1"/>
        <v>2.1111912366571284</v>
      </c>
    </row>
    <row r="97" spans="1:23" x14ac:dyDescent="0.35">
      <c r="A97" s="85" t="s">
        <v>582</v>
      </c>
      <c r="B97" s="85" t="s">
        <v>671</v>
      </c>
      <c r="C97" s="93">
        <v>0.34284241084634459</v>
      </c>
      <c r="D97" s="94">
        <v>1.7120658983774018</v>
      </c>
      <c r="E97" s="95">
        <v>2.5217225637742979</v>
      </c>
      <c r="G97" s="107" t="s">
        <v>580</v>
      </c>
      <c r="H97" s="105">
        <v>48.940679032016362</v>
      </c>
      <c r="I97" s="97">
        <v>139</v>
      </c>
      <c r="J97" s="98">
        <v>37</v>
      </c>
      <c r="K97" s="85"/>
      <c r="L97" s="93">
        <v>3.0111464075530683</v>
      </c>
      <c r="M97" s="94">
        <v>2.3003869344771051</v>
      </c>
      <c r="N97" s="94">
        <v>3.3392022440733014</v>
      </c>
      <c r="O97" s="94">
        <v>3.1320000000000001</v>
      </c>
      <c r="P97" s="94">
        <v>3.9929999999999999</v>
      </c>
      <c r="Q97" s="94">
        <v>3.9329999999999998</v>
      </c>
      <c r="R97" s="94">
        <v>3.194</v>
      </c>
      <c r="S97" s="94">
        <v>4.4109999999999996</v>
      </c>
      <c r="T97" s="94">
        <v>-7.1379999999999999</v>
      </c>
      <c r="U97" s="94">
        <v>5.74</v>
      </c>
      <c r="V97" s="95">
        <v>4.21</v>
      </c>
      <c r="W97" s="95">
        <f t="shared" si="1"/>
        <v>2.1168942310758498</v>
      </c>
    </row>
    <row r="98" spans="1:23" x14ac:dyDescent="0.35">
      <c r="A98" s="85" t="s">
        <v>582</v>
      </c>
      <c r="B98" s="85" t="s">
        <v>672</v>
      </c>
      <c r="C98" s="93">
        <v>1.446318587345985</v>
      </c>
      <c r="D98" s="94">
        <v>2.8212259957555386</v>
      </c>
      <c r="E98" s="95">
        <v>3.4233840163588436</v>
      </c>
      <c r="G98" s="107" t="s">
        <v>401</v>
      </c>
      <c r="H98" s="105">
        <v>72.879134631330203</v>
      </c>
      <c r="I98" s="97">
        <v>77</v>
      </c>
      <c r="J98" s="98">
        <v>8</v>
      </c>
      <c r="K98" s="85"/>
      <c r="L98" s="93">
        <v>1.8857995075156477</v>
      </c>
      <c r="M98" s="94">
        <v>5.1999999956050429</v>
      </c>
      <c r="N98" s="94">
        <v>5.7000000050572197</v>
      </c>
      <c r="O98" s="94">
        <v>2.95</v>
      </c>
      <c r="P98" s="94">
        <v>2.27</v>
      </c>
      <c r="Q98" s="94">
        <v>4</v>
      </c>
      <c r="R98" s="94">
        <v>4.3920000000000003</v>
      </c>
      <c r="S98" s="94">
        <v>5.4480000000000004</v>
      </c>
      <c r="T98" s="94">
        <v>0.91300000000000003</v>
      </c>
      <c r="U98" s="94">
        <v>4.5670000000000002</v>
      </c>
      <c r="V98" s="95">
        <v>0.8</v>
      </c>
      <c r="W98" s="95">
        <f t="shared" si="1"/>
        <v>3.1223050060571911</v>
      </c>
    </row>
    <row r="99" spans="1:23" x14ac:dyDescent="0.35">
      <c r="A99" s="85" t="s">
        <v>578</v>
      </c>
      <c r="B99" s="85" t="s">
        <v>673</v>
      </c>
      <c r="C99" s="93">
        <v>1.9142421361718398</v>
      </c>
      <c r="D99" s="94">
        <v>3.0011020126644361</v>
      </c>
      <c r="E99" s="95">
        <v>4.0922822936961589</v>
      </c>
      <c r="G99" s="107" t="s">
        <v>401</v>
      </c>
      <c r="H99" s="105">
        <v>76.114633172938127</v>
      </c>
      <c r="I99" s="97">
        <v>66</v>
      </c>
      <c r="J99" s="98">
        <v>9</v>
      </c>
      <c r="K99" s="85"/>
      <c r="L99" s="93">
        <v>5.4734541925385383</v>
      </c>
      <c r="M99" s="94">
        <v>4.6937225255789317</v>
      </c>
      <c r="N99" s="94">
        <v>6.0067219455820462</v>
      </c>
      <c r="O99" s="94">
        <v>5.0069999999999997</v>
      </c>
      <c r="P99" s="94">
        <v>4.45</v>
      </c>
      <c r="Q99" s="94">
        <v>5.8129999999999997</v>
      </c>
      <c r="R99" s="94">
        <v>4.843</v>
      </c>
      <c r="S99" s="94">
        <v>4.4130000000000003</v>
      </c>
      <c r="T99" s="94">
        <v>-5.5339999999999998</v>
      </c>
      <c r="U99" s="94">
        <v>3.0920000000000001</v>
      </c>
      <c r="V99" s="95">
        <v>8.6940000000000008</v>
      </c>
      <c r="W99" s="95">
        <f t="shared" si="1"/>
        <v>3.5466921531802975</v>
      </c>
    </row>
    <row r="100" spans="1:23" x14ac:dyDescent="0.35">
      <c r="A100" s="85" t="s">
        <v>582</v>
      </c>
      <c r="B100" s="85" t="s">
        <v>674</v>
      </c>
      <c r="C100" s="93">
        <v>1.8165870919236937</v>
      </c>
      <c r="D100" s="94">
        <v>2.9671130334121942</v>
      </c>
      <c r="E100" s="95">
        <v>4.1460050619633648</v>
      </c>
      <c r="G100" s="107" t="s">
        <v>580</v>
      </c>
      <c r="H100" s="105">
        <v>43.633236095724527</v>
      </c>
      <c r="I100" s="97">
        <v>146</v>
      </c>
      <c r="J100" s="98">
        <v>41</v>
      </c>
      <c r="K100" s="85"/>
      <c r="L100" s="93">
        <v>-0.83662749707312833</v>
      </c>
      <c r="M100" s="94">
        <v>2.3037669581925009</v>
      </c>
      <c r="N100" s="94">
        <v>7.1014223480749816</v>
      </c>
      <c r="O100" s="94">
        <v>6.1719999999999997</v>
      </c>
      <c r="P100" s="94">
        <v>5.8520000000000003</v>
      </c>
      <c r="Q100" s="94">
        <v>5.3049999999999997</v>
      </c>
      <c r="R100" s="94">
        <v>4.7460000000000004</v>
      </c>
      <c r="S100" s="94">
        <v>4.7649999999999997</v>
      </c>
      <c r="T100" s="94">
        <v>-1.244</v>
      </c>
      <c r="U100" s="94">
        <v>3.0550000000000002</v>
      </c>
      <c r="V100" s="95">
        <v>3.7040000000000002</v>
      </c>
      <c r="W100" s="95">
        <f t="shared" si="1"/>
        <v>3.5565590476877795</v>
      </c>
    </row>
    <row r="101" spans="1:23" x14ac:dyDescent="0.35">
      <c r="A101" s="85" t="s">
        <v>227</v>
      </c>
      <c r="B101" s="85" t="s">
        <v>675</v>
      </c>
      <c r="C101" s="93">
        <v>2.6124059576447589</v>
      </c>
      <c r="D101" s="94">
        <v>4.3931536419201889</v>
      </c>
      <c r="E101" s="95">
        <v>5.6722564665051767</v>
      </c>
      <c r="G101" s="107" t="s">
        <v>584</v>
      </c>
      <c r="H101" s="105">
        <v>86.894246999173433</v>
      </c>
      <c r="I101" s="97">
        <v>33</v>
      </c>
      <c r="J101" s="98">
        <v>22</v>
      </c>
      <c r="K101" s="85"/>
      <c r="L101" s="93">
        <v>4.1177072993516513</v>
      </c>
      <c r="M101" s="94">
        <v>5.4733556954527041</v>
      </c>
      <c r="N101" s="94">
        <v>7.6335381123007346</v>
      </c>
      <c r="O101" s="94">
        <v>9.6080000000000005</v>
      </c>
      <c r="P101" s="94">
        <v>3.3809999999999998</v>
      </c>
      <c r="Q101" s="94">
        <v>10.869</v>
      </c>
      <c r="R101" s="94">
        <v>6.1929999999999996</v>
      </c>
      <c r="S101" s="94">
        <v>7.0090000000000003</v>
      </c>
      <c r="T101" s="94">
        <v>-8.6120000000000001</v>
      </c>
      <c r="U101" s="94">
        <v>11.805999999999999</v>
      </c>
      <c r="V101" s="95">
        <v>6.851</v>
      </c>
      <c r="W101" s="95">
        <f t="shared" si="1"/>
        <v>5.0327050542126823</v>
      </c>
    </row>
    <row r="102" spans="1:23" x14ac:dyDescent="0.35">
      <c r="A102" s="85" t="s">
        <v>582</v>
      </c>
      <c r="B102" s="85" t="s">
        <v>676</v>
      </c>
      <c r="C102" s="93">
        <v>10.380851809157976</v>
      </c>
      <c r="D102" s="94">
        <v>8.3436024853472226</v>
      </c>
      <c r="E102" s="95">
        <v>5.9978829377542953</v>
      </c>
      <c r="G102" s="107" t="s">
        <v>424</v>
      </c>
      <c r="H102" s="105">
        <v>67.535233245846925</v>
      </c>
      <c r="I102" s="97">
        <v>103</v>
      </c>
      <c r="J102" s="98">
        <v>23</v>
      </c>
      <c r="K102" s="85"/>
      <c r="L102" s="93">
        <v>4.4700131823368974</v>
      </c>
      <c r="M102" s="94">
        <v>4.150813186271721</v>
      </c>
      <c r="N102" s="94">
        <v>4.2748232713028473</v>
      </c>
      <c r="O102" s="94">
        <v>5.3760000000000003</v>
      </c>
      <c r="P102" s="94">
        <v>1.2609999999999999</v>
      </c>
      <c r="Q102" s="94">
        <v>6.2709999999999999</v>
      </c>
      <c r="R102" s="94">
        <v>4.7729999999999997</v>
      </c>
      <c r="S102" s="94">
        <v>5.4290000000000003</v>
      </c>
      <c r="T102" s="94">
        <v>-0.93799999999999994</v>
      </c>
      <c r="U102" s="94">
        <v>2.4449999999999998</v>
      </c>
      <c r="V102" s="95">
        <v>4.96</v>
      </c>
      <c r="W102" s="95">
        <f t="shared" si="1"/>
        <v>7.1707427115507585</v>
      </c>
    </row>
    <row r="103" spans="1:23" x14ac:dyDescent="0.35">
      <c r="A103" s="85" t="s">
        <v>582</v>
      </c>
      <c r="B103" s="85" t="s">
        <v>677</v>
      </c>
      <c r="C103" s="93">
        <v>-1.3801179259189</v>
      </c>
      <c r="D103" s="94">
        <v>1.2027047615812192</v>
      </c>
      <c r="E103" s="95">
        <v>2.4249070445692134</v>
      </c>
      <c r="G103" s="107" t="s">
        <v>584</v>
      </c>
      <c r="H103" s="105">
        <v>86.159393229935986</v>
      </c>
      <c r="I103" s="97">
        <v>35</v>
      </c>
      <c r="J103" s="98">
        <v>1</v>
      </c>
      <c r="K103" s="85"/>
      <c r="L103" s="93">
        <v>3.4961183375797935</v>
      </c>
      <c r="M103" s="94">
        <v>3.3604061030308432</v>
      </c>
      <c r="N103" s="94">
        <v>3.7445757725785316</v>
      </c>
      <c r="O103" s="94">
        <v>3.6909999999999998</v>
      </c>
      <c r="P103" s="94">
        <v>3.8620000000000001</v>
      </c>
      <c r="Q103" s="94">
        <v>3.9380000000000002</v>
      </c>
      <c r="R103" s="94">
        <v>4.0069999999999997</v>
      </c>
      <c r="S103" s="94">
        <v>2.891</v>
      </c>
      <c r="T103" s="94">
        <v>-14.598000000000001</v>
      </c>
      <c r="U103" s="94">
        <v>3.4990000000000001</v>
      </c>
      <c r="V103" s="95">
        <v>8.3000000000000007</v>
      </c>
      <c r="W103" s="95">
        <f t="shared" si="1"/>
        <v>1.8138059030752163</v>
      </c>
    </row>
    <row r="104" spans="1:23" x14ac:dyDescent="0.35">
      <c r="A104" s="85" t="s">
        <v>586</v>
      </c>
      <c r="B104" s="85" t="s">
        <v>678</v>
      </c>
      <c r="C104" s="93">
        <v>-0.23058449292154837</v>
      </c>
      <c r="D104" s="94">
        <v>0.18053445950247937</v>
      </c>
      <c r="E104" s="95">
        <v>1.3300326593307599</v>
      </c>
      <c r="G104" s="107" t="s">
        <v>401</v>
      </c>
      <c r="H104" s="105">
        <v>70.665681404041052</v>
      </c>
      <c r="I104" s="97">
        <v>87</v>
      </c>
      <c r="J104" s="98">
        <v>11</v>
      </c>
      <c r="K104" s="85"/>
      <c r="L104" s="93">
        <v>3.6423226794134638</v>
      </c>
      <c r="M104" s="94">
        <v>1.3540919615167941</v>
      </c>
      <c r="N104" s="94">
        <v>2.8043401283809737</v>
      </c>
      <c r="O104" s="94">
        <v>3.2930000000000001</v>
      </c>
      <c r="P104" s="94">
        <v>2.6309999999999998</v>
      </c>
      <c r="Q104" s="94">
        <v>2.113</v>
      </c>
      <c r="R104" s="94">
        <v>2.1949999999999998</v>
      </c>
      <c r="S104" s="94">
        <v>-0.19900000000000001</v>
      </c>
      <c r="T104" s="94">
        <v>-7.9880000000000004</v>
      </c>
      <c r="U104" s="94">
        <v>4.7210000000000001</v>
      </c>
      <c r="V104" s="95">
        <v>3.0659999999999998</v>
      </c>
      <c r="W104" s="95">
        <f t="shared" si="1"/>
        <v>0.75528355941661962</v>
      </c>
    </row>
    <row r="105" spans="1:23" x14ac:dyDescent="0.35">
      <c r="A105" s="85" t="s">
        <v>227</v>
      </c>
      <c r="B105" s="85" t="s">
        <v>679</v>
      </c>
      <c r="C105" s="93">
        <v>-0.11659435485397163</v>
      </c>
      <c r="D105" s="94">
        <v>1.5069892590011902</v>
      </c>
      <c r="E105" s="95">
        <v>3.001683990106474</v>
      </c>
      <c r="G105" s="107" t="s">
        <v>584</v>
      </c>
      <c r="H105" s="105">
        <v>79.52270940766131</v>
      </c>
      <c r="I105" s="97">
        <v>52</v>
      </c>
      <c r="J105" s="98">
        <v>33</v>
      </c>
      <c r="K105" s="85"/>
      <c r="L105" s="93">
        <v>-0.58973412591981322</v>
      </c>
      <c r="M105" s="94">
        <v>9.0438654824314977</v>
      </c>
      <c r="N105" s="94">
        <v>4.9996256689180685</v>
      </c>
      <c r="O105" s="94">
        <v>-0.33800000000000002</v>
      </c>
      <c r="P105" s="94">
        <v>4.4089999999999998</v>
      </c>
      <c r="Q105" s="94">
        <v>4.2</v>
      </c>
      <c r="R105" s="94">
        <v>4.0999999999999996</v>
      </c>
      <c r="S105" s="94">
        <v>3.6</v>
      </c>
      <c r="T105" s="94">
        <v>-8.3000000000000007</v>
      </c>
      <c r="U105" s="94">
        <v>13.945</v>
      </c>
      <c r="V105" s="95">
        <v>-5.5759999999999996</v>
      </c>
      <c r="W105" s="95">
        <f t="shared" si="1"/>
        <v>2.2543366245538321</v>
      </c>
    </row>
    <row r="106" spans="1:23" x14ac:dyDescent="0.35">
      <c r="A106" s="85" t="s">
        <v>578</v>
      </c>
      <c r="B106" s="85" t="s">
        <v>680</v>
      </c>
      <c r="C106" s="93">
        <v>0.5652165458427838</v>
      </c>
      <c r="D106" s="94">
        <v>3.0624452280082259</v>
      </c>
      <c r="E106" s="95">
        <v>4.33160969781623</v>
      </c>
      <c r="G106" s="107" t="s">
        <v>584</v>
      </c>
      <c r="H106" s="105">
        <v>78.890549447741549</v>
      </c>
      <c r="I106" s="97">
        <v>56</v>
      </c>
      <c r="J106" s="98">
        <v>8</v>
      </c>
      <c r="K106" s="85"/>
      <c r="L106" s="93">
        <v>12.319819848483753</v>
      </c>
      <c r="M106" s="94">
        <v>11.648916189886327</v>
      </c>
      <c r="N106" s="94">
        <v>7.8852254815193961</v>
      </c>
      <c r="O106" s="94">
        <v>2.41</v>
      </c>
      <c r="P106" s="94">
        <v>1.49</v>
      </c>
      <c r="Q106" s="94">
        <v>5.6369999999999996</v>
      </c>
      <c r="R106" s="94">
        <v>7.7450000000000001</v>
      </c>
      <c r="S106" s="94">
        <v>5.6020000000000003</v>
      </c>
      <c r="T106" s="94">
        <v>-4.5579999999999998</v>
      </c>
      <c r="U106" s="94">
        <v>1.637</v>
      </c>
      <c r="V106" s="95">
        <v>4.8460000000000001</v>
      </c>
      <c r="W106" s="95">
        <f t="shared" si="1"/>
        <v>3.6970274629122279</v>
      </c>
    </row>
    <row r="107" spans="1:23" x14ac:dyDescent="0.35">
      <c r="A107" s="85" t="s">
        <v>582</v>
      </c>
      <c r="B107" s="85" t="s">
        <v>681</v>
      </c>
      <c r="C107" s="93">
        <v>2.7484311837486786</v>
      </c>
      <c r="D107" s="94">
        <v>3.8040844105169391</v>
      </c>
      <c r="E107" s="95">
        <v>4.437166103247403</v>
      </c>
      <c r="G107" s="107" t="s">
        <v>401</v>
      </c>
      <c r="H107" s="105">
        <v>76.129604349240608</v>
      </c>
      <c r="I107" s="97">
        <v>65</v>
      </c>
      <c r="J107" s="98">
        <v>4</v>
      </c>
      <c r="K107" s="85"/>
      <c r="L107" s="93">
        <v>1.2735415748875247</v>
      </c>
      <c r="M107" s="94">
        <v>4.8919045547561728</v>
      </c>
      <c r="N107" s="94">
        <v>5.1501913509219497</v>
      </c>
      <c r="O107" s="94">
        <v>4.3449999999999998</v>
      </c>
      <c r="P107" s="94">
        <v>0.52100000000000002</v>
      </c>
      <c r="Q107" s="94">
        <v>5.0579999999999998</v>
      </c>
      <c r="R107" s="94">
        <v>3.0659999999999998</v>
      </c>
      <c r="S107" s="94">
        <v>2.891</v>
      </c>
      <c r="T107" s="94">
        <v>-7.1870000000000003</v>
      </c>
      <c r="U107" s="94">
        <v>7.93</v>
      </c>
      <c r="V107" s="95">
        <v>1.135</v>
      </c>
      <c r="W107" s="95">
        <f t="shared" si="1"/>
        <v>4.1206252568821711</v>
      </c>
    </row>
    <row r="108" spans="1:23" x14ac:dyDescent="0.35">
      <c r="A108" s="85" t="s">
        <v>582</v>
      </c>
      <c r="B108" s="85" t="s">
        <v>682</v>
      </c>
      <c r="C108" s="93">
        <v>1.7345974801987962</v>
      </c>
      <c r="D108" s="94">
        <v>2.1902907307407293</v>
      </c>
      <c r="E108" s="95">
        <v>3.9391606371984134</v>
      </c>
      <c r="G108" s="107" t="s">
        <v>424</v>
      </c>
      <c r="H108" s="105">
        <v>66.134592515292979</v>
      </c>
      <c r="I108" s="97">
        <v>110</v>
      </c>
      <c r="J108" s="98">
        <v>25</v>
      </c>
      <c r="K108" s="85"/>
      <c r="L108" s="93">
        <v>7.2584392525877934</v>
      </c>
      <c r="M108" s="94">
        <v>6.9636071348707169</v>
      </c>
      <c r="N108" s="94">
        <v>7.3985127971386246</v>
      </c>
      <c r="O108" s="94">
        <v>6.7229999999999999</v>
      </c>
      <c r="P108" s="94">
        <v>3.8239999999999998</v>
      </c>
      <c r="Q108" s="94">
        <v>3.7410000000000001</v>
      </c>
      <c r="R108" s="94">
        <v>3.444</v>
      </c>
      <c r="S108" s="94">
        <v>2.3149999999999999</v>
      </c>
      <c r="T108" s="94">
        <v>-1.1990000000000001</v>
      </c>
      <c r="U108" s="94">
        <v>2.3279999999999998</v>
      </c>
      <c r="V108" s="95">
        <v>4.1479999999999997</v>
      </c>
      <c r="W108" s="95">
        <f t="shared" si="1"/>
        <v>3.0647256839695713</v>
      </c>
    </row>
    <row r="109" spans="1:23" x14ac:dyDescent="0.35">
      <c r="A109" s="85" t="s">
        <v>578</v>
      </c>
      <c r="B109" s="85" t="s">
        <v>683</v>
      </c>
      <c r="C109" s="93">
        <v>-4.7700497073887238</v>
      </c>
      <c r="D109" s="94">
        <v>-0.38368451177455132</v>
      </c>
      <c r="E109" s="95">
        <v>3.2897594501001937</v>
      </c>
      <c r="G109" s="107" t="s">
        <v>424</v>
      </c>
      <c r="H109" s="105">
        <v>65.606474585171327</v>
      </c>
      <c r="I109" s="97">
        <v>111</v>
      </c>
      <c r="J109" s="98">
        <v>22</v>
      </c>
      <c r="K109" s="85"/>
      <c r="L109" s="93">
        <v>6.4857540044064299</v>
      </c>
      <c r="M109" s="94">
        <v>7.8986694782381086</v>
      </c>
      <c r="N109" s="94">
        <v>8.1996637504261933</v>
      </c>
      <c r="O109" s="94">
        <v>7.4729999999999999</v>
      </c>
      <c r="P109" s="94">
        <v>6.4080000000000004</v>
      </c>
      <c r="Q109" s="94">
        <v>5.75</v>
      </c>
      <c r="R109" s="94">
        <v>6.4050000000000002</v>
      </c>
      <c r="S109" s="94">
        <v>6.75</v>
      </c>
      <c r="T109" s="94">
        <v>3.1890000000000001</v>
      </c>
      <c r="U109" s="94">
        <v>-17.937999999999999</v>
      </c>
      <c r="V109" s="95">
        <v>1.9710000000000001</v>
      </c>
      <c r="W109" s="95">
        <f t="shared" si="1"/>
        <v>1.4530374691628212</v>
      </c>
    </row>
    <row r="110" spans="1:23" x14ac:dyDescent="0.35">
      <c r="A110" s="85" t="s">
        <v>582</v>
      </c>
      <c r="B110" s="85" t="s">
        <v>684</v>
      </c>
      <c r="C110" s="93">
        <v>5.9000128031017951</v>
      </c>
      <c r="D110" s="94">
        <v>3.7913046668829331</v>
      </c>
      <c r="E110" s="95">
        <v>3.4125855123770643</v>
      </c>
      <c r="G110" s="107" t="s">
        <v>401</v>
      </c>
      <c r="H110" s="105">
        <v>72.202169838266542</v>
      </c>
      <c r="I110" s="97">
        <v>79</v>
      </c>
      <c r="J110" s="98">
        <v>10</v>
      </c>
      <c r="K110" s="85"/>
      <c r="L110" s="93">
        <v>5.061682013267613</v>
      </c>
      <c r="M110" s="94">
        <v>5.6147197006409399</v>
      </c>
      <c r="N110" s="94">
        <v>5.7577888470497651</v>
      </c>
      <c r="O110" s="94">
        <v>4.2640000000000002</v>
      </c>
      <c r="P110" s="94">
        <v>3.4000000000000002E-2</v>
      </c>
      <c r="Q110" s="94">
        <v>-1.0269999999999999</v>
      </c>
      <c r="R110" s="94">
        <v>1.06</v>
      </c>
      <c r="S110" s="94">
        <v>-0.83899999999999997</v>
      </c>
      <c r="T110" s="94">
        <v>-8.0359999999999996</v>
      </c>
      <c r="U110" s="94">
        <v>2.6560000000000001</v>
      </c>
      <c r="V110" s="95">
        <v>3.8420000000000001</v>
      </c>
      <c r="W110" s="95">
        <f t="shared" si="1"/>
        <v>3.6019450896299987</v>
      </c>
    </row>
    <row r="111" spans="1:23" x14ac:dyDescent="0.35">
      <c r="A111" s="85" t="s">
        <v>578</v>
      </c>
      <c r="B111" s="85" t="s">
        <v>685</v>
      </c>
      <c r="C111" s="93">
        <v>2.509308980392877</v>
      </c>
      <c r="D111" s="94">
        <v>4.3365366697670549</v>
      </c>
      <c r="E111" s="95">
        <v>4.4414058742941132</v>
      </c>
      <c r="G111" s="107" t="s">
        <v>580</v>
      </c>
      <c r="H111" s="105">
        <v>47.880656607147813</v>
      </c>
      <c r="I111" s="97">
        <v>141</v>
      </c>
      <c r="J111" s="98">
        <v>29</v>
      </c>
      <c r="K111" s="85"/>
      <c r="L111" s="93">
        <v>4.6701221485020756</v>
      </c>
      <c r="M111" s="94">
        <v>3.525153173819251</v>
      </c>
      <c r="N111" s="94">
        <v>6.0114828408077567</v>
      </c>
      <c r="O111" s="94">
        <v>3.976</v>
      </c>
      <c r="P111" s="94">
        <v>0.433</v>
      </c>
      <c r="Q111" s="94">
        <v>8.9770000000000003</v>
      </c>
      <c r="R111" s="94">
        <v>7.6219999999999999</v>
      </c>
      <c r="S111" s="94">
        <v>6.657</v>
      </c>
      <c r="T111" s="94">
        <v>-2.37</v>
      </c>
      <c r="U111" s="94">
        <v>4.2469999999999999</v>
      </c>
      <c r="V111" s="95">
        <v>5.8380000000000001</v>
      </c>
      <c r="W111" s="95">
        <f t="shared" si="1"/>
        <v>4.3889712720305845</v>
      </c>
    </row>
    <row r="112" spans="1:23" x14ac:dyDescent="0.35">
      <c r="A112" s="85" t="s">
        <v>227</v>
      </c>
      <c r="B112" s="85" t="s">
        <v>686</v>
      </c>
      <c r="C112" s="93">
        <v>1.7497887812736312</v>
      </c>
      <c r="D112" s="94">
        <v>1.8172353151896914</v>
      </c>
      <c r="E112" s="95">
        <v>1.7415218308118652</v>
      </c>
      <c r="G112" s="107" t="s">
        <v>417</v>
      </c>
      <c r="H112" s="105">
        <v>97.320188246923195</v>
      </c>
      <c r="I112" s="97">
        <v>6</v>
      </c>
      <c r="J112" s="98">
        <v>4</v>
      </c>
      <c r="K112" s="85"/>
      <c r="L112" s="93">
        <v>-1.0303540066027346</v>
      </c>
      <c r="M112" s="94">
        <v>-0.13017522863902575</v>
      </c>
      <c r="N112" s="94">
        <v>1.4233954098743582</v>
      </c>
      <c r="O112" s="94">
        <v>1.958</v>
      </c>
      <c r="P112" s="94">
        <v>2.1920000000000002</v>
      </c>
      <c r="Q112" s="94">
        <v>2.911</v>
      </c>
      <c r="R112" s="94">
        <v>2.3610000000000002</v>
      </c>
      <c r="S112" s="94">
        <v>1.956</v>
      </c>
      <c r="T112" s="94">
        <v>-3.9129999999999998</v>
      </c>
      <c r="U112" s="94">
        <v>4.883</v>
      </c>
      <c r="V112" s="95">
        <v>4.5179999999999998</v>
      </c>
      <c r="W112" s="95">
        <f t="shared" si="1"/>
        <v>1.7793785730007783</v>
      </c>
    </row>
    <row r="113" spans="1:23" x14ac:dyDescent="0.35">
      <c r="A113" s="85" t="s">
        <v>578</v>
      </c>
      <c r="B113" s="85" t="s">
        <v>687</v>
      </c>
      <c r="C113" s="93">
        <v>1.6101427265492019</v>
      </c>
      <c r="D113" s="94">
        <v>2.5126996765094445</v>
      </c>
      <c r="E113" s="95">
        <v>2.926527233523446</v>
      </c>
      <c r="G113" s="107" t="s">
        <v>417</v>
      </c>
      <c r="H113" s="105">
        <v>98.673978139326721</v>
      </c>
      <c r="I113" s="97">
        <v>1</v>
      </c>
      <c r="J113" s="98">
        <v>1</v>
      </c>
      <c r="K113" s="85"/>
      <c r="L113" s="93">
        <v>2.2395634845413639</v>
      </c>
      <c r="M113" s="94">
        <v>2.6288005896782796</v>
      </c>
      <c r="N113" s="94">
        <v>3.6255957672075687</v>
      </c>
      <c r="O113" s="94">
        <v>3.6909999999999998</v>
      </c>
      <c r="P113" s="94">
        <v>3.8839999999999999</v>
      </c>
      <c r="Q113" s="94">
        <v>3.46</v>
      </c>
      <c r="R113" s="94">
        <v>3.524</v>
      </c>
      <c r="S113" s="94">
        <v>3.0750000000000002</v>
      </c>
      <c r="T113" s="94">
        <v>-1.4770000000000001</v>
      </c>
      <c r="U113" s="94">
        <v>6.0880000000000001</v>
      </c>
      <c r="V113" s="95">
        <v>2.4350000000000001</v>
      </c>
      <c r="W113" s="95">
        <f t="shared" si="1"/>
        <v>2.7196134550164452</v>
      </c>
    </row>
    <row r="114" spans="1:23" x14ac:dyDescent="0.35">
      <c r="A114" s="85" t="s">
        <v>586</v>
      </c>
      <c r="B114" s="85" t="s">
        <v>688</v>
      </c>
      <c r="C114" s="93">
        <v>4.0750139508862748</v>
      </c>
      <c r="D114" s="94">
        <v>0.946067021483743</v>
      </c>
      <c r="E114" s="95">
        <v>2.8253976939387693</v>
      </c>
      <c r="G114" s="107" t="s">
        <v>424</v>
      </c>
      <c r="H114" s="105">
        <v>64.641996561099731</v>
      </c>
      <c r="I114" s="97">
        <v>115</v>
      </c>
      <c r="J114" s="98">
        <v>15</v>
      </c>
      <c r="K114" s="85"/>
      <c r="L114" s="93">
        <v>6.4967472990321502</v>
      </c>
      <c r="M114" s="94">
        <v>4.9267922688301464</v>
      </c>
      <c r="N114" s="94">
        <v>4.7858161704434874</v>
      </c>
      <c r="O114" s="94">
        <v>4.7919999999999998</v>
      </c>
      <c r="P114" s="94">
        <v>4.5629999999999997</v>
      </c>
      <c r="Q114" s="94">
        <v>4.6310000000000002</v>
      </c>
      <c r="R114" s="94">
        <v>-3.363</v>
      </c>
      <c r="S114" s="94">
        <v>-3.78</v>
      </c>
      <c r="T114" s="94">
        <v>-1.7889999999999999</v>
      </c>
      <c r="U114" s="94">
        <v>10.345000000000001</v>
      </c>
      <c r="V114" s="95">
        <v>4.024</v>
      </c>
      <c r="W114" s="95">
        <f t="shared" si="1"/>
        <v>1.8857323577112561</v>
      </c>
    </row>
    <row r="115" spans="1:23" x14ac:dyDescent="0.35">
      <c r="A115" s="85" t="s">
        <v>582</v>
      </c>
      <c r="B115" s="85" t="s">
        <v>689</v>
      </c>
      <c r="C115" s="93">
        <v>5.2681473931170952</v>
      </c>
      <c r="D115" s="94">
        <v>5.8171216819006277</v>
      </c>
      <c r="E115" s="95">
        <v>5.6255556295670361</v>
      </c>
      <c r="G115" s="107" t="s">
        <v>424</v>
      </c>
      <c r="H115" s="105">
        <v>68.812447501404833</v>
      </c>
      <c r="I115" s="97">
        <v>98</v>
      </c>
      <c r="J115" s="98">
        <v>19</v>
      </c>
      <c r="K115" s="85"/>
      <c r="L115" s="93">
        <v>10.599907397446637</v>
      </c>
      <c r="M115" s="94">
        <v>5.5657295960540178</v>
      </c>
      <c r="N115" s="94">
        <v>6.5644262265084619</v>
      </c>
      <c r="O115" s="94">
        <v>4.3929999999999998</v>
      </c>
      <c r="P115" s="94">
        <v>5.7409999999999997</v>
      </c>
      <c r="Q115" s="94">
        <v>5.0010000000000003</v>
      </c>
      <c r="R115" s="94">
        <v>7.0069999999999997</v>
      </c>
      <c r="S115" s="94">
        <v>6.1429999999999998</v>
      </c>
      <c r="T115" s="94">
        <v>3.55</v>
      </c>
      <c r="U115" s="94">
        <v>1.399</v>
      </c>
      <c r="V115" s="95">
        <v>11.111000000000001</v>
      </c>
      <c r="W115" s="95">
        <f t="shared" si="1"/>
        <v>5.7213386557338319</v>
      </c>
    </row>
    <row r="116" spans="1:23" x14ac:dyDescent="0.35">
      <c r="A116" s="85" t="s">
        <v>582</v>
      </c>
      <c r="B116" s="85" t="s">
        <v>690</v>
      </c>
      <c r="C116" s="93">
        <v>1.6711254984559387</v>
      </c>
      <c r="D116" s="94">
        <v>1.8286894595159531</v>
      </c>
      <c r="E116" s="95">
        <v>2.3705025942777347</v>
      </c>
      <c r="G116" s="107" t="s">
        <v>580</v>
      </c>
      <c r="H116" s="105">
        <v>54.117482987279544</v>
      </c>
      <c r="I116" s="97">
        <v>136</v>
      </c>
      <c r="J116" s="98">
        <v>35</v>
      </c>
      <c r="K116" s="85"/>
      <c r="L116" s="93">
        <v>4.2300611751055515</v>
      </c>
      <c r="M116" s="94">
        <v>6.6713353928837664</v>
      </c>
      <c r="N116" s="94">
        <v>6.3097186557238203</v>
      </c>
      <c r="O116" s="94">
        <v>2.653</v>
      </c>
      <c r="P116" s="94">
        <v>-1.617</v>
      </c>
      <c r="Q116" s="94">
        <v>0.80600000000000005</v>
      </c>
      <c r="R116" s="94">
        <v>1.923</v>
      </c>
      <c r="S116" s="94">
        <v>2.2080000000000002</v>
      </c>
      <c r="T116" s="94">
        <v>-1.794</v>
      </c>
      <c r="U116" s="94">
        <v>3.6469999999999998</v>
      </c>
      <c r="V116" s="95">
        <v>3.2519999999999998</v>
      </c>
      <c r="W116" s="95">
        <f t="shared" si="1"/>
        <v>2.0995960268968439</v>
      </c>
    </row>
    <row r="117" spans="1:23" x14ac:dyDescent="0.35">
      <c r="A117" s="85" t="s">
        <v>227</v>
      </c>
      <c r="B117" s="85" t="s">
        <v>691</v>
      </c>
      <c r="C117" s="93">
        <v>-7.5001429328758196E-2</v>
      </c>
      <c r="D117" s="94">
        <v>1.3021650287798892</v>
      </c>
      <c r="E117" s="95">
        <v>2.0797979747829265</v>
      </c>
      <c r="G117" s="107" t="s">
        <v>584</v>
      </c>
      <c r="H117" s="105">
        <v>78.35616814320835</v>
      </c>
      <c r="I117" s="97">
        <v>58</v>
      </c>
      <c r="J117" s="98">
        <v>35</v>
      </c>
      <c r="K117" s="85"/>
      <c r="L117" s="93">
        <v>-0.45618322360793873</v>
      </c>
      <c r="M117" s="94">
        <v>2.9252576645048585</v>
      </c>
      <c r="N117" s="94">
        <v>3.6291235127637393</v>
      </c>
      <c r="O117" s="94">
        <v>3.8559999999999999</v>
      </c>
      <c r="P117" s="94">
        <v>2.8479999999999999</v>
      </c>
      <c r="Q117" s="94">
        <v>1.0820000000000001</v>
      </c>
      <c r="R117" s="94">
        <v>2.8809999999999998</v>
      </c>
      <c r="S117" s="94">
        <v>3.91</v>
      </c>
      <c r="T117" s="94">
        <v>-4.6879999999999997</v>
      </c>
      <c r="U117" s="94">
        <v>3.931</v>
      </c>
      <c r="V117" s="95">
        <v>2.2170000000000001</v>
      </c>
      <c r="W117" s="95">
        <f t="shared" si="1"/>
        <v>1.6909815017814078</v>
      </c>
    </row>
    <row r="118" spans="1:23" x14ac:dyDescent="0.35">
      <c r="A118" s="85" t="s">
        <v>227</v>
      </c>
      <c r="B118" s="85" t="s">
        <v>692</v>
      </c>
      <c r="C118" s="93">
        <v>2.1276786032802697</v>
      </c>
      <c r="D118" s="94">
        <v>2.0038500872442633</v>
      </c>
      <c r="E118" s="95">
        <v>1.8376731142071945</v>
      </c>
      <c r="G118" s="107" t="s">
        <v>417</v>
      </c>
      <c r="H118" s="105">
        <v>96.569623372049904</v>
      </c>
      <c r="I118" s="97">
        <v>10</v>
      </c>
      <c r="J118" s="98">
        <v>8</v>
      </c>
      <c r="K118" s="85"/>
      <c r="L118" s="93">
        <v>2.7030738548426481</v>
      </c>
      <c r="M118" s="94">
        <v>1.0340729135363009</v>
      </c>
      <c r="N118" s="94">
        <v>1.9695443007938924</v>
      </c>
      <c r="O118" s="94">
        <v>1.857</v>
      </c>
      <c r="P118" s="94">
        <v>1.165</v>
      </c>
      <c r="Q118" s="94">
        <v>2.464</v>
      </c>
      <c r="R118" s="94">
        <v>0.82899999999999996</v>
      </c>
      <c r="S118" s="94">
        <v>1.1240000000000001</v>
      </c>
      <c r="T118" s="94">
        <v>-1.278</v>
      </c>
      <c r="U118" s="94">
        <v>3.8980000000000001</v>
      </c>
      <c r="V118" s="95">
        <v>3.2810000000000001</v>
      </c>
      <c r="W118" s="95">
        <f t="shared" si="1"/>
        <v>1.9207616007257289</v>
      </c>
    </row>
    <row r="119" spans="1:23" x14ac:dyDescent="0.35">
      <c r="A119" s="85" t="s">
        <v>593</v>
      </c>
      <c r="B119" s="85" t="s">
        <v>693</v>
      </c>
      <c r="C119" s="93">
        <v>1.2841572452507943</v>
      </c>
      <c r="D119" s="94">
        <v>3.5695383112497314</v>
      </c>
      <c r="E119" s="95">
        <v>3.4884405409466579</v>
      </c>
      <c r="G119" s="107" t="s">
        <v>584</v>
      </c>
      <c r="H119" s="105">
        <v>83.929015692724803</v>
      </c>
      <c r="I119" s="97">
        <v>38</v>
      </c>
      <c r="J119" s="98">
        <v>3</v>
      </c>
      <c r="K119" s="85"/>
      <c r="L119" s="93">
        <v>9.3317368265983944</v>
      </c>
      <c r="M119" s="94">
        <v>4.373453291056836</v>
      </c>
      <c r="N119" s="94">
        <v>2.7522002596044053</v>
      </c>
      <c r="O119" s="94">
        <v>5.0170000000000003</v>
      </c>
      <c r="P119" s="94">
        <v>5.0460000000000003</v>
      </c>
      <c r="Q119" s="94">
        <v>0.30399999999999999</v>
      </c>
      <c r="R119" s="94">
        <v>1.2869999999999999</v>
      </c>
      <c r="S119" s="94">
        <v>-1.1299999999999999</v>
      </c>
      <c r="T119" s="94">
        <v>-3.2</v>
      </c>
      <c r="U119" s="94">
        <v>2.9020000000000001</v>
      </c>
      <c r="V119" s="95">
        <v>4.3109999999999999</v>
      </c>
      <c r="W119" s="95">
        <f t="shared" si="1"/>
        <v>3.5289894260981947</v>
      </c>
    </row>
    <row r="120" spans="1:23" x14ac:dyDescent="0.35">
      <c r="A120" s="85" t="s">
        <v>578</v>
      </c>
      <c r="B120" s="85" t="s">
        <v>694</v>
      </c>
      <c r="C120" s="93">
        <v>-2.8988961286927073</v>
      </c>
      <c r="D120" s="94">
        <v>0.9425802646799708</v>
      </c>
      <c r="E120" s="95">
        <v>2.8446311877570185</v>
      </c>
      <c r="G120" s="107" t="s">
        <v>401</v>
      </c>
      <c r="H120" s="105">
        <v>69.599146780385112</v>
      </c>
      <c r="I120" s="97">
        <v>90</v>
      </c>
      <c r="J120" s="98">
        <v>17</v>
      </c>
      <c r="K120" s="85"/>
      <c r="L120" s="93">
        <v>2.8731257161786412</v>
      </c>
      <c r="M120" s="94">
        <v>4.4745926000517917</v>
      </c>
      <c r="N120" s="94">
        <v>5.7909341243793389</v>
      </c>
      <c r="O120" s="94">
        <v>4.0579999999999998</v>
      </c>
      <c r="P120" s="94">
        <v>4.5629999999999997</v>
      </c>
      <c r="Q120" s="94">
        <v>4.609</v>
      </c>
      <c r="R120" s="94">
        <v>6.0960000000000001</v>
      </c>
      <c r="S120" s="94">
        <v>3.12</v>
      </c>
      <c r="T120" s="94">
        <v>-0.94299999999999995</v>
      </c>
      <c r="U120" s="94">
        <v>5.742</v>
      </c>
      <c r="V120" s="95">
        <v>5.9669999999999996</v>
      </c>
      <c r="W120" s="95">
        <f t="shared" si="1"/>
        <v>1.8936057262184947</v>
      </c>
    </row>
    <row r="121" spans="1:23" x14ac:dyDescent="0.35">
      <c r="A121" s="85" t="s">
        <v>586</v>
      </c>
      <c r="B121" s="85" t="s">
        <v>695</v>
      </c>
      <c r="C121" s="93">
        <v>1.349334889011633</v>
      </c>
      <c r="D121" s="94">
        <v>2.1324418529624634</v>
      </c>
      <c r="E121" s="95">
        <v>3.875737232948695</v>
      </c>
      <c r="G121" s="107" t="s">
        <v>424</v>
      </c>
      <c r="H121" s="105">
        <v>61.957917699729606</v>
      </c>
      <c r="I121" s="97">
        <v>122</v>
      </c>
      <c r="J121" s="98">
        <v>19</v>
      </c>
      <c r="K121" s="85"/>
      <c r="L121" s="93">
        <v>9.7789039456094482</v>
      </c>
      <c r="M121" s="94">
        <v>6.9032725658169563</v>
      </c>
      <c r="N121" s="94">
        <v>5.0667432180278205</v>
      </c>
      <c r="O121" s="94">
        <v>5.7329999999999997</v>
      </c>
      <c r="P121" s="94">
        <v>4.9530000000000003</v>
      </c>
      <c r="Q121" s="94">
        <v>5.5910000000000002</v>
      </c>
      <c r="R121" s="94">
        <v>3.6850000000000001</v>
      </c>
      <c r="S121" s="94">
        <v>2.98</v>
      </c>
      <c r="T121" s="94">
        <v>-17.945</v>
      </c>
      <c r="U121" s="94">
        <v>15.336</v>
      </c>
      <c r="V121" s="95">
        <v>10</v>
      </c>
      <c r="W121" s="95">
        <f t="shared" si="1"/>
        <v>3.0040895429555792</v>
      </c>
    </row>
    <row r="122" spans="1:23" x14ac:dyDescent="0.35">
      <c r="A122" s="85" t="s">
        <v>578</v>
      </c>
      <c r="B122" s="85" t="s">
        <v>696</v>
      </c>
      <c r="C122" s="93">
        <v>0.50696592980361554</v>
      </c>
      <c r="D122" s="94">
        <v>1.127965129390196</v>
      </c>
      <c r="E122" s="95">
        <v>3.7955054005958777</v>
      </c>
      <c r="G122" s="107" t="s">
        <v>580</v>
      </c>
      <c r="H122" s="105">
        <v>55.401075093758223</v>
      </c>
      <c r="I122" s="97">
        <v>131</v>
      </c>
      <c r="J122" s="98">
        <v>27</v>
      </c>
      <c r="K122" s="85"/>
      <c r="L122" s="93">
        <v>4.6571195968623904</v>
      </c>
      <c r="M122" s="94">
        <v>3.8249463280067437</v>
      </c>
      <c r="N122" s="94">
        <v>13.543770621654581</v>
      </c>
      <c r="O122" s="94">
        <v>6.5759999999999996</v>
      </c>
      <c r="P122" s="94">
        <v>5.492</v>
      </c>
      <c r="Q122" s="94">
        <v>3.5350000000000001</v>
      </c>
      <c r="R122" s="94">
        <v>-0.27900000000000003</v>
      </c>
      <c r="S122" s="94">
        <v>4.4800000000000004</v>
      </c>
      <c r="T122" s="94">
        <v>-3.1669999999999998</v>
      </c>
      <c r="U122" s="94">
        <v>7.0000000000000007E-2</v>
      </c>
      <c r="V122" s="95">
        <v>4.5359999999999996</v>
      </c>
      <c r="W122" s="95">
        <f t="shared" si="1"/>
        <v>2.4617352649930369</v>
      </c>
    </row>
    <row r="123" spans="1:23" x14ac:dyDescent="0.35">
      <c r="A123" s="85" t="s">
        <v>586</v>
      </c>
      <c r="B123" s="85" t="s">
        <v>697</v>
      </c>
      <c r="C123" s="93">
        <v>1.1388134852348575</v>
      </c>
      <c r="D123" s="94">
        <v>1.2311721995777125</v>
      </c>
      <c r="E123" s="95">
        <v>3.152890592174673</v>
      </c>
      <c r="G123" s="107" t="s">
        <v>424</v>
      </c>
      <c r="H123" s="105">
        <v>63.814130726333779</v>
      </c>
      <c r="I123" s="97">
        <v>118</v>
      </c>
      <c r="J123" s="98">
        <v>17</v>
      </c>
      <c r="K123" s="85"/>
      <c r="L123" s="93">
        <v>-0.53851294250305837</v>
      </c>
      <c r="M123" s="94">
        <v>8.4174952847030529</v>
      </c>
      <c r="N123" s="94">
        <v>4.8608903705532152</v>
      </c>
      <c r="O123" s="94">
        <v>2.9569999999999999</v>
      </c>
      <c r="P123" s="94">
        <v>4.2679999999999998</v>
      </c>
      <c r="Q123" s="94">
        <v>4.8099999999999996</v>
      </c>
      <c r="R123" s="94">
        <v>3.2040000000000002</v>
      </c>
      <c r="S123" s="94">
        <v>-0.40200000000000002</v>
      </c>
      <c r="T123" s="94">
        <v>-0.82</v>
      </c>
      <c r="U123" s="94">
        <v>4.0170000000000003</v>
      </c>
      <c r="V123" s="95">
        <v>0.2</v>
      </c>
      <c r="W123" s="95">
        <f t="shared" si="1"/>
        <v>2.1920313958761928</v>
      </c>
    </row>
    <row r="124" spans="1:23" x14ac:dyDescent="0.35">
      <c r="A124" s="85" t="s">
        <v>586</v>
      </c>
      <c r="B124" s="85" t="s">
        <v>698</v>
      </c>
      <c r="C124" s="93">
        <v>1.205712245399182</v>
      </c>
      <c r="D124" s="94">
        <v>1.959755918859285</v>
      </c>
      <c r="E124" s="95">
        <v>2.7687545080362863</v>
      </c>
      <c r="G124" s="107" t="s">
        <v>424</v>
      </c>
      <c r="H124" s="105">
        <v>62.494421901152251</v>
      </c>
      <c r="I124" s="97">
        <v>121</v>
      </c>
      <c r="J124" s="98">
        <v>18</v>
      </c>
      <c r="K124" s="85"/>
      <c r="L124" s="93">
        <v>6.1397247056043467</v>
      </c>
      <c r="M124" s="94">
        <v>5.8525182108492944</v>
      </c>
      <c r="N124" s="94">
        <v>2.3821573718054045</v>
      </c>
      <c r="O124" s="94">
        <v>3.2519999999999998</v>
      </c>
      <c r="P124" s="94">
        <v>3.9529999999999998</v>
      </c>
      <c r="Q124" s="94">
        <v>2.5190000000000001</v>
      </c>
      <c r="R124" s="94">
        <v>3.9769999999999999</v>
      </c>
      <c r="S124" s="94">
        <v>2.2330000000000001</v>
      </c>
      <c r="T124" s="94">
        <v>-11.013999999999999</v>
      </c>
      <c r="U124" s="94">
        <v>13.551</v>
      </c>
      <c r="V124" s="95">
        <v>2.7010000000000001</v>
      </c>
      <c r="W124" s="95">
        <f t="shared" si="1"/>
        <v>2.3642552134477857</v>
      </c>
    </row>
    <row r="125" spans="1:23" x14ac:dyDescent="0.35">
      <c r="A125" s="85" t="s">
        <v>578</v>
      </c>
      <c r="B125" s="85" t="s">
        <v>699</v>
      </c>
      <c r="C125" s="93">
        <v>0.96069279950485864</v>
      </c>
      <c r="D125" s="94">
        <v>3.0362820733681239</v>
      </c>
      <c r="E125" s="95">
        <v>4.8545875775876546</v>
      </c>
      <c r="G125" s="107" t="s">
        <v>401</v>
      </c>
      <c r="H125" s="105">
        <v>74.806556985260698</v>
      </c>
      <c r="I125" s="97">
        <v>69</v>
      </c>
      <c r="J125" s="98">
        <v>10</v>
      </c>
      <c r="K125" s="85"/>
      <c r="L125" s="93">
        <v>6.8969517105747951</v>
      </c>
      <c r="M125" s="94">
        <v>6.7505313017782687</v>
      </c>
      <c r="N125" s="94">
        <v>6.3479874825028357</v>
      </c>
      <c r="O125" s="94">
        <v>6.3479999999999999</v>
      </c>
      <c r="P125" s="94">
        <v>7.149</v>
      </c>
      <c r="Q125" s="94">
        <v>6.931</v>
      </c>
      <c r="R125" s="94">
        <v>6.3410000000000002</v>
      </c>
      <c r="S125" s="94">
        <v>6.1189999999999998</v>
      </c>
      <c r="T125" s="94">
        <v>-9.5180000000000007</v>
      </c>
      <c r="U125" s="94">
        <v>5.7030000000000003</v>
      </c>
      <c r="V125" s="95">
        <v>7.5990000000000002</v>
      </c>
      <c r="W125" s="95">
        <f t="shared" si="1"/>
        <v>3.9454348254778893</v>
      </c>
    </row>
    <row r="126" spans="1:23" x14ac:dyDescent="0.35">
      <c r="A126" s="85" t="s">
        <v>227</v>
      </c>
      <c r="B126" s="85" t="s">
        <v>700</v>
      </c>
      <c r="C126" s="93">
        <v>3.162865203018228</v>
      </c>
      <c r="D126" s="94">
        <v>3.8363783613865499</v>
      </c>
      <c r="E126" s="95">
        <v>3.5697088266716248</v>
      </c>
      <c r="G126" s="107" t="s">
        <v>584</v>
      </c>
      <c r="H126" s="105">
        <v>85.420553644487129</v>
      </c>
      <c r="I126" s="97">
        <v>36</v>
      </c>
      <c r="J126" s="98">
        <v>23</v>
      </c>
      <c r="K126" s="85"/>
      <c r="L126" s="93">
        <v>1.6079066445646626</v>
      </c>
      <c r="M126" s="94">
        <v>1.3918923212492256</v>
      </c>
      <c r="N126" s="94">
        <v>3.3184475370007722</v>
      </c>
      <c r="O126" s="94">
        <v>4.383</v>
      </c>
      <c r="P126" s="94">
        <v>2.9540000000000002</v>
      </c>
      <c r="Q126" s="94">
        <v>5.14</v>
      </c>
      <c r="R126" s="94">
        <v>5.9450000000000003</v>
      </c>
      <c r="S126" s="94">
        <v>4.45</v>
      </c>
      <c r="T126" s="94">
        <v>-2.02</v>
      </c>
      <c r="U126" s="94">
        <v>6.8479999999999999</v>
      </c>
      <c r="V126" s="95">
        <v>4.8739999999999997</v>
      </c>
      <c r="W126" s="95">
        <f t="shared" si="1"/>
        <v>3.7030435940290873</v>
      </c>
    </row>
    <row r="127" spans="1:23" x14ac:dyDescent="0.35">
      <c r="A127" s="85" t="s">
        <v>227</v>
      </c>
      <c r="B127" s="85" t="s">
        <v>701</v>
      </c>
      <c r="C127" s="93">
        <v>1.0661443105445922</v>
      </c>
      <c r="D127" s="94">
        <v>1.7172276328006886</v>
      </c>
      <c r="E127" s="95">
        <v>1.5719478894561822</v>
      </c>
      <c r="G127" s="107" t="s">
        <v>417</v>
      </c>
      <c r="H127" s="105">
        <v>91.026987497789847</v>
      </c>
      <c r="I127" s="97">
        <v>25</v>
      </c>
      <c r="J127" s="98">
        <v>16</v>
      </c>
      <c r="K127" s="85"/>
      <c r="L127" s="93">
        <v>-4.0572943594235547</v>
      </c>
      <c r="M127" s="94">
        <v>-0.92264378725787455</v>
      </c>
      <c r="N127" s="94">
        <v>0.79219053837650444</v>
      </c>
      <c r="O127" s="94">
        <v>1.792</v>
      </c>
      <c r="P127" s="94">
        <v>2.0190000000000001</v>
      </c>
      <c r="Q127" s="94">
        <v>3.5059999999999998</v>
      </c>
      <c r="R127" s="94">
        <v>2.8490000000000002</v>
      </c>
      <c r="S127" s="94">
        <v>2.6829999999999998</v>
      </c>
      <c r="T127" s="94">
        <v>-8.3010000000000002</v>
      </c>
      <c r="U127" s="94">
        <v>5.5030000000000001</v>
      </c>
      <c r="V127" s="95">
        <v>6.726</v>
      </c>
      <c r="W127" s="95">
        <f t="shared" si="1"/>
        <v>1.6445877611284354</v>
      </c>
    </row>
    <row r="128" spans="1:23" x14ac:dyDescent="0.35">
      <c r="A128" s="85" t="s">
        <v>593</v>
      </c>
      <c r="B128" s="85" t="s">
        <v>702</v>
      </c>
      <c r="C128" s="93">
        <v>0.67674745765720079</v>
      </c>
      <c r="D128" s="94">
        <v>0.80775193577011795</v>
      </c>
      <c r="E128" s="95">
        <v>2.0997114519337501</v>
      </c>
      <c r="G128" s="107" t="s">
        <v>584</v>
      </c>
      <c r="H128" s="105">
        <v>78.783055534449289</v>
      </c>
      <c r="I128" s="97">
        <v>57</v>
      </c>
      <c r="J128" s="98">
        <v>6</v>
      </c>
      <c r="K128" s="85"/>
      <c r="L128" s="93">
        <v>4.730011843607838</v>
      </c>
      <c r="M128" s="94">
        <v>5.5560406430660754</v>
      </c>
      <c r="N128" s="94">
        <v>5.3343232919645871</v>
      </c>
      <c r="O128" s="94">
        <v>4.7530000000000001</v>
      </c>
      <c r="P128" s="94">
        <v>3.0640000000000001</v>
      </c>
      <c r="Q128" s="94">
        <v>-1.498</v>
      </c>
      <c r="R128" s="94">
        <v>1.2350000000000001</v>
      </c>
      <c r="S128" s="94">
        <v>0.68799999999999994</v>
      </c>
      <c r="T128" s="94">
        <v>-3.5579999999999998</v>
      </c>
      <c r="U128" s="94">
        <v>1.589</v>
      </c>
      <c r="V128" s="95">
        <v>4.2409999999999997</v>
      </c>
      <c r="W128" s="95">
        <f t="shared" si="1"/>
        <v>1.453731693851934</v>
      </c>
    </row>
    <row r="129" spans="1:23" x14ac:dyDescent="0.35">
      <c r="A129" s="85" t="s">
        <v>227</v>
      </c>
      <c r="B129" s="85" t="s">
        <v>703</v>
      </c>
      <c r="C129" s="93">
        <v>1.9886029006319417</v>
      </c>
      <c r="D129" s="94">
        <v>2.9733514596169686</v>
      </c>
      <c r="E129" s="95">
        <v>3.7501787507027151</v>
      </c>
      <c r="G129" s="107" t="s">
        <v>584</v>
      </c>
      <c r="H129" s="105">
        <v>84.261081453729389</v>
      </c>
      <c r="I129" s="97">
        <v>37</v>
      </c>
      <c r="J129" s="98">
        <v>24</v>
      </c>
      <c r="K129" s="85"/>
      <c r="L129" s="93">
        <v>2.0771650065377472</v>
      </c>
      <c r="M129" s="94">
        <v>3.5145518040847694</v>
      </c>
      <c r="N129" s="94">
        <v>3.4108091001793088</v>
      </c>
      <c r="O129" s="94">
        <v>3.1629999999999998</v>
      </c>
      <c r="P129" s="94">
        <v>2.8530000000000002</v>
      </c>
      <c r="Q129" s="94">
        <v>8.2129999999999992</v>
      </c>
      <c r="R129" s="94">
        <v>6.03</v>
      </c>
      <c r="S129" s="94">
        <v>3.8439999999999999</v>
      </c>
      <c r="T129" s="94">
        <v>-3.6920000000000002</v>
      </c>
      <c r="U129" s="94">
        <v>5.8739999999999997</v>
      </c>
      <c r="V129" s="95">
        <v>4.7910000000000004</v>
      </c>
      <c r="W129" s="95">
        <f t="shared" si="1"/>
        <v>3.3617651051598418</v>
      </c>
    </row>
    <row r="130" spans="1:23" x14ac:dyDescent="0.35">
      <c r="A130" s="85" t="s">
        <v>227</v>
      </c>
      <c r="B130" s="85" t="s">
        <v>704</v>
      </c>
      <c r="C130" s="93">
        <v>0.31321455831558875</v>
      </c>
      <c r="D130" s="94">
        <v>1.1211784185926943</v>
      </c>
      <c r="E130" s="95">
        <v>0.80914098391451361</v>
      </c>
      <c r="G130" s="107" t="s">
        <v>401</v>
      </c>
      <c r="H130" s="105">
        <v>76.528749373407479</v>
      </c>
      <c r="I130" s="97">
        <v>64</v>
      </c>
      <c r="J130" s="98">
        <v>36</v>
      </c>
      <c r="K130" s="85"/>
      <c r="L130" s="93">
        <v>4.0240861571797915</v>
      </c>
      <c r="M130" s="94">
        <v>1.7554221491628001</v>
      </c>
      <c r="N130" s="94">
        <v>0.736267221403759</v>
      </c>
      <c r="O130" s="94">
        <v>-1.9730000000000001</v>
      </c>
      <c r="P130" s="94">
        <v>0.19400000000000001</v>
      </c>
      <c r="Q130" s="94">
        <v>1.8260000000000001</v>
      </c>
      <c r="R130" s="94">
        <v>2.8069999999999999</v>
      </c>
      <c r="S130" s="94">
        <v>2.198</v>
      </c>
      <c r="T130" s="94">
        <v>-2.6539999999999999</v>
      </c>
      <c r="U130" s="94">
        <v>5.6239999999999997</v>
      </c>
      <c r="V130" s="95">
        <v>-2.0510000000000002</v>
      </c>
      <c r="W130" s="95">
        <f t="shared" si="1"/>
        <v>0.96515970125360395</v>
      </c>
    </row>
    <row r="131" spans="1:23" x14ac:dyDescent="0.35">
      <c r="A131" s="85" t="s">
        <v>582</v>
      </c>
      <c r="B131" s="85" t="s">
        <v>705</v>
      </c>
      <c r="C131" s="93">
        <v>4.5886571318858538</v>
      </c>
      <c r="D131" s="94">
        <v>6.3388189685080754</v>
      </c>
      <c r="E131" s="95">
        <v>6.1347836953729917</v>
      </c>
      <c r="G131" s="107" t="s">
        <v>401</v>
      </c>
      <c r="H131" s="105">
        <v>76.577775011818801</v>
      </c>
      <c r="I131" s="97">
        <v>63</v>
      </c>
      <c r="J131" s="98">
        <v>3</v>
      </c>
      <c r="K131" s="85"/>
      <c r="L131" s="93">
        <v>8.6415388651712988</v>
      </c>
      <c r="M131" s="94">
        <v>4.7198554996618309</v>
      </c>
      <c r="N131" s="94">
        <v>6.1642772027561934</v>
      </c>
      <c r="O131" s="94">
        <v>8.8539999999999992</v>
      </c>
      <c r="P131" s="94">
        <v>5.9720000000000004</v>
      </c>
      <c r="Q131" s="94">
        <v>3.9729999999999999</v>
      </c>
      <c r="R131" s="94">
        <v>8.5779999999999994</v>
      </c>
      <c r="S131" s="94">
        <v>9.4689999999999994</v>
      </c>
      <c r="T131" s="94">
        <v>-3.3570000000000002</v>
      </c>
      <c r="U131" s="94">
        <v>10.874000000000001</v>
      </c>
      <c r="V131" s="95">
        <v>6.7629999999999999</v>
      </c>
      <c r="W131" s="95">
        <f t="shared" si="1"/>
        <v>6.2368013319405335</v>
      </c>
    </row>
    <row r="132" spans="1:23" x14ac:dyDescent="0.35">
      <c r="A132" s="85" t="s">
        <v>593</v>
      </c>
      <c r="B132" s="85" t="s">
        <v>706</v>
      </c>
      <c r="C132" s="93">
        <v>2.4790435166051283</v>
      </c>
      <c r="D132" s="94">
        <v>2.0533451948943071</v>
      </c>
      <c r="E132" s="95">
        <v>2.158001329255721</v>
      </c>
      <c r="G132" s="107" t="s">
        <v>584</v>
      </c>
      <c r="H132" s="105">
        <v>76.963439522680929</v>
      </c>
      <c r="I132" s="97">
        <v>61</v>
      </c>
      <c r="J132" s="98">
        <v>8</v>
      </c>
      <c r="K132" s="85"/>
      <c r="L132" s="93">
        <v>5.4114449021643543</v>
      </c>
      <c r="M132" s="94">
        <v>2.6992547225567329</v>
      </c>
      <c r="N132" s="94">
        <v>3.6524816975790095</v>
      </c>
      <c r="O132" s="94">
        <v>4.6900000000000004</v>
      </c>
      <c r="P132" s="94">
        <v>2.363</v>
      </c>
      <c r="Q132" s="94">
        <v>-7.0000000000000007E-2</v>
      </c>
      <c r="R132" s="94">
        <v>2.762</v>
      </c>
      <c r="S132" s="94">
        <v>0.83199999999999996</v>
      </c>
      <c r="T132" s="94">
        <v>-4.3410000000000002</v>
      </c>
      <c r="U132" s="94">
        <v>3.9220000000000002</v>
      </c>
      <c r="V132" s="95">
        <v>8.7439999999999998</v>
      </c>
      <c r="W132" s="95">
        <f t="shared" si="1"/>
        <v>2.105673262075014</v>
      </c>
    </row>
    <row r="133" spans="1:23" x14ac:dyDescent="0.35">
      <c r="A133" s="85" t="s">
        <v>582</v>
      </c>
      <c r="B133" s="85" t="s">
        <v>707</v>
      </c>
      <c r="C133" s="93">
        <v>4.0137946463164598</v>
      </c>
      <c r="D133" s="94">
        <v>4.5694149693751296</v>
      </c>
      <c r="E133" s="95">
        <v>5.2331571951220512</v>
      </c>
      <c r="G133" s="107" t="s">
        <v>401</v>
      </c>
      <c r="H133" s="105">
        <v>69.313365081609845</v>
      </c>
      <c r="I133" s="97">
        <v>93</v>
      </c>
      <c r="J133" s="98">
        <v>15</v>
      </c>
      <c r="K133" s="85"/>
      <c r="L133" s="93">
        <v>5.1173942367478444</v>
      </c>
      <c r="M133" s="94">
        <v>2.8221056497235883</v>
      </c>
      <c r="N133" s="94">
        <v>6.6135001033739647</v>
      </c>
      <c r="O133" s="94">
        <v>6.367</v>
      </c>
      <c r="P133" s="94">
        <v>6.3559999999999999</v>
      </c>
      <c r="Q133" s="94">
        <v>7.407</v>
      </c>
      <c r="R133" s="94">
        <v>6.2089999999999996</v>
      </c>
      <c r="S133" s="94">
        <v>4.6139999999999999</v>
      </c>
      <c r="T133" s="94">
        <v>1.3260000000000001</v>
      </c>
      <c r="U133" s="94">
        <v>6.0670000000000002</v>
      </c>
      <c r="V133" s="95">
        <v>4.7089999999999996</v>
      </c>
      <c r="W133" s="95">
        <f t="shared" si="1"/>
        <v>4.9012860822485909</v>
      </c>
    </row>
    <row r="134" spans="1:23" x14ac:dyDescent="0.35">
      <c r="A134" s="85" t="s">
        <v>227</v>
      </c>
      <c r="B134" s="85" t="s">
        <v>708</v>
      </c>
      <c r="C134" s="93">
        <v>2.9071913241700997</v>
      </c>
      <c r="D134" s="94">
        <v>3.5107747978878168</v>
      </c>
      <c r="E134" s="95">
        <v>2.5987412011468258</v>
      </c>
      <c r="G134" s="107" t="s">
        <v>401</v>
      </c>
      <c r="H134" s="105">
        <v>74.50245157918026</v>
      </c>
      <c r="I134" s="97">
        <v>71</v>
      </c>
      <c r="J134" s="98">
        <v>38</v>
      </c>
      <c r="K134" s="85"/>
      <c r="L134" s="93">
        <v>-0.68154236933475798</v>
      </c>
      <c r="M134" s="94">
        <v>2.892636733558092</v>
      </c>
      <c r="N134" s="94">
        <v>-1.5895103199025831</v>
      </c>
      <c r="O134" s="94">
        <v>1.776</v>
      </c>
      <c r="P134" s="94">
        <v>3.339</v>
      </c>
      <c r="Q134" s="94">
        <v>2.101</v>
      </c>
      <c r="R134" s="94">
        <v>4.4950000000000001</v>
      </c>
      <c r="S134" s="94">
        <v>4.3319999999999999</v>
      </c>
      <c r="T134" s="94">
        <v>-0.90300000000000002</v>
      </c>
      <c r="U134" s="94">
        <v>7.55</v>
      </c>
      <c r="V134" s="95">
        <v>2.2509999999999999</v>
      </c>
      <c r="W134" s="95">
        <f t="shared" si="1"/>
        <v>3.0547579995173213</v>
      </c>
    </row>
    <row r="135" spans="1:23" x14ac:dyDescent="0.35">
      <c r="A135" s="85" t="s">
        <v>582</v>
      </c>
      <c r="B135" s="85" t="s">
        <v>709</v>
      </c>
      <c r="C135" s="93">
        <v>1.6001817079933423</v>
      </c>
      <c r="D135" s="94">
        <v>2.5822705421283176</v>
      </c>
      <c r="E135" s="94">
        <v>2.323464181185142</v>
      </c>
      <c r="G135" s="107" t="s">
        <v>580</v>
      </c>
      <c r="H135" s="105">
        <v>58.993492167204309</v>
      </c>
      <c r="I135" s="97">
        <v>126</v>
      </c>
      <c r="J135" s="97">
        <v>30</v>
      </c>
      <c r="K135" s="112"/>
      <c r="L135" s="93">
        <v>15.18176908302255</v>
      </c>
      <c r="M135" s="94">
        <v>20.715768285872748</v>
      </c>
      <c r="N135" s="94">
        <v>4.5567723661529431</v>
      </c>
      <c r="O135" s="94">
        <v>-20.492999999999999</v>
      </c>
      <c r="P135" s="94">
        <v>6.3540000000000001</v>
      </c>
      <c r="Q135" s="94">
        <v>3.7650000000000001</v>
      </c>
      <c r="R135" s="94">
        <v>3.4649999999999999</v>
      </c>
      <c r="S135" s="94">
        <v>5.2539999999999996</v>
      </c>
      <c r="T135" s="94">
        <v>-1.9690000000000001</v>
      </c>
      <c r="U135" s="94">
        <v>4.1050000000000004</v>
      </c>
      <c r="V135" s="94">
        <v>2.766</v>
      </c>
      <c r="W135" s="95">
        <f t="shared" si="1"/>
        <v>2.4528673616567298</v>
      </c>
    </row>
    <row r="136" spans="1:23" x14ac:dyDescent="0.35">
      <c r="A136" s="85" t="s">
        <v>578</v>
      </c>
      <c r="B136" s="85" t="s">
        <v>710</v>
      </c>
      <c r="C136" s="93">
        <v>2.254611894692915</v>
      </c>
      <c r="D136" s="94">
        <v>2.3804077568891469</v>
      </c>
      <c r="E136" s="94">
        <v>3.1207966515608421</v>
      </c>
      <c r="G136" s="107" t="s">
        <v>417</v>
      </c>
      <c r="H136" s="105">
        <v>97.805585083414968</v>
      </c>
      <c r="I136" s="97">
        <v>4</v>
      </c>
      <c r="J136" s="97">
        <v>2</v>
      </c>
      <c r="K136" s="112"/>
      <c r="L136" s="93">
        <v>4.461608951013317</v>
      </c>
      <c r="M136" s="94">
        <v>4.8372986457609866</v>
      </c>
      <c r="N136" s="94">
        <v>3.9380027286605586</v>
      </c>
      <c r="O136" s="94">
        <v>2.9769999999999999</v>
      </c>
      <c r="P136" s="94">
        <v>3.6019999999999999</v>
      </c>
      <c r="Q136" s="94">
        <v>4.5449999999999999</v>
      </c>
      <c r="R136" s="94">
        <v>3.5750000000000002</v>
      </c>
      <c r="S136" s="94">
        <v>1.331</v>
      </c>
      <c r="T136" s="94">
        <v>-3.9009999999999998</v>
      </c>
      <c r="U136" s="94">
        <v>8.8819999999999997</v>
      </c>
      <c r="V136" s="94">
        <v>3.6469999999999998</v>
      </c>
      <c r="W136" s="95">
        <f t="shared" si="1"/>
        <v>2.7506022042249945</v>
      </c>
    </row>
    <row r="137" spans="1:23" x14ac:dyDescent="0.35">
      <c r="A137" s="85" t="s">
        <v>227</v>
      </c>
      <c r="B137" s="85" t="s">
        <v>711</v>
      </c>
      <c r="C137" s="93">
        <v>0.39781205843958389</v>
      </c>
      <c r="D137" s="94">
        <v>0.97590941056187042</v>
      </c>
      <c r="E137" s="94">
        <v>1.8214852479931931</v>
      </c>
      <c r="G137" s="107" t="s">
        <v>584</v>
      </c>
      <c r="H137" s="105">
        <v>80.276897229698847</v>
      </c>
      <c r="I137" s="97">
        <v>47</v>
      </c>
      <c r="J137" s="97">
        <v>32</v>
      </c>
      <c r="K137" s="112"/>
      <c r="L137" s="93">
        <v>1.8958108123027844</v>
      </c>
      <c r="M137" s="94">
        <v>0.67084458223160615</v>
      </c>
      <c r="N137" s="94">
        <v>2.7524343314004627</v>
      </c>
      <c r="O137" s="94">
        <v>5.1669999999999998</v>
      </c>
      <c r="P137" s="94">
        <v>1.944</v>
      </c>
      <c r="Q137" s="94">
        <v>2.9380000000000002</v>
      </c>
      <c r="R137" s="94">
        <v>4.0309999999999997</v>
      </c>
      <c r="S137" s="94">
        <v>2.5190000000000001</v>
      </c>
      <c r="T137" s="94">
        <v>-3.375</v>
      </c>
      <c r="U137" s="94">
        <v>3.0139999999999998</v>
      </c>
      <c r="V137" s="94">
        <v>1.6679999999999999</v>
      </c>
      <c r="W137" s="95">
        <f t="shared" si="1"/>
        <v>1.3986973292775318</v>
      </c>
    </row>
    <row r="138" spans="1:23" x14ac:dyDescent="0.35">
      <c r="A138" s="85" t="s">
        <v>227</v>
      </c>
      <c r="B138" s="85" t="s">
        <v>712</v>
      </c>
      <c r="C138" s="93">
        <v>2.9453399614758569</v>
      </c>
      <c r="D138" s="94">
        <v>3.265722456681952</v>
      </c>
      <c r="E138" s="94">
        <v>2.8132202997918521</v>
      </c>
      <c r="G138" s="107" t="s">
        <v>417</v>
      </c>
      <c r="H138" s="105">
        <v>88.920325519387234</v>
      </c>
      <c r="I138" s="97">
        <v>30</v>
      </c>
      <c r="J138" s="97">
        <v>19</v>
      </c>
      <c r="K138" s="112"/>
      <c r="L138" s="93">
        <v>-2.6394387292630763</v>
      </c>
      <c r="M138" s="94">
        <v>-1.029283831306939</v>
      </c>
      <c r="N138" s="94">
        <v>2.7681580195902979</v>
      </c>
      <c r="O138" s="94">
        <v>2.21</v>
      </c>
      <c r="P138" s="94">
        <v>3.1920000000000002</v>
      </c>
      <c r="Q138" s="94">
        <v>4.8159999999999998</v>
      </c>
      <c r="R138" s="94">
        <v>4.4550000000000001</v>
      </c>
      <c r="S138" s="94">
        <v>3.4510000000000001</v>
      </c>
      <c r="T138" s="94">
        <v>-4.3209999999999997</v>
      </c>
      <c r="U138" s="94">
        <v>8.2110000000000003</v>
      </c>
      <c r="V138" s="94">
        <v>5.3739999999999997</v>
      </c>
      <c r="W138" s="95">
        <f t="shared" si="1"/>
        <v>3.0394713782369021</v>
      </c>
    </row>
    <row r="139" spans="1:23" x14ac:dyDescent="0.35">
      <c r="A139" s="85" t="s">
        <v>582</v>
      </c>
      <c r="B139" s="85" t="s">
        <v>713</v>
      </c>
      <c r="C139" s="93">
        <v>8.8409433265779214E-2</v>
      </c>
      <c r="D139" s="94">
        <v>2.1857023030043443</v>
      </c>
      <c r="E139" s="94">
        <v>1.8249844059199605</v>
      </c>
      <c r="G139" s="107" t="s">
        <v>401</v>
      </c>
      <c r="H139" s="105">
        <v>75.182844770260857</v>
      </c>
      <c r="I139" s="97">
        <v>68</v>
      </c>
      <c r="J139" s="97">
        <v>5</v>
      </c>
      <c r="K139" s="112"/>
      <c r="L139" s="93">
        <v>2.2133548084844037</v>
      </c>
      <c r="M139" s="94">
        <v>2.4852005003105813</v>
      </c>
      <c r="N139" s="94">
        <v>1.8469916036571876</v>
      </c>
      <c r="O139" s="94">
        <v>1.3220000000000001</v>
      </c>
      <c r="P139" s="94">
        <v>0.66500000000000004</v>
      </c>
      <c r="Q139" s="94">
        <v>1.1579999999999999</v>
      </c>
      <c r="R139" s="94">
        <v>1.522</v>
      </c>
      <c r="S139" s="94">
        <v>0.30299999999999999</v>
      </c>
      <c r="T139" s="94">
        <v>-6.3419999999999996</v>
      </c>
      <c r="U139" s="94">
        <v>4.9130000000000003</v>
      </c>
      <c r="V139" s="94">
        <v>2.0419999999999998</v>
      </c>
      <c r="W139" s="95">
        <f t="shared" ref="W139:W165" si="2">AVERAGE(D139,E139)</f>
        <v>2.0053433544621524</v>
      </c>
    </row>
    <row r="140" spans="1:23" x14ac:dyDescent="0.35">
      <c r="A140" s="85" t="s">
        <v>227</v>
      </c>
      <c r="B140" s="85" t="s">
        <v>714</v>
      </c>
      <c r="C140" s="93">
        <v>-0.43793400391870518</v>
      </c>
      <c r="D140" s="94">
        <v>0.55931383652465527</v>
      </c>
      <c r="E140" s="94">
        <v>1.23940470018431</v>
      </c>
      <c r="G140" s="107" t="s">
        <v>417</v>
      </c>
      <c r="H140" s="105">
        <v>90.367632171249966</v>
      </c>
      <c r="I140" s="97">
        <v>27</v>
      </c>
      <c r="J140" s="97">
        <v>17</v>
      </c>
      <c r="K140" s="112"/>
      <c r="L140" s="93">
        <v>-2.9594413017355699</v>
      </c>
      <c r="M140" s="94">
        <v>-1.4353942591932869</v>
      </c>
      <c r="N140" s="94">
        <v>1.3839079426702983</v>
      </c>
      <c r="O140" s="94">
        <v>3.8370000000000002</v>
      </c>
      <c r="P140" s="94">
        <v>3.0379999999999998</v>
      </c>
      <c r="Q140" s="94">
        <v>2.9769999999999999</v>
      </c>
      <c r="R140" s="94">
        <v>2.2829999999999999</v>
      </c>
      <c r="S140" s="94">
        <v>1.9830000000000001</v>
      </c>
      <c r="T140" s="94">
        <v>-11.324999999999999</v>
      </c>
      <c r="U140" s="94">
        <v>5.5220000000000002</v>
      </c>
      <c r="V140" s="94">
        <v>5.4749999999999996</v>
      </c>
      <c r="W140" s="95">
        <f t="shared" si="2"/>
        <v>0.89935926835448265</v>
      </c>
    </row>
    <row r="141" spans="1:23" x14ac:dyDescent="0.35">
      <c r="A141" s="85" t="s">
        <v>578</v>
      </c>
      <c r="B141" s="85" t="s">
        <v>715</v>
      </c>
      <c r="C141" s="93">
        <v>-3.0583991155611168</v>
      </c>
      <c r="D141" s="94">
        <v>7.8407546755454582E-2</v>
      </c>
      <c r="E141" s="94">
        <v>2.1593525209882225</v>
      </c>
      <c r="G141" s="107" t="s">
        <v>401</v>
      </c>
      <c r="H141" s="105">
        <v>73.00518117550061</v>
      </c>
      <c r="I141" s="97">
        <v>76</v>
      </c>
      <c r="J141" s="97">
        <v>13</v>
      </c>
      <c r="K141" s="112"/>
      <c r="L141" s="93">
        <v>9.1445722464256534</v>
      </c>
      <c r="M141" s="94">
        <v>3.3957326498342781</v>
      </c>
      <c r="N141" s="94">
        <v>4.960700591697301</v>
      </c>
      <c r="O141" s="94">
        <v>4.2060000000000004</v>
      </c>
      <c r="P141" s="94">
        <v>5.0540000000000003</v>
      </c>
      <c r="Q141" s="94">
        <v>6.4610000000000003</v>
      </c>
      <c r="R141" s="94">
        <v>2.31</v>
      </c>
      <c r="S141" s="94">
        <v>-0.22</v>
      </c>
      <c r="T141" s="94">
        <v>-3.472</v>
      </c>
      <c r="U141" s="94">
        <v>3.327</v>
      </c>
      <c r="V141" s="94">
        <v>-8.6590000000000007</v>
      </c>
      <c r="W141" s="95">
        <f t="shared" si="2"/>
        <v>1.1188800338718385</v>
      </c>
    </row>
    <row r="142" spans="1:23" x14ac:dyDescent="0.35">
      <c r="A142" s="85" t="s">
        <v>582</v>
      </c>
      <c r="B142" s="85" t="s">
        <v>716</v>
      </c>
      <c r="C142" s="93">
        <v>-2.6688383810210325</v>
      </c>
      <c r="D142" s="94">
        <v>-1.5401833642449736</v>
      </c>
      <c r="E142" s="94">
        <v>1.2842213840550842</v>
      </c>
      <c r="G142" s="107" t="s">
        <v>580</v>
      </c>
      <c r="H142" s="105">
        <v>29.302112762792021</v>
      </c>
      <c r="I142" s="97">
        <v>156</v>
      </c>
      <c r="J142" s="97">
        <v>47</v>
      </c>
      <c r="K142" s="112"/>
      <c r="L142" s="93">
        <v>-1.4398357186292348</v>
      </c>
      <c r="M142" s="94">
        <v>4.3946958327458523</v>
      </c>
      <c r="N142" s="94">
        <v>2.6794256681504725</v>
      </c>
      <c r="O142" s="94">
        <v>4.9059999999999997</v>
      </c>
      <c r="P142" s="94">
        <v>4.7</v>
      </c>
      <c r="Q142" s="94">
        <v>0.76800000000000002</v>
      </c>
      <c r="R142" s="94">
        <v>-2.29</v>
      </c>
      <c r="S142" s="94">
        <v>-2.5</v>
      </c>
      <c r="T142" s="94">
        <v>-3.63</v>
      </c>
      <c r="U142" s="94">
        <v>0.5</v>
      </c>
      <c r="V142" s="94">
        <v>-2.5</v>
      </c>
      <c r="W142" s="95">
        <f t="shared" si="2"/>
        <v>-0.12798099009494468</v>
      </c>
    </row>
    <row r="143" spans="1:23" x14ac:dyDescent="0.35">
      <c r="A143" s="85" t="s">
        <v>586</v>
      </c>
      <c r="B143" s="85" t="s">
        <v>717</v>
      </c>
      <c r="C143" s="93">
        <v>-6.0912921553037958</v>
      </c>
      <c r="D143" s="94">
        <v>-2.539464764773447</v>
      </c>
      <c r="E143" s="94">
        <v>-1.6533032843941364</v>
      </c>
      <c r="G143" s="107" t="s">
        <v>401</v>
      </c>
      <c r="H143" s="105">
        <v>69.385821977853183</v>
      </c>
      <c r="I143" s="97">
        <v>92</v>
      </c>
      <c r="J143" s="97">
        <v>12</v>
      </c>
      <c r="K143" s="112"/>
      <c r="L143" s="93">
        <v>2.6903497466884523</v>
      </c>
      <c r="M143" s="94">
        <v>2.9334416518612043</v>
      </c>
      <c r="N143" s="94">
        <v>0.25550303164546423</v>
      </c>
      <c r="O143" s="94">
        <v>-3.4140000000000001</v>
      </c>
      <c r="P143" s="94">
        <v>-4.9119999999999999</v>
      </c>
      <c r="Q143" s="94">
        <v>1.5660000000000001</v>
      </c>
      <c r="R143" s="94">
        <v>4.9480000000000004</v>
      </c>
      <c r="S143" s="94">
        <v>1.0980000000000001</v>
      </c>
      <c r="T143" s="94">
        <v>-15.906000000000001</v>
      </c>
      <c r="U143" s="94">
        <v>-2.742</v>
      </c>
      <c r="V143" s="94">
        <v>1.3280000000000001</v>
      </c>
      <c r="W143" s="95">
        <f t="shared" si="2"/>
        <v>-2.0963840245837915</v>
      </c>
    </row>
    <row r="144" spans="1:23" x14ac:dyDescent="0.35">
      <c r="A144" s="85" t="s">
        <v>227</v>
      </c>
      <c r="B144" s="85" t="s">
        <v>718</v>
      </c>
      <c r="C144" s="93">
        <v>1.8041121232050594</v>
      </c>
      <c r="D144" s="94">
        <v>1.5622302939160004</v>
      </c>
      <c r="E144" s="94">
        <v>2.0743232215396867</v>
      </c>
      <c r="G144" s="107" t="s">
        <v>417</v>
      </c>
      <c r="H144" s="105">
        <v>96.904206369440487</v>
      </c>
      <c r="I144" s="97">
        <v>7</v>
      </c>
      <c r="J144" s="97">
        <v>5</v>
      </c>
      <c r="K144" s="112"/>
      <c r="L144" s="93">
        <v>-0.58830456899072281</v>
      </c>
      <c r="M144" s="94">
        <v>1.1877757159060018</v>
      </c>
      <c r="N144" s="94">
        <v>2.6577982753164227</v>
      </c>
      <c r="O144" s="94">
        <v>4.4889999999999999</v>
      </c>
      <c r="P144" s="94">
        <v>2.0710000000000002</v>
      </c>
      <c r="Q144" s="94">
        <v>2.5680000000000001</v>
      </c>
      <c r="R144" s="94">
        <v>1.95</v>
      </c>
      <c r="S144" s="94">
        <v>1.986</v>
      </c>
      <c r="T144" s="94">
        <v>-2.17</v>
      </c>
      <c r="U144" s="94">
        <v>5.3860000000000001</v>
      </c>
      <c r="V144" s="94">
        <v>2.6419999999999999</v>
      </c>
      <c r="W144" s="95">
        <f t="shared" si="2"/>
        <v>1.8182767577278436</v>
      </c>
    </row>
    <row r="145" spans="1:23" x14ac:dyDescent="0.35">
      <c r="A145" s="85" t="s">
        <v>227</v>
      </c>
      <c r="B145" s="85" t="s">
        <v>719</v>
      </c>
      <c r="C145" s="93">
        <v>1.2890197152698013</v>
      </c>
      <c r="D145" s="94">
        <v>2.1594279609995271</v>
      </c>
      <c r="E145" s="94">
        <v>1.9949438623463989</v>
      </c>
      <c r="G145" s="107" t="s">
        <v>417</v>
      </c>
      <c r="H145" s="105">
        <v>98.385388118004073</v>
      </c>
      <c r="I145" s="97">
        <v>2</v>
      </c>
      <c r="J145" s="97">
        <v>1</v>
      </c>
      <c r="K145" s="112"/>
      <c r="L145" s="93">
        <v>1.0060240943135659</v>
      </c>
      <c r="M145" s="94">
        <v>1.852039766494749</v>
      </c>
      <c r="N145" s="94">
        <v>2.4492180871562819</v>
      </c>
      <c r="O145" s="94">
        <v>1.59</v>
      </c>
      <c r="P145" s="94">
        <v>2.073</v>
      </c>
      <c r="Q145" s="94">
        <v>1.427</v>
      </c>
      <c r="R145" s="94">
        <v>2.867</v>
      </c>
      <c r="S145" s="94">
        <v>1.161</v>
      </c>
      <c r="T145" s="94">
        <v>-2.5070000000000001</v>
      </c>
      <c r="U145" s="94">
        <v>4.2210000000000001</v>
      </c>
      <c r="V145" s="94">
        <v>2.1339999999999999</v>
      </c>
      <c r="W145" s="95">
        <f t="shared" si="2"/>
        <v>2.077185911672963</v>
      </c>
    </row>
    <row r="146" spans="1:23" x14ac:dyDescent="0.35">
      <c r="A146" s="85" t="s">
        <v>578</v>
      </c>
      <c r="B146" s="85" t="s">
        <v>720</v>
      </c>
      <c r="C146" s="93">
        <v>4.1942484708972883</v>
      </c>
      <c r="D146" s="94">
        <v>3.7202264352869774</v>
      </c>
      <c r="E146" s="94">
        <v>3.3189477234561782</v>
      </c>
      <c r="G146" s="107" t="s">
        <v>401</v>
      </c>
      <c r="H146" s="105">
        <v>74.109663332036064</v>
      </c>
      <c r="I146" s="97">
        <v>72</v>
      </c>
      <c r="J146" s="97">
        <v>11</v>
      </c>
      <c r="K146" s="112"/>
      <c r="L146" s="93">
        <v>2.2704029453876053</v>
      </c>
      <c r="M146" s="94">
        <v>2.5430680885972134</v>
      </c>
      <c r="N146" s="94">
        <v>4.9538203190596066</v>
      </c>
      <c r="O146" s="94">
        <v>1.466</v>
      </c>
      <c r="P146" s="94">
        <v>2.165</v>
      </c>
      <c r="Q146" s="94">
        <v>3.3109999999999999</v>
      </c>
      <c r="R146" s="94">
        <v>2.7869999999999999</v>
      </c>
      <c r="S146" s="94">
        <v>3.0640000000000001</v>
      </c>
      <c r="T146" s="94">
        <v>3.387</v>
      </c>
      <c r="U146" s="94">
        <v>6.5279999999999996</v>
      </c>
      <c r="V146" s="94">
        <v>2.452</v>
      </c>
      <c r="W146" s="95">
        <f t="shared" si="2"/>
        <v>3.5195870793715778</v>
      </c>
    </row>
    <row r="147" spans="1:23" x14ac:dyDescent="0.35">
      <c r="A147" s="85" t="s">
        <v>578</v>
      </c>
      <c r="B147" s="85" t="s">
        <v>721</v>
      </c>
      <c r="C147" s="93">
        <v>7.1805428191797027</v>
      </c>
      <c r="D147" s="94">
        <v>7.3081795758255463</v>
      </c>
      <c r="E147" s="94">
        <v>7.0632908095879854</v>
      </c>
      <c r="G147" s="107" t="s">
        <v>424</v>
      </c>
      <c r="H147" s="105">
        <v>65.502149613905985</v>
      </c>
      <c r="I147" s="97">
        <v>113</v>
      </c>
      <c r="J147" s="97">
        <v>23</v>
      </c>
      <c r="K147" s="112"/>
      <c r="L147" s="93">
        <v>7.4999994632152305</v>
      </c>
      <c r="M147" s="94">
        <v>7.3999997470037826</v>
      </c>
      <c r="N147" s="94">
        <v>6.7000006901625362</v>
      </c>
      <c r="O147" s="94">
        <v>6</v>
      </c>
      <c r="P147" s="94">
        <v>6.9</v>
      </c>
      <c r="Q147" s="94">
        <v>7.1</v>
      </c>
      <c r="R147" s="94">
        <v>7.6</v>
      </c>
      <c r="S147" s="94">
        <v>7.4</v>
      </c>
      <c r="T147" s="94">
        <v>4.3899999999999997</v>
      </c>
      <c r="U147" s="94">
        <v>9.4</v>
      </c>
      <c r="V147" s="94">
        <v>8</v>
      </c>
      <c r="W147" s="95">
        <f t="shared" si="2"/>
        <v>7.1857351927067654</v>
      </c>
    </row>
    <row r="148" spans="1:23" x14ac:dyDescent="0.35">
      <c r="A148" s="85" t="s">
        <v>582</v>
      </c>
      <c r="B148" s="85" t="s">
        <v>722</v>
      </c>
      <c r="C148" s="93">
        <v>3.6476767570704727</v>
      </c>
      <c r="D148" s="94">
        <v>4.4330707554891102</v>
      </c>
      <c r="E148" s="94">
        <v>5.5432278987954442</v>
      </c>
      <c r="G148" s="107" t="s">
        <v>424</v>
      </c>
      <c r="H148" s="105">
        <v>68.134404341049418</v>
      </c>
      <c r="I148" s="97">
        <v>101</v>
      </c>
      <c r="J148" s="97">
        <v>21</v>
      </c>
      <c r="K148" s="112"/>
      <c r="L148" s="93">
        <v>4.500153559821273</v>
      </c>
      <c r="M148" s="94">
        <v>6.7815856006531599</v>
      </c>
      <c r="N148" s="94">
        <v>6.732461868324811</v>
      </c>
      <c r="O148" s="94">
        <v>6.1609999999999996</v>
      </c>
      <c r="P148" s="94">
        <v>6.867</v>
      </c>
      <c r="Q148" s="94">
        <v>6.7729999999999997</v>
      </c>
      <c r="R148" s="94">
        <v>6.9589999999999996</v>
      </c>
      <c r="S148" s="94">
        <v>6.9889999999999999</v>
      </c>
      <c r="T148" s="94">
        <v>4.8159999999999998</v>
      </c>
      <c r="U148" s="94">
        <v>4.9470000000000001</v>
      </c>
      <c r="V148" s="94">
        <v>4.6879999999999997</v>
      </c>
      <c r="W148" s="95">
        <f t="shared" si="2"/>
        <v>4.9881493271422777</v>
      </c>
    </row>
    <row r="149" spans="1:23" x14ac:dyDescent="0.35">
      <c r="A149" s="85" t="s">
        <v>578</v>
      </c>
      <c r="B149" s="85" t="s">
        <v>723</v>
      </c>
      <c r="C149" s="93">
        <v>-0.75178730142027028</v>
      </c>
      <c r="D149" s="94">
        <v>0.80617945124625834</v>
      </c>
      <c r="E149" s="94">
        <v>1.8254251122560072</v>
      </c>
      <c r="G149" s="107" t="s">
        <v>424</v>
      </c>
      <c r="H149" s="105">
        <v>67.301316099527455</v>
      </c>
      <c r="I149" s="97">
        <v>104</v>
      </c>
      <c r="J149" s="97">
        <v>19</v>
      </c>
      <c r="K149" s="112"/>
      <c r="L149" s="93">
        <v>7.2427962024964359</v>
      </c>
      <c r="M149" s="94">
        <v>2.6874955632055553</v>
      </c>
      <c r="N149" s="94">
        <v>0.98442510993386245</v>
      </c>
      <c r="O149" s="94">
        <v>3.1339999999999999</v>
      </c>
      <c r="P149" s="94">
        <v>3.4350000000000001</v>
      </c>
      <c r="Q149" s="94">
        <v>4.1779999999999999</v>
      </c>
      <c r="R149" s="94">
        <v>4.2229999999999999</v>
      </c>
      <c r="S149" s="94">
        <v>2.1150000000000002</v>
      </c>
      <c r="T149" s="94">
        <v>-6.1609999999999996</v>
      </c>
      <c r="U149" s="94">
        <v>1.5629999999999999</v>
      </c>
      <c r="V149" s="94">
        <v>2.6440000000000001</v>
      </c>
      <c r="W149" s="95">
        <f t="shared" si="2"/>
        <v>1.3158022817511328</v>
      </c>
    </row>
    <row r="150" spans="1:23" x14ac:dyDescent="0.35">
      <c r="A150" s="85" t="s">
        <v>582</v>
      </c>
      <c r="B150" s="85" t="s">
        <v>724</v>
      </c>
      <c r="C150" s="93">
        <v>4.1237007551626403</v>
      </c>
      <c r="D150" s="94">
        <v>4.5599643087248731</v>
      </c>
      <c r="E150" s="94">
        <v>5.0461931715429786</v>
      </c>
      <c r="G150" s="107" t="s">
        <v>401</v>
      </c>
      <c r="H150" s="105">
        <v>71.06383353175876</v>
      </c>
      <c r="I150" s="97">
        <v>84</v>
      </c>
      <c r="J150" s="97">
        <v>12</v>
      </c>
      <c r="K150" s="112"/>
      <c r="L150" s="93">
        <v>6.543507029266066</v>
      </c>
      <c r="M150" s="94">
        <v>6.1123430766482372</v>
      </c>
      <c r="N150" s="94">
        <v>5.9205885732303445</v>
      </c>
      <c r="O150" s="94">
        <v>5.74</v>
      </c>
      <c r="P150" s="94">
        <v>5.6</v>
      </c>
      <c r="Q150" s="94">
        <v>4.3479999999999999</v>
      </c>
      <c r="R150" s="94">
        <v>4.9669999999999996</v>
      </c>
      <c r="S150" s="94">
        <v>5.4640000000000004</v>
      </c>
      <c r="T150" s="94">
        <v>1.758</v>
      </c>
      <c r="U150" s="94">
        <v>5.2590000000000003</v>
      </c>
      <c r="V150" s="94">
        <v>5.399</v>
      </c>
      <c r="W150" s="95">
        <f t="shared" si="2"/>
        <v>4.8030787401339259</v>
      </c>
    </row>
    <row r="151" spans="1:23" x14ac:dyDescent="0.35">
      <c r="A151" s="85" t="s">
        <v>586</v>
      </c>
      <c r="B151" s="85" t="s">
        <v>725</v>
      </c>
      <c r="C151" s="93">
        <v>-2.1662761553291388</v>
      </c>
      <c r="D151" s="94">
        <v>-0.32249691451342599</v>
      </c>
      <c r="E151" s="94">
        <v>-0.73360970360328848</v>
      </c>
      <c r="G151" s="107" t="s">
        <v>424</v>
      </c>
      <c r="H151" s="105">
        <v>65.576173252463747</v>
      </c>
      <c r="I151" s="97">
        <v>112</v>
      </c>
      <c r="J151" s="97">
        <v>14</v>
      </c>
      <c r="K151" s="112"/>
      <c r="L151" s="93">
        <v>1.2699643652024184</v>
      </c>
      <c r="M151" s="94">
        <v>2.2290748047658071</v>
      </c>
      <c r="N151" s="94">
        <v>-0.91254496880826241</v>
      </c>
      <c r="O151" s="94">
        <v>-0.75600000000000001</v>
      </c>
      <c r="P151" s="94">
        <v>-6.7640000000000002</v>
      </c>
      <c r="Q151" s="94">
        <v>-4.7069999999999999</v>
      </c>
      <c r="R151" s="94">
        <v>-0.871</v>
      </c>
      <c r="S151" s="94">
        <v>0.11</v>
      </c>
      <c r="T151" s="94">
        <v>-7.6779999999999999</v>
      </c>
      <c r="U151" s="94">
        <v>-1.0269999999999999</v>
      </c>
      <c r="V151" s="94">
        <v>2.4809999999999999</v>
      </c>
      <c r="W151" s="95">
        <f t="shared" si="2"/>
        <v>-0.52805330905835723</v>
      </c>
    </row>
    <row r="152" spans="1:23" x14ac:dyDescent="0.35">
      <c r="A152" s="85" t="s">
        <v>582</v>
      </c>
      <c r="B152" s="85" t="s">
        <v>726</v>
      </c>
      <c r="C152" s="93">
        <v>-0.76139414796470017</v>
      </c>
      <c r="D152" s="94">
        <v>1.515468696628397</v>
      </c>
      <c r="E152" s="94">
        <v>1.7677168413122724</v>
      </c>
      <c r="G152" s="107" t="s">
        <v>424</v>
      </c>
      <c r="H152" s="105">
        <v>68.074683718311135</v>
      </c>
      <c r="I152" s="97">
        <v>102</v>
      </c>
      <c r="J152" s="97">
        <v>22</v>
      </c>
      <c r="K152" s="112"/>
      <c r="L152" s="93">
        <v>3.9976740023093633</v>
      </c>
      <c r="M152" s="94">
        <v>2.8755238423073424</v>
      </c>
      <c r="N152" s="94">
        <v>2.9713983451090038</v>
      </c>
      <c r="O152" s="94">
        <v>0.96799999999999997</v>
      </c>
      <c r="P152" s="94">
        <v>1.117</v>
      </c>
      <c r="Q152" s="94">
        <v>2.238</v>
      </c>
      <c r="R152" s="94">
        <v>2.625</v>
      </c>
      <c r="S152" s="94">
        <v>1.5880000000000001</v>
      </c>
      <c r="T152" s="94">
        <v>-8.8179999999999996</v>
      </c>
      <c r="U152" s="94">
        <v>4.4050000000000002</v>
      </c>
      <c r="V152" s="94">
        <v>2.5219999999999998</v>
      </c>
      <c r="W152" s="95">
        <f t="shared" si="2"/>
        <v>1.6415927689703347</v>
      </c>
    </row>
    <row r="153" spans="1:23" x14ac:dyDescent="0.35">
      <c r="A153" s="85" t="s">
        <v>593</v>
      </c>
      <c r="B153" s="85" t="s">
        <v>727</v>
      </c>
      <c r="C153" s="93">
        <v>6.2162334826369348</v>
      </c>
      <c r="D153" s="94">
        <v>4.4468380199269797</v>
      </c>
      <c r="E153" s="94">
        <v>5.2521474880545149</v>
      </c>
      <c r="G153" s="107" t="s">
        <v>584</v>
      </c>
      <c r="H153" s="105">
        <v>79.725975588542326</v>
      </c>
      <c r="I153" s="97">
        <v>49</v>
      </c>
      <c r="J153" s="97">
        <v>4</v>
      </c>
      <c r="K153" s="112"/>
      <c r="L153" s="93">
        <v>4.7899402070344061</v>
      </c>
      <c r="M153" s="94">
        <v>8.4913093926863557</v>
      </c>
      <c r="N153" s="94">
        <v>5.1666907030455222</v>
      </c>
      <c r="O153" s="94">
        <v>6.0839999999999996</v>
      </c>
      <c r="P153" s="94">
        <v>3.323</v>
      </c>
      <c r="Q153" s="94">
        <v>7.5019999999999998</v>
      </c>
      <c r="R153" s="94">
        <v>2.98</v>
      </c>
      <c r="S153" s="94">
        <v>0.78400000000000003</v>
      </c>
      <c r="T153" s="94">
        <v>1.94</v>
      </c>
      <c r="U153" s="94">
        <v>11.353</v>
      </c>
      <c r="V153" s="94">
        <v>5.5659999999999998</v>
      </c>
      <c r="W153" s="95">
        <f t="shared" si="2"/>
        <v>4.8494927539907469</v>
      </c>
    </row>
    <row r="154" spans="1:23" x14ac:dyDescent="0.35">
      <c r="A154" s="85" t="s">
        <v>578</v>
      </c>
      <c r="B154" s="85" t="s">
        <v>728</v>
      </c>
      <c r="C154" s="93">
        <v>5.7825311290508274</v>
      </c>
      <c r="D154" s="94">
        <v>5.9692666570670072</v>
      </c>
      <c r="E154" s="94">
        <v>6.9419375690879193</v>
      </c>
      <c r="G154" s="107" t="s">
        <v>401</v>
      </c>
      <c r="H154" s="105">
        <v>73.971445285212496</v>
      </c>
      <c r="I154" s="97">
        <v>74</v>
      </c>
      <c r="J154" s="97">
        <v>12</v>
      </c>
      <c r="K154" s="112"/>
      <c r="L154" s="93">
        <v>11.099999961554488</v>
      </c>
      <c r="M154" s="94">
        <v>10.200000101398992</v>
      </c>
      <c r="N154" s="94">
        <v>10.299999970545908</v>
      </c>
      <c r="O154" s="94">
        <v>2.9860000000000002</v>
      </c>
      <c r="P154" s="94">
        <v>-0.97699999999999998</v>
      </c>
      <c r="Q154" s="94">
        <v>4.7069999999999999</v>
      </c>
      <c r="R154" s="94">
        <v>0.88200000000000001</v>
      </c>
      <c r="S154" s="94">
        <v>-3.3889999999999998</v>
      </c>
      <c r="T154" s="94">
        <v>-2.9369999999999998</v>
      </c>
      <c r="U154" s="94">
        <v>4.62</v>
      </c>
      <c r="V154" s="94">
        <v>1.7889999999999999</v>
      </c>
      <c r="W154" s="95">
        <f t="shared" si="2"/>
        <v>6.4556021130774628</v>
      </c>
    </row>
    <row r="155" spans="1:23" x14ac:dyDescent="0.35">
      <c r="A155" s="85" t="s">
        <v>582</v>
      </c>
      <c r="B155" s="85" t="s">
        <v>729</v>
      </c>
      <c r="C155" s="93">
        <v>3.8036415692147996</v>
      </c>
      <c r="D155" s="94">
        <v>4.8231874950755982</v>
      </c>
      <c r="E155" s="94">
        <v>4.6664450945707259</v>
      </c>
      <c r="G155" s="107" t="s">
        <v>401</v>
      </c>
      <c r="H155" s="105">
        <v>69.556086736265442</v>
      </c>
      <c r="I155" s="97">
        <v>91</v>
      </c>
      <c r="J155" s="97">
        <v>14</v>
      </c>
      <c r="K155" s="112"/>
      <c r="L155" s="93">
        <v>3.8374556059033003</v>
      </c>
      <c r="M155" s="94">
        <v>3.586905826320109</v>
      </c>
      <c r="N155" s="94">
        <v>5.1063073243118193</v>
      </c>
      <c r="O155" s="94">
        <v>8.0060000000000002</v>
      </c>
      <c r="P155" s="94">
        <v>0.159</v>
      </c>
      <c r="Q155" s="94">
        <v>6.83</v>
      </c>
      <c r="R155" s="94">
        <v>5.5019999999999998</v>
      </c>
      <c r="S155" s="94">
        <v>7.782</v>
      </c>
      <c r="T155" s="94">
        <v>-1.3009999999999999</v>
      </c>
      <c r="U155" s="94">
        <v>6.0039999999999996</v>
      </c>
      <c r="V155" s="94">
        <v>4.9329999999999998</v>
      </c>
      <c r="W155" s="95">
        <f t="shared" si="2"/>
        <v>4.7448162948231616</v>
      </c>
    </row>
    <row r="156" spans="1:23" x14ac:dyDescent="0.35">
      <c r="A156" s="85" t="s">
        <v>227</v>
      </c>
      <c r="B156" s="85" t="s">
        <v>730</v>
      </c>
      <c r="C156" s="93">
        <v>-11.461901799668306</v>
      </c>
      <c r="D156" s="94">
        <v>-5.8295559101049328</v>
      </c>
      <c r="E156" s="94">
        <v>-4.15839598326132</v>
      </c>
      <c r="G156" s="107" t="s">
        <v>401</v>
      </c>
      <c r="H156" s="105">
        <v>74.079326507080765</v>
      </c>
      <c r="I156" s="97">
        <v>73</v>
      </c>
      <c r="J156" s="97">
        <v>39</v>
      </c>
      <c r="K156" s="112"/>
      <c r="L156" s="93">
        <v>0.23868172076808841</v>
      </c>
      <c r="M156" s="94">
        <v>-2.66978900718703E-2</v>
      </c>
      <c r="N156" s="94">
        <v>-6.5526312936576572</v>
      </c>
      <c r="O156" s="94">
        <v>-9.7880000000000003</v>
      </c>
      <c r="P156" s="94">
        <v>2.4169999999999998</v>
      </c>
      <c r="Q156" s="94">
        <v>2.36</v>
      </c>
      <c r="R156" s="94">
        <v>3.488</v>
      </c>
      <c r="S156" s="94">
        <v>3.1989999999999998</v>
      </c>
      <c r="T156" s="94">
        <v>-3.7530000000000001</v>
      </c>
      <c r="U156" s="94">
        <v>3.3530000000000002</v>
      </c>
      <c r="V156" s="94">
        <v>-30.26</v>
      </c>
      <c r="W156" s="95">
        <f t="shared" si="2"/>
        <v>-4.9939759466831264</v>
      </c>
    </row>
    <row r="157" spans="1:23" x14ac:dyDescent="0.35">
      <c r="A157" s="85" t="s">
        <v>593</v>
      </c>
      <c r="B157" s="85" t="s">
        <v>731</v>
      </c>
      <c r="C157" s="93">
        <v>1.9883983839421138</v>
      </c>
      <c r="D157" s="94">
        <v>1.9344501122165347</v>
      </c>
      <c r="E157" s="94">
        <v>2.9471413005852209</v>
      </c>
      <c r="G157" s="107" t="s">
        <v>417</v>
      </c>
      <c r="H157" s="105">
        <v>91.971735408895199</v>
      </c>
      <c r="I157" s="97">
        <v>22</v>
      </c>
      <c r="J157" s="97">
        <v>1</v>
      </c>
      <c r="K157" s="112"/>
      <c r="L157" s="93">
        <v>4.4846260849086921</v>
      </c>
      <c r="M157" s="94">
        <v>5.0533458252665762</v>
      </c>
      <c r="N157" s="94">
        <v>4.2843036857947956</v>
      </c>
      <c r="O157" s="94">
        <v>6.7869999999999999</v>
      </c>
      <c r="P157" s="94">
        <v>5.5609999999999999</v>
      </c>
      <c r="Q157" s="94">
        <v>0.73499999999999999</v>
      </c>
      <c r="R157" s="94">
        <v>1.3140000000000001</v>
      </c>
      <c r="S157" s="94">
        <v>1.1080000000000001</v>
      </c>
      <c r="T157" s="94">
        <v>-4.9569999999999999</v>
      </c>
      <c r="U157" s="94">
        <v>3.9159999999999999</v>
      </c>
      <c r="V157" s="94">
        <v>7.4109999999999996</v>
      </c>
      <c r="W157" s="95">
        <f t="shared" si="2"/>
        <v>2.4407957064008778</v>
      </c>
    </row>
    <row r="158" spans="1:23" x14ac:dyDescent="0.35">
      <c r="A158" s="85" t="s">
        <v>227</v>
      </c>
      <c r="B158" s="85" t="s">
        <v>732</v>
      </c>
      <c r="C158" s="93">
        <v>-0.15570963242206304</v>
      </c>
      <c r="D158" s="94">
        <v>0.73784192060712961</v>
      </c>
      <c r="E158" s="94">
        <v>1.4574433295258649</v>
      </c>
      <c r="G158" s="107" t="s">
        <v>417</v>
      </c>
      <c r="H158" s="105">
        <v>95.869504572225566</v>
      </c>
      <c r="I158" s="97">
        <v>16</v>
      </c>
      <c r="J158" s="97">
        <v>11</v>
      </c>
      <c r="K158" s="112"/>
      <c r="L158" s="93">
        <v>1.4789239471568232</v>
      </c>
      <c r="M158" s="94">
        <v>2.1394857010831609</v>
      </c>
      <c r="N158" s="94">
        <v>2.6074759063105102</v>
      </c>
      <c r="O158" s="94">
        <v>2.3929999999999998</v>
      </c>
      <c r="P158" s="94">
        <v>2.165</v>
      </c>
      <c r="Q158" s="94">
        <v>2.444</v>
      </c>
      <c r="R158" s="94">
        <v>1.7050000000000001</v>
      </c>
      <c r="S158" s="94">
        <v>1.6040000000000001</v>
      </c>
      <c r="T158" s="94">
        <v>-11.031000000000001</v>
      </c>
      <c r="U158" s="94">
        <v>7.5970000000000004</v>
      </c>
      <c r="V158" s="94">
        <v>4.0449999999999999</v>
      </c>
      <c r="W158" s="95">
        <f t="shared" si="2"/>
        <v>1.0976426250664972</v>
      </c>
    </row>
    <row r="159" spans="1:23" x14ac:dyDescent="0.35">
      <c r="A159" s="85" t="s">
        <v>586</v>
      </c>
      <c r="B159" s="85" t="s">
        <v>733</v>
      </c>
      <c r="C159" s="93">
        <v>1.6858959431595322</v>
      </c>
      <c r="D159" s="94">
        <v>2.0522235488571683</v>
      </c>
      <c r="E159" s="94">
        <v>2.1214909700318696</v>
      </c>
      <c r="G159" s="107" t="s">
        <v>417</v>
      </c>
      <c r="H159" s="105">
        <v>95.916666666666671</v>
      </c>
      <c r="I159" s="97">
        <v>14</v>
      </c>
      <c r="J159" s="97">
        <v>1</v>
      </c>
      <c r="K159" s="112"/>
      <c r="L159" s="93">
        <v>2.249545852369943</v>
      </c>
      <c r="M159" s="94">
        <v>1.8420810710110016</v>
      </c>
      <c r="N159" s="94">
        <v>2.4519730353603584</v>
      </c>
      <c r="O159" s="94">
        <v>2.7069999999999999</v>
      </c>
      <c r="P159" s="94">
        <v>1.6679999999999999</v>
      </c>
      <c r="Q159" s="94">
        <v>2.242</v>
      </c>
      <c r="R159" s="94">
        <v>2.9449999999999998</v>
      </c>
      <c r="S159" s="94">
        <v>2.2949999999999999</v>
      </c>
      <c r="T159" s="94">
        <v>-2.7679999999999998</v>
      </c>
      <c r="U159" s="94">
        <v>5.9470000000000001</v>
      </c>
      <c r="V159" s="94">
        <v>2.0680000000000001</v>
      </c>
      <c r="W159" s="95">
        <f t="shared" si="2"/>
        <v>2.0868572594445189</v>
      </c>
    </row>
    <row r="160" spans="1:23" x14ac:dyDescent="0.35">
      <c r="A160" s="85" t="s">
        <v>586</v>
      </c>
      <c r="B160" s="85" t="s">
        <v>734</v>
      </c>
      <c r="C160" s="93">
        <v>0.91343850289404838</v>
      </c>
      <c r="D160" s="94">
        <v>2.2569945604846264</v>
      </c>
      <c r="E160" s="94">
        <v>2.3762166744240032</v>
      </c>
      <c r="G160" s="107" t="s">
        <v>584</v>
      </c>
      <c r="H160" s="105">
        <v>81.172173305315454</v>
      </c>
      <c r="I160" s="97">
        <v>43</v>
      </c>
      <c r="J160" s="97">
        <v>5</v>
      </c>
      <c r="K160" s="112"/>
      <c r="L160" s="93">
        <v>3.5381787068568795</v>
      </c>
      <c r="M160" s="94">
        <v>4.6375386431141186</v>
      </c>
      <c r="N160" s="94">
        <v>3.2387912162160193</v>
      </c>
      <c r="O160" s="94">
        <v>0.371</v>
      </c>
      <c r="P160" s="94">
        <v>1.69</v>
      </c>
      <c r="Q160" s="94">
        <v>1.6279999999999999</v>
      </c>
      <c r="R160" s="94">
        <v>0.47799999999999998</v>
      </c>
      <c r="S160" s="94">
        <v>0.35</v>
      </c>
      <c r="T160" s="94">
        <v>-6.1150000000000002</v>
      </c>
      <c r="U160" s="94">
        <v>4.4020000000000001</v>
      </c>
      <c r="V160" s="94">
        <v>4.8860000000000001</v>
      </c>
      <c r="W160" s="95">
        <f t="shared" si="2"/>
        <v>2.3166056174543148</v>
      </c>
    </row>
    <row r="161" spans="1:23" x14ac:dyDescent="0.35">
      <c r="A161" s="85" t="s">
        <v>578</v>
      </c>
      <c r="B161" s="85" t="s">
        <v>735</v>
      </c>
      <c r="C161" s="93">
        <v>4.966226080132774</v>
      </c>
      <c r="D161" s="94">
        <v>5.1922367720162121</v>
      </c>
      <c r="E161" s="94">
        <v>5.7634254597189516</v>
      </c>
      <c r="G161" s="107" t="s">
        <v>424</v>
      </c>
      <c r="H161" s="105">
        <v>68.759088115548678</v>
      </c>
      <c r="I161" s="97">
        <v>99</v>
      </c>
      <c r="J161" s="97">
        <v>18</v>
      </c>
      <c r="K161" s="112"/>
      <c r="L161" s="93">
        <v>7.1024448870695505</v>
      </c>
      <c r="M161" s="94">
        <v>7.2965503696402285</v>
      </c>
      <c r="N161" s="94">
        <v>6.8738384408295845</v>
      </c>
      <c r="O161" s="94">
        <v>7.2190000000000003</v>
      </c>
      <c r="P161" s="94">
        <v>5.9320000000000004</v>
      </c>
      <c r="Q161" s="94">
        <v>4.3949999999999996</v>
      </c>
      <c r="R161" s="94">
        <v>5.88</v>
      </c>
      <c r="S161" s="94">
        <v>5.9820000000000002</v>
      </c>
      <c r="T161" s="94">
        <v>1.996</v>
      </c>
      <c r="U161" s="94">
        <v>7.4029999999999996</v>
      </c>
      <c r="V161" s="94">
        <v>5.6689999999999996</v>
      </c>
      <c r="W161" s="95">
        <f t="shared" si="2"/>
        <v>5.4778311158675823</v>
      </c>
    </row>
    <row r="162" spans="1:23" x14ac:dyDescent="0.35">
      <c r="A162" s="85" t="s">
        <v>578</v>
      </c>
      <c r="B162" s="85" t="s">
        <v>736</v>
      </c>
      <c r="C162" s="93">
        <v>6.367284609117374</v>
      </c>
      <c r="D162" s="94">
        <v>8.0753375154714711</v>
      </c>
      <c r="E162" s="94">
        <v>8.6445538917790046</v>
      </c>
      <c r="G162" s="107" t="s">
        <v>424</v>
      </c>
      <c r="H162" s="105">
        <v>62.623537935388953</v>
      </c>
      <c r="I162" s="97">
        <v>120</v>
      </c>
      <c r="J162" s="97">
        <v>24</v>
      </c>
      <c r="K162" s="112"/>
      <c r="L162" s="93">
        <v>12.410056463111571</v>
      </c>
      <c r="M162" s="94">
        <v>7.2891294784445284</v>
      </c>
      <c r="N162" s="94">
        <v>9.6841913021478785</v>
      </c>
      <c r="O162" s="94">
        <v>6.9870000000000001</v>
      </c>
      <c r="P162" s="94">
        <v>6.69</v>
      </c>
      <c r="Q162" s="94">
        <v>6.94</v>
      </c>
      <c r="R162" s="94">
        <v>7.4649999999999999</v>
      </c>
      <c r="S162" s="94">
        <v>7.359</v>
      </c>
      <c r="T162" s="94">
        <v>2.867</v>
      </c>
      <c r="U162" s="94">
        <v>2.5619999999999998</v>
      </c>
      <c r="V162" s="94">
        <v>8.0180000000000007</v>
      </c>
      <c r="W162" s="95">
        <f t="shared" si="2"/>
        <v>8.3599457036252378</v>
      </c>
    </row>
    <row r="163" spans="1:23" x14ac:dyDescent="0.35">
      <c r="A163" s="85" t="s">
        <v>593</v>
      </c>
      <c r="B163" s="85" t="s">
        <v>737</v>
      </c>
      <c r="C163" s="93">
        <v>-1.1017371120758623</v>
      </c>
      <c r="D163" s="94">
        <v>-1.4008554823266794</v>
      </c>
      <c r="E163" s="94">
        <v>0.43888765074564517</v>
      </c>
      <c r="G163" s="107" t="s">
        <v>580</v>
      </c>
      <c r="H163" s="105">
        <v>44.737558430285063</v>
      </c>
      <c r="I163" s="97">
        <v>145</v>
      </c>
      <c r="J163" s="97">
        <v>11</v>
      </c>
      <c r="K163" s="112"/>
      <c r="L163" s="93">
        <v>16.665428768467855</v>
      </c>
      <c r="M163" s="94">
        <v>1.9894927620720551</v>
      </c>
      <c r="N163" s="94">
        <v>2.3769293269800476</v>
      </c>
      <c r="O163" s="94">
        <v>-27.995000000000001</v>
      </c>
      <c r="P163" s="94">
        <v>-9.375</v>
      </c>
      <c r="Q163" s="94">
        <v>-5.0720000000000001</v>
      </c>
      <c r="R163" s="94">
        <v>0.752</v>
      </c>
      <c r="S163" s="94">
        <v>1.4</v>
      </c>
      <c r="T163" s="94">
        <v>-8.5</v>
      </c>
      <c r="U163" s="94">
        <v>-1</v>
      </c>
      <c r="V163" s="94">
        <v>1.5</v>
      </c>
      <c r="W163" s="95">
        <f t="shared" si="2"/>
        <v>-0.48098391579051714</v>
      </c>
    </row>
    <row r="164" spans="1:23" x14ac:dyDescent="0.35">
      <c r="A164" s="85" t="s">
        <v>582</v>
      </c>
      <c r="B164" s="85" t="s">
        <v>738</v>
      </c>
      <c r="C164" s="93">
        <v>1.6991659105087376</v>
      </c>
      <c r="D164" s="94">
        <v>2.110140268966143</v>
      </c>
      <c r="E164" s="94">
        <v>3.0449788505192199</v>
      </c>
      <c r="G164" s="107" t="s">
        <v>424</v>
      </c>
      <c r="H164" s="105">
        <v>61.004320674622747</v>
      </c>
      <c r="I164" s="97">
        <v>124</v>
      </c>
      <c r="J164" s="97">
        <v>29</v>
      </c>
      <c r="K164" s="112"/>
      <c r="L164" s="93">
        <v>7.5975932105319126</v>
      </c>
      <c r="M164" s="94">
        <v>5.0572317397973361</v>
      </c>
      <c r="N164" s="94">
        <v>4.6979923625298614</v>
      </c>
      <c r="O164" s="94">
        <v>2.92</v>
      </c>
      <c r="P164" s="94">
        <v>3.7770000000000001</v>
      </c>
      <c r="Q164" s="94">
        <v>3.504</v>
      </c>
      <c r="R164" s="94">
        <v>4.0350000000000001</v>
      </c>
      <c r="S164" s="94">
        <v>1.4410000000000001</v>
      </c>
      <c r="T164" s="94">
        <v>-2.7850000000000001</v>
      </c>
      <c r="U164" s="94">
        <v>4.5990000000000002</v>
      </c>
      <c r="V164" s="94">
        <v>3.4409999999999998</v>
      </c>
      <c r="W164" s="95">
        <f t="shared" si="2"/>
        <v>2.5775595597426815</v>
      </c>
    </row>
    <row r="165" spans="1:23" x14ac:dyDescent="0.35">
      <c r="A165" s="85" t="s">
        <v>582</v>
      </c>
      <c r="B165" s="85" t="s">
        <v>739</v>
      </c>
      <c r="C165" s="93">
        <v>3.5464749905308901</v>
      </c>
      <c r="D165" s="94">
        <v>2.7818952866475843</v>
      </c>
      <c r="E165" s="94">
        <v>2.7261309103552733</v>
      </c>
      <c r="G165" s="107" t="s">
        <v>580</v>
      </c>
      <c r="H165" s="105">
        <v>55.033873809516088</v>
      </c>
      <c r="I165" s="97">
        <v>133</v>
      </c>
      <c r="J165" s="97">
        <v>33</v>
      </c>
      <c r="K165" s="112"/>
      <c r="L165" s="93">
        <v>17.615397198362849</v>
      </c>
      <c r="M165" s="94">
        <v>10.75800212279124</v>
      </c>
      <c r="N165" s="94">
        <v>3.9762602630956336</v>
      </c>
      <c r="O165" s="94">
        <v>1.794</v>
      </c>
      <c r="P165" s="94">
        <v>0.47799999999999998</v>
      </c>
      <c r="Q165" s="94">
        <v>4.9829999999999997</v>
      </c>
      <c r="R165" s="94">
        <v>4.7320000000000002</v>
      </c>
      <c r="S165" s="94">
        <v>-6.1219999999999999</v>
      </c>
      <c r="T165" s="94">
        <v>-7.8250000000000002</v>
      </c>
      <c r="U165" s="94">
        <v>8.4619999999999997</v>
      </c>
      <c r="V165" s="94">
        <v>3.0289999999999999</v>
      </c>
      <c r="W165" s="95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40"/>
  <sheetViews>
    <sheetView topLeftCell="J1" zoomScale="96" zoomScaleNormal="96" workbookViewId="0">
      <selection activeCell="U23" sqref="U2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519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389</v>
      </c>
      <c r="G2" s="39" t="s">
        <v>388</v>
      </c>
      <c r="H2" s="39" t="s">
        <v>488</v>
      </c>
      <c r="I2" s="39" t="s">
        <v>411</v>
      </c>
      <c r="J2" s="39" t="s">
        <v>482</v>
      </c>
      <c r="L2" s="46" t="s">
        <v>485</v>
      </c>
      <c r="M2" s="39" t="s">
        <v>486</v>
      </c>
      <c r="N2" s="39" t="s">
        <v>487</v>
      </c>
      <c r="O2" t="s">
        <v>499</v>
      </c>
      <c r="P2" t="s">
        <v>500</v>
      </c>
      <c r="Q2" t="s">
        <v>502</v>
      </c>
    </row>
    <row r="3" spans="1:21" x14ac:dyDescent="0.35">
      <c r="A3" t="s">
        <v>432</v>
      </c>
      <c r="B3" t="s">
        <v>473</v>
      </c>
      <c r="C3" t="str" cm="1">
        <f t="array" ref="C3">_xll.FDSB(B3,"FG_COMPANY_NAME")</f>
        <v>Chinese Offshore Renminbi per U.S. Dollar</v>
      </c>
      <c r="D3" cm="1">
        <f t="array" ref="D3">_xll.FDSB(B3,"FG_PRICE(0)")</f>
        <v>7.2591000000000001</v>
      </c>
      <c r="E3" cm="1">
        <f t="array" ref="E3">_xll.FDSB(B3,"FG_PRICE_CHANGE(0,-1AY)")</f>
        <v>2.7880788000000001</v>
      </c>
      <c r="F3" cm="1">
        <f t="array" ref="F3">_xll.FDSB(B3,"FG_PRICE_CHANGE(0,-1AM)")</f>
        <v>-2.4789571999999999E-2</v>
      </c>
      <c r="G3" cm="1">
        <f t="array" ref="G3">_xll.FDSB(B3,"FG_PRICE_CHANGE(0,-3AM)")</f>
        <v>0.71941613999999998</v>
      </c>
      <c r="H3" cm="1">
        <f t="array" ref="H3">_xll.FDSB(B3,"FG_PRICE_CHANGE(0,-6AM)")</f>
        <v>1.5251637</v>
      </c>
      <c r="I3" cm="1">
        <f t="array" ref="I3">_xll.FDS(B3,"STD(FG_PRICE_CHANGE(0,-1AY,AM))")</f>
        <v>1.1673789013698499</v>
      </c>
      <c r="J3" cm="1">
        <f t="array" ref="J3">_xll.FDS(B3,"STD(FG_PRICE_CHANGE(0,-3AY,M))")*SQRT(12)</f>
        <v>6.1671053601142383</v>
      </c>
      <c r="L3">
        <f t="shared" ref="L3:L23" si="0">(1-(_xlfn.PERCENTRANK.EXC($F$3:$F$23,F3)))*100</f>
        <v>36.4</v>
      </c>
      <c r="M3">
        <f t="shared" ref="M3:M23" si="1">(1-(_xlfn.PERCENTRANK.EXC($G$3:$G$23,G3)))*100</f>
        <v>45.499999999999993</v>
      </c>
      <c r="N3">
        <f t="shared" ref="N3:N23" si="2">(1-(_xlfn.PERCENTRANK.EXC($H$3:$H$23,H3)))*100</f>
        <v>50</v>
      </c>
      <c r="O3">
        <f>SUMPRODUCT($L$1:$N$1,L3:N3)</f>
        <v>45.480000000000004</v>
      </c>
      <c r="P3">
        <f t="shared" ref="P3:P23" si="3">100- (_xlfn.PERCENTRANK.EXC($J$3:$J$23,J3)*100)</f>
        <v>63.7</v>
      </c>
      <c r="Q3">
        <f>VLOOKUP(A3,CAD!$A$3:$J$23, 10, FALSE)</f>
        <v>59</v>
      </c>
      <c r="S3">
        <f>SUMPRODUCT($O$1:$Q$1,O3:Q3)</f>
        <v>53.650000000000006</v>
      </c>
      <c r="U3" cm="1">
        <f t="array" ref="U3">_xlfn.PERCENTRANK.EXC(_xlfn._xlws.FILTER(S$3:S$23, ISNUMBER(S$3:S$23)),S3)*100</f>
        <v>50</v>
      </c>
    </row>
    <row r="4" spans="1:21" x14ac:dyDescent="0.35">
      <c r="A4" t="s">
        <v>27</v>
      </c>
      <c r="B4" t="s">
        <v>480</v>
      </c>
      <c r="C4" t="str" cm="1">
        <f t="array" ref="C4">_xll.FDSB(B4,"FG_COMPANY_NAME")</f>
        <v>Chilean Peso per U.S. Dollar</v>
      </c>
      <c r="D4" cm="1">
        <f t="array" ref="D4">_xll.FDSB(B4,"FG_PRICE(0)")</f>
        <v>908.7</v>
      </c>
      <c r="E4" cm="1">
        <f t="array" ref="E4">_xll.FDSB(B4,"FG_PRICE_CHANGE(0,-1AY)")</f>
        <v>13.772380999999999</v>
      </c>
      <c r="F4" cm="1">
        <f t="array" ref="F4">_xll.FDSB(B4,"FG_PRICE_CHANGE(0,-1AM)")</f>
        <v>-4.1592180000000001</v>
      </c>
      <c r="G4" cm="1">
        <f t="array" ref="G4">_xll.FDSB(B4,"FG_PRICE_CHANGE(0,-3AM)")</f>
        <v>-7.7110586000000003</v>
      </c>
      <c r="H4" cm="1">
        <f t="array" ref="H4">_xll.FDSB(B4,"FG_PRICE_CHANGE(0,-6AM)")</f>
        <v>3.5909653000000001</v>
      </c>
      <c r="I4" cm="1">
        <f t="array" ref="I4">_xll.FDS(B4,"STD(FG_PRICE_CHANGE(0,-1AY,AM))")</f>
        <v>3.92612298825322</v>
      </c>
      <c r="J4" cm="1">
        <f t="array" ref="J4">_xll.FDS(B4,"STD(FG_PRICE_CHANGE(0,-3AY,M))")*SQRT(12)</f>
        <v>15.235687331099037</v>
      </c>
      <c r="L4">
        <f t="shared" si="0"/>
        <v>95.5</v>
      </c>
      <c r="M4">
        <f t="shared" si="1"/>
        <v>95.5</v>
      </c>
      <c r="N4">
        <f t="shared" si="2"/>
        <v>27.3</v>
      </c>
      <c r="O4">
        <f t="shared" ref="O4:O23" si="4">SUMPRODUCT($L$1:$N$1,L4:N4)</f>
        <v>68.22</v>
      </c>
      <c r="P4">
        <f t="shared" si="3"/>
        <v>9.0999999999999943</v>
      </c>
      <c r="Q4">
        <f>VLOOKUP(A4,CAD!$A$3:$J$23, 10, FALSE)</f>
        <v>9</v>
      </c>
      <c r="S4">
        <f t="shared" ref="S4:S23" si="5">SUMPRODUCT($O$1:$Q$1,O4:Q4)</f>
        <v>38.639999999999993</v>
      </c>
      <c r="U4" cm="1">
        <f t="array" ref="U4">_xlfn.PERCENTRANK.EXC(_xlfn._xlws.FILTER(S$3:S$23, ISNUMBER(S$3:S$23)),S4)*100</f>
        <v>18.099999999999998</v>
      </c>
    </row>
    <row r="5" spans="1:21" x14ac:dyDescent="0.35">
      <c r="A5" t="s">
        <v>35</v>
      </c>
      <c r="B5" t="s">
        <v>469</v>
      </c>
      <c r="C5" t="str" cm="1">
        <f t="array" ref="C5">_xll.FDSB(B5,"FG_COMPANY_NAME")</f>
        <v>Indonesian Rupiah per U.S. Dollar</v>
      </c>
      <c r="D5" cm="1">
        <f t="array" ref="D5">_xll.FDSB(B5,"FG_PRICE(0)")</f>
        <v>15992.5</v>
      </c>
      <c r="E5" cm="1">
        <f t="array" ref="E5">_xll.FDSB(B5,"FG_PRICE_CHANGE(0,-1AY)")</f>
        <v>7.4764730000000004</v>
      </c>
      <c r="F5" cm="1">
        <f t="array" ref="F5">_xll.FDSB(B5,"FG_PRICE_CHANGE(0,-1AM)")</f>
        <v>-1.4025867000000001</v>
      </c>
      <c r="G5" cm="1">
        <f t="array" ref="G5">_xll.FDSB(B5,"FG_PRICE_CHANGE(0,-3AM)")</f>
        <v>2.5521874000000002</v>
      </c>
      <c r="H5" cm="1">
        <f t="array" ref="H5">_xll.FDSB(B5,"FG_PRICE_CHANGE(0,-6AM)")</f>
        <v>2.8126001</v>
      </c>
      <c r="I5" cm="1">
        <f t="array" ref="I5">_xll.FDS(B5,"STD(FG_PRICE_CHANGE(0,-1AY,AM))")</f>
        <v>1.6074508417204201</v>
      </c>
      <c r="J5" cm="1">
        <f t="array" ref="J5">_xll.FDS(B5,"STD(FG_PRICE_CHANGE(0,-3AY,M))")*SQRT(12)</f>
        <v>5.4148224566284036</v>
      </c>
      <c r="L5">
        <f t="shared" si="0"/>
        <v>68.199999999999989</v>
      </c>
      <c r="M5">
        <f t="shared" si="1"/>
        <v>22.799999999999997</v>
      </c>
      <c r="N5">
        <f t="shared" si="2"/>
        <v>36.4</v>
      </c>
      <c r="O5">
        <f t="shared" si="4"/>
        <v>37.32</v>
      </c>
      <c r="P5">
        <f t="shared" si="3"/>
        <v>72.8</v>
      </c>
      <c r="Q5">
        <f>VLOOKUP(A5,CAD!$A$3:$J$23, 10, FALSE)</f>
        <v>40.9</v>
      </c>
      <c r="S5">
        <f t="shared" si="5"/>
        <v>48.68</v>
      </c>
      <c r="U5" cm="1">
        <f t="array" ref="U5">_xlfn.PERCENTRANK.EXC(_xlfn._xlws.FILTER(S$3:S$23, ISNUMBER(S$3:S$23)),S5)*100</f>
        <v>45.4</v>
      </c>
    </row>
    <row r="6" spans="1:21" x14ac:dyDescent="0.35">
      <c r="A6" t="s">
        <v>30</v>
      </c>
      <c r="B6" t="s">
        <v>479</v>
      </c>
      <c r="C6" t="str" cm="1">
        <f t="array" ref="C6">_xll.FDSB(B6,"FG_COMPANY_NAME")</f>
        <v>Philippines Peso per U.S. Dollar</v>
      </c>
      <c r="D6" cm="1">
        <f t="array" ref="D6">_xll.FDSB(B6,"FG_PRICE(0)")</f>
        <v>58.14</v>
      </c>
      <c r="E6" cm="1">
        <f t="array" ref="E6">_xll.FDSB(B6,"FG_PRICE_CHANGE(0,-1AY)")</f>
        <v>4.3412685</v>
      </c>
      <c r="F6" cm="1">
        <f t="array" ref="F6">_xll.FDSB(B6,"FG_PRICE_CHANGE(0,-1AM)")</f>
        <v>1.0831594</v>
      </c>
      <c r="G6" cm="1">
        <f t="array" ref="G6">_xll.FDSB(B6,"FG_PRICE_CHANGE(0,-3AM)")</f>
        <v>4.0071487000000001</v>
      </c>
      <c r="H6" cm="1">
        <f t="array" ref="H6">_xll.FDSB(B6,"FG_PRICE_CHANGE(0,-6AM)")</f>
        <v>4.950583</v>
      </c>
      <c r="I6" cm="1">
        <f t="array" ref="I6">_xll.FDS(B6,"STD(FG_PRICE_CHANGE(0,-1AY,AM))")</f>
        <v>1.5902958430095799</v>
      </c>
      <c r="J6" cm="1">
        <f t="array" ref="J6">_xll.FDS(B6,"STD(FG_PRICE_CHANGE(0,-3AY,M))")*SQRT(12)</f>
        <v>6.2241379504372292</v>
      </c>
      <c r="L6">
        <f t="shared" si="0"/>
        <v>9.0999999999999979</v>
      </c>
      <c r="M6">
        <f t="shared" si="1"/>
        <v>4.6000000000000041</v>
      </c>
      <c r="N6">
        <f t="shared" si="2"/>
        <v>22.799999999999997</v>
      </c>
      <c r="O6">
        <f t="shared" si="4"/>
        <v>12.780000000000001</v>
      </c>
      <c r="P6">
        <f t="shared" si="3"/>
        <v>54.6</v>
      </c>
      <c r="Q6">
        <f>VLOOKUP(A6,CAD!$A$3:$J$23, 10, FALSE)</f>
        <v>18.099999999999998</v>
      </c>
      <c r="S6">
        <f t="shared" si="5"/>
        <v>26.39</v>
      </c>
      <c r="U6" cm="1">
        <f t="array" ref="U6">_xlfn.PERCENTRANK.EXC(_xlfn._xlws.FILTER(S$3:S$23, ISNUMBER(S$3:S$23)),S6)*100</f>
        <v>13.600000000000001</v>
      </c>
    </row>
    <row r="7" spans="1:21" x14ac:dyDescent="0.35">
      <c r="A7" t="s">
        <v>23</v>
      </c>
      <c r="B7" t="s">
        <v>477</v>
      </c>
      <c r="C7" t="str" cm="1">
        <f t="array" ref="C7">_xll.FDSB(B7,"FG_COMPANY_NAME")</f>
        <v>Polish Zloty per U.S. Dollar</v>
      </c>
      <c r="D7" cm="1">
        <f t="array" ref="D7">_xll.FDSB(B7,"FG_PRICE(0)")</f>
        <v>3.9363999999999999</v>
      </c>
      <c r="E7" cm="1">
        <f t="array" ref="E7">_xll.FDSB(B7,"FG_PRICE_CHANGE(0,-1AY)")</f>
        <v>-5.4931400000000004</v>
      </c>
      <c r="F7" cm="1">
        <f t="array" ref="F7">_xll.FDSB(B7,"FG_PRICE_CHANGE(0,-1AM)")</f>
        <v>-2.3334860000000002</v>
      </c>
      <c r="G7" cm="1">
        <f t="array" ref="G7">_xll.FDSB(B7,"FG_PRICE_CHANGE(0,-3AM)")</f>
        <v>-1.1774182</v>
      </c>
      <c r="H7" cm="1">
        <f t="array" ref="H7">_xll.FDSB(B7,"FG_PRICE_CHANGE(0,-6AM)")</f>
        <v>-1.7594635000000001</v>
      </c>
      <c r="I7" cm="1">
        <f t="array" ref="I7">_xll.FDS(B7,"STD(FG_PRICE_CHANGE(0,-1AY,AM))")</f>
        <v>2.6218144012851599</v>
      </c>
      <c r="J7" cm="1">
        <f t="array" ref="J7">_xll.FDS(B7,"STD(FG_PRICE_CHANGE(0,-3AY,M))")*SQRT(12)</f>
        <v>11.466173820429237</v>
      </c>
      <c r="L7">
        <f t="shared" si="0"/>
        <v>86.4</v>
      </c>
      <c r="M7">
        <f t="shared" si="1"/>
        <v>72.8</v>
      </c>
      <c r="N7">
        <f t="shared" si="2"/>
        <v>86.4</v>
      </c>
      <c r="O7">
        <f t="shared" si="4"/>
        <v>80.960000000000008</v>
      </c>
      <c r="P7">
        <f t="shared" si="3"/>
        <v>22.799999999999997</v>
      </c>
      <c r="Q7">
        <f>VLOOKUP(A7,CAD!$A$3:$J$23, 10, FALSE)</f>
        <v>54.500000000000007</v>
      </c>
      <c r="S7">
        <f t="shared" si="5"/>
        <v>58.22</v>
      </c>
      <c r="U7" cm="1">
        <f t="array" ref="U7">_xlfn.PERCENTRANK.EXC(_xlfn._xlws.FILTER(S$3:S$23, ISNUMBER(S$3:S$23)),S7)*100</f>
        <v>63.6</v>
      </c>
    </row>
    <row r="8" spans="1:21" x14ac:dyDescent="0.35">
      <c r="A8" t="s">
        <v>29</v>
      </c>
      <c r="B8" t="s">
        <v>481</v>
      </c>
      <c r="C8" t="str" cm="1">
        <f t="array" ref="C8">_xll.FDSB(B8,"FG_COMPANY_NAME")</f>
        <v>Peruvian New Sol per U.S. Dollar</v>
      </c>
      <c r="D8" cm="1">
        <f t="array" ref="D8">_xll.FDSB(B8,"FG_PRICE(0)")</f>
        <v>3.7456</v>
      </c>
      <c r="E8" cm="1">
        <f t="array" ref="E8">_xll.FDSB(B8,"FG_PRICE_CHANGE(0,-1AY)")</f>
        <v>1.4407992000000001</v>
      </c>
      <c r="F8" cm="1">
        <f t="array" ref="F8">_xll.FDSB(B8,"FG_PRICE_CHANGE(0,-1AM)")</f>
        <v>1.3461113</v>
      </c>
      <c r="G8" cm="1">
        <f t="array" ref="G8">_xll.FDSB(B8,"FG_PRICE_CHANGE(0,-3AM)")</f>
        <v>-1.3225138000000001</v>
      </c>
      <c r="H8" cm="1">
        <f t="array" ref="H8">_xll.FDSB(B8,"FG_PRICE_CHANGE(0,-6AM)")</f>
        <v>0.18589496999999999</v>
      </c>
      <c r="I8" cm="1">
        <f t="array" ref="I8">_xll.FDS(B8,"STD(FG_PRICE_CHANGE(0,-1AY,AM))")</f>
        <v>2.2568736057607901</v>
      </c>
      <c r="J8" cm="1">
        <f t="array" ref="J8">_xll.FDS(B8,"STD(FG_PRICE_CHANGE(0,-3AY,M))")*SQRT(12)</f>
        <v>8.2096770625250599</v>
      </c>
      <c r="L8">
        <f t="shared" si="0"/>
        <v>4.6000000000000041</v>
      </c>
      <c r="M8">
        <f t="shared" si="1"/>
        <v>77.3</v>
      </c>
      <c r="N8">
        <f t="shared" si="2"/>
        <v>63.7</v>
      </c>
      <c r="O8">
        <f t="shared" si="4"/>
        <v>57.320000000000007</v>
      </c>
      <c r="P8">
        <f t="shared" si="3"/>
        <v>36.4</v>
      </c>
      <c r="Q8">
        <f>VLOOKUP(A8,CAD!$A$3:$J$23, 10, FALSE)</f>
        <v>45.4</v>
      </c>
      <c r="S8">
        <f t="shared" si="5"/>
        <v>48.660000000000004</v>
      </c>
      <c r="U8" cm="1">
        <f t="array" ref="U8">_xlfn.PERCENTRANK.EXC(_xlfn._xlws.FILTER(S$3:S$23, ISNUMBER(S$3:S$23)),S8)*100</f>
        <v>40.9</v>
      </c>
    </row>
    <row r="9" spans="1:21" x14ac:dyDescent="0.35">
      <c r="A9" t="s">
        <v>33</v>
      </c>
      <c r="B9" t="s">
        <v>474</v>
      </c>
      <c r="C9" t="str" cm="1">
        <f t="array" ref="C9">_xll.FDSB(B9,"FG_COMPANY_NAME")</f>
        <v>Malaysian Ringgit per U.S. Dollar</v>
      </c>
      <c r="D9" cm="1">
        <f t="array" ref="D9">_xll.FDSB(B9,"FG_PRICE(0)")</f>
        <v>4.7045000000000003</v>
      </c>
      <c r="E9" cm="1">
        <f t="array" ref="E9">_xll.FDSB(B9,"FG_PRICE_CHANGE(0,-1AY)")</f>
        <v>2.9431105</v>
      </c>
      <c r="F9" cm="1">
        <f t="array" ref="F9">_xll.FDSB(B9,"FG_PRICE_CHANGE(0,-1AM)")</f>
        <v>-1.5794992000000001</v>
      </c>
      <c r="G9" cm="1">
        <f t="array" ref="G9">_xll.FDSB(B9,"FG_PRICE_CHANGE(0,-3AM)")</f>
        <v>-1.5279948999999999</v>
      </c>
      <c r="H9" cm="1">
        <f t="array" ref="H9">_xll.FDSB(B9,"FG_PRICE_CHANGE(0,-6AM)")</f>
        <v>0.5449891</v>
      </c>
      <c r="I9" cm="1">
        <f t="array" ref="I9">_xll.FDS(B9,"STD(FG_PRICE_CHANGE(0,-1AY,AM))")</f>
        <v>1.90213346366366</v>
      </c>
      <c r="J9" cm="1">
        <f t="array" ref="J9">_xll.FDS(B9,"STD(FG_PRICE_CHANGE(0,-3AY,M))")*SQRT(12)</f>
        <v>7.5535813148171336</v>
      </c>
      <c r="L9">
        <f t="shared" si="0"/>
        <v>81.899999999999991</v>
      </c>
      <c r="M9">
        <f t="shared" si="1"/>
        <v>81.899999999999991</v>
      </c>
      <c r="N9">
        <f t="shared" si="2"/>
        <v>59.099999999999994</v>
      </c>
      <c r="O9">
        <f t="shared" si="4"/>
        <v>72.78</v>
      </c>
      <c r="P9">
        <f t="shared" si="3"/>
        <v>45.499999999999993</v>
      </c>
      <c r="Q9">
        <f>VLOOKUP(A9,CAD!$A$3:$J$23, 10, FALSE)</f>
        <v>68.100000000000009</v>
      </c>
      <c r="S9">
        <f t="shared" si="5"/>
        <v>63.660000000000004</v>
      </c>
      <c r="U9" cm="1">
        <f t="array" ref="U9">_xlfn.PERCENTRANK.EXC(_xlfn._xlws.FILTER(S$3:S$23, ISNUMBER(S$3:S$23)),S9)*100</f>
        <v>77.2</v>
      </c>
    </row>
    <row r="10" spans="1:21" x14ac:dyDescent="0.35">
      <c r="A10" t="s">
        <v>24</v>
      </c>
      <c r="B10" t="s">
        <v>475</v>
      </c>
      <c r="C10" t="str" cm="1">
        <f t="array" ref="C10">_xll.FDSB(B10,"FG_COMPANY_NAME")</f>
        <v>Taiwan Dollar per U.S. Dollar</v>
      </c>
      <c r="D10" cm="1">
        <f t="array" ref="D10">_xll.FDSB(B10,"FG_PRICE(0)")</f>
        <v>32.229999999999997</v>
      </c>
      <c r="E10" cm="1">
        <f t="array" ref="E10">_xll.FDSB(B10,"FG_PRICE_CHANGE(0,-1AY)")</f>
        <v>4.8437000000000001</v>
      </c>
      <c r="F10" cm="1">
        <f t="array" ref="F10">_xll.FDSB(B10,"FG_PRICE_CHANGE(0,-1AM)")</f>
        <v>-1.1516451999999999</v>
      </c>
      <c r="G10" cm="1">
        <f t="array" ref="G10">_xll.FDSB(B10,"FG_PRICE_CHANGE(0,-3AM)")</f>
        <v>2.0938276999999998</v>
      </c>
      <c r="H10" cm="1">
        <f t="array" ref="H10">_xll.FDSB(B10,"FG_PRICE_CHANGE(0,-6AM)")</f>
        <v>2.1860719</v>
      </c>
      <c r="I10" cm="1">
        <f t="array" ref="I10">_xll.FDS(B10,"STD(FG_PRICE_CHANGE(0,-1AY,AM))")</f>
        <v>1.3059264019952601</v>
      </c>
      <c r="J10" cm="1">
        <f t="array" ref="J10">_xll.FDS(B10,"STD(FG_PRICE_CHANGE(0,-3AY,M))")*SQRT(12)</f>
        <v>5.8934802613372712</v>
      </c>
      <c r="L10">
        <f t="shared" si="0"/>
        <v>59.099999999999994</v>
      </c>
      <c r="M10">
        <f t="shared" si="1"/>
        <v>31.899999999999995</v>
      </c>
      <c r="N10">
        <f t="shared" si="2"/>
        <v>41</v>
      </c>
      <c r="O10">
        <f t="shared" si="4"/>
        <v>40.980000000000004</v>
      </c>
      <c r="P10">
        <f t="shared" si="3"/>
        <v>68.2</v>
      </c>
      <c r="Q10">
        <f>VLOOKUP(A10,CAD!$A$3:$J$23, 10, FALSE)</f>
        <v>90.9</v>
      </c>
      <c r="S10">
        <f t="shared" si="5"/>
        <v>59.13000000000001</v>
      </c>
      <c r="U10" cm="1">
        <f t="array" ref="U10">_xlfn.PERCENTRANK.EXC(_xlfn._xlws.FILTER(S$3:S$23, ISNUMBER(S$3:S$23)),S10)*100</f>
        <v>68.100000000000009</v>
      </c>
    </row>
    <row r="11" spans="1:21" x14ac:dyDescent="0.35">
      <c r="A11" t="s">
        <v>7</v>
      </c>
      <c r="B11" t="s">
        <v>478</v>
      </c>
      <c r="C11" t="str" cm="1">
        <f t="array" ref="C11">_xll.FDSB(B11,"FG_COMPANY_NAME")</f>
        <v>Mexican Peso per U.S. Dollar</v>
      </c>
      <c r="D11" cm="1">
        <f t="array" ref="D11">_xll.FDSB(B11,"FG_PRICE(0)")</f>
        <v>16.731999999999999</v>
      </c>
      <c r="E11" cm="1">
        <f t="array" ref="E11">_xll.FDSB(B11,"FG_PRICE_CHANGE(0,-1AY)")</f>
        <v>-6.9720864000000002</v>
      </c>
      <c r="F11" cm="1">
        <f t="array" ref="F11">_xll.FDSB(B11,"FG_PRICE_CHANGE(0,-1AM)")</f>
        <v>-1.5533090000000001</v>
      </c>
      <c r="G11" cm="1">
        <f t="array" ref="G11">_xll.FDSB(B11,"FG_PRICE_CHANGE(0,-3AM)")</f>
        <v>-2.3746966999999999</v>
      </c>
      <c r="H11" cm="1">
        <f t="array" ref="H11">_xll.FDSB(B11,"FG_PRICE_CHANGE(0,-6AM)")</f>
        <v>-2.5679827</v>
      </c>
      <c r="I11" cm="1">
        <f t="array" ref="I11">_xll.FDS(B11,"STD(FG_PRICE_CHANGE(0,-1AY,AM))")</f>
        <v>2.93990541238185</v>
      </c>
      <c r="J11" cm="1">
        <f t="array" ref="J11">_xll.FDS(B11,"STD(FG_PRICE_CHANGE(0,-3AY,M))")*SQRT(12)</f>
        <v>8.0814573383213357</v>
      </c>
      <c r="L11">
        <f t="shared" si="0"/>
        <v>77.3</v>
      </c>
      <c r="M11">
        <f t="shared" si="1"/>
        <v>86.4</v>
      </c>
      <c r="N11">
        <f t="shared" si="2"/>
        <v>95.5</v>
      </c>
      <c r="O11">
        <f t="shared" si="4"/>
        <v>88.22</v>
      </c>
      <c r="P11">
        <f t="shared" si="3"/>
        <v>41</v>
      </c>
      <c r="Q11">
        <f>VLOOKUP(A11,CAD!$A$3:$J$23, 10, FALSE)</f>
        <v>36.299999999999997</v>
      </c>
      <c r="S11">
        <f t="shared" si="5"/>
        <v>63.669999999999995</v>
      </c>
      <c r="U11" cm="1">
        <f t="array" ref="U11">_xlfn.PERCENTRANK.EXC(_xlfn._xlws.FILTER(S$3:S$23, ISNUMBER(S$3:S$23)),S11)*100</f>
        <v>81.8</v>
      </c>
    </row>
    <row r="12" spans="1:21" x14ac:dyDescent="0.35">
      <c r="A12" t="s">
        <v>21</v>
      </c>
      <c r="B12" t="s">
        <v>391</v>
      </c>
      <c r="C12" t="str" cm="1">
        <f t="array" ref="C12">_xll.FDSB(B12,"FG_COMPANY_NAME")</f>
        <v>South Korean Won per U.S. Dollar</v>
      </c>
      <c r="D12" cm="1">
        <f t="array" ref="D12">_xll.FDSB(B12,"FG_PRICE(0)")</f>
        <v>1362.5</v>
      </c>
      <c r="E12" cm="1">
        <f t="array" ref="E12">_xll.FDSB(B12,"FG_PRICE_CHANGE(0,-1AY)")</f>
        <v>3.7976622999999998</v>
      </c>
      <c r="F12" cm="1">
        <f t="array" ref="F12">_xll.FDSB(B12,"FG_PRICE_CHANGE(0,-1AM)")</f>
        <v>-1.1427522000000001</v>
      </c>
      <c r="G12" cm="1">
        <f t="array" ref="G12">_xll.FDSB(B12,"FG_PRICE_CHANGE(0,-3AM)")</f>
        <v>2.3627877000000002</v>
      </c>
      <c r="H12" cm="1">
        <f t="array" ref="H12">_xll.FDSB(B12,"FG_PRICE_CHANGE(0,-6AM)")</f>
        <v>5.0136805000000004</v>
      </c>
      <c r="I12" cm="1">
        <f t="array" ref="I12">_xll.FDS(B12,"STD(FG_PRICE_CHANGE(0,-1AY,AM))")</f>
        <v>2.1991711864927201</v>
      </c>
      <c r="J12" cm="1">
        <f t="array" ref="J12">_xll.FDS(B12,"STD(FG_PRICE_CHANGE(0,-3AY,M))")*SQRT(12)</f>
        <v>10.418413566752905</v>
      </c>
      <c r="L12">
        <f t="shared" si="0"/>
        <v>54.6</v>
      </c>
      <c r="M12">
        <f t="shared" si="1"/>
        <v>27.3</v>
      </c>
      <c r="N12">
        <f t="shared" si="2"/>
        <v>18.200000000000006</v>
      </c>
      <c r="O12">
        <f t="shared" si="4"/>
        <v>29.120000000000005</v>
      </c>
      <c r="P12">
        <f t="shared" si="3"/>
        <v>27.299999999999997</v>
      </c>
      <c r="Q12">
        <f>VLOOKUP(A12,CAD!$A$3:$J$23, 10, FALSE)</f>
        <v>81.8</v>
      </c>
      <c r="S12">
        <f t="shared" si="5"/>
        <v>39.11</v>
      </c>
      <c r="U12" cm="1">
        <f t="array" ref="U12">_xlfn.PERCENTRANK.EXC(_xlfn._xlws.FILTER(S$3:S$23, ISNUMBER(S$3:S$23)),S12)*100</f>
        <v>22.7</v>
      </c>
    </row>
    <row r="13" spans="1:21" x14ac:dyDescent="0.35">
      <c r="A13" t="s">
        <v>12</v>
      </c>
      <c r="B13" t="s">
        <v>470</v>
      </c>
      <c r="C13" t="str" cm="1">
        <f t="array" ref="C13">_xll.FDSB(B13,"FG_COMPANY_NAME")</f>
        <v>Brazilian Real per U.S. Dollar</v>
      </c>
      <c r="D13" cm="1">
        <f t="array" ref="D13">_xll.FDSB(B13,"FG_PRICE(0)")</f>
        <v>5.1528499999999999</v>
      </c>
      <c r="E13" cm="1">
        <f t="array" ref="E13">_xll.FDSB(B13,"FG_PRICE_CHANGE(0,-1AY)")</f>
        <v>3.8284419999999999</v>
      </c>
      <c r="F13" cm="1">
        <f t="array" ref="F13">_xll.FDSB(B13,"FG_PRICE_CHANGE(0,-1AM)")</f>
        <v>-6.3025949999999997E-2</v>
      </c>
      <c r="G13" cm="1">
        <f t="array" ref="G13">_xll.FDSB(B13,"FG_PRICE_CHANGE(0,-3AM)")</f>
        <v>3.2655954</v>
      </c>
      <c r="H13" cm="1">
        <f t="array" ref="H13">_xll.FDSB(B13,"FG_PRICE_CHANGE(0,-6AM)")</f>
        <v>5.3128004000000004</v>
      </c>
      <c r="I13" cm="1">
        <f t="array" ref="I13">_xll.FDS(B13,"STD(FG_PRICE_CHANGE(0,-1AY,AM))")</f>
        <v>2.0335075212385298</v>
      </c>
      <c r="J13" cm="1">
        <f t="array" ref="J13">_xll.FDS(B13,"STD(FG_PRICE_CHANGE(0,-3AY,M))")*SQRT(12)</f>
        <v>12.667343258694705</v>
      </c>
      <c r="L13">
        <f t="shared" si="0"/>
        <v>41</v>
      </c>
      <c r="M13">
        <f t="shared" si="1"/>
        <v>18.200000000000006</v>
      </c>
      <c r="N13">
        <f t="shared" si="2"/>
        <v>9.0999999999999979</v>
      </c>
      <c r="O13">
        <f t="shared" si="4"/>
        <v>19.120000000000005</v>
      </c>
      <c r="P13">
        <f t="shared" si="3"/>
        <v>18.200000000000003</v>
      </c>
      <c r="Q13">
        <f>VLOOKUP(A13,CAD!$A$3:$J$23, 10, FALSE)</f>
        <v>27.200000000000003</v>
      </c>
      <c r="S13">
        <f t="shared" si="5"/>
        <v>20.460000000000004</v>
      </c>
      <c r="U13" cm="1">
        <f t="array" ref="U13">_xlfn.PERCENTRANK.EXC(_xlfn._xlws.FILTER(S$3:S$23, ISNUMBER(S$3:S$23)),S13)*100</f>
        <v>9</v>
      </c>
    </row>
    <row r="14" spans="1:21" x14ac:dyDescent="0.35">
      <c r="A14" t="s">
        <v>22</v>
      </c>
      <c r="B14" t="s">
        <v>386</v>
      </c>
      <c r="C14" t="str" cm="1">
        <f t="array" ref="C14">_xll.FDSB(B14,"FG_COMPANY_NAME")</f>
        <v>South African Rand per U.S. Dollar</v>
      </c>
      <c r="D14" cm="1">
        <f t="array" ref="D14">_xll.FDSB(B14,"FG_PRICE(0)")</f>
        <v>18.462499999999999</v>
      </c>
      <c r="E14" cm="1">
        <f t="array" ref="E14">_xll.FDSB(B14,"FG_PRICE_CHANGE(0,-1AY)")</f>
        <v>-3.8661837999999999</v>
      </c>
      <c r="F14" cm="1">
        <f t="array" ref="F14">_xll.FDSB(B14,"FG_PRICE_CHANGE(0,-1AM)")</f>
        <v>-3.5208046</v>
      </c>
      <c r="G14" cm="1">
        <f t="array" ref="G14">_xll.FDSB(B14,"FG_PRICE_CHANGE(0,-3AM)")</f>
        <v>-4.357958</v>
      </c>
      <c r="H14" cm="1">
        <f t="array" ref="H14">_xll.FDSB(B14,"FG_PRICE_CHANGE(0,-6AM)")</f>
        <v>-1.7690897000000001</v>
      </c>
      <c r="I14" cm="1">
        <f t="array" ref="I14">_xll.FDS(B14,"STD(FG_PRICE_CHANGE(0,-1AY,AM))")</f>
        <v>2.9180651339202499</v>
      </c>
      <c r="J14" cm="1">
        <f t="array" ref="J14">_xll.FDS(B14,"STD(FG_PRICE_CHANGE(0,-3AY,M))")*SQRT(12)</f>
        <v>13.89253367626112</v>
      </c>
      <c r="L14">
        <f t="shared" si="0"/>
        <v>91</v>
      </c>
      <c r="M14">
        <f t="shared" si="1"/>
        <v>91</v>
      </c>
      <c r="N14">
        <f t="shared" si="2"/>
        <v>91</v>
      </c>
      <c r="O14">
        <f t="shared" si="4"/>
        <v>91</v>
      </c>
      <c r="P14">
        <f t="shared" si="3"/>
        <v>13.700000000000003</v>
      </c>
      <c r="Q14">
        <f>VLOOKUP(A14,CAD!$A$3:$J$23, 10, FALSE)</f>
        <v>22.7</v>
      </c>
      <c r="S14">
        <f t="shared" si="5"/>
        <v>54.15</v>
      </c>
      <c r="U14" cm="1">
        <f t="array" ref="U14">_xlfn.PERCENTRANK.EXC(_xlfn._xlws.FILTER(S$3:S$23, ISNUMBER(S$3:S$23)),S14)*100</f>
        <v>59</v>
      </c>
    </row>
    <row r="15" spans="1:21" x14ac:dyDescent="0.35">
      <c r="A15" t="s">
        <v>28</v>
      </c>
      <c r="B15" t="s">
        <v>468</v>
      </c>
      <c r="C15" t="str" cm="1">
        <f t="array" ref="C15">_xll.FDSB(B15,"FG_COMPANY_NAME")</f>
        <v>Euro per U.S. Dollar</v>
      </c>
      <c r="D15" cm="1">
        <f t="array" ref="D15">_xll.FDSB(B15,"FG_PRICE(0)")</f>
        <v>0.92365956000000005</v>
      </c>
      <c r="E15" cm="1">
        <f t="array" ref="E15">_xll.FDSB(B15,"FG_PRICE_CHANGE(0,-1AY)")</f>
        <v>-0.44335127000000002</v>
      </c>
      <c r="F15" cm="1">
        <f t="array" ref="F15">_xll.FDSB(B15,"FG_PRICE_CHANGE(0,-1AM)")</f>
        <v>-1.1868954</v>
      </c>
      <c r="G15" cm="1">
        <f t="array" ref="G15">_xll.FDSB(B15,"FG_PRICE_CHANGE(0,-3AM)")</f>
        <v>-4.6181680000000003E-2</v>
      </c>
      <c r="H15" cm="1">
        <f t="array" ref="H15">_xll.FDSB(B15,"FG_PRICE_CHANGE(0,-6AM)")</f>
        <v>0.77126026000000003</v>
      </c>
      <c r="I15" cm="1">
        <f t="array" ref="I15">_xll.FDS(B15,"STD(FG_PRICE_CHANGE(0,-1AY,AM))")</f>
        <v>1.59344173606522</v>
      </c>
      <c r="J15" cm="1">
        <f t="array" ref="J15">_xll.FDS(B15,"STD(FG_PRICE_CHANGE(0,-3AY,M))")*SQRT(12)</f>
        <v>7.5501095316907598</v>
      </c>
      <c r="L15">
        <f t="shared" si="0"/>
        <v>63.7</v>
      </c>
      <c r="M15">
        <f t="shared" si="1"/>
        <v>68.199999999999989</v>
      </c>
      <c r="N15">
        <f t="shared" si="2"/>
        <v>54.6</v>
      </c>
      <c r="O15">
        <f t="shared" si="4"/>
        <v>61.86</v>
      </c>
      <c r="P15">
        <f t="shared" si="3"/>
        <v>50</v>
      </c>
      <c r="Q15">
        <f>VLOOKUP(A15,CAD!$A$3:$J$23, 10, FALSE)</f>
        <v>4.5</v>
      </c>
      <c r="S15">
        <f t="shared" si="5"/>
        <v>46.83</v>
      </c>
      <c r="U15" cm="1">
        <f t="array" ref="U15">_xlfn.PERCENTRANK.EXC(_xlfn._xlws.FILTER(S$3:S$23, ISNUMBER(S$3:S$23)),S15)*100</f>
        <v>36.299999999999997</v>
      </c>
    </row>
    <row r="16" spans="1:21" x14ac:dyDescent="0.35">
      <c r="A16" t="s">
        <v>32</v>
      </c>
      <c r="B16" t="s">
        <v>387</v>
      </c>
      <c r="C16" t="str" cm="1">
        <f t="array" ref="C16">_xll.FDSB(B16,"FG_COMPANY_NAME")</f>
        <v>Indian Rupee per U.S. Dollar</v>
      </c>
      <c r="D16" cm="1">
        <f t="array" ref="D16">_xll.FDSB(B16,"FG_PRICE(0)")</f>
        <v>83.28125</v>
      </c>
      <c r="E16" cm="1">
        <f t="array" ref="E16">_xll.FDSB(B16,"FG_PRICE_CHANGE(0,-1AY)")</f>
        <v>0.57818890000000001</v>
      </c>
      <c r="F16" cm="1">
        <f t="array" ref="F16">_xll.FDSB(B16,"FG_PRICE_CHANGE(0,-1AM)")</f>
        <v>-7.4988600000000002E-2</v>
      </c>
      <c r="G16" cm="1">
        <f t="array" ref="G16">_xll.FDSB(B16,"FG_PRICE_CHANGE(0,-3AM)")</f>
        <v>0.39933920000000001</v>
      </c>
      <c r="H16" cm="1">
        <f t="array" ref="H16">_xll.FDSB(B16,"FG_PRICE_CHANGE(0,-6AM)")</f>
        <v>-7.349253E-2</v>
      </c>
      <c r="I16" cm="1">
        <f t="array" ref="I16">_xll.FDS(B16,"STD(FG_PRICE_CHANGE(0,-1AY,AM))")</f>
        <v>0.493114804221366</v>
      </c>
      <c r="J16" cm="1">
        <f t="array" ref="J16">_xll.FDS(B16,"STD(FG_PRICE_CHANGE(0,-3AY,M))")*SQRT(12)</f>
        <v>3.7379267141399271</v>
      </c>
      <c r="L16">
        <f t="shared" si="0"/>
        <v>45.499999999999993</v>
      </c>
      <c r="M16">
        <f t="shared" si="1"/>
        <v>50</v>
      </c>
      <c r="N16">
        <f t="shared" si="2"/>
        <v>81.899999999999991</v>
      </c>
      <c r="O16">
        <f t="shared" si="4"/>
        <v>61.86</v>
      </c>
      <c r="P16">
        <f t="shared" si="3"/>
        <v>81.900000000000006</v>
      </c>
      <c r="Q16">
        <f>VLOOKUP(A16,CAD!$A$3:$J$23, 10, FALSE)</f>
        <v>31.8</v>
      </c>
      <c r="S16">
        <f t="shared" si="5"/>
        <v>61.86</v>
      </c>
      <c r="U16" cm="1">
        <f t="array" ref="U16">_xlfn.PERCENTRANK.EXC(_xlfn._xlws.FILTER(S$3:S$23, ISNUMBER(S$3:S$23)),S16)*100</f>
        <v>72.7</v>
      </c>
    </row>
    <row r="17" spans="1:21" x14ac:dyDescent="0.35">
      <c r="A17" t="s">
        <v>26</v>
      </c>
      <c r="B17" t="s">
        <v>473</v>
      </c>
      <c r="C17" t="str" cm="1">
        <f t="array" ref="C17">_xll.FDSB(B17,"FG_COMPANY_NAME")</f>
        <v>Chinese Offshore Renminbi per U.S. Dollar</v>
      </c>
      <c r="D17" cm="1">
        <f t="array" ref="D17">_xll.FDSB(B17,"FG_PRICE(0)")</f>
        <v>7.2591000000000001</v>
      </c>
      <c r="E17" cm="1">
        <f t="array" ref="E17">_xll.FDSB(B17,"FG_PRICE_CHANGE(0,-1AY)")</f>
        <v>2.7880788000000001</v>
      </c>
      <c r="F17" cm="1">
        <f t="array" ref="F17">_xll.FDSB(B17,"FG_PRICE_CHANGE(0,-1AM)")</f>
        <v>-2.4789571999999999E-2</v>
      </c>
      <c r="G17" cm="1">
        <f t="array" ref="G17">_xll.FDSB(B17,"FG_PRICE_CHANGE(0,-3AM)")</f>
        <v>0.71941613999999998</v>
      </c>
      <c r="H17" cm="1">
        <f t="array" ref="H17">_xll.FDSB(B17,"FG_PRICE_CHANGE(0,-6AM)")</f>
        <v>1.5251637</v>
      </c>
      <c r="I17" cm="1">
        <f t="array" ref="I17">_xll.FDS(B17,"STD(FG_PRICE_CHANGE(0,-1AY,AM))")</f>
        <v>1.1673789013698499</v>
      </c>
      <c r="J17" cm="1">
        <f t="array" ref="J17">_xll.FDS(B17,"STD(FG_PRICE_CHANGE(0,-3AY,M))")*SQRT(12)</f>
        <v>6.1671053601142383</v>
      </c>
      <c r="L17">
        <f t="shared" si="0"/>
        <v>36.4</v>
      </c>
      <c r="M17">
        <f t="shared" si="1"/>
        <v>45.499999999999993</v>
      </c>
      <c r="N17">
        <f t="shared" si="2"/>
        <v>50</v>
      </c>
      <c r="O17">
        <f t="shared" si="4"/>
        <v>45.480000000000004</v>
      </c>
      <c r="P17">
        <f t="shared" si="3"/>
        <v>63.7</v>
      </c>
      <c r="Q17">
        <f>VLOOKUP(A17,CAD!$A$3:$J$23, 10, FALSE)</f>
        <v>59</v>
      </c>
      <c r="S17">
        <f t="shared" si="5"/>
        <v>53.650000000000006</v>
      </c>
      <c r="U17" cm="1">
        <f t="array" ref="U17">_xlfn.PERCENTRANK.EXC(_xlfn._xlws.FILTER(S$3:S$23, ISNUMBER(S$3:S$23)),S17)*100</f>
        <v>50</v>
      </c>
    </row>
    <row r="18" spans="1:21" x14ac:dyDescent="0.35">
      <c r="A18" t="s">
        <v>31</v>
      </c>
      <c r="B18" t="s">
        <v>567</v>
      </c>
      <c r="C18" t="str" cm="1">
        <f t="array" ref="C18">_xll.FDSB(B18,"FG_COMPANY_NAME")</f>
        <v>Qatari Rial per U.S. Dollar</v>
      </c>
      <c r="D18" cm="1">
        <f t="array" ref="D18">_xll.FDSB(B18,"FG_PRICE(0)")</f>
        <v>3.641</v>
      </c>
      <c r="E18" cm="1">
        <f t="array" ref="E18">_xll.FDSB(B18,"FG_PRICE_CHANGE(0,-1AY)")</f>
        <v>2.7465819999999998E-2</v>
      </c>
      <c r="F18" cm="1">
        <f t="array" ref="F18">_xll.FDSB(B18,"FG_PRICE_CHANGE(0,-1AM)")</f>
        <v>0</v>
      </c>
      <c r="G18" cm="1">
        <f t="array" ref="G18">_xll.FDSB(B18,"FG_PRICE_CHANGE(0,-3AM)")</f>
        <v>0</v>
      </c>
      <c r="H18" cm="1">
        <f t="array" ref="H18">_xll.FDSB(B18,"FG_PRICE_CHANGE(0,-6AM)")</f>
        <v>0</v>
      </c>
      <c r="I18" cm="1">
        <f t="array" ref="I18">_xll.FDS(B18,"STD(FG_PRICE_CHANGE(0,-1AY,AM))")</f>
        <v>7.6176478717434101E-3</v>
      </c>
      <c r="J18" cm="1">
        <f t="array" ref="J18">_xll.FDS(B18,"STD(FG_PRICE_CHANGE(0,-3AY,M))")*SQRT(12)</f>
        <v>3.7606081343866005E-2</v>
      </c>
      <c r="L18">
        <f t="shared" si="0"/>
        <v>22.799999999999997</v>
      </c>
      <c r="M18">
        <f t="shared" si="1"/>
        <v>63.7</v>
      </c>
      <c r="N18">
        <f t="shared" si="2"/>
        <v>72.8</v>
      </c>
      <c r="O18">
        <f t="shared" si="4"/>
        <v>59.160000000000004</v>
      </c>
      <c r="P18">
        <f t="shared" si="3"/>
        <v>91</v>
      </c>
      <c r="Q18">
        <f>VLOOKUP(A18,CAD!$A$3:$J$23, 10, FALSE)</f>
        <v>95.399999999999991</v>
      </c>
      <c r="S18">
        <f t="shared" si="5"/>
        <v>75.960000000000008</v>
      </c>
      <c r="U18" cm="1">
        <f t="array" ref="U18">_xlfn.PERCENTRANK.EXC(_xlfn._xlws.FILTER(S$3:S$23, ISNUMBER(S$3:S$23)),S18)*100</f>
        <v>95.399999999999991</v>
      </c>
    </row>
    <row r="19" spans="1:21" x14ac:dyDescent="0.35">
      <c r="A19" t="s">
        <v>757</v>
      </c>
      <c r="B19" t="s">
        <v>471</v>
      </c>
      <c r="C19" t="str" cm="1">
        <f t="array" ref="C19">_xll.FDSB(B19,"FG_COMPANY_NAME")</f>
        <v>Thailand Baht per U.S. Dollar</v>
      </c>
      <c r="D19" cm="1">
        <f t="array" ref="D19">_xll.FDSB(B19,"FG_PRICE(0)")</f>
        <v>36.527500000000003</v>
      </c>
      <c r="E19" cm="1">
        <f t="array" ref="E19">_xll.FDSB(B19,"FG_PRICE_CHANGE(0,-1AY)")</f>
        <v>5.3272724</v>
      </c>
      <c r="F19" cm="1">
        <f t="array" ref="F19">_xll.FDSB(B19,"FG_PRICE_CHANGE(0,-1AM)")</f>
        <v>-1.4501512000000001</v>
      </c>
      <c r="G19" cm="1">
        <f t="array" ref="G19">_xll.FDSB(B19,"FG_PRICE_CHANGE(0,-3AM)")</f>
        <v>1.1631966</v>
      </c>
      <c r="H19" cm="1">
        <f t="array" ref="H19">_xll.FDSB(B19,"FG_PRICE_CHANGE(0,-6AM)")</f>
        <v>3.5653472000000002</v>
      </c>
      <c r="I19" cm="1">
        <f t="array" ref="I19">_xll.FDS(B19,"STD(FG_PRICE_CHANGE(0,-1AY,AM))")</f>
        <v>2.0095076560746099</v>
      </c>
      <c r="J19" cm="1">
        <f t="array" ref="J19">_xll.FDS(B19,"STD(FG_PRICE_CHANGE(0,-3AY,M))")*SQRT(12)</f>
        <v>10.360139681680289</v>
      </c>
      <c r="L19">
        <f t="shared" si="0"/>
        <v>72.8</v>
      </c>
      <c r="M19">
        <f t="shared" si="1"/>
        <v>36.4</v>
      </c>
      <c r="N19">
        <f t="shared" si="2"/>
        <v>31.899999999999995</v>
      </c>
      <c r="O19">
        <f t="shared" si="4"/>
        <v>41.879999999999995</v>
      </c>
      <c r="P19">
        <f t="shared" si="3"/>
        <v>31.899999999999991</v>
      </c>
      <c r="Q19">
        <f>VLOOKUP(A19,CAD!$A$3:$J$23, 10, FALSE)</f>
        <v>72.7</v>
      </c>
      <c r="S19">
        <f t="shared" si="5"/>
        <v>45.05</v>
      </c>
      <c r="U19" cm="1">
        <f t="array" ref="U19">_xlfn.PERCENTRANK.EXC(_xlfn._xlws.FILTER(S$3:S$23, ISNUMBER(S$3:S$23)),S19)*100</f>
        <v>31.8</v>
      </c>
    </row>
    <row r="20" spans="1:21" x14ac:dyDescent="0.35">
      <c r="A20" t="s">
        <v>25</v>
      </c>
      <c r="B20" t="s">
        <v>476</v>
      </c>
      <c r="C20" t="str" cm="1">
        <f t="array" ref="C20">_xll.FDSB(B20,"FG_COMPANY_NAME")</f>
        <v>Turkish New Lira per U.S. Dollar</v>
      </c>
      <c r="D20" cm="1">
        <f t="array" ref="D20">_xll.FDSB(B20,"FG_PRICE(0)")</f>
        <v>32.208750000000002</v>
      </c>
      <c r="E20" cm="1">
        <f t="array" ref="E20">_xll.FDSB(B20,"FG_PRICE_CHANGE(0,-1AY)")</f>
        <v>62.217820000000003</v>
      </c>
      <c r="F20" cm="1">
        <f t="array" ref="F20">_xll.FDSB(B20,"FG_PRICE_CHANGE(0,-1AM)")</f>
        <v>-1.0658622</v>
      </c>
      <c r="G20" cm="1">
        <f t="array" ref="G20">_xll.FDSB(B20,"FG_PRICE_CHANGE(0,-3AM)")</f>
        <v>3.6534428999999999</v>
      </c>
      <c r="H20" cm="1">
        <f t="array" ref="H20">_xll.FDSB(B20,"FG_PRICE_CHANGE(0,-6AM)")</f>
        <v>11.748635999999999</v>
      </c>
      <c r="I20" cm="1">
        <f t="array" ref="I20">_xll.FDS(B20,"STD(FG_PRICE_CHANGE(0,-1AY,AM))")</f>
        <v>6.93985628830018</v>
      </c>
      <c r="J20" cm="1">
        <f t="array" ref="J20">_xll.FDS(B20,"STD(FG_PRICE_CHANGE(0,-3AY,M))")*SQRT(12)</f>
        <v>26.130957075124179</v>
      </c>
      <c r="L20">
        <f t="shared" si="0"/>
        <v>50</v>
      </c>
      <c r="M20">
        <f t="shared" si="1"/>
        <v>9.0999999999999979</v>
      </c>
      <c r="N20">
        <f t="shared" si="2"/>
        <v>4.6000000000000041</v>
      </c>
      <c r="O20">
        <f t="shared" si="4"/>
        <v>15.48</v>
      </c>
      <c r="P20">
        <f t="shared" si="3"/>
        <v>4.6000000000000085</v>
      </c>
      <c r="Q20">
        <f>VLOOKUP(A20,CAD!$A$3:$J$23, 10, FALSE)</f>
        <v>13.600000000000001</v>
      </c>
      <c r="S20">
        <f t="shared" si="5"/>
        <v>11.840000000000003</v>
      </c>
      <c r="U20" cm="1">
        <f t="array" ref="U20">_xlfn.PERCENTRANK.EXC(_xlfn._xlws.FILTER(S$3:S$23, ISNUMBER(S$3:S$23)),S20)*100</f>
        <v>4.5</v>
      </c>
    </row>
    <row r="21" spans="1:21" x14ac:dyDescent="0.35">
      <c r="A21" t="s">
        <v>34</v>
      </c>
      <c r="B21" t="s">
        <v>565</v>
      </c>
      <c r="C21" t="str" cm="1">
        <f t="array" ref="C21">_xll.FDSB(B21,"FG_COMPANY_NAME")</f>
        <v>UAE Dirham per U.S. Dollar</v>
      </c>
      <c r="D21" cm="1">
        <f t="array" ref="D21">_xll.FDSB(B21,"FG_PRICE(0)")</f>
        <v>3.673</v>
      </c>
      <c r="E21" cm="1">
        <f t="array" ref="E21">_xll.FDSB(B21,"FG_PRICE_CHANGE(0,-1AY)")</f>
        <v>2.0420550999999999E-2</v>
      </c>
      <c r="F21" cm="1">
        <f t="array" ref="F21">_xll.FDSB(B21,"FG_PRICE_CHANGE(0,-1AM)")</f>
        <v>4.0888786E-3</v>
      </c>
      <c r="G21" cm="1">
        <f t="array" ref="G21">_xll.FDSB(B21,"FG_PRICE_CHANGE(0,-3AM)")</f>
        <v>1.3589858999999999E-3</v>
      </c>
      <c r="H21" cm="1">
        <f t="array" ref="H21">_xll.FDSB(B21,"FG_PRICE_CHANGE(0,-6AM)")</f>
        <v>1.2254714999999999E-2</v>
      </c>
      <c r="I21" cm="1">
        <f t="array" ref="I21">_xll.FDS(B21,"STD(FG_PRICE_CHANGE(0,-1AY,AM))")</f>
        <v>1.1065621581448099E-2</v>
      </c>
      <c r="J21" cm="1">
        <f t="array" ref="J21">_xll.FDS(B21,"STD(FG_PRICE_CHANGE(0,-3AY,M))")*SQRT(12)</f>
        <v>3.0614680487500504E-2</v>
      </c>
      <c r="L21">
        <f t="shared" si="0"/>
        <v>18.200000000000006</v>
      </c>
      <c r="M21">
        <f t="shared" si="1"/>
        <v>54.6</v>
      </c>
      <c r="N21">
        <f t="shared" si="2"/>
        <v>68.199999999999989</v>
      </c>
      <c r="O21">
        <f t="shared" si="4"/>
        <v>52.760000000000005</v>
      </c>
      <c r="P21">
        <f t="shared" si="3"/>
        <v>95.5</v>
      </c>
      <c r="Q21">
        <f>VLOOKUP(A21,CAD!$A$3:$J$23, 10, FALSE)</f>
        <v>86.3</v>
      </c>
      <c r="S21">
        <f t="shared" si="5"/>
        <v>72.290000000000006</v>
      </c>
      <c r="U21" cm="1">
        <f t="array" ref="U21">_xlfn.PERCENTRANK.EXC(_xlfn._xlws.FILTER(S$3:S$23, ISNUMBER(S$3:S$23)),S21)*100</f>
        <v>90.9</v>
      </c>
    </row>
    <row r="22" spans="1:21" x14ac:dyDescent="0.35">
      <c r="A22" t="s">
        <v>37</v>
      </c>
      <c r="B22" t="s">
        <v>472</v>
      </c>
      <c r="C22" t="str" cm="1">
        <f t="array" ref="C22">_xll.FDSB(B22,"FG_COMPANY_NAME")</f>
        <v>Vietnam Dong per U.S. Dollar</v>
      </c>
      <c r="D22" cm="1">
        <f t="array" ref="D22">_xll.FDSB(B22,"FG_PRICE(0)")</f>
        <v>25469.5</v>
      </c>
      <c r="E22" cm="1">
        <f t="array" ref="E22">_xll.FDSB(B22,"FG_PRICE_CHANGE(0,-1AY)")</f>
        <v>8.5216999999999992</v>
      </c>
      <c r="F22" cm="1">
        <f t="array" ref="F22">_xll.FDSB(B22,"FG_PRICE_CHANGE(0,-1AM)")</f>
        <v>9.6285339999999997E-2</v>
      </c>
      <c r="G22" cm="1">
        <f t="array" ref="G22">_xll.FDSB(B22,"FG_PRICE_CHANGE(0,-3AM)")</f>
        <v>3.3664822999999999</v>
      </c>
      <c r="H22" cm="1">
        <f t="array" ref="H22">_xll.FDSB(B22,"FG_PRICE_CHANGE(0,-6AM)")</f>
        <v>5.0396919999999996</v>
      </c>
      <c r="I22" cm="1">
        <f t="array" ref="I22">_xll.FDS(B22,"STD(FG_PRICE_CHANGE(0,-1AY,AM))")</f>
        <v>1.0056170572777601</v>
      </c>
      <c r="J22" cm="1">
        <f t="array" ref="J22">_xll.FDS(B22,"STD(FG_PRICE_CHANGE(0,-3AY,M))")*SQRT(12)</f>
        <v>4.4414916919839849</v>
      </c>
      <c r="L22">
        <f t="shared" si="0"/>
        <v>13.700000000000001</v>
      </c>
      <c r="M22">
        <f t="shared" si="1"/>
        <v>13.700000000000001</v>
      </c>
      <c r="N22">
        <f t="shared" si="2"/>
        <v>13.700000000000001</v>
      </c>
      <c r="O22">
        <f t="shared" si="4"/>
        <v>13.700000000000001</v>
      </c>
      <c r="P22">
        <f t="shared" si="3"/>
        <v>77.3</v>
      </c>
      <c r="Q22">
        <f>VLOOKUP(A22,CAD!$A$3:$J$23, 10, FALSE)</f>
        <v>50</v>
      </c>
      <c r="S22">
        <f t="shared" si="5"/>
        <v>40.04</v>
      </c>
      <c r="U22" cm="1">
        <f t="array" ref="U22">_xlfn.PERCENTRANK.EXC(_xlfn._xlws.FILTER(S$3:S$23, ISNUMBER(S$3:S$23)),S22)*100</f>
        <v>27.200000000000003</v>
      </c>
    </row>
    <row r="23" spans="1:21" x14ac:dyDescent="0.35">
      <c r="A23" t="s">
        <v>36</v>
      </c>
      <c r="B23" t="s">
        <v>566</v>
      </c>
      <c r="C23" t="str" cm="1">
        <f t="array" ref="C23">_xll.FDSB(B23,"FG_COMPANY_NAME")</f>
        <v>Saudi Arabian Riyal per U.S. Dollar</v>
      </c>
      <c r="D23" cm="1">
        <f t="array" ref="D23">_xll.FDSB(B23,"FG_PRICE(0)")</f>
        <v>3.7505500000000001</v>
      </c>
      <c r="E23" cm="1">
        <f t="array" ref="E23">_xll.FDSB(B23,"FG_PRICE_CHANGE(0,-1AY)")</f>
        <v>1.4662743000000001E-2</v>
      </c>
      <c r="F23" cm="1">
        <f t="array" ref="F23">_xll.FDSB(B23,"FG_PRICE_CHANGE(0,-1AM)")</f>
        <v>-6.6637993000000003E-3</v>
      </c>
      <c r="G23" cm="1">
        <f t="array" ref="G23">_xll.FDSB(B23,"FG_PRICE_CHANGE(0,-3AM)")</f>
        <v>1.3351439999999999E-3</v>
      </c>
      <c r="H23" cm="1">
        <f t="array" ref="H23">_xll.FDSB(B23,"FG_PRICE_CHANGE(0,-6AM)")</f>
        <v>-1.3351439999999999E-3</v>
      </c>
      <c r="I23" cm="1">
        <f t="array" ref="I23">_xll.FDS(B23,"STD(FG_PRICE_CHANGE(0,-1AY,AM))")</f>
        <v>1.34358477068219E-2</v>
      </c>
      <c r="J23" cm="1">
        <f t="array" ref="J23">_xll.FDS(B23,"STD(FG_PRICE_CHANGE(0,-3AY,M))")*SQRT(12)</f>
        <v>0.14926635040473404</v>
      </c>
      <c r="L23">
        <f t="shared" si="0"/>
        <v>27.3</v>
      </c>
      <c r="M23">
        <f t="shared" si="1"/>
        <v>59.099999999999994</v>
      </c>
      <c r="N23">
        <f t="shared" si="2"/>
        <v>77.3</v>
      </c>
      <c r="O23">
        <f t="shared" si="4"/>
        <v>60.02</v>
      </c>
      <c r="P23">
        <f t="shared" si="3"/>
        <v>86.4</v>
      </c>
      <c r="Q23">
        <f>VLOOKUP(A23,CAD!$A$3:$J$23, 10, FALSE)</f>
        <v>77.2</v>
      </c>
      <c r="S23">
        <f t="shared" si="5"/>
        <v>71.37</v>
      </c>
      <c r="U23" cm="1">
        <f t="array" ref="U23">_xlfn.PERCENTRANK.EXC(_xlfn._xlws.FILTER(S$3:S$23, ISNUMBER(S$3:S$23)),S23)*100</f>
        <v>86.3</v>
      </c>
    </row>
    <row r="36" spans="10:10" x14ac:dyDescent="0.35">
      <c r="J36" s="56"/>
    </row>
    <row r="38" spans="10:10" x14ac:dyDescent="0.35">
      <c r="J38" s="70"/>
    </row>
    <row r="40" spans="10:10" x14ac:dyDescent="0.35">
      <c r="J40" s="7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23"/>
  <sheetViews>
    <sheetView workbookViewId="0">
      <selection activeCell="I33" sqref="I33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492</v>
      </c>
      <c r="G1" t="s">
        <v>493</v>
      </c>
      <c r="H1" t="s">
        <v>494</v>
      </c>
      <c r="J1" t="s">
        <v>503</v>
      </c>
    </row>
    <row r="2" spans="1:10" x14ac:dyDescent="0.35">
      <c r="C2" t="s">
        <v>495</v>
      </c>
      <c r="D2" t="s">
        <v>152</v>
      </c>
      <c r="E2" t="s">
        <v>496</v>
      </c>
      <c r="F2" t="s">
        <v>497</v>
      </c>
      <c r="G2" t="s">
        <v>490</v>
      </c>
      <c r="H2" t="s">
        <v>491</v>
      </c>
    </row>
    <row r="3" spans="1:10" x14ac:dyDescent="0.35">
      <c r="A3" t="s">
        <v>432</v>
      </c>
      <c r="B3" t="s">
        <v>473</v>
      </c>
      <c r="C3" t="str" cm="1">
        <f t="array" ref="C3">_xll.FDS($E3,"FG_COMPANY_NAME")</f>
        <v>China</v>
      </c>
      <c r="D3" t="s">
        <v>104</v>
      </c>
      <c r="E3" t="s">
        <v>177</v>
      </c>
      <c r="F3" t="str">
        <f>_xlfn.CONCAT($F$1,D3)</f>
        <v>CAGDPY@CN</v>
      </c>
      <c r="G3" cm="1">
        <f t="array" ref="G3">IFERROR(_xll.FDS($F3,"EE_ACTUAL_ANNUAL(MED,0)"),0)</f>
        <v>1.4141058329546301</v>
      </c>
      <c r="H3" cm="1">
        <f t="array" ref="H3">IFERROR(_xll.FDS($F3,"EE_ACTUAL_ANNUAL(MED,+1)"),0)</f>
        <v>1.3</v>
      </c>
      <c r="J3" cm="1">
        <f t="array" ref="J3">_xlfn.PERCENTRANK.EXC(_xlfn._xlws.FILTER(H$3:H$23, ISNUMBER(H$3:H$23)),H3)*100</f>
        <v>59</v>
      </c>
    </row>
    <row r="4" spans="1:10" x14ac:dyDescent="0.35">
      <c r="A4" t="s">
        <v>27</v>
      </c>
      <c r="B4" t="s">
        <v>480</v>
      </c>
      <c r="C4" t="str" cm="1">
        <f t="array" ref="C4">_xll.FDS($E4,"FG_COMPANY_NAME")</f>
        <v>Chile</v>
      </c>
      <c r="D4" t="s">
        <v>107</v>
      </c>
      <c r="E4" t="s">
        <v>294</v>
      </c>
      <c r="F4" t="str">
        <f t="shared" ref="F4:F23" si="0">_xlfn.CONCAT($F$1,D4)</f>
        <v>CAGDPY@CL</v>
      </c>
      <c r="G4" cm="1">
        <f t="array" ref="G4">IFERROR(_xll.FDS($F4,"EE_ACTUAL_ANNUAL(MED,0)"),0)</f>
        <v>-3.68653581083686</v>
      </c>
      <c r="H4" cm="1">
        <f t="array" ref="H4">IFERROR(_xll.FDS($F4,"EE_ACTUAL_ANNUAL(MED,+1)"),0)</f>
        <v>-3.5</v>
      </c>
      <c r="J4" cm="1">
        <f t="array" ref="J4">_xlfn.PERCENTRANK.EXC(_xlfn._xlws.FILTER(H$3:H$23, ISNUMBER(H$3:H$23)),H4)*100</f>
        <v>9</v>
      </c>
    </row>
    <row r="5" spans="1:10" x14ac:dyDescent="0.35">
      <c r="A5" t="s">
        <v>35</v>
      </c>
      <c r="B5" t="s">
        <v>469</v>
      </c>
      <c r="C5" t="str" cm="1">
        <f t="array" ref="C5">_xll.FDS($E5,"FG_COMPANY_NAME")</f>
        <v>Indonesia</v>
      </c>
      <c r="D5" t="s">
        <v>124</v>
      </c>
      <c r="E5" t="s">
        <v>187</v>
      </c>
      <c r="F5" t="str">
        <f t="shared" si="0"/>
        <v>CAGDPY@ID</v>
      </c>
      <c r="G5" cm="1">
        <f t="array" ref="G5">IFERROR(_xll.FDS($F5,"EE_ACTUAL_ANNUAL(MED,0)"),0)</f>
        <v>-0.14000000000000001</v>
      </c>
      <c r="H5" cm="1">
        <f t="array" ref="H5">IFERROR(_xll.FDS($F5,"EE_ACTUAL_ANNUAL(MED,+1)"),0)</f>
        <v>-0.5</v>
      </c>
      <c r="J5" cm="1">
        <f t="array" ref="J5">_xlfn.PERCENTRANK.EXC(_xlfn._xlws.FILTER(H$3:H$23, ISNUMBER(H$3:H$23)),H5)*100</f>
        <v>40.9</v>
      </c>
    </row>
    <row r="6" spans="1:10" x14ac:dyDescent="0.35">
      <c r="A6" t="s">
        <v>30</v>
      </c>
      <c r="B6" t="s">
        <v>479</v>
      </c>
      <c r="C6" t="str" cm="1">
        <f t="array" ref="C6">_xll.FDS($E6,"FG_COMPANY_NAME")</f>
        <v>Philippines</v>
      </c>
      <c r="D6" t="s">
        <v>117</v>
      </c>
      <c r="E6" t="s">
        <v>205</v>
      </c>
      <c r="F6" t="str">
        <f t="shared" si="0"/>
        <v>CAGDPY@PH</v>
      </c>
      <c r="G6" cm="1">
        <f t="array" ref="G6">IFERROR(_xll.FDS($F6,"EE_ACTUAL_ANNUAL(MED,0)"),0)</f>
        <v>-2.5666377681185502</v>
      </c>
      <c r="H6" cm="1">
        <f t="array" ref="H6">IFERROR(_xll.FDS($F6,"EE_ACTUAL_ANNUAL(MED,+1)"),0)</f>
        <v>-2.5</v>
      </c>
      <c r="J6" cm="1">
        <f t="array" ref="J6">_xlfn.PERCENTRANK.EXC(_xlfn._xlws.FILTER(H$3:H$23, ISNUMBER(H$3:H$23)),H6)*100</f>
        <v>18.099999999999998</v>
      </c>
    </row>
    <row r="7" spans="1:10" x14ac:dyDescent="0.35">
      <c r="A7" t="s">
        <v>23</v>
      </c>
      <c r="B7" t="s">
        <v>477</v>
      </c>
      <c r="C7" t="str" cm="1">
        <f t="array" ref="C7">_xll.FDS($E7,"FG_COMPANY_NAME")</f>
        <v>Poland</v>
      </c>
      <c r="D7" t="s">
        <v>100</v>
      </c>
      <c r="E7" t="s">
        <v>257</v>
      </c>
      <c r="F7" t="str">
        <f t="shared" si="0"/>
        <v>CAGDPY@PL</v>
      </c>
      <c r="G7" cm="1">
        <f t="array" ref="G7">IFERROR(_xll.FDS($F7,"EE_ACTUAL_ANNUAL(MED,0)"),0)</f>
        <v>1.5817651198487199</v>
      </c>
      <c r="H7" cm="1">
        <f t="array" ref="H7">IFERROR(_xll.FDS($F7,"EE_ACTUAL_ANNUAL(MED,+1)"),0)</f>
        <v>0.8</v>
      </c>
      <c r="J7" cm="1">
        <f t="array" ref="J7">_xlfn.PERCENTRANK.EXC(_xlfn._xlws.FILTER(H$3:H$23, ISNUMBER(H$3:H$23)),H7)*100</f>
        <v>54.500000000000007</v>
      </c>
    </row>
    <row r="8" spans="1:10" x14ac:dyDescent="0.35">
      <c r="A8" t="s">
        <v>29</v>
      </c>
      <c r="B8" t="s">
        <v>481</v>
      </c>
      <c r="C8" t="str" cm="1">
        <f t="array" ref="C8">_xll.FDS($E8,"FG_COMPANY_NAME")</f>
        <v>Peru</v>
      </c>
      <c r="D8" t="s">
        <v>112</v>
      </c>
      <c r="E8" t="s">
        <v>304</v>
      </c>
      <c r="F8" t="str">
        <f t="shared" si="0"/>
        <v>CAGDPY@PE</v>
      </c>
      <c r="G8" cm="1">
        <f t="array" ref="G8">IFERROR(_xll.FDS($F8,"EE_ACTUAL_ANNUAL(MED,0)"),0)</f>
        <v>0.83017656482038404</v>
      </c>
      <c r="H8" cm="1">
        <f t="array" ref="H8">IFERROR(_xll.FDS($F8,"EE_ACTUAL_ANNUAL(MED,+1)"),0)</f>
        <v>-0.45</v>
      </c>
      <c r="J8" cm="1">
        <f t="array" ref="J8">_xlfn.PERCENTRANK.EXC(_xlfn._xlws.FILTER(H$3:H$23, ISNUMBER(H$3:H$23)),H8)*100</f>
        <v>45.4</v>
      </c>
    </row>
    <row r="9" spans="1:10" x14ac:dyDescent="0.35">
      <c r="A9" t="s">
        <v>33</v>
      </c>
      <c r="B9" t="s">
        <v>474</v>
      </c>
      <c r="C9" t="str" cm="1">
        <f t="array" ref="C9">_xll.FDS($E9,"FG_COMPANY_NAME")</f>
        <v>Malaysia</v>
      </c>
      <c r="D9" t="s">
        <v>122</v>
      </c>
      <c r="E9" t="s">
        <v>194</v>
      </c>
      <c r="F9" t="str">
        <f t="shared" si="0"/>
        <v>CAGDPY@MY</v>
      </c>
      <c r="G9" cm="1">
        <f t="array" ref="G9">IFERROR(_xll.FDS($F9,"EE_ACTUAL_ANNUAL(MED,0)"),0)</f>
        <v>1.54712272286418</v>
      </c>
      <c r="H9" cm="1">
        <f t="array" ref="H9">IFERROR(_xll.FDS($F9,"EE_ACTUAL_ANNUAL(MED,+1)"),0)</f>
        <v>2.2999999999999998</v>
      </c>
      <c r="J9" cm="1">
        <f t="array" ref="J9">_xlfn.PERCENTRANK.EXC(_xlfn._xlws.FILTER(H$3:H$23, ISNUMBER(H$3:H$23)),H9)*100</f>
        <v>68.100000000000009</v>
      </c>
    </row>
    <row r="10" spans="1:10" x14ac:dyDescent="0.35">
      <c r="A10" t="s">
        <v>24</v>
      </c>
      <c r="B10" t="s">
        <v>475</v>
      </c>
      <c r="C10" t="str" cm="1">
        <f t="array" ref="C10">_xll.FDS($E10,"FG_COMPANY_NAME")</f>
        <v>Taiwan, China</v>
      </c>
      <c r="D10" t="s">
        <v>103</v>
      </c>
      <c r="E10" t="s">
        <v>217</v>
      </c>
      <c r="F10" t="str">
        <f t="shared" si="0"/>
        <v>CAGDPY@TW</v>
      </c>
      <c r="G10" cm="1">
        <f t="array" ref="G10">IFERROR(_xll.FDS($F10,"EE_ACTUAL_ANNUAL(MED,0)"),0)</f>
        <v>13.564059221920299</v>
      </c>
      <c r="H10" cm="1">
        <f t="array" ref="H10">IFERROR(_xll.FDS($F10,"EE_ACTUAL_ANNUAL(MED,+1)"),0)</f>
        <v>13.5</v>
      </c>
      <c r="J10" cm="1">
        <f t="array" ref="J10">_xlfn.PERCENTRANK.EXC(_xlfn._xlws.FILTER(H$3:H$23, ISNUMBER(H$3:H$23)),H10)*100</f>
        <v>90.9</v>
      </c>
    </row>
    <row r="11" spans="1:10" x14ac:dyDescent="0.35">
      <c r="A11" t="s">
        <v>7</v>
      </c>
      <c r="B11" t="s">
        <v>478</v>
      </c>
      <c r="C11" t="str" cm="1">
        <f t="array" ref="C11">_xll.FDS($E11,"FG_COMPANY_NAME")</f>
        <v>Mexico</v>
      </c>
      <c r="D11" t="s">
        <v>121</v>
      </c>
      <c r="E11" t="s">
        <v>301</v>
      </c>
      <c r="F11" t="str">
        <f t="shared" si="0"/>
        <v>CAGDPY@MX</v>
      </c>
      <c r="G11" cm="1">
        <f t="array" ref="G11">IFERROR(_xll.FDS($F11,"EE_ACTUAL_ANNUAL(MED,0)"),0)</f>
        <v>-0.47499999999999998</v>
      </c>
      <c r="H11" cm="1">
        <f t="array" ref="H11">IFERROR(_xll.FDS($F11,"EE_ACTUAL_ANNUAL(MED,+1)"),0)</f>
        <v>-0.7</v>
      </c>
      <c r="J11" cm="1">
        <f t="array" ref="J11">_xlfn.PERCENTRANK.EXC(_xlfn._xlws.FILTER(H$3:H$23, ISNUMBER(H$3:H$23)),H11)*100</f>
        <v>36.299999999999997</v>
      </c>
    </row>
    <row r="12" spans="1:10" x14ac:dyDescent="0.35">
      <c r="A12" t="s">
        <v>21</v>
      </c>
      <c r="B12" t="s">
        <v>391</v>
      </c>
      <c r="C12" t="str" cm="1">
        <f t="array" ref="C12">_xll.FDS($E12,"FG_COMPANY_NAME")</f>
        <v>South Korea</v>
      </c>
      <c r="D12" t="s">
        <v>101</v>
      </c>
      <c r="E12" t="s">
        <v>210</v>
      </c>
      <c r="F12" t="str">
        <f t="shared" si="0"/>
        <v>CAGDPY@KR</v>
      </c>
      <c r="G12" cm="1">
        <f t="array" ref="G12">IFERROR(_xll.FDS($F12,"EE_ACTUAL_ANNUAL(MED,0)"),0)</f>
        <v>2.04376201054732</v>
      </c>
      <c r="H12" cm="1">
        <f t="array" ref="H12">IFERROR(_xll.FDS($F12,"EE_ACTUAL_ANNUAL(MED,+1)"),0)</f>
        <v>2.75</v>
      </c>
      <c r="J12" cm="1">
        <f t="array" ref="J12">_xlfn.PERCENTRANK.EXC(_xlfn._xlws.FILTER(H$3:H$23, ISNUMBER(H$3:H$23)),H12)*100</f>
        <v>81.8</v>
      </c>
    </row>
    <row r="13" spans="1:10" x14ac:dyDescent="0.35">
      <c r="A13" t="s">
        <v>12</v>
      </c>
      <c r="B13" t="s">
        <v>470</v>
      </c>
      <c r="C13" t="str" cm="1">
        <f t="array" ref="C13">_xll.FDS($E13,"FG_COMPANY_NAME")</f>
        <v>Brazil</v>
      </c>
      <c r="D13" t="s">
        <v>127</v>
      </c>
      <c r="E13" t="s">
        <v>291</v>
      </c>
      <c r="F13" t="str">
        <f t="shared" si="0"/>
        <v>CAGDPY@BR</v>
      </c>
      <c r="G13" cm="1">
        <f t="array" ref="G13">IFERROR(_xll.FDS($F13,"EE_ACTUAL_ANNUAL(MED,0)"),0)</f>
        <v>-1.4183507419114201</v>
      </c>
      <c r="H13" cm="1">
        <f t="array" ref="H13">IFERROR(_xll.FDS($F13,"EE_ACTUAL_ANNUAL(MED,+1)"),0)</f>
        <v>-1.5</v>
      </c>
      <c r="J13" cm="1">
        <f t="array" ref="J13">_xlfn.PERCENTRANK.EXC(_xlfn._xlws.FILTER(H$3:H$23, ISNUMBER(H$3:H$23)),H13)*100</f>
        <v>27.200000000000003</v>
      </c>
    </row>
    <row r="14" spans="1:10" x14ac:dyDescent="0.35">
      <c r="A14" t="s">
        <v>22</v>
      </c>
      <c r="B14" t="s">
        <v>386</v>
      </c>
      <c r="C14" t="str" cm="1">
        <f t="array" ref="C14">_xll.FDS($E14,"FG_COMPANY_NAME")</f>
        <v>South Africa</v>
      </c>
      <c r="D14" t="s">
        <v>99</v>
      </c>
      <c r="E14" t="s">
        <v>366</v>
      </c>
      <c r="F14" t="str">
        <f t="shared" si="0"/>
        <v>CAGDPY@ZA</v>
      </c>
      <c r="G14" cm="1">
        <f t="array" ref="G14">IFERROR(_xll.FDS($F14,"EE_ACTUAL_ANNUAL(MED,0)"),0)</f>
        <v>-1.6</v>
      </c>
      <c r="H14" cm="1">
        <f t="array" ref="H14">IFERROR(_xll.FDS($F14,"EE_ACTUAL_ANNUAL(MED,+1)"),0)</f>
        <v>-2.4</v>
      </c>
      <c r="J14" cm="1">
        <f t="array" ref="J14">_xlfn.PERCENTRANK.EXC(_xlfn._xlws.FILTER(H$3:H$23, ISNUMBER(H$3:H$23)),H14)*100</f>
        <v>22.7</v>
      </c>
    </row>
    <row r="15" spans="1:10" x14ac:dyDescent="0.35">
      <c r="A15" t="s">
        <v>28</v>
      </c>
      <c r="B15" t="s">
        <v>468</v>
      </c>
      <c r="C15" t="str" cm="1">
        <f t="array" ref="C15">_xll.FDS($E15,"FG_COMPANY_NAME")</f>
        <v>Greece</v>
      </c>
      <c r="D15" t="s">
        <v>111</v>
      </c>
      <c r="E15" t="s">
        <v>498</v>
      </c>
      <c r="F15" t="str">
        <f t="shared" si="0"/>
        <v>CAGDPY@GR</v>
      </c>
      <c r="G15" cm="1">
        <f t="array" ref="G15">IFERROR(_xll.FDS($F15,"EE_ACTUAL_ANNUAL(MED,0)"),0)</f>
        <v>-6.3414715430566098</v>
      </c>
      <c r="H15" cm="1">
        <f t="array" ref="H15">IFERROR(_xll.FDS($F15,"EE_ACTUAL_ANNUAL(MED,+1)"),0)</f>
        <v>-6</v>
      </c>
      <c r="J15" cm="1">
        <f t="array" ref="J15">_xlfn.PERCENTRANK.EXC(_xlfn._xlws.FILTER(H$3:H$23, ISNUMBER(H$3:H$23)),H15)*100</f>
        <v>4.5</v>
      </c>
    </row>
    <row r="16" spans="1:10" x14ac:dyDescent="0.35">
      <c r="A16" t="s">
        <v>32</v>
      </c>
      <c r="B16" t="s">
        <v>387</v>
      </c>
      <c r="C16" t="str" cm="1">
        <f t="array" ref="C16">_xll.FDS($E16,"FG_COMPANY_NAME")</f>
        <v>India</v>
      </c>
      <c r="D16" t="s">
        <v>118</v>
      </c>
      <c r="E16" t="s">
        <v>184</v>
      </c>
      <c r="F16" t="str">
        <f t="shared" si="0"/>
        <v>CAGDPY@IN</v>
      </c>
      <c r="G16" cm="1">
        <f t="array" ref="G16">IFERROR(_xll.FDS($F16,"EE_ACTUAL_ANNUAL(MED,0)"),0)</f>
        <v>-1.8</v>
      </c>
      <c r="H16" cm="1">
        <f t="array" ref="H16">IFERROR(_xll.FDS($F16,"EE_ACTUAL_ANNUAL(MED,+1)"),0)</f>
        <v>-1.2</v>
      </c>
      <c r="J16" cm="1">
        <f t="array" ref="J16">_xlfn.PERCENTRANK.EXC(_xlfn._xlws.FILTER(H$3:H$23, ISNUMBER(H$3:H$23)),H16)*100</f>
        <v>31.8</v>
      </c>
    </row>
    <row r="17" spans="1:10" x14ac:dyDescent="0.35">
      <c r="A17" t="s">
        <v>26</v>
      </c>
      <c r="B17" t="s">
        <v>473</v>
      </c>
      <c r="C17" t="str" cm="1">
        <f t="array" ref="C17">_xll.FDS($E17,"FG_COMPANY_NAME")</f>
        <v>China</v>
      </c>
      <c r="D17" t="s">
        <v>104</v>
      </c>
      <c r="E17" t="s">
        <v>177</v>
      </c>
      <c r="F17" t="str">
        <f t="shared" si="0"/>
        <v>CAGDPY@CN</v>
      </c>
      <c r="G17" cm="1">
        <f t="array" ref="G17">IFERROR(_xll.FDS($F17,"EE_ACTUAL_ANNUAL(MED,0)"),0)</f>
        <v>1.4141058329546301</v>
      </c>
      <c r="H17" cm="1">
        <f t="array" ref="H17">IFERROR(_xll.FDS($F17,"EE_ACTUAL_ANNUAL(MED,+1)"),0)</f>
        <v>1.3</v>
      </c>
      <c r="J17" cm="1">
        <f t="array" ref="J17">_xlfn.PERCENTRANK.EXC(_xlfn._xlws.FILTER(H$3:H$23, ISNUMBER(H$3:H$23)),H17)*100</f>
        <v>59</v>
      </c>
    </row>
    <row r="18" spans="1:10" x14ac:dyDescent="0.35">
      <c r="A18" t="s">
        <v>31</v>
      </c>
      <c r="B18" t="s">
        <v>567</v>
      </c>
      <c r="C18" t="str" cm="1">
        <f t="array" ref="C18">_xll.FDS($E18,"FG_COMPANY_NAME")</f>
        <v>Qatar</v>
      </c>
      <c r="D18" t="s">
        <v>120</v>
      </c>
      <c r="E18" t="s">
        <v>360</v>
      </c>
      <c r="F18" t="str">
        <f t="shared" si="0"/>
        <v>CAGDPY@QA</v>
      </c>
      <c r="G18" cm="1">
        <f t="array" ref="G18">IFERROR(_xll.FDS($F18,"EE_ACTUAL_ANNUAL(MED,0)"),0)</f>
        <v>17.149999999999999</v>
      </c>
      <c r="H18" cm="1">
        <f t="array" ref="H18">IFERROR(_xll.FDS($F18,"EE_ACTUAL_ANNUAL(MED,+1)"),0)</f>
        <v>15.55</v>
      </c>
      <c r="J18" cm="1">
        <f t="array" ref="J18">_xlfn.PERCENTRANK.EXC(_xlfn._xlws.FILTER(H$3:H$23, ISNUMBER(H$3:H$23)),H18)*100</f>
        <v>95.399999999999991</v>
      </c>
    </row>
    <row r="19" spans="1:10" x14ac:dyDescent="0.35">
      <c r="A19" t="s">
        <v>757</v>
      </c>
      <c r="B19" t="s">
        <v>471</v>
      </c>
      <c r="C19" t="str" cm="1">
        <f t="array" ref="C19">_xll.FDS($E19,"FG_COMPANY_NAME")</f>
        <v>Thailand</v>
      </c>
      <c r="D19" t="s">
        <v>220</v>
      </c>
      <c r="E19" t="s">
        <v>221</v>
      </c>
      <c r="F19" t="str">
        <f t="shared" si="0"/>
        <v>CAGDPY@TH</v>
      </c>
      <c r="G19" cm="1">
        <f t="array" ref="G19">IFERROR(_xll.FDS($F19,"EE_ACTUAL_ANNUAL(MED,0)"),0)</f>
        <v>1.19744517894672</v>
      </c>
      <c r="H19" cm="1">
        <f t="array" ref="H19">IFERROR(_xll.FDS($F19,"EE_ACTUAL_ANNUAL(MED,+1)"),0)</f>
        <v>2.4</v>
      </c>
      <c r="J19" cm="1">
        <f t="array" ref="J19">_xlfn.PERCENTRANK.EXC(_xlfn._xlws.FILTER(H$3:H$23, ISNUMBER(H$3:H$23)),H19)*100</f>
        <v>72.7</v>
      </c>
    </row>
    <row r="20" spans="1:10" x14ac:dyDescent="0.35">
      <c r="A20" t="s">
        <v>25</v>
      </c>
      <c r="B20" t="s">
        <v>476</v>
      </c>
      <c r="C20" t="str" cm="1">
        <f t="array" ref="C20">_xll.FDS($E20,"FG_COMPANY_NAME")</f>
        <v>Turkey</v>
      </c>
      <c r="D20" t="s">
        <v>105</v>
      </c>
      <c r="E20" t="s">
        <v>279</v>
      </c>
      <c r="F20" t="str">
        <f t="shared" si="0"/>
        <v>CAGDPY@TR</v>
      </c>
      <c r="G20" cm="1">
        <f t="array" ref="G20">IFERROR(_xll.FDS($F20,"EE_ACTUAL_ANNUAL(MED,0)"),0)</f>
        <v>-5.0535190796118501</v>
      </c>
      <c r="H20" cm="1">
        <f t="array" ref="H20">IFERROR(_xll.FDS($F20,"EE_ACTUAL_ANNUAL(MED,+1)"),0)</f>
        <v>-2.6</v>
      </c>
      <c r="J20" cm="1">
        <f t="array" ref="J20">_xlfn.PERCENTRANK.EXC(_xlfn._xlws.FILTER(H$3:H$23, ISNUMBER(H$3:H$23)),H20)*100</f>
        <v>13.600000000000001</v>
      </c>
    </row>
    <row r="21" spans="1:10" x14ac:dyDescent="0.35">
      <c r="A21" t="s">
        <v>34</v>
      </c>
      <c r="B21" t="s">
        <v>565</v>
      </c>
      <c r="C21" t="str" cm="1">
        <f t="array" ref="C21">_xll.FDS($E21,"FG_COMPANY_NAME")</f>
        <v>United Arab Emirates</v>
      </c>
      <c r="D21" t="s">
        <v>123</v>
      </c>
      <c r="E21" t="s">
        <v>373</v>
      </c>
      <c r="F21" t="str">
        <f t="shared" si="0"/>
        <v>CAGDPY@AE</v>
      </c>
      <c r="G21" cm="1">
        <f t="array" ref="G21">IFERROR(_xll.FDS($F21,"EE_ACTUAL_ANNUAL(MED,0)"),0)</f>
        <v>12.15</v>
      </c>
      <c r="H21" cm="1">
        <f t="array" ref="H21">IFERROR(_xll.FDS($F21,"EE_ACTUAL_ANNUAL(MED,+1)"),0)</f>
        <v>8.85</v>
      </c>
      <c r="J21" cm="1">
        <f t="array" ref="J21">_xlfn.PERCENTRANK.EXC(_xlfn._xlws.FILTER(H$3:H$23, ISNUMBER(H$3:H$23)),H21)*100</f>
        <v>86.3</v>
      </c>
    </row>
    <row r="22" spans="1:10" x14ac:dyDescent="0.35">
      <c r="A22" t="s">
        <v>37</v>
      </c>
      <c r="B22" t="s">
        <v>472</v>
      </c>
      <c r="C22" t="str" cm="1">
        <f t="array" ref="C22">_xll.FDS($E22,"FG_COMPANY_NAME")</f>
        <v>Vietnam</v>
      </c>
      <c r="D22" t="s">
        <v>126</v>
      </c>
      <c r="E22" t="s">
        <v>224</v>
      </c>
      <c r="F22" t="str">
        <f t="shared" si="0"/>
        <v>CAGDPY@VN</v>
      </c>
      <c r="G22" cm="1">
        <f t="array" ref="G22">IFERROR(_xll.FDS($F22,"EE_ACTUAL_ANNUAL(MED,0)"),0)</f>
        <v>0</v>
      </c>
      <c r="H22" cm="1">
        <f t="array" ref="H22">IFERROR(_xll.FDS($F22,"EE_ACTUAL_ANNUAL(MED,+1)"),0)</f>
        <v>0</v>
      </c>
      <c r="J22" cm="1">
        <f t="array" ref="J22">_xlfn.PERCENTRANK.EXC(_xlfn._xlws.FILTER(H$3:H$23, ISNUMBER(H$3:H$23)),H22)*100</f>
        <v>50</v>
      </c>
    </row>
    <row r="23" spans="1:10" x14ac:dyDescent="0.35">
      <c r="A23" t="s">
        <v>36</v>
      </c>
      <c r="B23" t="s">
        <v>566</v>
      </c>
      <c r="C23" t="str" cm="1">
        <f t="array" ref="C23">_xll.FDS($E23,"FG_COMPANY_NAME")</f>
        <v>Saudi Arabia</v>
      </c>
      <c r="D23" t="s">
        <v>125</v>
      </c>
      <c r="E23" t="s">
        <v>363</v>
      </c>
      <c r="F23" t="str">
        <f t="shared" si="0"/>
        <v>CAGDPY@SA</v>
      </c>
      <c r="G23" cm="1">
        <f t="array" ref="G23">IFERROR(_xll.FDS($F23,"EE_ACTUAL_ANNUAL(MED,0)"),0)</f>
        <v>3.1913644205675902</v>
      </c>
      <c r="H23" cm="1">
        <f t="array" ref="H23">IFERROR(_xll.FDS($F23,"EE_ACTUAL_ANNUAL(MED,+1)"),0)</f>
        <v>2.6</v>
      </c>
      <c r="J23" cm="1">
        <f t="array" ref="J23">_xlfn.PERCENTRANK.EXC(_xlfn._xlws.FILTER(H$3:H$23, ISNUMBER(H$3:H$23)),H23)*100</f>
        <v>77.2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workbookViewId="0">
      <selection activeCell="B17" sqref="B17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397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507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C25"/>
  <sheetViews>
    <sheetView topLeftCell="J1" workbookViewId="0">
      <selection activeCell="W1" sqref="W1:AE1048576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ht="25.5" customHeight="1" x14ac:dyDescent="0.35">
      <c r="A2" s="2" cm="1">
        <f t="array" ref="A2:A21">_xll.FDS(H1,"JULIAN(FMA_ROE(NTMA,-20AY,NOW,FY,""PORTAGG"",""MEANR"").dates)")</f>
        <v>38352</v>
      </c>
      <c r="B2" t="str" cm="1">
        <f t="array" ref="B2:B21">_xll.FDSB(B1,"FMA_ROE(NTMA,-20AY,NOW,FY,""PORTAGG"",""MEANR"")")</f>
        <v/>
      </c>
      <c r="C2" t="str" cm="1">
        <f t="array" ref="C2:C21">_xll.FDSB(C1,"FMA_ROE(NTMA,-20AY,NOW,FY,""PORTAGG"",""MEANR"")")</f>
        <v/>
      </c>
      <c r="D2" t="str" cm="1">
        <f t="array" ref="D2:D21">_xll.FDSB(D1,"FMA_ROE(NTMA,-20AY,NOW,FY,""PORTAGG"",""MEANR"")")</f>
        <v/>
      </c>
      <c r="E2" t="str" cm="1">
        <f t="array" ref="E2:E21">_xll.FDSB(E1,"FMA_ROE(NTMA,-20AY,NOW,FY,""PORTAGG"",""MEANR"")")</f>
        <v/>
      </c>
      <c r="F2" t="str" cm="1">
        <f t="array" ref="F2:F21">_xll.FDSB(F1,"FMA_ROE(NTMA,-20AY,NOW,FY,""PORTAGG"",""MEANR"")")</f>
        <v/>
      </c>
      <c r="G2" t="str" cm="1">
        <f t="array" ref="G2:G21">_xll.FDSB(G1,"FMA_ROE(NTMA,-20AY,NOW,FY,""PORTAGG"",""MEANR"")")</f>
        <v/>
      </c>
      <c r="H2" cm="1">
        <f t="array" ref="H2:H21">_xll.FDSB(H1,"FMA_ROE(NTMA,-20AY,NOW,FY,""PORTAGG"",""MEANR"")")</f>
        <v>13.376423559145399</v>
      </c>
      <c r="I2" cm="1">
        <f t="array" ref="I2:I21">_xll.FDSB(I1,"FMA_ROE(NTMA,-20AY,NOW,FY,""PORTAGG"",""MEANR"")")</f>
        <v>14.2091388164968</v>
      </c>
      <c r="J2" t="str" cm="1">
        <f t="array" ref="J2:J21">_xll.FDSB(J1,"FMA_ROE(NTMA,-20AY,NOW,FY,""PORTAGG"",""MEANR"")")</f>
        <v/>
      </c>
      <c r="K2" cm="1">
        <f t="array" ref="K2:K21">_xll.FDSB(K1,"FMA_ROE(NTMA,-20AY,NOW,FY,""PORTAGG"",""MEANR"")")</f>
        <v>15.9616854074036</v>
      </c>
      <c r="L2" cm="1">
        <f t="array" ref="L2:L21">_xll.FDSB(L1,"FMA_ROE(NTMA,-20AY,NOW,FY,""PORTAGG"",""MEANR"")")</f>
        <v>10.902459324937</v>
      </c>
      <c r="M2" cm="1">
        <f t="array" ref="M2:M21">_xll.FDSB(M1,"FMA_ROE(NTMA,-20AY,NOW,FY,""PORTAGG"",""MEANR"")")</f>
        <v>17.944307267730601</v>
      </c>
      <c r="N2" t="str" cm="1">
        <f t="array" ref="N2:N21">_xll.FDSB(N1,"FMA_ROE(NTMA,-20AY,NOW,FY,""PORTAGG"",""MEANR"")")</f>
        <v/>
      </c>
      <c r="O2" t="str" cm="1">
        <f t="array" ref="O2:O21">_xll.FDSB(O1,"FMA_ROE(NTMA,-20AY,NOW,FY,""PORTAGG"",""MEANR"")")</f>
        <v/>
      </c>
      <c r="P2" t="str" cm="1">
        <f t="array" ref="P2:P21">_xll.FDSB(P1,"FMA_ROE(NTMA,-20AY,NOW,FY,""PORTAGG"",""MEANR"")")</f>
        <v/>
      </c>
      <c r="Q2" t="str" cm="1">
        <f t="array" ref="Q2:Q21">_xll.FDSB(Q1,"FMA_ROE(NTMA,-20AY,NOW,FY,""PORTAGG"",""MEANR"")")</f>
        <v/>
      </c>
      <c r="R2" cm="1">
        <f t="array" ref="R2:R21">_xll.FDSB(R1,"FMA_ROE(NTMA,-20AY,NOW,FY,""PORTAGG"",""MEANR"")")</f>
        <v>19.477525307428301</v>
      </c>
      <c r="S2" t="str" cm="1">
        <f t="array" ref="S2:S21">_xll.FDSB(S1,"FMA_ROE(NTMA,-20AY,NOW,FY,""PORTAGG"",""MEANR"")")</f>
        <v/>
      </c>
      <c r="T2" t="str" cm="1">
        <f t="array" ref="T2:T21">_xll.FDSB(T1,"FMA_ROE(NTMA,-20AY,NOW,FY,""PORTAGG"",""MEANR"")")</f>
        <v/>
      </c>
      <c r="U2" t="str" cm="1">
        <f t="array" ref="U2:U21">_xll.FDSB(U1,"FMA_ROE(NTMA,-20AY,NOW,FY,""PORTAGG"",""MEANR"")")</f>
        <v/>
      </c>
      <c r="V2" t="str" cm="1">
        <f t="array" ref="V2:V21">_xll.FDSB(V1,"FMA_ROE(NTMA,-20AY,NOW,FY,""PORTAGG"",""MEANR"")")</f>
        <v/>
      </c>
    </row>
    <row r="3" spans="1:22" ht="25.5" customHeight="1" x14ac:dyDescent="0.35">
      <c r="A3" s="2">
        <v>38716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13.259100878288899</v>
      </c>
      <c r="I3">
        <v>14.098545713706599</v>
      </c>
      <c r="J3" s="75" t="str">
        <v/>
      </c>
      <c r="K3" s="75">
        <v>15.4849098528827</v>
      </c>
      <c r="L3">
        <v>15.133006841974501</v>
      </c>
      <c r="M3">
        <v>20.534892815675502</v>
      </c>
      <c r="N3" t="str">
        <v/>
      </c>
      <c r="O3" t="str">
        <v/>
      </c>
      <c r="P3" t="str">
        <v/>
      </c>
      <c r="Q3" t="str">
        <v/>
      </c>
      <c r="R3">
        <v>16.712932607338399</v>
      </c>
      <c r="S3" t="str">
        <v/>
      </c>
      <c r="T3" t="str">
        <v/>
      </c>
      <c r="U3" t="str">
        <v/>
      </c>
      <c r="V3" t="str">
        <v/>
      </c>
    </row>
    <row r="4" spans="1:22" ht="25.5" customHeight="1" x14ac:dyDescent="0.35">
      <c r="A4" s="2">
        <v>39080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13.534364209707901</v>
      </c>
      <c r="I4">
        <v>14.459071034744399</v>
      </c>
      <c r="J4" s="75" t="str">
        <v/>
      </c>
      <c r="K4" s="75">
        <v>13.8927001282369</v>
      </c>
      <c r="L4">
        <v>12.2637569805604</v>
      </c>
      <c r="M4">
        <v>23.396297970604699</v>
      </c>
      <c r="N4" t="str">
        <v/>
      </c>
      <c r="O4" t="str">
        <v/>
      </c>
      <c r="P4" t="str">
        <v/>
      </c>
      <c r="Q4" t="str">
        <v/>
      </c>
      <c r="R4">
        <v>14.8656028990892</v>
      </c>
      <c r="S4" t="str">
        <v/>
      </c>
      <c r="T4" t="str">
        <v/>
      </c>
      <c r="U4" t="str">
        <v/>
      </c>
      <c r="V4" t="str">
        <v/>
      </c>
    </row>
    <row r="5" spans="1:22" ht="25.5" customHeight="1" x14ac:dyDescent="0.35">
      <c r="A5" s="2">
        <v>39447</v>
      </c>
      <c r="B5" t="str">
        <v/>
      </c>
      <c r="C5">
        <v>14.177688160362401</v>
      </c>
      <c r="D5" t="str">
        <v/>
      </c>
      <c r="E5" t="str">
        <v/>
      </c>
      <c r="F5" t="str">
        <v/>
      </c>
      <c r="G5" t="str">
        <v/>
      </c>
      <c r="H5">
        <v>14.6672633006441</v>
      </c>
      <c r="I5">
        <v>16.480780564751502</v>
      </c>
      <c r="J5" s="75" t="str">
        <v/>
      </c>
      <c r="K5" s="75">
        <v>14.403966440200399</v>
      </c>
      <c r="L5">
        <v>16.921333713246799</v>
      </c>
      <c r="M5">
        <v>22.930941215949201</v>
      </c>
      <c r="N5" t="str">
        <v/>
      </c>
      <c r="O5" t="str">
        <v/>
      </c>
      <c r="P5" t="str">
        <v/>
      </c>
      <c r="Q5" t="str">
        <v/>
      </c>
      <c r="R5">
        <v>14.426607707669501</v>
      </c>
      <c r="S5" t="str">
        <v/>
      </c>
      <c r="T5" t="str">
        <v/>
      </c>
      <c r="U5" t="str">
        <v/>
      </c>
      <c r="V5" t="str">
        <v/>
      </c>
    </row>
    <row r="6" spans="1:22" ht="25.5" customHeight="1" x14ac:dyDescent="0.35">
      <c r="A6" s="2">
        <v>39813</v>
      </c>
      <c r="B6" t="str">
        <v/>
      </c>
      <c r="C6">
        <v>11.279880231549299</v>
      </c>
      <c r="D6" t="str">
        <v/>
      </c>
      <c r="E6" t="str">
        <v/>
      </c>
      <c r="F6" t="str">
        <v/>
      </c>
      <c r="G6" t="str">
        <v/>
      </c>
      <c r="H6">
        <v>11.789973955671799</v>
      </c>
      <c r="I6">
        <v>6.1959642113222397</v>
      </c>
      <c r="J6" s="75" t="str">
        <v/>
      </c>
      <c r="K6" s="75">
        <v>9.9245616460946504</v>
      </c>
      <c r="L6">
        <v>15.0739650750282</v>
      </c>
      <c r="M6">
        <v>18.525723394390699</v>
      </c>
      <c r="N6" t="str">
        <v/>
      </c>
      <c r="O6" t="str">
        <v/>
      </c>
      <c r="P6" t="str">
        <v/>
      </c>
      <c r="Q6" t="str">
        <v/>
      </c>
      <c r="R6">
        <v>11.056038571556501</v>
      </c>
      <c r="S6">
        <v>14.532366275604099</v>
      </c>
      <c r="T6" t="str">
        <v/>
      </c>
      <c r="U6" t="str">
        <v/>
      </c>
      <c r="V6" t="str">
        <v/>
      </c>
    </row>
    <row r="7" spans="1:22" ht="25.5" customHeight="1" x14ac:dyDescent="0.35">
      <c r="A7" s="2">
        <v>40178</v>
      </c>
      <c r="B7" t="str">
        <v/>
      </c>
      <c r="C7">
        <v>14.262888391324701</v>
      </c>
      <c r="D7" t="str">
        <v/>
      </c>
      <c r="E7" t="str">
        <v/>
      </c>
      <c r="F7" t="str">
        <v/>
      </c>
      <c r="G7">
        <v>21.648792493302199</v>
      </c>
      <c r="H7">
        <v>12.6973987236168</v>
      </c>
      <c r="I7">
        <v>11.6376050166428</v>
      </c>
      <c r="J7" s="75" t="str">
        <v/>
      </c>
      <c r="K7" s="75">
        <v>13.4147036931661</v>
      </c>
      <c r="L7">
        <v>15.0554926171621</v>
      </c>
      <c r="M7">
        <v>16.422923306743101</v>
      </c>
      <c r="N7" t="str">
        <v/>
      </c>
      <c r="O7" t="str">
        <v/>
      </c>
      <c r="P7" t="str">
        <v/>
      </c>
      <c r="Q7" t="str">
        <v/>
      </c>
      <c r="R7">
        <v>13.178996160463599</v>
      </c>
      <c r="S7">
        <v>15.083253112968899</v>
      </c>
      <c r="T7" t="str">
        <v/>
      </c>
      <c r="U7">
        <v>12.200767858252201</v>
      </c>
      <c r="V7" t="str">
        <v/>
      </c>
    </row>
    <row r="8" spans="1:22" ht="25.5" customHeight="1" x14ac:dyDescent="0.35">
      <c r="A8" s="2">
        <v>40543</v>
      </c>
      <c r="B8" t="str">
        <v/>
      </c>
      <c r="C8">
        <v>14.4661394368492</v>
      </c>
      <c r="D8">
        <v>18.927958558652598</v>
      </c>
      <c r="E8">
        <v>14.7602970828313</v>
      </c>
      <c r="F8">
        <v>12.913640938546299</v>
      </c>
      <c r="G8">
        <v>26.674075406926999</v>
      </c>
      <c r="H8">
        <v>14.629974764894</v>
      </c>
      <c r="I8">
        <v>14.2189185035578</v>
      </c>
      <c r="J8" s="75" t="str">
        <v/>
      </c>
      <c r="K8" s="75">
        <v>14.036452527090301</v>
      </c>
      <c r="L8">
        <v>15.561346162717401</v>
      </c>
      <c r="M8">
        <v>17.9081210683932</v>
      </c>
      <c r="N8" t="str">
        <v/>
      </c>
      <c r="O8" t="str">
        <v/>
      </c>
      <c r="P8" t="str">
        <v/>
      </c>
      <c r="Q8" t="str">
        <v/>
      </c>
      <c r="R8">
        <v>14.9486867959632</v>
      </c>
      <c r="S8">
        <v>15.867602614180599</v>
      </c>
      <c r="T8" t="str">
        <v/>
      </c>
      <c r="U8">
        <v>16.416291532494402</v>
      </c>
      <c r="V8" t="str">
        <v/>
      </c>
    </row>
    <row r="9" spans="1:22" ht="25.5" customHeight="1" x14ac:dyDescent="0.35">
      <c r="A9" s="2">
        <v>40907</v>
      </c>
      <c r="B9" t="str">
        <v/>
      </c>
      <c r="C9">
        <v>14.0754868016221</v>
      </c>
      <c r="D9">
        <v>18.073829290170899</v>
      </c>
      <c r="E9">
        <v>15.192977388624699</v>
      </c>
      <c r="F9">
        <v>11.6682069956937</v>
      </c>
      <c r="G9">
        <v>23.3940784657959</v>
      </c>
      <c r="H9">
        <v>13.8590428625605</v>
      </c>
      <c r="I9">
        <v>11.6486429529888</v>
      </c>
      <c r="J9" s="75" t="str">
        <v/>
      </c>
      <c r="K9" s="75">
        <v>12.893084510288601</v>
      </c>
      <c r="L9">
        <v>13.528023819453299</v>
      </c>
      <c r="M9">
        <v>18.715449271490101</v>
      </c>
      <c r="N9" t="str">
        <v/>
      </c>
      <c r="O9" t="str">
        <v/>
      </c>
      <c r="P9">
        <v>16.2489448712134</v>
      </c>
      <c r="Q9" t="str">
        <v/>
      </c>
      <c r="R9">
        <v>14.3192952203821</v>
      </c>
      <c r="S9">
        <v>14.476918586453699</v>
      </c>
      <c r="T9" t="str">
        <v/>
      </c>
      <c r="U9">
        <v>16.394053839445998</v>
      </c>
      <c r="V9" t="str">
        <v/>
      </c>
    </row>
    <row r="10" spans="1:22" ht="25.5" customHeight="1" x14ac:dyDescent="0.35">
      <c r="A10" s="2">
        <v>41274</v>
      </c>
      <c r="B10" t="str">
        <v/>
      </c>
      <c r="C10">
        <v>12.495289018718699</v>
      </c>
      <c r="D10">
        <v>16.8092892463225</v>
      </c>
      <c r="E10">
        <v>13.700399154582</v>
      </c>
      <c r="F10">
        <v>9.8809529735516293</v>
      </c>
      <c r="G10">
        <v>19.944208300320302</v>
      </c>
      <c r="H10">
        <v>13.233271148596501</v>
      </c>
      <c r="I10">
        <v>11.5182166875632</v>
      </c>
      <c r="J10" s="75" t="str">
        <v/>
      </c>
      <c r="K10" s="75">
        <v>12.474524979665899</v>
      </c>
      <c r="L10">
        <v>11.6623907171401</v>
      </c>
      <c r="M10">
        <v>17.1811698307319</v>
      </c>
      <c r="N10">
        <v>5.1805957088284504</v>
      </c>
      <c r="O10">
        <v>15.6108197056138</v>
      </c>
      <c r="P10">
        <v>14.784483651174799</v>
      </c>
      <c r="Q10" t="str">
        <v/>
      </c>
      <c r="R10">
        <v>15.3579090829836</v>
      </c>
      <c r="S10">
        <v>15.0590425800443</v>
      </c>
      <c r="T10" t="str">
        <v/>
      </c>
      <c r="U10">
        <v>15.4303491131499</v>
      </c>
      <c r="V10" t="str">
        <v/>
      </c>
    </row>
    <row r="11" spans="1:22" ht="25.5" customHeight="1" x14ac:dyDescent="0.35">
      <c r="A11" s="2">
        <v>41639</v>
      </c>
      <c r="B11" t="str">
        <v/>
      </c>
      <c r="C11">
        <v>10.8480668279512</v>
      </c>
      <c r="D11">
        <v>19.102074070579199</v>
      </c>
      <c r="E11">
        <v>13.6976116734629</v>
      </c>
      <c r="F11">
        <v>9.3281966268783805</v>
      </c>
      <c r="G11">
        <v>14.2295976118279</v>
      </c>
      <c r="H11">
        <v>13.0689929250701</v>
      </c>
      <c r="I11">
        <v>11.787759787352099</v>
      </c>
      <c r="J11" s="75" t="str">
        <v/>
      </c>
      <c r="K11" s="75">
        <v>11.4149566191569</v>
      </c>
      <c r="L11">
        <v>12.921670812908999</v>
      </c>
      <c r="M11">
        <v>15.817722548700599</v>
      </c>
      <c r="N11">
        <v>5.0292458068804899</v>
      </c>
      <c r="O11">
        <v>16.096259795639099</v>
      </c>
      <c r="P11">
        <v>14.7477410048543</v>
      </c>
      <c r="Q11" t="str">
        <v/>
      </c>
      <c r="R11">
        <v>14.4834347566328</v>
      </c>
      <c r="S11">
        <v>13.652489797672899</v>
      </c>
      <c r="T11" t="str">
        <v/>
      </c>
      <c r="U11">
        <v>15.275931782209399</v>
      </c>
      <c r="V11" t="str">
        <v/>
      </c>
    </row>
    <row r="12" spans="1:22" ht="25.5" customHeight="1" x14ac:dyDescent="0.35">
      <c r="A12" s="2">
        <v>42004</v>
      </c>
      <c r="B12" t="str">
        <v/>
      </c>
      <c r="C12">
        <v>9.3775833969926392</v>
      </c>
      <c r="D12">
        <v>18.408675050742801</v>
      </c>
      <c r="E12">
        <v>14.219614502703299</v>
      </c>
      <c r="F12">
        <v>9.0840041673954701</v>
      </c>
      <c r="G12">
        <v>12.7121203643147</v>
      </c>
      <c r="H12">
        <v>12.0884430441681</v>
      </c>
      <c r="I12">
        <v>13.127345554295999</v>
      </c>
      <c r="J12" s="75" t="str">
        <v/>
      </c>
      <c r="K12" s="75">
        <v>9.7704768239650406</v>
      </c>
      <c r="L12">
        <v>10.900243591811501</v>
      </c>
      <c r="M12">
        <v>15.0179384562795</v>
      </c>
      <c r="N12">
        <v>6.2845117866267204</v>
      </c>
      <c r="O12">
        <v>15.761277143555301</v>
      </c>
      <c r="P12">
        <v>13.8220324417748</v>
      </c>
      <c r="Q12">
        <v>16.7779984816015</v>
      </c>
      <c r="R12">
        <v>13.1977119976914</v>
      </c>
      <c r="S12">
        <v>12.866544620472</v>
      </c>
      <c r="T12">
        <v>11.0777984350957</v>
      </c>
      <c r="U12">
        <v>10.940366671467601</v>
      </c>
      <c r="V12" t="str">
        <v/>
      </c>
    </row>
    <row r="13" spans="1:22" ht="25.5" customHeight="1" x14ac:dyDescent="0.35">
      <c r="A13" s="2">
        <v>42369</v>
      </c>
      <c r="B13" t="str">
        <v/>
      </c>
      <c r="C13">
        <v>9.5706099133347493</v>
      </c>
      <c r="D13">
        <v>15.6625909554988</v>
      </c>
      <c r="E13">
        <v>13.3322794237975</v>
      </c>
      <c r="F13">
        <v>8.1959389953538402</v>
      </c>
      <c r="G13">
        <v>8.83035011509517</v>
      </c>
      <c r="H13">
        <v>10.6772868053956</v>
      </c>
      <c r="I13">
        <v>12.3828245738855</v>
      </c>
      <c r="J13" s="75" t="str">
        <v/>
      </c>
      <c r="K13" s="75">
        <v>8.8327668312628393</v>
      </c>
      <c r="L13">
        <v>10.634536034874101</v>
      </c>
      <c r="M13">
        <v>14.1296467541483</v>
      </c>
      <c r="N13">
        <v>5.4713363591772302</v>
      </c>
      <c r="O13">
        <v>15.905542104715799</v>
      </c>
      <c r="P13">
        <v>12.264088939939899</v>
      </c>
      <c r="Q13">
        <v>14.881445814290799</v>
      </c>
      <c r="R13">
        <v>12.826134737344599</v>
      </c>
      <c r="S13">
        <v>12.7726870869254</v>
      </c>
      <c r="T13">
        <v>12.304687111449301</v>
      </c>
      <c r="U13">
        <v>8.5756546844961008</v>
      </c>
      <c r="V13">
        <v>12.9007124779981</v>
      </c>
    </row>
    <row r="14" spans="1:22" ht="25.5" customHeight="1" x14ac:dyDescent="0.35">
      <c r="A14" s="2">
        <v>42734</v>
      </c>
      <c r="B14">
        <v>12.035710983290601</v>
      </c>
      <c r="C14">
        <v>8.6838665045544303</v>
      </c>
      <c r="D14">
        <v>15.054606398618001</v>
      </c>
      <c r="E14">
        <v>12.7182053290138</v>
      </c>
      <c r="F14">
        <v>8.8199252772021701</v>
      </c>
      <c r="G14">
        <v>12.5824807721625</v>
      </c>
      <c r="H14">
        <v>9.6001106335987991</v>
      </c>
      <c r="I14">
        <v>11.792466047279699</v>
      </c>
      <c r="J14" s="75">
        <v>12.236196707276701</v>
      </c>
      <c r="K14" s="75">
        <v>9.34985338936219</v>
      </c>
      <c r="L14">
        <v>11.2231596394428</v>
      </c>
      <c r="M14">
        <v>12.9857675631351</v>
      </c>
      <c r="N14">
        <v>4.5660179779951697</v>
      </c>
      <c r="O14">
        <v>15.693091658434399</v>
      </c>
      <c r="P14">
        <v>12.007707790005</v>
      </c>
      <c r="Q14">
        <v>12.143590871822299</v>
      </c>
      <c r="R14">
        <v>12.444505756756399</v>
      </c>
      <c r="S14">
        <v>12.845810717910901</v>
      </c>
      <c r="T14">
        <v>11.0383578639711</v>
      </c>
      <c r="U14">
        <v>13.499140434935599</v>
      </c>
      <c r="V14">
        <v>11.3294751772354</v>
      </c>
    </row>
    <row r="15" spans="1:22" ht="25.5" customHeight="1" x14ac:dyDescent="0.35">
      <c r="A15" s="2">
        <v>43098</v>
      </c>
      <c r="B15">
        <v>13.228058716685799</v>
      </c>
      <c r="C15">
        <v>9.3839204677486396</v>
      </c>
      <c r="D15">
        <v>15.7733994434049</v>
      </c>
      <c r="E15">
        <v>12.3434443766015</v>
      </c>
      <c r="F15">
        <v>10.583812917928499</v>
      </c>
      <c r="G15">
        <v>12.146198718530099</v>
      </c>
      <c r="H15">
        <v>9.8176605925737395</v>
      </c>
      <c r="I15">
        <v>12.5855614416921</v>
      </c>
      <c r="J15" s="75">
        <v>12.6640790394995</v>
      </c>
      <c r="K15" s="75">
        <v>11.1969769851489</v>
      </c>
      <c r="L15">
        <v>13.1487202255739</v>
      </c>
      <c r="M15">
        <v>13.347190311170101</v>
      </c>
      <c r="N15">
        <v>3.9464603441932802</v>
      </c>
      <c r="O15">
        <v>15.3154529754558</v>
      </c>
      <c r="P15">
        <v>13.3821124977803</v>
      </c>
      <c r="Q15">
        <v>12.130655327255299</v>
      </c>
      <c r="R15">
        <v>12.4919200136172</v>
      </c>
      <c r="S15">
        <v>15.205127173103399</v>
      </c>
      <c r="T15">
        <v>12.0257898837902</v>
      </c>
      <c r="U15">
        <v>12.1231419211942</v>
      </c>
      <c r="V15">
        <v>11.9967853551854</v>
      </c>
    </row>
    <row r="16" spans="1:22" ht="25.5" customHeight="1" x14ac:dyDescent="0.35">
      <c r="A16" s="2">
        <v>43465</v>
      </c>
      <c r="B16">
        <v>12.9587909941324</v>
      </c>
      <c r="C16">
        <v>11.2778516938703</v>
      </c>
      <c r="D16">
        <v>15.5352440090718</v>
      </c>
      <c r="E16">
        <v>11.7069295115669</v>
      </c>
      <c r="F16">
        <v>10.265799986894701</v>
      </c>
      <c r="G16">
        <v>10.922533007189999</v>
      </c>
      <c r="H16">
        <v>9.62847705365634</v>
      </c>
      <c r="I16">
        <v>11.512583795260401</v>
      </c>
      <c r="J16" s="75">
        <v>12.897214341888199</v>
      </c>
      <c r="K16" s="75">
        <v>9.7866294798228992</v>
      </c>
      <c r="L16">
        <v>15.197535127506599</v>
      </c>
      <c r="M16">
        <v>14.109787252230101</v>
      </c>
      <c r="N16">
        <v>4.2472666068859901</v>
      </c>
      <c r="O16">
        <v>14.612205045971701</v>
      </c>
      <c r="P16">
        <v>13.2137488528733</v>
      </c>
      <c r="Q16">
        <v>12.394741210409901</v>
      </c>
      <c r="R16">
        <v>12.5523899281401</v>
      </c>
      <c r="S16">
        <v>14.7086929252537</v>
      </c>
      <c r="T16">
        <v>10.390754425831799</v>
      </c>
      <c r="U16">
        <v>15.109726785561501</v>
      </c>
      <c r="V16">
        <v>12.170109651106801</v>
      </c>
    </row>
    <row r="17" spans="1:29" ht="25.5" customHeight="1" x14ac:dyDescent="0.35">
      <c r="A17" s="2">
        <v>43830</v>
      </c>
      <c r="B17">
        <v>13.4756717158229</v>
      </c>
      <c r="C17">
        <v>9.8359095445121802</v>
      </c>
      <c r="D17">
        <v>14.430010325506601</v>
      </c>
      <c r="E17">
        <v>12.053931830843901</v>
      </c>
      <c r="F17">
        <v>9.4389843194853</v>
      </c>
      <c r="G17">
        <v>11.9146021952872</v>
      </c>
      <c r="H17">
        <v>9.3328071547593403</v>
      </c>
      <c r="I17">
        <v>10.898313482389399</v>
      </c>
      <c r="J17" s="75">
        <v>12.086926249434899</v>
      </c>
      <c r="K17" s="75">
        <v>7.6764812978912396</v>
      </c>
      <c r="L17">
        <v>14.5227361735546</v>
      </c>
      <c r="M17">
        <v>13.6163542503008</v>
      </c>
      <c r="N17">
        <v>5.8100215417249901</v>
      </c>
      <c r="O17">
        <v>14.5354845941958</v>
      </c>
      <c r="P17">
        <v>12.885451183707399</v>
      </c>
      <c r="Q17">
        <v>11.644637815588201</v>
      </c>
      <c r="R17">
        <v>10.9395949217405</v>
      </c>
      <c r="S17">
        <v>14.839546767448899</v>
      </c>
      <c r="T17">
        <v>8.1284551585460001</v>
      </c>
      <c r="U17">
        <v>15.480793943374101</v>
      </c>
      <c r="V17">
        <v>11.230555984202301</v>
      </c>
    </row>
    <row r="18" spans="1:29" ht="25.5" customHeight="1" x14ac:dyDescent="0.35">
      <c r="A18" s="2">
        <v>44196</v>
      </c>
      <c r="B18">
        <v>12.992301639581701</v>
      </c>
      <c r="C18">
        <v>8.7546394285479305</v>
      </c>
      <c r="D18">
        <v>11.4814604181015</v>
      </c>
      <c r="E18">
        <v>8.9157572980100905</v>
      </c>
      <c r="F18">
        <v>7.2076865078890302</v>
      </c>
      <c r="G18">
        <v>12.086026362947299</v>
      </c>
      <c r="H18">
        <v>10.615395226220899</v>
      </c>
      <c r="I18">
        <v>11.620910867592601</v>
      </c>
      <c r="J18" s="75">
        <v>11.7827107678683</v>
      </c>
      <c r="K18" s="75">
        <v>8.3077031776299393</v>
      </c>
      <c r="L18">
        <v>16.600394562016099</v>
      </c>
      <c r="M18">
        <v>16.711537192718801</v>
      </c>
      <c r="N18">
        <v>5.3671121826145196</v>
      </c>
      <c r="O18">
        <v>12.8423838581616</v>
      </c>
      <c r="P18">
        <v>12.357237331068699</v>
      </c>
      <c r="Q18">
        <v>11.2380998666164</v>
      </c>
      <c r="R18">
        <v>8.3884974981076095</v>
      </c>
      <c r="S18">
        <v>12.8830286544733</v>
      </c>
      <c r="T18">
        <v>6.7620176278083504</v>
      </c>
      <c r="U18">
        <v>17.088911201056401</v>
      </c>
      <c r="V18">
        <v>10.1469870541411</v>
      </c>
    </row>
    <row r="19" spans="1:29" ht="25.5" customHeight="1" x14ac:dyDescent="0.35">
      <c r="A19" s="2">
        <v>44561</v>
      </c>
      <c r="B19">
        <v>13.766318061879799</v>
      </c>
      <c r="C19">
        <v>10.603891183835101</v>
      </c>
      <c r="D19">
        <v>13.692856010670701</v>
      </c>
      <c r="E19">
        <v>9.5994541006399192</v>
      </c>
      <c r="F19">
        <v>10.1460102201106</v>
      </c>
      <c r="G19">
        <v>15.055565749939699</v>
      </c>
      <c r="H19">
        <v>9.4736311465114191</v>
      </c>
      <c r="I19">
        <v>14.724411980088</v>
      </c>
      <c r="J19" s="75">
        <v>13.687162530438</v>
      </c>
      <c r="K19" s="75">
        <v>10.145877646555199</v>
      </c>
      <c r="L19">
        <v>20.353675249238201</v>
      </c>
      <c r="M19">
        <v>16.932589581546001</v>
      </c>
      <c r="N19">
        <v>8.8257668466653296</v>
      </c>
      <c r="O19">
        <v>15.161283532760899</v>
      </c>
      <c r="P19">
        <v>11.9739138767707</v>
      </c>
      <c r="Q19">
        <v>12.7317850147387</v>
      </c>
      <c r="R19">
        <v>9.9474702709118805</v>
      </c>
      <c r="S19">
        <v>18.5724934178429</v>
      </c>
      <c r="T19">
        <v>11.234942553465</v>
      </c>
      <c r="U19">
        <v>18.384490602079399</v>
      </c>
      <c r="V19">
        <v>12.7997878070165</v>
      </c>
    </row>
    <row r="20" spans="1:29" ht="25.5" customHeight="1" x14ac:dyDescent="0.35">
      <c r="A20" s="2">
        <v>44925</v>
      </c>
      <c r="B20">
        <v>13.371225506133101</v>
      </c>
      <c r="C20">
        <v>12.7874449833902</v>
      </c>
      <c r="D20">
        <v>15.652444062664401</v>
      </c>
      <c r="E20">
        <v>10.673124632626299</v>
      </c>
      <c r="F20">
        <v>10.9641857238333</v>
      </c>
      <c r="G20">
        <v>13.622581449513101</v>
      </c>
      <c r="H20">
        <v>10.1683466984571</v>
      </c>
      <c r="I20">
        <v>12.940792083987301</v>
      </c>
      <c r="J20" s="75">
        <v>13.3394699175221</v>
      </c>
      <c r="K20" s="75">
        <v>7.5097939609220798</v>
      </c>
      <c r="L20">
        <v>19.407551552946199</v>
      </c>
      <c r="M20">
        <v>16.8118349535848</v>
      </c>
      <c r="N20">
        <v>11.0341923380188</v>
      </c>
      <c r="O20">
        <v>14.9254235326562</v>
      </c>
      <c r="P20">
        <v>11.550090347644501</v>
      </c>
      <c r="Q20">
        <v>13.290131357764499</v>
      </c>
      <c r="R20">
        <v>10.1243577068579</v>
      </c>
      <c r="S20">
        <v>24.140963514424499</v>
      </c>
      <c r="T20">
        <v>12.933849359579799</v>
      </c>
      <c r="U20">
        <v>14.733462255063101</v>
      </c>
      <c r="V20">
        <v>13.772969663470899</v>
      </c>
    </row>
    <row r="21" spans="1:29" ht="25.5" customHeight="1" x14ac:dyDescent="0.35">
      <c r="A21" s="2">
        <v>45289</v>
      </c>
      <c r="B21">
        <v>12.0077667934377</v>
      </c>
      <c r="C21">
        <v>13.910839056081601</v>
      </c>
      <c r="D21">
        <v>14.0234033144087</v>
      </c>
      <c r="E21">
        <v>11.9407094450378</v>
      </c>
      <c r="F21">
        <v>12.394579327579899</v>
      </c>
      <c r="G21">
        <v>12.9324474391171</v>
      </c>
      <c r="H21">
        <v>9.5588573391121106</v>
      </c>
      <c r="I21">
        <v>11.9152161134332</v>
      </c>
      <c r="J21" s="75">
        <v>13.7129718327555</v>
      </c>
      <c r="K21" s="75">
        <v>8.9090911478552002</v>
      </c>
      <c r="L21">
        <v>18.6086842292654</v>
      </c>
      <c r="M21">
        <v>14.5722752976358</v>
      </c>
      <c r="N21">
        <v>13.1253657894167</v>
      </c>
      <c r="O21">
        <v>16.0848706505016</v>
      </c>
      <c r="P21">
        <v>11.5611834350638</v>
      </c>
      <c r="Q21">
        <v>12.1192289718939</v>
      </c>
      <c r="R21">
        <v>9.34877442177023</v>
      </c>
      <c r="S21">
        <v>25.846008849302699</v>
      </c>
      <c r="T21">
        <v>13.2251182354264</v>
      </c>
      <c r="U21">
        <v>10.732551346519401</v>
      </c>
      <c r="V21">
        <v>11.763457300140701</v>
      </c>
    </row>
    <row r="23" spans="1:29" x14ac:dyDescent="0.35">
      <c r="A23" t="s">
        <v>91</v>
      </c>
      <c r="B23" s="8">
        <f t="shared" ref="B23:V23" si="0">MIN(_xlfn.ANCHORARRAY(B2))</f>
        <v>12.0077667934377</v>
      </c>
      <c r="C23" s="8">
        <f t="shared" si="0"/>
        <v>8.6838665045544303</v>
      </c>
      <c r="D23" s="8">
        <f t="shared" si="0"/>
        <v>11.4814604181015</v>
      </c>
      <c r="E23" s="8">
        <f t="shared" si="0"/>
        <v>8.9157572980100905</v>
      </c>
      <c r="F23" s="8">
        <f t="shared" si="0"/>
        <v>7.2076865078890302</v>
      </c>
      <c r="G23" s="8">
        <f t="shared" si="0"/>
        <v>8.83035011509517</v>
      </c>
      <c r="H23" s="8">
        <f t="shared" si="0"/>
        <v>9.3328071547593403</v>
      </c>
      <c r="I23" s="8">
        <f t="shared" si="0"/>
        <v>6.1959642113222397</v>
      </c>
      <c r="J23" s="8">
        <f t="shared" si="0"/>
        <v>11.7827107678683</v>
      </c>
      <c r="K23" s="8">
        <f t="shared" si="0"/>
        <v>7.5097939609220798</v>
      </c>
      <c r="L23" s="8">
        <f t="shared" si="0"/>
        <v>10.634536034874101</v>
      </c>
      <c r="M23" s="8">
        <f t="shared" si="0"/>
        <v>12.9857675631351</v>
      </c>
      <c r="N23" s="8">
        <f t="shared" si="0"/>
        <v>3.9464603441932802</v>
      </c>
      <c r="O23" s="8">
        <f t="shared" si="0"/>
        <v>12.8423838581616</v>
      </c>
      <c r="P23" s="8">
        <f t="shared" si="0"/>
        <v>11.550090347644501</v>
      </c>
      <c r="Q23" s="8">
        <f t="shared" si="0"/>
        <v>11.2380998666164</v>
      </c>
      <c r="R23" s="8">
        <f t="shared" si="0"/>
        <v>8.3884974981076095</v>
      </c>
      <c r="S23" s="8">
        <f t="shared" si="0"/>
        <v>12.7726870869254</v>
      </c>
      <c r="T23" s="8">
        <f t="shared" si="0"/>
        <v>6.7620176278083504</v>
      </c>
      <c r="U23" s="8">
        <f t="shared" si="0"/>
        <v>8.5756546844961008</v>
      </c>
      <c r="V23" s="8">
        <f t="shared" si="0"/>
        <v>10.1469870541411</v>
      </c>
      <c r="W23" s="8"/>
      <c r="X23" s="8"/>
      <c r="Y23" s="8"/>
      <c r="Z23" s="8"/>
      <c r="AA23" s="8"/>
      <c r="AB23" s="8"/>
      <c r="AC23" s="8"/>
    </row>
    <row r="24" spans="1:29" x14ac:dyDescent="0.35">
      <c r="A24" t="s">
        <v>397</v>
      </c>
      <c r="B24" s="8">
        <f t="shared" ref="B24:V24" si="1">MEDIAN(_xlfn.ANCHORARRAY(B2))</f>
        <v>13.110180178133749</v>
      </c>
      <c r="C24" s="8">
        <f t="shared" si="1"/>
        <v>11.2778516938703</v>
      </c>
      <c r="D24" s="8">
        <f t="shared" si="1"/>
        <v>15.6575175090816</v>
      </c>
      <c r="E24" s="8">
        <f t="shared" si="1"/>
        <v>12.530824852807651</v>
      </c>
      <c r="F24" s="8">
        <f t="shared" si="1"/>
        <v>10.013481596831115</v>
      </c>
      <c r="G24" s="8">
        <f t="shared" si="1"/>
        <v>12.9324474391171</v>
      </c>
      <c r="H24" s="8">
        <f t="shared" si="1"/>
        <v>11.93920849991995</v>
      </c>
      <c r="I24" s="8">
        <f t="shared" si="1"/>
        <v>12.14902034365935</v>
      </c>
      <c r="J24" s="8">
        <f t="shared" si="1"/>
        <v>12.78064669069385</v>
      </c>
      <c r="K24" s="8">
        <f t="shared" si="1"/>
        <v>10.67142731585205</v>
      </c>
      <c r="L24" s="8">
        <f t="shared" si="1"/>
        <v>14.78911439535835</v>
      </c>
      <c r="M24" s="8">
        <f t="shared" si="1"/>
        <v>16.7616860731518</v>
      </c>
      <c r="N24" s="8">
        <f t="shared" si="1"/>
        <v>5.4192242708958744</v>
      </c>
      <c r="O24" s="8">
        <f t="shared" si="1"/>
        <v>15.463136340534799</v>
      </c>
      <c r="P24" s="8">
        <f t="shared" si="1"/>
        <v>12.885451183707399</v>
      </c>
      <c r="Q24" s="8">
        <f t="shared" si="1"/>
        <v>12.269166041116101</v>
      </c>
      <c r="R24" s="8">
        <f t="shared" si="1"/>
        <v>13.0025654489041</v>
      </c>
      <c r="S24" s="8">
        <f t="shared" si="1"/>
        <v>14.774119846351301</v>
      </c>
      <c r="T24" s="8">
        <f t="shared" si="1"/>
        <v>11.156370494280349</v>
      </c>
      <c r="U24" s="8">
        <f t="shared" si="1"/>
        <v>15.109726785561501</v>
      </c>
      <c r="V24" s="8">
        <f t="shared" si="1"/>
        <v>11.9967853551854</v>
      </c>
      <c r="W24" s="8"/>
      <c r="X24" s="8"/>
      <c r="Y24" s="8"/>
      <c r="Z24" s="8"/>
      <c r="AA24" s="8"/>
      <c r="AB24" s="8"/>
      <c r="AC24" s="8"/>
    </row>
    <row r="25" spans="1:29" x14ac:dyDescent="0.35">
      <c r="A25" t="s">
        <v>507</v>
      </c>
      <c r="B25" s="8">
        <f t="shared" ref="B25:V25" si="2">B21</f>
        <v>12.0077667934377</v>
      </c>
      <c r="C25" s="8">
        <f t="shared" si="2"/>
        <v>13.910839056081601</v>
      </c>
      <c r="D25" s="8">
        <f t="shared" si="2"/>
        <v>14.0234033144087</v>
      </c>
      <c r="E25" s="8">
        <f t="shared" si="2"/>
        <v>11.9407094450378</v>
      </c>
      <c r="F25" s="8">
        <f t="shared" si="2"/>
        <v>12.394579327579899</v>
      </c>
      <c r="G25" s="8">
        <f t="shared" si="2"/>
        <v>12.9324474391171</v>
      </c>
      <c r="H25" s="8">
        <f t="shared" si="2"/>
        <v>9.5588573391121106</v>
      </c>
      <c r="I25" s="8">
        <f t="shared" si="2"/>
        <v>11.9152161134332</v>
      </c>
      <c r="J25" s="8">
        <f t="shared" si="2"/>
        <v>13.7129718327555</v>
      </c>
      <c r="K25" s="8">
        <f t="shared" si="2"/>
        <v>8.9090911478552002</v>
      </c>
      <c r="L25" s="8">
        <f t="shared" si="2"/>
        <v>18.6086842292654</v>
      </c>
      <c r="M25" s="8">
        <f t="shared" si="2"/>
        <v>14.5722752976358</v>
      </c>
      <c r="N25" s="8">
        <f t="shared" si="2"/>
        <v>13.1253657894167</v>
      </c>
      <c r="O25" s="8">
        <f t="shared" si="2"/>
        <v>16.0848706505016</v>
      </c>
      <c r="P25" s="8">
        <f t="shared" si="2"/>
        <v>11.5611834350638</v>
      </c>
      <c r="Q25" s="8">
        <f t="shared" si="2"/>
        <v>12.1192289718939</v>
      </c>
      <c r="R25" s="8">
        <f t="shared" si="2"/>
        <v>9.34877442177023</v>
      </c>
      <c r="S25" s="8">
        <f t="shared" si="2"/>
        <v>25.846008849302699</v>
      </c>
      <c r="T25" s="8">
        <f t="shared" si="2"/>
        <v>13.2251182354264</v>
      </c>
      <c r="U25" s="8">
        <f t="shared" si="2"/>
        <v>10.732551346519401</v>
      </c>
      <c r="V25" s="8">
        <f t="shared" si="2"/>
        <v>11.763457300140701</v>
      </c>
      <c r="W25" s="8"/>
      <c r="X25" s="8"/>
      <c r="Y25" s="8"/>
      <c r="Z25" s="8"/>
      <c r="AA25" s="8"/>
      <c r="AB25" s="8"/>
      <c r="AC25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AE28"/>
  <sheetViews>
    <sheetView topLeftCell="G1" zoomScale="85" zoomScaleNormal="85" workbookViewId="0">
      <selection activeCell="R25" sqref="R25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bestFit="1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8" ht="18.5" x14ac:dyDescent="0.55000000000000004">
      <c r="K1" s="65" t="s">
        <v>795</v>
      </c>
      <c r="L1" s="184">
        <f ca="1">EDATE(TODAY(), -1)</f>
        <v>45406</v>
      </c>
      <c r="M1" s="121"/>
    </row>
    <row r="2" spans="1:28" ht="15" thickBot="1" x14ac:dyDescent="0.4">
      <c r="K2" s="12" t="s">
        <v>796</v>
      </c>
      <c r="L2" s="185">
        <f ca="1">EDATE(TODAY(), -4)</f>
        <v>45315</v>
      </c>
    </row>
    <row r="3" spans="1:28" ht="50.25" customHeight="1" x14ac:dyDescent="0.35">
      <c r="E3" t="s">
        <v>760</v>
      </c>
      <c r="F3" t="s">
        <v>761</v>
      </c>
      <c r="H3" t="s">
        <v>779</v>
      </c>
      <c r="I3" t="s">
        <v>574</v>
      </c>
      <c r="J3" t="s">
        <v>529</v>
      </c>
      <c r="M3" s="119" t="s">
        <v>780</v>
      </c>
      <c r="N3" t="str" cm="1">
        <f t="array" aca="1" ref="N3" ca="1">_xll.FDSRC("-","DUMMY","ECON_DATE("&amp;$L$1&amp;",,, 'MM/YYYY')")</f>
        <v>04/2024</v>
      </c>
      <c r="O3" t="str" cm="1">
        <f t="array" aca="1" ref="O3" ca="1">_xll.FDSRC("-","DUMMY","ECON_DATE("&amp;$L$2&amp;",,, 'MM/YYYY')")</f>
        <v>01/2024</v>
      </c>
      <c r="P3" s="119" t="s">
        <v>786</v>
      </c>
      <c r="Q3" s="119" t="s">
        <v>798</v>
      </c>
      <c r="R3" s="122" t="s">
        <v>799</v>
      </c>
      <c r="S3" s="122" t="s">
        <v>561</v>
      </c>
      <c r="T3" s="122" t="s">
        <v>750</v>
      </c>
    </row>
    <row r="4" spans="1:28" x14ac:dyDescent="0.35">
      <c r="A4" t="s">
        <v>432</v>
      </c>
      <c r="B4" t="s">
        <v>435</v>
      </c>
      <c r="C4" t="s">
        <v>432</v>
      </c>
      <c r="D4" t="s">
        <v>762</v>
      </c>
      <c r="E4">
        <v>53.6</v>
      </c>
      <c r="F4">
        <v>2.4</v>
      </c>
      <c r="G4" t="s">
        <v>104</v>
      </c>
      <c r="H4" s="116" t="s">
        <v>765</v>
      </c>
      <c r="I4" s="117" t="s">
        <v>615</v>
      </c>
      <c r="J4" s="118" t="s">
        <v>435</v>
      </c>
      <c r="K4" s="118" t="s">
        <v>432</v>
      </c>
      <c r="L4" t="s">
        <v>762</v>
      </c>
      <c r="M4" cm="1">
        <f t="array" ref="M4">IF(_xll.FDSRC(,"DUMMY","ECON_EXPR_DATA('FDS_ECON["&amp;H4&amp;"]',,,M)")=0,$J$28,_xll.FDSRC(,"DUMMY","ECON_EXPR_DATA('FDS_ECON["&amp;H4&amp;"]',,,M)"))</f>
        <v>51.441467000000003</v>
      </c>
      <c r="N4" cm="1">
        <f t="array" aca="1" ref="N4" ca="1">_xll.FDSRC("-","DUMMY","ECON_EXPR_DATA('FDS_ECON["&amp;H4&amp;"]',"&amp;$N$3&amp;",,Q)")</f>
        <v>50.938282000000001</v>
      </c>
      <c r="O4" cm="1">
        <f t="array" aca="1" ref="O4" ca="1">_xll.FDSRC("-","DUMMY","ECON_EXPR_DATA('FDS_ECON["&amp;H4&amp;"]',"&amp;$O$3&amp;",,Q)")</f>
        <v>50.34384</v>
      </c>
      <c r="P4">
        <f t="shared" ref="P4:P24" ca="1" si="0">IFERROR(N4-O4,$M$28)</f>
        <v>0.5944420000000008</v>
      </c>
      <c r="Q4" cm="1">
        <f t="array" ref="Q4">_xlfn.PERCENTRANK.EXC(_xlfn._xlws.FILTER(M$4:M$24, ISNUMBER(M$4:M$24)),M4)*100</f>
        <v>45.4</v>
      </c>
      <c r="R4" cm="1">
        <f t="array" aca="1" ref="R4" ca="1">_xlfn.PERCENTRANK.EXC(_xlfn._xlws.FILTER(P$4:P$24, ISNUMBER(P$4:P$24)),P4)*100</f>
        <v>31.8</v>
      </c>
      <c r="S4">
        <f ca="1">Q4*Assumption!$E$27 + R4*Assumption!$F$27</f>
        <v>39.96</v>
      </c>
      <c r="T4" cm="1">
        <f t="array" aca="1" ref="T4" ca="1">_xlfn.PERCENTRANK.EXC(_xlfn._xlws.FILTER(S$4:S$24, ISNUMBER(S$4:S$24)),S4)*100</f>
        <v>31.8</v>
      </c>
    </row>
    <row r="5" spans="1:28" x14ac:dyDescent="0.35">
      <c r="A5" t="s">
        <v>27</v>
      </c>
      <c r="B5" t="s">
        <v>436</v>
      </c>
      <c r="C5" t="s">
        <v>27</v>
      </c>
      <c r="D5" t="s">
        <v>762</v>
      </c>
      <c r="E5">
        <v>54.9</v>
      </c>
      <c r="F5">
        <v>3.1</v>
      </c>
      <c r="G5" t="s">
        <v>107</v>
      </c>
      <c r="H5" s="116" t="s">
        <v>781</v>
      </c>
      <c r="I5" s="117" t="s">
        <v>614</v>
      </c>
      <c r="J5" s="118" t="s">
        <v>436</v>
      </c>
      <c r="K5" s="118" t="s">
        <v>27</v>
      </c>
      <c r="L5" t="s">
        <v>762</v>
      </c>
      <c r="M5" cm="1">
        <f t="array" ref="M5">IF(_xll.FDSRC(,"DUMMY","ECON_EXPR_DATA('FDS_ECON["&amp;H5&amp;"]',,,M)")=0,$J$28,_xll.FDSRC(,"DUMMY","ECON_EXPR_DATA('FDS_ECON["&amp;H5&amp;"]',,,M)"))</f>
        <v>51.990540000000003</v>
      </c>
      <c r="N5" t="str" cm="1">
        <f t="array" aca="1" ref="N5" ca="1">_xll.FDSRC("-","DUMMY","ECON_EXPR_DATA('FDS_ECON["&amp;H5&amp;"]',"&amp;$N$3&amp;",,Q)")</f>
        <v>-</v>
      </c>
      <c r="O5" t="str" cm="1">
        <f t="array" aca="1" ref="O5" ca="1">_xll.FDSRC("-","DUMMY","ECON_EXPR_DATA('FDS_ECON["&amp;H5&amp;"]',"&amp;$O$3&amp;",,Q)")</f>
        <v>-</v>
      </c>
      <c r="P5">
        <f t="shared" ca="1" si="0"/>
        <v>0.88645700000000005</v>
      </c>
      <c r="Q5" cm="1">
        <f t="array" ref="Q5">_xlfn.PERCENTRANK.EXC(_xlfn._xlws.FILTER(M$4:M$24, ISNUMBER(M$4:M$24)),M5)*100</f>
        <v>54.500000000000007</v>
      </c>
      <c r="R5" cm="1">
        <f t="array" aca="1" ref="R5" ca="1">_xlfn.PERCENTRANK.EXC(_xlfn._xlws.FILTER(P$4:P$24, ISNUMBER(P$4:P$24)),P5)*100</f>
        <v>50</v>
      </c>
      <c r="S5">
        <f ca="1">Q5*Assumption!$E$27 + R5*Assumption!$F$27</f>
        <v>52.7</v>
      </c>
      <c r="T5" cm="1">
        <f t="array" aca="1" ref="T5" ca="1">_xlfn.PERCENTRANK.EXC(_xlfn._xlws.FILTER(S$4:S$24, ISNUMBER(S$4:S$24)),S5)*100</f>
        <v>63.6</v>
      </c>
    </row>
    <row r="6" spans="1:28" x14ac:dyDescent="0.35">
      <c r="A6" t="s">
        <v>35</v>
      </c>
      <c r="B6" t="s">
        <v>437</v>
      </c>
      <c r="C6" t="s">
        <v>35</v>
      </c>
      <c r="D6" t="s">
        <v>762</v>
      </c>
      <c r="E6">
        <v>54.9</v>
      </c>
      <c r="F6">
        <v>3.1</v>
      </c>
      <c r="G6" t="s">
        <v>124</v>
      </c>
      <c r="H6" s="116" t="s">
        <v>767</v>
      </c>
      <c r="I6" s="117" t="s">
        <v>651</v>
      </c>
      <c r="J6" s="118" t="s">
        <v>437</v>
      </c>
      <c r="K6" s="118" t="s">
        <v>35</v>
      </c>
      <c r="L6" t="s">
        <v>762</v>
      </c>
      <c r="M6" cm="1">
        <f t="array" ref="M6">IF(_xll.FDSRC(,"DUMMY","ECON_EXPR_DATA('FDS_ECON["&amp;H6&amp;"]',,,M)")=0,$J$28,_xll.FDSRC(,"DUMMY","ECON_EXPR_DATA('FDS_ECON["&amp;H6&amp;"]',,,M)"))</f>
        <v>52.886288</v>
      </c>
      <c r="N6" cm="1">
        <f t="array" aca="1" ref="N6" ca="1">_xll.FDSRC("-","DUMMY","ECON_EXPR_DATA('FDS_ECON["&amp;H6&amp;"]',"&amp;$N$3&amp;",,Q)")</f>
        <v>53.247562000000002</v>
      </c>
      <c r="O6" cm="1">
        <f t="array" aca="1" ref="O6" ca="1">_xll.FDSRC("-","DUMMY","ECON_EXPR_DATA('FDS_ECON["&amp;H6&amp;"]',"&amp;$O$3&amp;",,Q)")</f>
        <v>51.828487000000003</v>
      </c>
      <c r="P6">
        <f t="shared" ca="1" si="0"/>
        <v>1.4190749999999994</v>
      </c>
      <c r="Q6" cm="1">
        <f t="array" ref="Q6">_xlfn.PERCENTRANK.EXC(_xlfn._xlws.FILTER(M$4:M$24, ISNUMBER(M$4:M$24)),M6)*100</f>
        <v>77.2</v>
      </c>
      <c r="R6" cm="1">
        <f t="array" aca="1" ref="R6" ca="1">_xlfn.PERCENTRANK.EXC(_xlfn._xlws.FILTER(P$4:P$24, ISNUMBER(P$4:P$24)),P6)*100</f>
        <v>68.100000000000009</v>
      </c>
      <c r="S6">
        <f ca="1">Q6*Assumption!$E$27 + R6*Assumption!$F$27</f>
        <v>73.56</v>
      </c>
      <c r="T6" cm="1">
        <f t="array" aca="1" ref="T6" ca="1">_xlfn.PERCENTRANK.EXC(_xlfn._xlws.FILTER(S$4:S$24, ISNUMBER(S$4:S$24)),S6)*100</f>
        <v>81.8</v>
      </c>
    </row>
    <row r="7" spans="1:28" x14ac:dyDescent="0.35">
      <c r="A7" t="s">
        <v>30</v>
      </c>
      <c r="B7" t="s">
        <v>438</v>
      </c>
      <c r="C7" t="s">
        <v>30</v>
      </c>
      <c r="D7" t="s">
        <v>762</v>
      </c>
      <c r="E7">
        <v>54.9</v>
      </c>
      <c r="F7">
        <v>3.1</v>
      </c>
      <c r="G7" t="s">
        <v>117</v>
      </c>
      <c r="H7" s="116" t="s">
        <v>789</v>
      </c>
      <c r="I7" s="117" t="s">
        <v>699</v>
      </c>
      <c r="J7" s="118" t="s">
        <v>438</v>
      </c>
      <c r="K7" s="118" t="s">
        <v>30</v>
      </c>
      <c r="L7" t="s">
        <v>762</v>
      </c>
      <c r="M7" cm="1">
        <f t="array" ref="M7">IF(_xll.FDSRC(,"DUMMY","ECON_EXPR_DATA('FDS_ECON["&amp;H7&amp;"]',,,M)")=0,$J$28,_xll.FDSRC(,"DUMMY","ECON_EXPR_DATA('FDS_ECON["&amp;H7&amp;"]',,,M)"))</f>
        <v>52.158670000000001</v>
      </c>
      <c r="N7" cm="1">
        <f t="array" aca="1" ref="N7" ca="1">_xll.FDSRC("-","DUMMY","ECON_EXPR_DATA('FDS_ECON["&amp;H7&amp;"]',"&amp;$N$3&amp;",,Q)")</f>
        <v>50.931423000000002</v>
      </c>
      <c r="O7" cm="1">
        <f t="array" aca="1" ref="O7" ca="1">_xll.FDSRC("-","DUMMY","ECON_EXPR_DATA('FDS_ECON["&amp;H7&amp;"]',"&amp;$O$3&amp;",,Q)")</f>
        <v>52.222515000000001</v>
      </c>
      <c r="P7">
        <f t="shared" ca="1" si="0"/>
        <v>-1.291091999999999</v>
      </c>
      <c r="Q7" cm="1">
        <f t="array" ref="Q7">_xlfn.PERCENTRANK.EXC(_xlfn._xlws.FILTER(M$4:M$24, ISNUMBER(M$4:M$24)),M7)*100</f>
        <v>72.7</v>
      </c>
      <c r="R7" cm="1">
        <f t="array" aca="1" ref="R7" ca="1">_xlfn.PERCENTRANK.EXC(_xlfn._xlws.FILTER(P$4:P$24, ISNUMBER(P$4:P$24)),P7)*100</f>
        <v>4.5</v>
      </c>
      <c r="S7">
        <f ca="1">Q7*Assumption!$E$27 + R7*Assumption!$F$27</f>
        <v>45.419999999999995</v>
      </c>
      <c r="T7" cm="1">
        <f t="array" aca="1" ref="T7" ca="1">_xlfn.PERCENTRANK.EXC(_xlfn._xlws.FILTER(S$4:S$24, ISNUMBER(S$4:S$24)),S7)*100</f>
        <v>50</v>
      </c>
    </row>
    <row r="8" spans="1:28" x14ac:dyDescent="0.35">
      <c r="A8" t="s">
        <v>23</v>
      </c>
      <c r="B8" t="s">
        <v>439</v>
      </c>
      <c r="C8" t="s">
        <v>23</v>
      </c>
      <c r="D8" t="s">
        <v>762</v>
      </c>
      <c r="E8">
        <v>54.9</v>
      </c>
      <c r="F8">
        <v>3.1</v>
      </c>
      <c r="G8" t="s">
        <v>100</v>
      </c>
      <c r="H8" s="116" t="s">
        <v>773</v>
      </c>
      <c r="I8" s="117" t="s">
        <v>700</v>
      </c>
      <c r="J8" s="118" t="s">
        <v>439</v>
      </c>
      <c r="K8" s="118" t="s">
        <v>23</v>
      </c>
      <c r="L8" t="s">
        <v>762</v>
      </c>
      <c r="M8" cm="1">
        <f t="array" ref="M8">IF(_xll.FDSRC(,"DUMMY","ECON_EXPR_DATA('FDS_ECON["&amp;H8&amp;"]',,,M)")=0,$J$28,_xll.FDSRC(,"DUMMY","ECON_EXPR_DATA('FDS_ECON["&amp;H8&amp;"]',,,M)"))</f>
        <v>45.918357999999998</v>
      </c>
      <c r="N8" cm="1">
        <f t="array" aca="1" ref="N8" ca="1">_xll.FDSRC("-","DUMMY","ECON_EXPR_DATA('FDS_ECON["&amp;H8&amp;"]',"&amp;$N$3&amp;",,Q)")</f>
        <v>47.649479999999997</v>
      </c>
      <c r="O8" cm="1">
        <f t="array" aca="1" ref="O8" ca="1">_xll.FDSRC("-","DUMMY","ECON_EXPR_DATA('FDS_ECON["&amp;H8&amp;"]',"&amp;$O$3&amp;",,Q)")</f>
        <v>46.884846000000003</v>
      </c>
      <c r="P8">
        <f t="shared" ca="1" si="0"/>
        <v>0.76463399999999382</v>
      </c>
      <c r="Q8" cm="1">
        <f t="array" ref="Q8">_xlfn.PERCENTRANK.EXC(_xlfn._xlws.FILTER(M$4:M$24, ISNUMBER(M$4:M$24)),M8)*100</f>
        <v>4.5</v>
      </c>
      <c r="R8" cm="1">
        <f t="array" aca="1" ref="R8" ca="1">_xlfn.PERCENTRANK.EXC(_xlfn._xlws.FILTER(P$4:P$24, ISNUMBER(P$4:P$24)),P8)*100</f>
        <v>45.4</v>
      </c>
      <c r="S8">
        <f ca="1">Q8*Assumption!$E$27 + R8*Assumption!$F$27</f>
        <v>20.86</v>
      </c>
      <c r="T8" cm="1">
        <f t="array" aca="1" ref="T8" ca="1">_xlfn.PERCENTRANK.EXC(_xlfn._xlws.FILTER(S$4:S$24, ISNUMBER(S$4:S$24)),S8)*100</f>
        <v>9</v>
      </c>
    </row>
    <row r="9" spans="1:28" x14ac:dyDescent="0.35">
      <c r="A9" t="s">
        <v>29</v>
      </c>
      <c r="B9" t="s">
        <v>440</v>
      </c>
      <c r="C9" t="s">
        <v>29</v>
      </c>
      <c r="D9" t="s">
        <v>762</v>
      </c>
      <c r="E9">
        <v>54.9</v>
      </c>
      <c r="F9">
        <v>3.1</v>
      </c>
      <c r="G9" t="s">
        <v>112</v>
      </c>
      <c r="H9" s="116" t="s">
        <v>782</v>
      </c>
      <c r="I9" s="117" t="s">
        <v>698</v>
      </c>
      <c r="J9" s="118" t="s">
        <v>440</v>
      </c>
      <c r="K9" s="118" t="s">
        <v>29</v>
      </c>
      <c r="L9" t="s">
        <v>762</v>
      </c>
      <c r="M9" cm="1">
        <f t="array" ref="M9">IF(_xll.FDSRC(,"DUMMY","ECON_EXPR_DATA('FDS_ECON["&amp;H9&amp;"]',,,M)")=0,$J$28,_xll.FDSRC(,"DUMMY","ECON_EXPR_DATA('FDS_ECON["&amp;H9&amp;"]',,,M)"))</f>
        <v>51.990540000000003</v>
      </c>
      <c r="N9" t="str" cm="1">
        <f t="array" aca="1" ref="N9" ca="1">_xll.FDSRC("-","DUMMY","ECON_EXPR_DATA('FDS_ECON["&amp;H9&amp;"]',"&amp;$N$3&amp;",,Q)")</f>
        <v>-</v>
      </c>
      <c r="O9" t="str" cm="1">
        <f t="array" aca="1" ref="O9" ca="1">_xll.FDSRC("-","DUMMY","ECON_EXPR_DATA('FDS_ECON["&amp;H9&amp;"]',"&amp;$O$3&amp;",,Q)")</f>
        <v>-</v>
      </c>
      <c r="P9">
        <f t="shared" ca="1" si="0"/>
        <v>0.88645700000000005</v>
      </c>
      <c r="Q9" cm="1">
        <f t="array" ref="Q9">_xlfn.PERCENTRANK.EXC(_xlfn._xlws.FILTER(M$4:M$24, ISNUMBER(M$4:M$24)),M9)*100</f>
        <v>54.500000000000007</v>
      </c>
      <c r="R9" cm="1">
        <f t="array" aca="1" ref="R9" ca="1">_xlfn.PERCENTRANK.EXC(_xlfn._xlws.FILTER(P$4:P$24, ISNUMBER(P$4:P$24)),P9)*100</f>
        <v>50</v>
      </c>
      <c r="S9">
        <f ca="1">Q9*Assumption!$E$27 + R9*Assumption!$F$27</f>
        <v>52.7</v>
      </c>
      <c r="T9" cm="1">
        <f t="array" aca="1" ref="T9" ca="1">_xlfn.PERCENTRANK.EXC(_xlfn._xlws.FILTER(S$4:S$24, ISNUMBER(S$4:S$24)),S9)*100</f>
        <v>63.6</v>
      </c>
    </row>
    <row r="10" spans="1:28" x14ac:dyDescent="0.35">
      <c r="A10" t="s">
        <v>33</v>
      </c>
      <c r="B10" t="s">
        <v>441</v>
      </c>
      <c r="C10" t="s">
        <v>33</v>
      </c>
      <c r="D10" t="s">
        <v>762</v>
      </c>
      <c r="E10">
        <v>54.9</v>
      </c>
      <c r="F10">
        <v>3.1</v>
      </c>
      <c r="G10" t="s">
        <v>122</v>
      </c>
      <c r="H10" s="116" t="s">
        <v>790</v>
      </c>
      <c r="I10" s="117" t="s">
        <v>673</v>
      </c>
      <c r="J10" s="118" t="s">
        <v>441</v>
      </c>
      <c r="K10" s="118" t="s">
        <v>33</v>
      </c>
      <c r="L10" t="s">
        <v>762</v>
      </c>
      <c r="M10" cm="1">
        <f t="array" ref="M10">IF(_xll.FDSRC(,"DUMMY","ECON_EXPR_DATA('FDS_ECON["&amp;H10&amp;"]',,,M)")=0,$J$28,_xll.FDSRC(,"DUMMY","ECON_EXPR_DATA('FDS_ECON["&amp;H10&amp;"]',,,M)"))</f>
        <v>48.95158</v>
      </c>
      <c r="N10" cm="1">
        <f t="array" aca="1" ref="N10" ca="1">_xll.FDSRC("-","DUMMY","ECON_EXPR_DATA('FDS_ECON["&amp;H10&amp;"]',"&amp;$N$3&amp;",,Q)")</f>
        <v>48.949710000000003</v>
      </c>
      <c r="O10" cm="1">
        <f t="array" aca="1" ref="O10" ca="1">_xll.FDSRC("-","DUMMY","ECON_EXPR_DATA('FDS_ECON["&amp;H10&amp;"]',"&amp;$O$3&amp;",,Q)")</f>
        <v>47.499214000000002</v>
      </c>
      <c r="P10">
        <f t="shared" ca="1" si="0"/>
        <v>1.4504960000000011</v>
      </c>
      <c r="Q10" cm="1">
        <f t="array" ref="Q10">_xlfn.PERCENTRANK.EXC(_xlfn._xlws.FILTER(M$4:M$24, ISNUMBER(M$4:M$24)),M10)*100</f>
        <v>13.600000000000001</v>
      </c>
      <c r="R10" cm="1">
        <f t="array" aca="1" ref="R10" ca="1">_xlfn.PERCENTRANK.EXC(_xlfn._xlws.FILTER(P$4:P$24, ISNUMBER(P$4:P$24)),P10)*100</f>
        <v>72.7</v>
      </c>
      <c r="S10">
        <f ca="1">Q10*Assumption!$E$27 + R10*Assumption!$F$27</f>
        <v>37.24</v>
      </c>
      <c r="T10" cm="1">
        <f t="array" aca="1" ref="T10" ca="1">_xlfn.PERCENTRANK.EXC(_xlfn._xlws.FILTER(S$4:S$24, ISNUMBER(S$4:S$24)),S10)*100</f>
        <v>27.200000000000003</v>
      </c>
    </row>
    <row r="11" spans="1:28" x14ac:dyDescent="0.35">
      <c r="A11" t="s">
        <v>24</v>
      </c>
      <c r="B11" t="s">
        <v>40</v>
      </c>
      <c r="C11" t="s">
        <v>24</v>
      </c>
      <c r="D11" t="s">
        <v>762</v>
      </c>
      <c r="E11">
        <v>54.9</v>
      </c>
      <c r="F11">
        <v>3.1</v>
      </c>
      <c r="G11" t="s">
        <v>103</v>
      </c>
      <c r="H11" s="116" t="s">
        <v>770</v>
      </c>
      <c r="I11" s="117" t="s">
        <v>720</v>
      </c>
      <c r="J11" s="118" t="s">
        <v>40</v>
      </c>
      <c r="K11" s="118" t="s">
        <v>24</v>
      </c>
      <c r="L11" t="s">
        <v>762</v>
      </c>
      <c r="M11" cm="1">
        <f t="array" ref="M11">IF(_xll.FDSRC(,"DUMMY","ECON_EXPR_DATA('FDS_ECON["&amp;H11&amp;"]',,,M)")=0,$J$28,_xll.FDSRC(,"DUMMY","ECON_EXPR_DATA('FDS_ECON["&amp;H11&amp;"]',,,M)"))</f>
        <v>50.2</v>
      </c>
      <c r="N11" cm="1">
        <f t="array" aca="1" ref="N11" ca="1">_xll.FDSRC("-","DUMMY","ECON_EXPR_DATA('FDS_ECON["&amp;H11&amp;"]',"&amp;$N$3&amp;",,Q)")</f>
        <v>48.895138000000003</v>
      </c>
      <c r="O11" cm="1">
        <f t="array" aca="1" ref="O11" ca="1">_xll.FDSRC("-","DUMMY","ECON_EXPR_DATA('FDS_ECON["&amp;H11&amp;"]',"&amp;$O$3&amp;",,Q)")</f>
        <v>47.63588</v>
      </c>
      <c r="P11">
        <f t="shared" ca="1" si="0"/>
        <v>1.2592580000000027</v>
      </c>
      <c r="Q11" cm="1">
        <f t="array" ref="Q11">_xlfn.PERCENTRANK.EXC(_xlfn._xlws.FILTER(M$4:M$24, ISNUMBER(M$4:M$24)),M11)*100</f>
        <v>27.200000000000003</v>
      </c>
      <c r="R11" cm="1">
        <f t="array" aca="1" ref="R11" ca="1">_xlfn.PERCENTRANK.EXC(_xlfn._xlws.FILTER(P$4:P$24, ISNUMBER(P$4:P$24)),P11)*100</f>
        <v>63.6</v>
      </c>
      <c r="S11">
        <f ca="1">Q11*Assumption!$E$27 + R11*Assumption!$F$27</f>
        <v>41.760000000000005</v>
      </c>
      <c r="T11" cm="1">
        <f t="array" aca="1" ref="T11" ca="1">_xlfn.PERCENTRANK.EXC(_xlfn._xlws.FILTER(S$4:S$24, ISNUMBER(S$4:S$24)),S11)*100</f>
        <v>40.9</v>
      </c>
    </row>
    <row r="12" spans="1:28" x14ac:dyDescent="0.35">
      <c r="A12" t="s">
        <v>7</v>
      </c>
      <c r="B12" t="s">
        <v>53</v>
      </c>
      <c r="C12" t="s">
        <v>7</v>
      </c>
      <c r="D12" t="s">
        <v>762</v>
      </c>
      <c r="E12">
        <v>54.9</v>
      </c>
      <c r="F12">
        <v>3.1</v>
      </c>
      <c r="G12" t="s">
        <v>121</v>
      </c>
      <c r="H12" s="116" t="s">
        <v>764</v>
      </c>
      <c r="I12" s="117" t="s">
        <v>678</v>
      </c>
      <c r="J12" s="118" t="s">
        <v>53</v>
      </c>
      <c r="K12" s="118" t="s">
        <v>7</v>
      </c>
      <c r="L12" t="s">
        <v>762</v>
      </c>
      <c r="M12" cm="1">
        <f t="array" ref="M12">IF(_xll.FDSRC(,"DUMMY","ECON_EXPR_DATA('FDS_ECON["&amp;H12&amp;"]',,,M)")=0,$J$28,_xll.FDSRC(,"DUMMY","ECON_EXPR_DATA('FDS_ECON["&amp;H12&amp;"]',,,M)"))</f>
        <v>50.965843</v>
      </c>
      <c r="N12" cm="1">
        <f t="array" aca="1" ref="N12" ca="1">_xll.FDSRC("-","DUMMY","ECON_EXPR_DATA('FDS_ECON["&amp;H12&amp;"]',"&amp;$N$3&amp;",,Q)")</f>
        <v>51.565502000000002</v>
      </c>
      <c r="O12" cm="1">
        <f t="array" aca="1" ref="O12" ca="1">_xll.FDSRC("-","DUMMY","ECON_EXPR_DATA('FDS_ECON["&amp;H12&amp;"]',"&amp;$O$3&amp;",,Q)")</f>
        <v>52.180695</v>
      </c>
      <c r="P12">
        <f t="shared" ca="1" si="0"/>
        <v>-0.61519299999999788</v>
      </c>
      <c r="Q12" cm="1">
        <f t="array" ref="Q12">_xlfn.PERCENTRANK.EXC(_xlfn._xlws.FILTER(M$4:M$24, ISNUMBER(M$4:M$24)),M12)*100</f>
        <v>40.9</v>
      </c>
      <c r="R12" cm="1">
        <f t="array" aca="1" ref="R12" ca="1">_xlfn.PERCENTRANK.EXC(_xlfn._xlws.FILTER(P$4:P$24, ISNUMBER(P$4:P$24)),P12)*100</f>
        <v>13.600000000000001</v>
      </c>
      <c r="S12">
        <f ca="1">Q12*Assumption!$E$27 + R12*Assumption!$F$27</f>
        <v>29.98</v>
      </c>
      <c r="T12" cm="1">
        <f t="array" aca="1" ref="T12" ca="1">_xlfn.PERCENTRANK.EXC(_xlfn._xlws.FILTER(S$4:S$24, ISNUMBER(S$4:S$24)),S12)*100</f>
        <v>22.7</v>
      </c>
    </row>
    <row r="13" spans="1:28" x14ac:dyDescent="0.35">
      <c r="A13" t="s">
        <v>21</v>
      </c>
      <c r="B13" t="s">
        <v>38</v>
      </c>
      <c r="C13" t="s">
        <v>21</v>
      </c>
      <c r="D13" t="s">
        <v>762</v>
      </c>
      <c r="E13">
        <v>54.9</v>
      </c>
      <c r="F13">
        <v>3.1</v>
      </c>
      <c r="G13" t="s">
        <v>101</v>
      </c>
      <c r="H13" s="116" t="s">
        <v>768</v>
      </c>
      <c r="I13" s="117" t="s">
        <v>769</v>
      </c>
      <c r="J13" s="118" t="s">
        <v>38</v>
      </c>
      <c r="K13" s="118" t="s">
        <v>21</v>
      </c>
      <c r="L13" t="s">
        <v>762</v>
      </c>
      <c r="M13" cm="1">
        <f t="array" ref="M13">IF(_xll.FDSRC(,"DUMMY","ECON_EXPR_DATA('FDS_ECON["&amp;H13&amp;"]',,,M)")=0,$J$28,_xll.FDSRC(,"DUMMY","ECON_EXPR_DATA('FDS_ECON["&amp;H13&amp;"]',,,M)"))</f>
        <v>49.449905000000001</v>
      </c>
      <c r="N13" cm="1">
        <f t="array" aca="1" ref="N13" ca="1">_xll.FDSRC("-","DUMMY","ECON_EXPR_DATA('FDS_ECON["&amp;H13&amp;"]',"&amp;$N$3&amp;",,Q)")</f>
        <v>50.576219999999999</v>
      </c>
      <c r="O13" cm="1">
        <f t="array" aca="1" ref="O13" ca="1">_xll.FDSRC("-","DUMMY","ECON_EXPR_DATA('FDS_ECON["&amp;H13&amp;"]',"&amp;$O$3&amp;",,Q)")</f>
        <v>49.900604000000001</v>
      </c>
      <c r="P13">
        <f t="shared" ca="1" si="0"/>
        <v>0.675615999999998</v>
      </c>
      <c r="Q13" cm="1">
        <f t="array" ref="Q13">_xlfn.PERCENTRANK.EXC(_xlfn._xlws.FILTER(M$4:M$24, ISNUMBER(M$4:M$24)),M13)*100</f>
        <v>22.7</v>
      </c>
      <c r="R13" cm="1">
        <f t="array" aca="1" ref="R13" ca="1">_xlfn.PERCENTRANK.EXC(_xlfn._xlws.FILTER(P$4:P$24, ISNUMBER(P$4:P$24)),P13)*100</f>
        <v>40.9</v>
      </c>
      <c r="S13">
        <f ca="1">Q13*Assumption!$E$27 + R13*Assumption!$F$27</f>
        <v>29.979999999999997</v>
      </c>
      <c r="T13" cm="1">
        <f t="array" aca="1" ref="T13" ca="1">_xlfn.PERCENTRANK.EXC(_xlfn._xlws.FILTER(S$4:S$24, ISNUMBER(S$4:S$24)),S13)*100</f>
        <v>18.099999999999998</v>
      </c>
    </row>
    <row r="14" spans="1:28" x14ac:dyDescent="0.35">
      <c r="A14" t="s">
        <v>12</v>
      </c>
      <c r="B14" t="s">
        <v>54</v>
      </c>
      <c r="C14" t="s">
        <v>12</v>
      </c>
      <c r="D14" t="s">
        <v>762</v>
      </c>
      <c r="E14">
        <v>51.8</v>
      </c>
      <c r="F14">
        <v>1.9</v>
      </c>
      <c r="G14" t="s">
        <v>127</v>
      </c>
      <c r="H14" s="116" t="s">
        <v>763</v>
      </c>
      <c r="I14" s="117" t="s">
        <v>603</v>
      </c>
      <c r="J14" s="118" t="s">
        <v>54</v>
      </c>
      <c r="K14" s="118" t="s">
        <v>12</v>
      </c>
      <c r="L14" t="s">
        <v>762</v>
      </c>
      <c r="M14" cm="1">
        <f t="array" ref="M14">IF(_xll.FDSRC(,"DUMMY","ECON_EXPR_DATA('FDS_ECON["&amp;H14&amp;"]',,,M)")=0,$J$28,_xll.FDSRC(,"DUMMY","ECON_EXPR_DATA('FDS_ECON["&amp;H14&amp;"]',,,M)"))</f>
        <v>55.874420000000001</v>
      </c>
      <c r="N14" cm="1">
        <f t="array" aca="1" ref="N14" ca="1">_xll.FDSRC("-","DUMMY","ECON_EXPR_DATA('FDS_ECON["&amp;H14&amp;"]',"&amp;$N$3&amp;",,Q)")</f>
        <v>53.509574999999998</v>
      </c>
      <c r="O14" cm="1">
        <f t="array" aca="1" ref="O14" ca="1">_xll.FDSRC("-","DUMMY","ECON_EXPR_DATA('FDS_ECON["&amp;H14&amp;"]',"&amp;$O$3&amp;",,Q)")</f>
        <v>48.798813000000003</v>
      </c>
      <c r="P14">
        <f t="shared" ca="1" si="0"/>
        <v>4.7107619999999955</v>
      </c>
      <c r="Q14" cm="1">
        <f t="array" ref="Q14">_xlfn.PERCENTRANK.EXC(_xlfn._xlws.FILTER(M$4:M$24, ISNUMBER(M$4:M$24)),M14)*100</f>
        <v>86.3</v>
      </c>
      <c r="R14" cm="1">
        <f t="array" aca="1" ref="R14" ca="1">_xlfn.PERCENTRANK.EXC(_xlfn._xlws.FILTER(P$4:P$24, ISNUMBER(P$4:P$24)),P14)*100</f>
        <v>90.9</v>
      </c>
      <c r="S14">
        <f ca="1">Q14*Assumption!$E$27 + R14*Assumption!$F$27</f>
        <v>88.14</v>
      </c>
      <c r="T14" cm="1">
        <f t="array" aca="1" ref="T14" ca="1">_xlfn.PERCENTRANK.EXC(_xlfn._xlws.FILTER(S$4:S$24, ISNUMBER(S$4:S$24)),S14)*100</f>
        <v>90.9</v>
      </c>
      <c r="AA14" s="1" t="s">
        <v>902</v>
      </c>
    </row>
    <row r="15" spans="1:28" x14ac:dyDescent="0.35">
      <c r="A15" t="s">
        <v>22</v>
      </c>
      <c r="B15" t="s">
        <v>442</v>
      </c>
      <c r="C15" t="s">
        <v>22</v>
      </c>
      <c r="D15" t="s">
        <v>762</v>
      </c>
      <c r="E15">
        <v>47.5</v>
      </c>
      <c r="F15">
        <v>1.1000000000000001</v>
      </c>
      <c r="G15" t="s">
        <v>99</v>
      </c>
      <c r="H15" s="116" t="s">
        <v>791</v>
      </c>
      <c r="I15" s="117" t="s">
        <v>713</v>
      </c>
      <c r="J15" s="118" t="s">
        <v>442</v>
      </c>
      <c r="K15" s="118" t="s">
        <v>22</v>
      </c>
      <c r="L15" t="s">
        <v>762</v>
      </c>
      <c r="M15" cm="1">
        <f t="array" ref="M15">IF(_xll.FDSRC(,"DUMMY","ECON_EXPR_DATA('FDS_ECON["&amp;H15&amp;"]',,,M)")=0,$J$28,_xll.FDSRC(,"DUMMY","ECON_EXPR_DATA('FDS_ECON["&amp;H15&amp;"]',,,M)"))</f>
        <v>50.290199999999999</v>
      </c>
      <c r="N15" cm="1">
        <f t="array" aca="1" ref="N15" ca="1">_xll.FDSRC("-","DUMMY","ECON_EXPR_DATA('FDS_ECON["&amp;H15&amp;"]',"&amp;$N$3&amp;",,Q)")</f>
        <v>49.458922999999999</v>
      </c>
      <c r="O15" cm="1">
        <f t="array" aca="1" ref="O15" ca="1">_xll.FDSRC("-","DUMMY","ECON_EXPR_DATA('FDS_ECON["&amp;H15&amp;"]',"&amp;$O$3&amp;",,Q)")</f>
        <v>49.293605999999997</v>
      </c>
      <c r="P15">
        <f t="shared" ca="1" si="0"/>
        <v>0.16531700000000171</v>
      </c>
      <c r="Q15" cm="1">
        <f t="array" ref="Q15">_xlfn.PERCENTRANK.EXC(_xlfn._xlws.FILTER(M$4:M$24, ISNUMBER(M$4:M$24)),M15)*100</f>
        <v>31.8</v>
      </c>
      <c r="R15" cm="1">
        <f t="array" aca="1" ref="R15" ca="1">_xlfn.PERCENTRANK.EXC(_xlfn._xlws.FILTER(P$4:P$24, ISNUMBER(P$4:P$24)),P15)*100</f>
        <v>22.7</v>
      </c>
      <c r="S15">
        <f ca="1">Q15*Assumption!$E$27 + R15*Assumption!$F$27</f>
        <v>28.159999999999997</v>
      </c>
      <c r="T15" cm="1">
        <f t="array" aca="1" ref="T15" ca="1">_xlfn.PERCENTRANK.EXC(_xlfn._xlws.FILTER(S$4:S$24, ISNUMBER(S$4:S$24)),S15)*100</f>
        <v>13.600000000000001</v>
      </c>
    </row>
    <row r="16" spans="1:28" x14ac:dyDescent="0.35">
      <c r="A16" t="s">
        <v>28</v>
      </c>
      <c r="B16" t="s">
        <v>443</v>
      </c>
      <c r="C16" t="s">
        <v>28</v>
      </c>
      <c r="D16" t="s">
        <v>762</v>
      </c>
      <c r="E16">
        <v>54.9</v>
      </c>
      <c r="F16">
        <v>3.1</v>
      </c>
      <c r="G16" t="s">
        <v>111</v>
      </c>
      <c r="H16" s="116" t="s">
        <v>772</v>
      </c>
      <c r="I16" s="117" t="s">
        <v>640</v>
      </c>
      <c r="J16" s="118" t="s">
        <v>443</v>
      </c>
      <c r="K16" s="118" t="s">
        <v>28</v>
      </c>
      <c r="L16" t="s">
        <v>762</v>
      </c>
      <c r="M16" cm="1">
        <f t="array" ref="M16">IF(_xll.FDSRC(,"DUMMY","ECON_EXPR_DATA('FDS_ECON["&amp;H16&amp;"]',,,M)")=0,$J$28,_xll.FDSRC(,"DUMMY","ECON_EXPR_DATA('FDS_ECON["&amp;H16&amp;"]',,,M)"))</f>
        <v>55.152985000000001</v>
      </c>
      <c r="N16" cm="1">
        <f t="array" aca="1" ref="N16" ca="1">_xll.FDSRC("-","DUMMY","ECON_EXPR_DATA('FDS_ECON["&amp;H16&amp;"]',"&amp;$N$3&amp;",,Q)")</f>
        <v>55.775460000000002</v>
      </c>
      <c r="O16" cm="1">
        <f t="array" aca="1" ref="O16" ca="1">_xll.FDSRC("-","DUMMY","ECON_EXPR_DATA('FDS_ECON["&amp;H16&amp;"]',"&amp;$O$3&amp;",,Q)")</f>
        <v>50.995750000000001</v>
      </c>
      <c r="P16">
        <f t="shared" ca="1" si="0"/>
        <v>4.7797100000000015</v>
      </c>
      <c r="Q16" cm="1">
        <f t="array" ref="Q16">_xlfn.PERCENTRANK.EXC(_xlfn._xlws.FILTER(M$4:M$24, ISNUMBER(M$4:M$24)),M16)*100</f>
        <v>81.8</v>
      </c>
      <c r="R16" cm="1">
        <f t="array" aca="1" ref="R16" ca="1">_xlfn.PERCENTRANK.EXC(_xlfn._xlws.FILTER(P$4:P$24, ISNUMBER(P$4:P$24)),P16)*100</f>
        <v>95.399999999999991</v>
      </c>
      <c r="S16">
        <f ca="1">Q16*Assumption!$E$27 + R16*Assumption!$F$27</f>
        <v>87.24</v>
      </c>
      <c r="T16" cm="1">
        <f t="array" aca="1" ref="T16" ca="1">_xlfn.PERCENTRANK.EXC(_xlfn._xlws.FILTER(S$4:S$24, ISNUMBER(S$4:S$24)),S16)*100</f>
        <v>86.3</v>
      </c>
      <c r="AB16" t="s">
        <v>896</v>
      </c>
    </row>
    <row r="17" spans="1:31" x14ac:dyDescent="0.35">
      <c r="A17" t="s">
        <v>32</v>
      </c>
      <c r="B17" t="s">
        <v>52</v>
      </c>
      <c r="C17" t="s">
        <v>32</v>
      </c>
      <c r="D17" t="s">
        <v>762</v>
      </c>
      <c r="E17">
        <v>61.6</v>
      </c>
      <c r="F17">
        <v>3.2</v>
      </c>
      <c r="G17" t="s">
        <v>118</v>
      </c>
      <c r="H17" s="116" t="s">
        <v>766</v>
      </c>
      <c r="I17" s="117" t="s">
        <v>650</v>
      </c>
      <c r="J17" s="118" t="s">
        <v>52</v>
      </c>
      <c r="K17" s="118" t="s">
        <v>32</v>
      </c>
      <c r="L17" t="s">
        <v>762</v>
      </c>
      <c r="M17" cm="1">
        <f t="array" ref="M17">IF(_xll.FDSRC(,"DUMMY","ECON_EXPR_DATA('FDS_ECON["&amp;H17&amp;"]',,,M)")=0,$J$28,_xll.FDSRC(,"DUMMY","ECON_EXPR_DATA('FDS_ECON["&amp;H17&amp;"]',,,M)"))</f>
        <v>58.847507</v>
      </c>
      <c r="N17" cm="1">
        <f t="array" aca="1" ref="N17" ca="1">_xll.FDSRC("-","DUMMY","ECON_EXPR_DATA('FDS_ECON["&amp;H17&amp;"]',"&amp;$N$3&amp;",,Q)")</f>
        <v>57.516635999999998</v>
      </c>
      <c r="O17" cm="1">
        <f t="array" aca="1" ref="O17" ca="1">_xll.FDSRC("-","DUMMY","ECON_EXPR_DATA('FDS_ECON["&amp;H17&amp;"]',"&amp;$O$3&amp;",,Q)")</f>
        <v>55.461708000000002</v>
      </c>
      <c r="P17">
        <f t="shared" ca="1" si="0"/>
        <v>2.0549279999999968</v>
      </c>
      <c r="Q17" cm="1">
        <f t="array" ref="Q17">_xlfn.PERCENTRANK.EXC(_xlfn._xlws.FILTER(M$4:M$24, ISNUMBER(M$4:M$24)),M17)*100</f>
        <v>95.399999999999991</v>
      </c>
      <c r="R17" cm="1">
        <f t="array" aca="1" ref="R17" ca="1">_xlfn.PERCENTRANK.EXC(_xlfn._xlws.FILTER(P$4:P$24, ISNUMBER(P$4:P$24)),P17)*100</f>
        <v>81.8</v>
      </c>
      <c r="S17">
        <f ca="1">Q17*Assumption!$E$27 + R17*Assumption!$F$27</f>
        <v>89.96</v>
      </c>
      <c r="T17" cm="1">
        <f t="array" aca="1" ref="T17" ca="1">_xlfn.PERCENTRANK.EXC(_xlfn._xlws.FILTER(S$4:S$24, ISNUMBER(S$4:S$24)),S17)*100</f>
        <v>95.399999999999991</v>
      </c>
    </row>
    <row r="18" spans="1:31" x14ac:dyDescent="0.35">
      <c r="A18" t="s">
        <v>26</v>
      </c>
      <c r="B18" t="s">
        <v>41</v>
      </c>
      <c r="C18" t="s">
        <v>26</v>
      </c>
      <c r="D18" t="s">
        <v>762</v>
      </c>
      <c r="E18">
        <v>53.6</v>
      </c>
      <c r="F18">
        <v>2.4</v>
      </c>
      <c r="G18" t="s">
        <v>104</v>
      </c>
      <c r="H18" s="116" t="s">
        <v>765</v>
      </c>
      <c r="I18" s="117" t="s">
        <v>615</v>
      </c>
      <c r="J18" s="118" t="s">
        <v>41</v>
      </c>
      <c r="K18" s="118" t="s">
        <v>26</v>
      </c>
      <c r="L18" t="s">
        <v>762</v>
      </c>
      <c r="M18" cm="1">
        <f t="array" ref="M18">IF(_xll.FDSRC(,"DUMMY","ECON_EXPR_DATA('FDS_ECON["&amp;H18&amp;"]',,,M)")=0,$J$28,_xll.FDSRC(,"DUMMY","ECON_EXPR_DATA('FDS_ECON["&amp;H18&amp;"]',,,M)"))</f>
        <v>51.441467000000003</v>
      </c>
      <c r="N18" cm="1">
        <f t="array" aca="1" ref="N18" ca="1">_xll.FDSRC("-","DUMMY","ECON_EXPR_DATA('FDS_ECON["&amp;H18&amp;"]',"&amp;$N$3&amp;",,Q)")</f>
        <v>50.938282000000001</v>
      </c>
      <c r="O18" cm="1">
        <f t="array" aca="1" ref="O18" ca="1">_xll.FDSRC("-","DUMMY","ECON_EXPR_DATA('FDS_ECON["&amp;H18&amp;"]',"&amp;$O$3&amp;",,Q)")</f>
        <v>50.34384</v>
      </c>
      <c r="P18">
        <f t="shared" ca="1" si="0"/>
        <v>0.5944420000000008</v>
      </c>
      <c r="Q18" cm="1">
        <f t="array" ref="Q18">_xlfn.PERCENTRANK.EXC(_xlfn._xlws.FILTER(M$4:M$24, ISNUMBER(M$4:M$24)),M18)*100</f>
        <v>45.4</v>
      </c>
      <c r="R18" cm="1">
        <f t="array" aca="1" ref="R18" ca="1">_xlfn.PERCENTRANK.EXC(_xlfn._xlws.FILTER(P$4:P$24, ISNUMBER(P$4:P$24)),P18)*100</f>
        <v>31.8</v>
      </c>
      <c r="S18">
        <f ca="1">Q18*Assumption!$E$27 + R18*Assumption!$F$27</f>
        <v>39.96</v>
      </c>
      <c r="T18" cm="1">
        <f t="array" aca="1" ref="T18" ca="1">_xlfn.PERCENTRANK.EXC(_xlfn._xlws.FILTER(S$4:S$24, ISNUMBER(S$4:S$24)),S18)*100</f>
        <v>31.8</v>
      </c>
      <c r="AB18" t="s">
        <v>780</v>
      </c>
      <c r="AC18" t="s">
        <v>897</v>
      </c>
      <c r="AE18" t="s">
        <v>503</v>
      </c>
    </row>
    <row r="19" spans="1:31" x14ac:dyDescent="0.35">
      <c r="A19" t="s">
        <v>31</v>
      </c>
      <c r="B19" t="s">
        <v>444</v>
      </c>
      <c r="C19" t="s">
        <v>31</v>
      </c>
      <c r="D19" t="s">
        <v>762</v>
      </c>
      <c r="E19">
        <v>56</v>
      </c>
      <c r="F19">
        <v>10.3</v>
      </c>
      <c r="G19" t="s">
        <v>120</v>
      </c>
      <c r="H19" s="116" t="s">
        <v>792</v>
      </c>
      <c r="I19" s="117" t="s">
        <v>702</v>
      </c>
      <c r="J19" s="118" t="s">
        <v>444</v>
      </c>
      <c r="K19" s="118" t="s">
        <v>31</v>
      </c>
      <c r="L19" t="s">
        <v>762</v>
      </c>
      <c r="M19" cm="1">
        <f t="array" ref="M19">IF(_xll.FDSRC(,"DUMMY","ECON_EXPR_DATA('FDS_ECON["&amp;H19&amp;"]',,,M)")=0,$J$28,_xll.FDSRC(,"DUMMY","ECON_EXPR_DATA('FDS_ECON["&amp;H19&amp;"]',,,M)"))</f>
        <v>52.043174999999998</v>
      </c>
      <c r="N19" cm="1">
        <f t="array" aca="1" ref="N19" ca="1">_xll.FDSRC("-","DUMMY","ECON_EXPR_DATA('FDS_ECON["&amp;H19&amp;"]',"&amp;$N$3&amp;",,Q)")</f>
        <v>50.683044000000002</v>
      </c>
      <c r="O19" cm="1">
        <f t="array" aca="1" ref="O19" ca="1">_xll.FDSRC("-","DUMMY","ECON_EXPR_DATA('FDS_ECON["&amp;H19&amp;"]',"&amp;$O$3&amp;",,Q)")</f>
        <v>50.688426999999997</v>
      </c>
      <c r="P19">
        <f t="shared" ca="1" si="0"/>
        <v>-5.3829999999948086E-3</v>
      </c>
      <c r="Q19" cm="1">
        <f t="array" ref="Q19">_xlfn.PERCENTRANK.EXC(_xlfn._xlws.FILTER(M$4:M$24, ISNUMBER(M$4:M$24)),M19)*100</f>
        <v>68.100000000000009</v>
      </c>
      <c r="R19" cm="1">
        <f t="array" aca="1" ref="R19" ca="1">_xlfn.PERCENTRANK.EXC(_xlfn._xlws.FILTER(P$4:P$24, ISNUMBER(P$4:P$24)),P19)*100</f>
        <v>18.099999999999998</v>
      </c>
      <c r="S19">
        <f ca="1">Q19*Assumption!$E$27 + R19*Assumption!$F$27</f>
        <v>48.100000000000009</v>
      </c>
      <c r="T19" cm="1">
        <f t="array" aca="1" ref="T19" ca="1">_xlfn.PERCENTRANK.EXC(_xlfn._xlws.FILTER(S$4:S$24, ISNUMBER(S$4:S$24)),S19)*100</f>
        <v>54.500000000000007</v>
      </c>
      <c r="AB19" t="s">
        <v>898</v>
      </c>
      <c r="AC19" t="s">
        <v>899</v>
      </c>
      <c r="AE19">
        <v>100</v>
      </c>
    </row>
    <row r="20" spans="1:31" x14ac:dyDescent="0.35">
      <c r="A20" t="s">
        <v>434</v>
      </c>
      <c r="B20" t="s">
        <v>445</v>
      </c>
      <c r="C20" t="s">
        <v>434</v>
      </c>
      <c r="D20" t="s">
        <v>762</v>
      </c>
      <c r="E20">
        <v>54.9</v>
      </c>
      <c r="F20">
        <v>3.1</v>
      </c>
      <c r="G20" t="s">
        <v>220</v>
      </c>
      <c r="H20" s="116" t="s">
        <v>793</v>
      </c>
      <c r="I20" s="117" t="s">
        <v>723</v>
      </c>
      <c r="J20" s="118" t="s">
        <v>758</v>
      </c>
      <c r="K20" s="118" t="s">
        <v>757</v>
      </c>
      <c r="L20" t="s">
        <v>762</v>
      </c>
      <c r="M20" cm="1">
        <f t="array" ref="M20">IF(_xll.FDSRC(,"DUMMY","ECON_EXPR_DATA('FDS_ECON["&amp;H20&amp;"]',,,M)")=0,$J$28,_xll.FDSRC(,"DUMMY","ECON_EXPR_DATA('FDS_ECON["&amp;H20&amp;"]',,,M)"))</f>
        <v>48.607917999999998</v>
      </c>
      <c r="N20" cm="1">
        <f t="array" aca="1" ref="N20" ca="1">_xll.FDSRC("-","DUMMY","ECON_EXPR_DATA('FDS_ECON["&amp;H20&amp;"]',"&amp;$N$3&amp;",,Q)")</f>
        <v>47.043889999999998</v>
      </c>
      <c r="O20" cm="1">
        <f t="array" aca="1" ref="O20" ca="1">_xll.FDSRC("-","DUMMY","ECON_EXPR_DATA('FDS_ECON["&amp;H20&amp;"]',"&amp;$O$3&amp;",,Q)")</f>
        <v>46.695160000000001</v>
      </c>
      <c r="P20">
        <f t="shared" ca="1" si="0"/>
        <v>0.34872999999999621</v>
      </c>
      <c r="Q20" cm="1">
        <f t="array" ref="Q20">_xlfn.PERCENTRANK.EXC(_xlfn._xlws.FILTER(M$4:M$24, ISNUMBER(M$4:M$24)),M20)*100</f>
        <v>9</v>
      </c>
      <c r="R20" cm="1">
        <f t="array" aca="1" ref="R20" ca="1">_xlfn.PERCENTRANK.EXC(_xlfn._xlws.FILTER(P$4:P$24, ISNUMBER(P$4:P$24)),P20)*100</f>
        <v>27.200000000000003</v>
      </c>
      <c r="S20">
        <f ca="1">Q20*Assumption!$E$27 + R20*Assumption!$F$27</f>
        <v>16.28</v>
      </c>
      <c r="T20" cm="1">
        <f t="array" aca="1" ref="T20" ca="1">_xlfn.PERCENTRANK.EXC(_xlfn._xlws.FILTER(S$4:S$24, ISNUMBER(S$4:S$24)),S20)*100</f>
        <v>4.5</v>
      </c>
      <c r="AB20" t="s">
        <v>898</v>
      </c>
      <c r="AC20" t="s">
        <v>900</v>
      </c>
      <c r="AE20">
        <v>75</v>
      </c>
    </row>
    <row r="21" spans="1:31" x14ac:dyDescent="0.35">
      <c r="A21" t="s">
        <v>25</v>
      </c>
      <c r="B21" t="s">
        <v>446</v>
      </c>
      <c r="C21" t="s">
        <v>25</v>
      </c>
      <c r="D21" t="s">
        <v>762</v>
      </c>
      <c r="E21">
        <v>54.9</v>
      </c>
      <c r="F21">
        <v>3.1</v>
      </c>
      <c r="G21" t="s">
        <v>105</v>
      </c>
      <c r="H21" s="116" t="s">
        <v>774</v>
      </c>
      <c r="I21" s="117" t="s">
        <v>727</v>
      </c>
      <c r="J21" s="118" t="s">
        <v>446</v>
      </c>
      <c r="K21" s="118" t="s">
        <v>25</v>
      </c>
      <c r="L21" t="s">
        <v>762</v>
      </c>
      <c r="M21" cm="1">
        <f t="array" ref="M21">IF(_xll.FDSRC(,"DUMMY","ECON_EXPR_DATA('FDS_ECON["&amp;H21&amp;"]',,,M)")=0,$J$28,_xll.FDSRC(,"DUMMY","ECON_EXPR_DATA('FDS_ECON["&amp;H21&amp;"]',,,M)"))</f>
        <v>49.324950000000001</v>
      </c>
      <c r="N21" cm="1">
        <f t="array" aca="1" ref="N21" ca="1">_xll.FDSRC("-","DUMMY","ECON_EXPR_DATA('FDS_ECON["&amp;H21&amp;"]',"&amp;$N$3&amp;",,Q)")</f>
        <v>49.822453000000003</v>
      </c>
      <c r="O21" cm="1">
        <f t="array" aca="1" ref="O21" ca="1">_xll.FDSRC("-","DUMMY","ECON_EXPR_DATA('FDS_ECON["&amp;H21&amp;"]',"&amp;$O$3&amp;",,Q)")</f>
        <v>47.664864000000001</v>
      </c>
      <c r="P21">
        <f t="shared" ca="1" si="0"/>
        <v>2.1575890000000015</v>
      </c>
      <c r="Q21" cm="1">
        <f t="array" ref="Q21">_xlfn.PERCENTRANK.EXC(_xlfn._xlws.FILTER(M$4:M$24, ISNUMBER(M$4:M$24)),M21)*100</f>
        <v>18.099999999999998</v>
      </c>
      <c r="R21" cm="1">
        <f t="array" aca="1" ref="R21" ca="1">_xlfn.PERCENTRANK.EXC(_xlfn._xlws.FILTER(P$4:P$24, ISNUMBER(P$4:P$24)),P21)*100</f>
        <v>86.3</v>
      </c>
      <c r="S21">
        <f ca="1">Q21*Assumption!$E$27 + R21*Assumption!$F$27</f>
        <v>45.38</v>
      </c>
      <c r="T21" cm="1">
        <f t="array" aca="1" ref="T21" ca="1">_xlfn.PERCENTRANK.EXC(_xlfn._xlws.FILTER(S$4:S$24, ISNUMBER(S$4:S$24)),S21)*100</f>
        <v>45.4</v>
      </c>
      <c r="AB21" t="s">
        <v>901</v>
      </c>
      <c r="AC21" t="s">
        <v>899</v>
      </c>
      <c r="AE21">
        <v>50</v>
      </c>
    </row>
    <row r="22" spans="1:31" x14ac:dyDescent="0.35">
      <c r="A22" t="s">
        <v>34</v>
      </c>
      <c r="B22" t="s">
        <v>447</v>
      </c>
      <c r="C22" t="s">
        <v>34</v>
      </c>
      <c r="D22" t="s">
        <v>762</v>
      </c>
      <c r="E22">
        <v>62.7</v>
      </c>
      <c r="F22">
        <v>3.8</v>
      </c>
      <c r="G22" t="s">
        <v>123</v>
      </c>
      <c r="H22" s="116" t="s">
        <v>783</v>
      </c>
      <c r="I22" s="117" t="s">
        <v>34</v>
      </c>
      <c r="J22" s="118" t="s">
        <v>447</v>
      </c>
      <c r="K22" s="118" t="s">
        <v>34</v>
      </c>
      <c r="L22" t="s">
        <v>762</v>
      </c>
      <c r="M22" cm="1">
        <f t="array" ref="M22">IF(_xll.FDSRC(,"DUMMY","ECON_EXPR_DATA('FDS_ECON["&amp;H22&amp;"]',,,M)")=0,$J$28,_xll.FDSRC(,"DUMMY","ECON_EXPR_DATA('FDS_ECON["&amp;H22&amp;"]',,,M)"))</f>
        <v>51.990540000000003</v>
      </c>
      <c r="N22" t="str" cm="1">
        <f t="array" aca="1" ref="N22" ca="1">_xll.FDSRC("-","DUMMY","ECON_EXPR_DATA('FDS_ECON["&amp;H22&amp;"]',"&amp;$N$3&amp;",,Q)")</f>
        <v>-</v>
      </c>
      <c r="O22" t="str" cm="1">
        <f t="array" aca="1" ref="O22" ca="1">_xll.FDSRC("-","DUMMY","ECON_EXPR_DATA('FDS_ECON["&amp;H22&amp;"]',"&amp;$O$3&amp;",,Q)")</f>
        <v>-</v>
      </c>
      <c r="P22">
        <f t="shared" ca="1" si="0"/>
        <v>0.88645700000000005</v>
      </c>
      <c r="Q22" cm="1">
        <f t="array" ref="Q22">_xlfn.PERCENTRANK.EXC(_xlfn._xlws.FILTER(M$4:M$24, ISNUMBER(M$4:M$24)),M22)*100</f>
        <v>54.500000000000007</v>
      </c>
      <c r="R22" cm="1">
        <f t="array" aca="1" ref="R22" ca="1">_xlfn.PERCENTRANK.EXC(_xlfn._xlws.FILTER(P$4:P$24, ISNUMBER(P$4:P$24)),P22)*100</f>
        <v>50</v>
      </c>
      <c r="S22">
        <f ca="1">Q22*Assumption!$E$27 + R22*Assumption!$F$27</f>
        <v>52.7</v>
      </c>
      <c r="T22" cm="1">
        <f t="array" aca="1" ref="T22" ca="1">_xlfn.PERCENTRANK.EXC(_xlfn._xlws.FILTER(S$4:S$24, ISNUMBER(S$4:S$24)),S22)*100</f>
        <v>63.6</v>
      </c>
      <c r="AB22" t="s">
        <v>901</v>
      </c>
      <c r="AC22" t="s">
        <v>900</v>
      </c>
      <c r="AE22">
        <v>25</v>
      </c>
    </row>
    <row r="23" spans="1:31" x14ac:dyDescent="0.35">
      <c r="A23" t="s">
        <v>37</v>
      </c>
      <c r="B23" t="s">
        <v>448</v>
      </c>
      <c r="C23" t="s">
        <v>37</v>
      </c>
      <c r="D23" t="s">
        <v>762</v>
      </c>
      <c r="E23">
        <v>54.9</v>
      </c>
      <c r="F23">
        <v>3.1</v>
      </c>
      <c r="G23" t="s">
        <v>126</v>
      </c>
      <c r="H23" s="116" t="s">
        <v>771</v>
      </c>
      <c r="I23" s="117" t="s">
        <v>736</v>
      </c>
      <c r="J23" s="118" t="s">
        <v>448</v>
      </c>
      <c r="K23" s="118" t="s">
        <v>37</v>
      </c>
      <c r="L23" t="s">
        <v>762</v>
      </c>
      <c r="M23" cm="1">
        <f t="array" ref="M23">IF(_xll.FDSRC(,"DUMMY","ECON_EXPR_DATA('FDS_ECON["&amp;H23&amp;"]',,,M)")=0,$J$28,_xll.FDSRC(,"DUMMY","ECON_EXPR_DATA('FDS_ECON["&amp;H23&amp;"]',,,M)"))</f>
        <v>50.335735</v>
      </c>
      <c r="N23" cm="1">
        <f t="array" aca="1" ref="N23" ca="1">_xll.FDSRC("-","DUMMY","ECON_EXPR_DATA('FDS_ECON["&amp;H23&amp;"]',"&amp;$N$3&amp;",,Q)")</f>
        <v>50.18627</v>
      </c>
      <c r="O23" cm="1">
        <f t="array" aca="1" ref="O23" ca="1">_xll.FDSRC("-","DUMMY","ECON_EXPR_DATA('FDS_ECON["&amp;H23&amp;"]',"&amp;$O$3&amp;",,Q)")</f>
        <v>48.597430000000003</v>
      </c>
      <c r="P23">
        <f t="shared" ca="1" si="0"/>
        <v>1.5888399999999976</v>
      </c>
      <c r="Q23" cm="1">
        <f t="array" ref="Q23">_xlfn.PERCENTRANK.EXC(_xlfn._xlws.FILTER(M$4:M$24, ISNUMBER(M$4:M$24)),M23)*100</f>
        <v>36.299999999999997</v>
      </c>
      <c r="R23" cm="1">
        <f t="array" aca="1" ref="R23" ca="1">_xlfn.PERCENTRANK.EXC(_xlfn._xlws.FILTER(P$4:P$24, ISNUMBER(P$4:P$24)),P23)*100</f>
        <v>77.2</v>
      </c>
      <c r="S23">
        <f ca="1">Q23*Assumption!$E$27 + R23*Assumption!$F$27</f>
        <v>52.66</v>
      </c>
      <c r="T23" cm="1">
        <f t="array" aca="1" ref="T23" ca="1">_xlfn.PERCENTRANK.EXC(_xlfn._xlws.FILTER(S$4:S$24, ISNUMBER(S$4:S$24)),S23)*100</f>
        <v>59</v>
      </c>
    </row>
    <row r="24" spans="1:31" x14ac:dyDescent="0.35">
      <c r="A24" t="s">
        <v>36</v>
      </c>
      <c r="B24" t="s">
        <v>449</v>
      </c>
      <c r="C24" t="s">
        <v>36</v>
      </c>
      <c r="D24" t="s">
        <v>762</v>
      </c>
      <c r="E24">
        <v>64.400000000000006</v>
      </c>
      <c r="F24">
        <v>0.8</v>
      </c>
      <c r="G24" t="s">
        <v>125</v>
      </c>
      <c r="H24" s="116" t="s">
        <v>794</v>
      </c>
      <c r="I24" s="117" t="s">
        <v>706</v>
      </c>
      <c r="J24" s="118" t="s">
        <v>449</v>
      </c>
      <c r="K24" s="118" t="s">
        <v>36</v>
      </c>
      <c r="L24" t="s">
        <v>762</v>
      </c>
      <c r="M24" cm="1">
        <f t="array" ref="M24">IF(_xll.FDSRC(,"DUMMY","ECON_EXPR_DATA('FDS_ECON["&amp;H24&amp;"]',,,M)")=0,$J$28,_xll.FDSRC(,"DUMMY","ECON_EXPR_DATA('FDS_ECON["&amp;H24&amp;"]',,,M)"))</f>
        <v>57.003929999999997</v>
      </c>
      <c r="N24" cm="1">
        <f t="array" aca="1" ref="N24" ca="1">_xll.FDSRC("-","DUMMY","ECON_EXPR_DATA('FDS_ECON["&amp;H24&amp;"]',"&amp;$N$3&amp;",,Q)")</f>
        <v>56.53707</v>
      </c>
      <c r="O24" cm="1">
        <f t="array" aca="1" ref="O24" ca="1">_xll.FDSRC("-","DUMMY","ECON_EXPR_DATA('FDS_ECON["&amp;H24&amp;"]',"&amp;$O$3&amp;",,Q)")</f>
        <v>57.793106000000002</v>
      </c>
      <c r="P24">
        <f t="shared" ca="1" si="0"/>
        <v>-1.2560360000000017</v>
      </c>
      <c r="Q24" cm="1">
        <f t="array" ref="Q24">_xlfn.PERCENTRANK.EXC(_xlfn._xlws.FILTER(M$4:M$24, ISNUMBER(M$4:M$24)),M24)*100</f>
        <v>90.9</v>
      </c>
      <c r="R24" cm="1">
        <f t="array" aca="1" ref="R24" ca="1">_xlfn.PERCENTRANK.EXC(_xlfn._xlws.FILTER(P$4:P$24, ISNUMBER(P$4:P$24)),P24)*100</f>
        <v>9</v>
      </c>
      <c r="S24">
        <f ca="1">Q24*Assumption!$E$27 + R24*Assumption!$F$27</f>
        <v>58.14</v>
      </c>
      <c r="T24" cm="1">
        <f t="array" aca="1" ref="T24" ca="1">_xlfn.PERCENTRANK.EXC(_xlfn._xlws.FILTER(S$4:S$24, ISNUMBER(S$4:S$24)),S24)*100</f>
        <v>77.2</v>
      </c>
    </row>
    <row r="26" spans="1:31" x14ac:dyDescent="0.35">
      <c r="K26" t="str" cm="1">
        <f t="array" aca="1" ref="K26" ca="1">_xll.FDSRC("-","DUMMY","ECON_DATE("&amp;$L$1&amp;",,, 'MM/YYYY')")</f>
        <v>04/2024</v>
      </c>
      <c r="L26" t="str" cm="1">
        <f t="array" aca="1" ref="L26" ca="1">_xll.FDSRC("-","DUMMY","ECON_DATE("&amp;$L$2&amp;",,, 'MM/YYYY')")</f>
        <v>01/2024</v>
      </c>
      <c r="M26" t="s">
        <v>797</v>
      </c>
    </row>
    <row r="27" spans="1:31" x14ac:dyDescent="0.35">
      <c r="H27" s="116" t="s">
        <v>775</v>
      </c>
      <c r="I27" s="116" t="s">
        <v>776</v>
      </c>
      <c r="J27" cm="1">
        <f t="array" ref="J27">_xll.FDSRC("-","DUMMY","ECON_EXPR_DATA('FDS_ECON["&amp;H27&amp;"]',,,M)")</f>
        <v>48.596449999999997</v>
      </c>
      <c r="K27" cm="1">
        <f t="array" aca="1" ref="K27" ca="1">_xll.FDSRC("-","DUMMY","ECON_EXPR_DATA('FDS_ECON["&amp;H27&amp;"]',"&amp;$K$26&amp;",,Q)")</f>
        <v>49.135330000000003</v>
      </c>
      <c r="L27" cm="1">
        <f t="array" aca="1" ref="L27" ca="1">_xll.FDSRC("-","DUMMY","ECON_EXPR_DATA('FDS_ECON["&amp;H27&amp;"]',"&amp;$L$26&amp;",,Q)")</f>
        <v>47.377974999999999</v>
      </c>
      <c r="M27">
        <f ca="1">K27-L27</f>
        <v>1.757355000000004</v>
      </c>
    </row>
    <row r="28" spans="1:31" x14ac:dyDescent="0.35">
      <c r="H28" s="116" t="s">
        <v>777</v>
      </c>
      <c r="I28" s="116" t="s">
        <v>778</v>
      </c>
      <c r="J28" cm="1">
        <f t="array" ref="J28">_xll.FDSRC("-","DUMMY","ECON_EXPR_DATA('FDS_ECON["&amp;H28&amp;"]',,,M)")</f>
        <v>51.990540000000003</v>
      </c>
      <c r="K28" cm="1">
        <f t="array" aca="1" ref="K28" ca="1">_xll.FDSRC("-","DUMMY","ECON_EXPR_DATA('FDS_ECON["&amp;H28&amp;"]',"&amp;$K$26&amp;",,Q)")</f>
        <v>51.510579999999997</v>
      </c>
      <c r="L28" cm="1">
        <f t="array" aca="1" ref="L28" ca="1">_xll.FDSRC("-","DUMMY","ECON_EXPR_DATA('FDS_ECON["&amp;H28&amp;"]',"&amp;$L$26&amp;",,Q)")</f>
        <v>50.624122999999997</v>
      </c>
      <c r="M28">
        <f ca="1">K28-L28</f>
        <v>0.88645700000000005</v>
      </c>
    </row>
  </sheetData>
  <hyperlinks>
    <hyperlink ref="H15" r:id="rId1" xr:uid="{6D396D60-C22A-444B-AC80-A6C82D2B9EAD}"/>
    <hyperlink ref="H24" r:id="rId2" xr:uid="{9A9BD8AA-4007-4F97-AC85-D0B6E1F2465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33"/>
  <sheetViews>
    <sheetView workbookViewId="0">
      <selection activeCell="J15" sqref="J15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753</v>
      </c>
      <c r="B1" t="s">
        <v>530</v>
      </c>
      <c r="C1" t="s">
        <v>846</v>
      </c>
      <c r="D1" t="s">
        <v>883</v>
      </c>
      <c r="E1" t="s">
        <v>574</v>
      </c>
      <c r="F1" t="s">
        <v>884</v>
      </c>
      <c r="G1" t="s">
        <v>885</v>
      </c>
    </row>
    <row r="2" spans="1:7" x14ac:dyDescent="0.35">
      <c r="A2" t="s">
        <v>177</v>
      </c>
      <c r="B2" t="s">
        <v>435</v>
      </c>
      <c r="C2" t="s">
        <v>432</v>
      </c>
      <c r="D2" s="158" cm="1">
        <f t="array" ref="D2">_xll.FDS(C2,"FREF_MARKET_VALUE_COMPANY(0,,,USD,,0,,""LEGACY"")")</f>
        <v>289.15249999999997</v>
      </c>
      <c r="E2" t="s">
        <v>615</v>
      </c>
      <c r="F2" t="str">
        <f>_xlfn.CONCAT("FC0000",RIGHT(A2,2))</f>
        <v>FC0000CN</v>
      </c>
      <c r="G2" s="153" cm="1">
        <f t="array" ref="G2">_xll.FDSZ(F2,"FMA_MCAP(0,,,USD,""PORTAGG"")")</f>
        <v>7678675</v>
      </c>
    </row>
    <row r="3" spans="1:7" x14ac:dyDescent="0.35">
      <c r="A3" t="s">
        <v>294</v>
      </c>
      <c r="B3" t="s">
        <v>436</v>
      </c>
      <c r="C3" t="s">
        <v>27</v>
      </c>
      <c r="D3" s="158" cm="1">
        <f t="array" ref="D3">_xll.FDS(C3,"FREF_MARKET_VALUE_COMPANY(0,,,USD,,0,,""LEGACY"")")</f>
        <v>625.38099999999997</v>
      </c>
      <c r="E3" t="s">
        <v>614</v>
      </c>
      <c r="F3" t="str">
        <f t="shared" ref="F3:F17" si="0">_xlfn.CONCAT("FC0000",RIGHT(A3,2))</f>
        <v>FC0000CL</v>
      </c>
      <c r="G3" s="153" cm="1">
        <f t="array" ref="G3">_xll.FDSZ(F3,"FMA_MCAP(0,,,USD,""PORTAGG"")")</f>
        <v>152863.9</v>
      </c>
    </row>
    <row r="4" spans="1:7" x14ac:dyDescent="0.35">
      <c r="A4" t="s">
        <v>187</v>
      </c>
      <c r="B4" t="s">
        <v>437</v>
      </c>
      <c r="C4" t="s">
        <v>35</v>
      </c>
      <c r="D4" s="158" cm="1">
        <f t="array" ref="D4">_xll.FDS(C4,"FREF_MARKET_VALUE_COMPANY(0,,,USD,,0,,""LEGACY"")")</f>
        <v>401.88</v>
      </c>
      <c r="E4" t="s">
        <v>651</v>
      </c>
      <c r="F4" t="str">
        <f t="shared" si="0"/>
        <v>FC0000ID</v>
      </c>
      <c r="G4" s="153" cm="1">
        <f t="array" ref="G4">_xll.FDSZ(F4,"FMA_MCAP(0,,,USD,""PORTAGG"")")</f>
        <v>677971.3</v>
      </c>
    </row>
    <row r="5" spans="1:7" x14ac:dyDescent="0.35">
      <c r="A5" t="s">
        <v>205</v>
      </c>
      <c r="B5" t="s">
        <v>438</v>
      </c>
      <c r="C5" t="s">
        <v>30</v>
      </c>
      <c r="D5" s="158" cm="1">
        <f t="array" ref="D5">_xll.FDS(C5,"FREF_MARKET_VALUE_COMPANY(0,,,USD,,0,,""LEGACY"")")</f>
        <v>110.664</v>
      </c>
      <c r="E5" t="s">
        <v>699</v>
      </c>
      <c r="F5" t="str">
        <f t="shared" si="0"/>
        <v>FC0000PH</v>
      </c>
      <c r="G5" s="153" cm="1">
        <f t="array" ref="G5">_xll.FDSZ(F5,"FMA_MCAP(0,,,USD,""PORTAGG"")")</f>
        <v>207000.22</v>
      </c>
    </row>
    <row r="6" spans="1:7" x14ac:dyDescent="0.35">
      <c r="A6" t="s">
        <v>257</v>
      </c>
      <c r="B6" t="s">
        <v>439</v>
      </c>
      <c r="C6" t="s">
        <v>23</v>
      </c>
      <c r="D6" s="158" cm="1">
        <f t="array" ref="D6">_xll.FDS(C6,"FREF_MARKET_VALUE_COMPANY(0,,,USD,,0,,""LEGACY"")")</f>
        <v>345.072</v>
      </c>
      <c r="E6" t="s">
        <v>700</v>
      </c>
      <c r="F6" t="str">
        <f t="shared" si="0"/>
        <v>FC0000PL</v>
      </c>
      <c r="G6" s="153" cm="1">
        <f t="array" ref="G6">_xll.FDSZ(F6,"FMA_MCAP(0,,,USD,""PORTAGG"")")</f>
        <v>213421.28</v>
      </c>
    </row>
    <row r="7" spans="1:7" x14ac:dyDescent="0.35">
      <c r="A7" t="s">
        <v>304</v>
      </c>
      <c r="B7" t="s">
        <v>440</v>
      </c>
      <c r="C7" t="s">
        <v>29</v>
      </c>
      <c r="D7" s="158" cm="1">
        <f t="array" ref="D7">_xll.FDS(C7,"FREF_MARKET_VALUE_COMPANY(0,,,USD,,0,,""LEGACY"")")</f>
        <v>123.9315</v>
      </c>
      <c r="E7" t="s">
        <v>698</v>
      </c>
      <c r="F7" t="str">
        <f t="shared" si="0"/>
        <v>FC0000PE</v>
      </c>
      <c r="G7" s="153" cm="1">
        <f t="array" ref="G7">_xll.FDSZ(F7,"FMA_MCAP(0,,,USD,""PORTAGG"")")</f>
        <v>38030.86</v>
      </c>
    </row>
    <row r="8" spans="1:7" x14ac:dyDescent="0.35">
      <c r="A8" t="s">
        <v>194</v>
      </c>
      <c r="B8" t="s">
        <v>441</v>
      </c>
      <c r="C8" t="s">
        <v>33</v>
      </c>
      <c r="D8" s="158" cm="1">
        <f t="array" ref="D8">_xll.FDS(C8,"FREF_MARKET_VALUE_COMPANY(0,,,USD,,0,,""LEGACY"")")</f>
        <v>276.42149999999998</v>
      </c>
      <c r="E8" t="s">
        <v>673</v>
      </c>
      <c r="F8" t="str">
        <f t="shared" si="0"/>
        <v>FC0000MY</v>
      </c>
      <c r="G8" s="153" cm="1">
        <f t="array" ref="G8">_xll.FDSZ(F8,"FMA_MCAP(0,,,USD,""PORTAGG"")")</f>
        <v>403622.03</v>
      </c>
    </row>
    <row r="9" spans="1:7" x14ac:dyDescent="0.35">
      <c r="A9" t="s">
        <v>217</v>
      </c>
      <c r="B9" t="s">
        <v>40</v>
      </c>
      <c r="C9" t="s">
        <v>24</v>
      </c>
      <c r="D9" s="158" cm="1">
        <f t="array" ref="D9">_xll.FDS(C9,"FREF_MARKET_VALUE_COMPANY(0,,,USD,,0,,""LEGACY"")")</f>
        <v>4950.88</v>
      </c>
      <c r="E9" t="s">
        <v>720</v>
      </c>
      <c r="F9" t="str">
        <f t="shared" si="0"/>
        <v>FC0000TW</v>
      </c>
      <c r="G9" s="153" cm="1">
        <f t="array" ref="G9">_xll.FDSZ(F9,"FMA_MCAP(0,,,USD,""PORTAGG"")")</f>
        <v>2315017</v>
      </c>
    </row>
    <row r="10" spans="1:7" x14ac:dyDescent="0.35">
      <c r="A10" t="s">
        <v>301</v>
      </c>
      <c r="B10" t="s">
        <v>53</v>
      </c>
      <c r="C10" t="s">
        <v>7</v>
      </c>
      <c r="D10" s="158" cm="1">
        <f t="array" ref="D10">_xll.FDS(C10,"FREF_MARKET_VALUE_COMPANY(0,,,USD,,0,,""LEGACY"")")</f>
        <v>2054.232</v>
      </c>
      <c r="E10" t="s">
        <v>678</v>
      </c>
      <c r="F10" t="str">
        <f t="shared" si="0"/>
        <v>FC0000MX</v>
      </c>
      <c r="G10" s="153" cm="1">
        <f t="array" ref="G10">_xll.FDSZ(F10,"FMA_MCAP(0,,,USD,""PORTAGG"")")</f>
        <v>527432.5</v>
      </c>
    </row>
    <row r="11" spans="1:7" x14ac:dyDescent="0.35">
      <c r="A11" t="s">
        <v>210</v>
      </c>
      <c r="B11" t="s">
        <v>38</v>
      </c>
      <c r="C11" t="s">
        <v>21</v>
      </c>
      <c r="D11" s="158" cm="1">
        <f t="array" ref="D11">_xll.FDS(C11,"FREF_MARKET_VALUE_COMPANY(0,,,USD,,0,,""LEGACY"")")</f>
        <v>5429.8</v>
      </c>
      <c r="E11" t="s">
        <v>660</v>
      </c>
      <c r="F11" t="str">
        <f t="shared" si="0"/>
        <v>FC0000KR</v>
      </c>
      <c r="G11" s="153" cm="1">
        <f t="array" ref="G11">_xll.FDSZ(F11,"FMA_MCAP(0,,,USD,""PORTAGG"")")</f>
        <v>1897331.5</v>
      </c>
    </row>
    <row r="12" spans="1:7" x14ac:dyDescent="0.35">
      <c r="A12" t="s">
        <v>291</v>
      </c>
      <c r="B12" t="s">
        <v>54</v>
      </c>
      <c r="C12" t="s">
        <v>12</v>
      </c>
      <c r="D12" s="158" cm="1">
        <f t="array" ref="D12">_xll.FDS(C12,"FREF_MARKET_VALUE_COMPANY(0,,,USD,,0,,""LEGACY"")")</f>
        <v>4812.0119999999997</v>
      </c>
      <c r="E12" t="s">
        <v>603</v>
      </c>
      <c r="F12" t="str">
        <f t="shared" si="0"/>
        <v>FC0000BR</v>
      </c>
      <c r="G12" s="153" cm="1">
        <f t="array" ref="G12">_xll.FDSZ(F12,"FMA_MCAP(0,,,USD,""PORTAGG"")")</f>
        <v>718581.25</v>
      </c>
    </row>
    <row r="13" spans="1:7" x14ac:dyDescent="0.35">
      <c r="A13" t="s">
        <v>366</v>
      </c>
      <c r="B13" t="s">
        <v>442</v>
      </c>
      <c r="C13" t="s">
        <v>22</v>
      </c>
      <c r="D13" s="158" cm="1">
        <f t="array" ref="D13">_xll.FDS(C13,"FREF_MARKET_VALUE_COMPANY(0,,,USD,,0,,""LEGACY"")")</f>
        <v>267.75</v>
      </c>
      <c r="E13" t="s">
        <v>713</v>
      </c>
      <c r="F13" t="str">
        <f t="shared" si="0"/>
        <v>FC0000ZA</v>
      </c>
      <c r="G13" s="153" cm="1">
        <f t="array" ref="G13">_xll.FDSZ(F13,"FMA_MCAP(0,,,USD,""PORTAGG"")")</f>
        <v>317343.2</v>
      </c>
    </row>
    <row r="14" spans="1:7" x14ac:dyDescent="0.35">
      <c r="A14" t="s">
        <v>498</v>
      </c>
      <c r="B14" t="s">
        <v>443</v>
      </c>
      <c r="C14" t="s">
        <v>28</v>
      </c>
      <c r="D14" s="158" cm="1">
        <f t="array" ref="D14">_xll.FDS(C14,"FREF_MARKET_VALUE_COMPANY(0,,,USD,,0,,""LEGACY"")")</f>
        <v>204.03743843999999</v>
      </c>
      <c r="E14" t="s">
        <v>640</v>
      </c>
      <c r="F14" t="str">
        <f t="shared" si="0"/>
        <v>FC0000GR</v>
      </c>
      <c r="G14" s="153" cm="1">
        <f t="array" ref="G14">_xll.FDSZ(F14,"FMA_MCAP(0,,,USD,""PORTAGG"")")</f>
        <v>84981.35</v>
      </c>
    </row>
    <row r="15" spans="1:7" x14ac:dyDescent="0.35">
      <c r="A15" t="s">
        <v>184</v>
      </c>
      <c r="B15" t="s">
        <v>52</v>
      </c>
      <c r="C15" t="s">
        <v>32</v>
      </c>
      <c r="D15" s="158" cm="1">
        <f t="array" ref="D15">_xll.FDS(C15,"FREF_MARKET_VALUE_COMPANY(0,,,USD,,0,,""LEGACY"")")</f>
        <v>10323.4485</v>
      </c>
      <c r="E15" t="s">
        <v>650</v>
      </c>
      <c r="F15" t="str">
        <f t="shared" si="0"/>
        <v>FC0000IN</v>
      </c>
      <c r="G15" s="153" cm="1">
        <f t="array" ref="G15">_xll.FDSZ(F15,"FMA_MCAP(0,,,USD,""PORTAGG"")")</f>
        <v>4966062</v>
      </c>
    </row>
    <row r="16" spans="1:7" x14ac:dyDescent="0.35">
      <c r="A16" t="s">
        <v>177</v>
      </c>
      <c r="B16" t="s">
        <v>41</v>
      </c>
      <c r="C16" t="s">
        <v>26</v>
      </c>
      <c r="D16" s="158" cm="1">
        <f t="array" ref="D16">_xll.FDS(C16,"FREF_MARKET_VALUE_COMPANY(0,,,USD,,0,,""LEGACY"")")</f>
        <v>5802.44</v>
      </c>
      <c r="E16" t="s">
        <v>615</v>
      </c>
      <c r="F16" t="str">
        <f t="shared" si="0"/>
        <v>FC0000CN</v>
      </c>
      <c r="G16" s="153" cm="1">
        <f t="array" ref="G16">_xll.FDSZ(F16,"FMA_MCAP(0,,,USD,""PORTAGG"")")</f>
        <v>7678675</v>
      </c>
    </row>
    <row r="17" spans="1:7" x14ac:dyDescent="0.35">
      <c r="A17" t="s">
        <v>360</v>
      </c>
      <c r="B17" t="s">
        <v>444</v>
      </c>
      <c r="C17" t="s">
        <v>31</v>
      </c>
      <c r="D17" s="158" cm="1">
        <f t="array" ref="D17">_xll.FDS(C17,"FREF_MARKET_VALUE_COMPANY(0,,,USD,,0,,""LEGACY"")")</f>
        <v>77.122500000000002</v>
      </c>
      <c r="E17" t="s">
        <v>702</v>
      </c>
      <c r="F17" t="str">
        <f t="shared" si="0"/>
        <v>FC0000QA</v>
      </c>
      <c r="G17" s="153" cm="1">
        <f t="array" ref="G17">_xll.FDSZ(F17,"FMA_MCAP(0,,,USD,""PORTAGG"")")</f>
        <v>151261.67000000001</v>
      </c>
    </row>
    <row r="18" spans="1:7" x14ac:dyDescent="0.35">
      <c r="A18" t="s">
        <v>221</v>
      </c>
      <c r="B18" t="s">
        <v>758</v>
      </c>
      <c r="C18" t="s">
        <v>757</v>
      </c>
      <c r="D18" s="158" cm="1">
        <f t="array" ref="D18">_xll.FDS(C18,"FG_MCAP_IDX(0,,,USD)")</f>
        <v>462556.19828656799</v>
      </c>
      <c r="E18" t="s">
        <v>723</v>
      </c>
      <c r="F18" t="s">
        <v>757</v>
      </c>
      <c r="G18" s="153" cm="1">
        <f t="array" ref="G18">_xll.FDSZ(F18,"FMA_MCAP(0,,,USD,""PORTAGG"")")</f>
        <v>462556.19828656799</v>
      </c>
    </row>
    <row r="19" spans="1:7" x14ac:dyDescent="0.35">
      <c r="A19" t="s">
        <v>279</v>
      </c>
      <c r="B19" t="s">
        <v>446</v>
      </c>
      <c r="C19" t="s">
        <v>25</v>
      </c>
      <c r="D19" s="158" cm="1">
        <f t="array" ref="D19">_xll.FDS(C19,"FREF_MARKET_VALUE_COMPANY(0,,,USD,,0,,""LEGACY"")")</f>
        <v>256.41399999999999</v>
      </c>
      <c r="E19" t="s">
        <v>727</v>
      </c>
      <c r="F19" t="str">
        <f t="shared" ref="F19:F20" si="1">_xlfn.CONCAT("FC0000",RIGHT(A19,2))</f>
        <v>FC0000TR</v>
      </c>
      <c r="G19" s="153" cm="1">
        <f t="array" ref="G19">_xll.FDSZ(F19,"FMA_MCAP(0,,,USD,""PORTAGG"")")</f>
        <v>433880.8</v>
      </c>
    </row>
    <row r="20" spans="1:7" x14ac:dyDescent="0.35">
      <c r="A20" t="s">
        <v>373</v>
      </c>
      <c r="B20" t="s">
        <v>447</v>
      </c>
      <c r="C20" t="s">
        <v>34</v>
      </c>
      <c r="D20" s="158" cm="1">
        <f t="array" ref="D20">_xll.FDS(C20,"FREF_MARKET_VALUE_COMPANY(0,,,USD,,0,,""LEGACY"")")</f>
        <v>37.799999999999997</v>
      </c>
      <c r="E20" t="s">
        <v>731</v>
      </c>
      <c r="F20" t="str">
        <f t="shared" si="1"/>
        <v>FC0000AE</v>
      </c>
      <c r="G20" s="153" cm="1">
        <f t="array" ref="G20">_xll.FDSZ(F20,"FMA_MCAP(0,,,USD,""PORTAGG"")")</f>
        <v>845751.25</v>
      </c>
    </row>
    <row r="21" spans="1:7" x14ac:dyDescent="0.35">
      <c r="A21" t="s">
        <v>224</v>
      </c>
      <c r="B21" t="s">
        <v>448</v>
      </c>
      <c r="C21" t="s">
        <v>37</v>
      </c>
      <c r="D21" s="158" cm="1">
        <f t="array" ref="D21">_xll.FDS(C21,"FREF_MARKET_VALUE_COMPANY(0,,,USD,,0,,""LEGACY"")")</f>
        <v>522.58799999999997</v>
      </c>
      <c r="E21" t="s">
        <v>736</v>
      </c>
      <c r="F21" t="s">
        <v>881</v>
      </c>
      <c r="G21" s="153" cm="1">
        <f t="array" ref="G21">_xll.FDSZ(F21,"FMA_MCAP(0,,,USD,""PORTAGG"")")</f>
        <v>24179.748737999998</v>
      </c>
    </row>
    <row r="22" spans="1:7" x14ac:dyDescent="0.35">
      <c r="A22" t="s">
        <v>363</v>
      </c>
      <c r="B22" t="s">
        <v>449</v>
      </c>
      <c r="C22" t="s">
        <v>36</v>
      </c>
      <c r="D22" s="158" cm="1">
        <f t="array" ref="D22">_xll.FDS(C22,"FREF_MARKET_VALUE_COMPANY(0,,,USD,,0,,""LEGACY"")")</f>
        <v>771.18799999999999</v>
      </c>
      <c r="E22" t="s">
        <v>706</v>
      </c>
      <c r="F22" t="str">
        <f t="shared" ref="F22:F31" si="2">_xlfn.CONCAT("FC0000",RIGHT(A22,2))</f>
        <v>FC0000SA</v>
      </c>
      <c r="G22" s="153" cm="1">
        <f t="array" ref="G22">_xll.FDSZ(F22,"FMA_MCAP(0,,,USD,""PORTAGG"")")</f>
        <v>2840998.5</v>
      </c>
    </row>
    <row r="23" spans="1:7" x14ac:dyDescent="0.35">
      <c r="A23" t="s">
        <v>198</v>
      </c>
      <c r="B23" t="s">
        <v>450</v>
      </c>
      <c r="C23" t="s">
        <v>433</v>
      </c>
      <c r="D23" s="158" cm="1">
        <f t="array" ref="D23">_xll.FDS(C23,"FREF_MARKET_VALUE_COMPANY(0,,,USD,,0,,""LEGACY"")")</f>
        <v>83.509</v>
      </c>
      <c r="E23" t="s">
        <v>687</v>
      </c>
      <c r="F23" t="str">
        <f t="shared" si="2"/>
        <v>FC0000NZ</v>
      </c>
      <c r="G23" s="153" cm="1">
        <f t="array" ref="G23">_xll.FDSZ(F23,"FMA_MCAP(0,,,USD,""PORTAGG"")")</f>
        <v>91706.85</v>
      </c>
    </row>
    <row r="24" spans="1:7" x14ac:dyDescent="0.35">
      <c r="A24" t="s">
        <v>174</v>
      </c>
      <c r="B24" t="s">
        <v>45</v>
      </c>
      <c r="C24" t="s">
        <v>44</v>
      </c>
      <c r="D24" s="158" cm="1">
        <f t="array" ref="D24">_xll.FDS(C24,"FREF_MARKET_VALUE_COMPANY(0,,,USD,,0,,""LEGACY"")")</f>
        <v>1724.8</v>
      </c>
      <c r="E24" t="s">
        <v>589</v>
      </c>
      <c r="F24" t="str">
        <f t="shared" si="2"/>
        <v>FC0000AU</v>
      </c>
      <c r="G24" s="153" cm="1">
        <f t="array" ref="G24">_xll.FDSZ(F24,"FMA_MCAP(0,,,USD,""PORTAGG"")")</f>
        <v>1703570.8</v>
      </c>
    </row>
    <row r="25" spans="1:7" x14ac:dyDescent="0.35">
      <c r="A25" t="s">
        <v>157</v>
      </c>
      <c r="B25" t="s">
        <v>50</v>
      </c>
      <c r="C25" t="s">
        <v>49</v>
      </c>
      <c r="D25" s="158" cm="1">
        <f t="array" ref="D25">_xll.FDS(C25,"FREF_MARKET_VALUE_COMPANY(0,,,USD,,0,,""LEGACY"")")</f>
        <v>2693.4960000000001</v>
      </c>
      <c r="E25" t="s">
        <v>611</v>
      </c>
      <c r="F25" t="str">
        <f t="shared" si="2"/>
        <v>FC0000CA</v>
      </c>
      <c r="G25" s="153" cm="1">
        <f t="array" ref="G25">_xll.FDSZ(F25,"FMA_MCAP(0,,,USD,""PORTAGG"")")</f>
        <v>2734610.3</v>
      </c>
    </row>
    <row r="26" spans="1:7" s="1" customFormat="1" x14ac:dyDescent="0.35">
      <c r="A26" s="160" t="s">
        <v>568</v>
      </c>
      <c r="B26" s="160" t="s">
        <v>39</v>
      </c>
      <c r="C26" s="160" t="s">
        <v>11</v>
      </c>
      <c r="D26" s="158" cm="1">
        <f t="array" ref="D26">_xll.FDS(C26,"FREF_MARKET_VALUE_COMPANY(0,,,USD,,0,,""LEGACY"")")</f>
        <v>967.47900000000004</v>
      </c>
      <c r="E26" s="160" t="s">
        <v>638</v>
      </c>
      <c r="F26" s="160" t="str">
        <f t="shared" si="2"/>
        <v>FC0000DE</v>
      </c>
      <c r="G26" s="161" cm="1">
        <f t="array" ref="G26">_xll.FDSZ(F26,"FMA_MCAP(0,,,USD,""PORTAGG"")")</f>
        <v>2305721</v>
      </c>
    </row>
    <row r="27" spans="1:7" x14ac:dyDescent="0.35">
      <c r="A27" t="s">
        <v>164</v>
      </c>
      <c r="B27" t="s">
        <v>47</v>
      </c>
      <c r="C27" t="s">
        <v>46</v>
      </c>
      <c r="D27" s="158" cm="1">
        <f t="array" ref="D27">_xll.FDS(C27,"FREF_MARKET_VALUE_COMPANY(0,,,USD,,0,,""LEGACY"")")</f>
        <v>16222.325999999999</v>
      </c>
      <c r="E27" t="s">
        <v>656</v>
      </c>
      <c r="F27" t="str">
        <f t="shared" si="2"/>
        <v>FC0000JP</v>
      </c>
      <c r="G27" s="153" cm="1">
        <f t="array" ref="G27">_xll.FDSZ(F27,"FMA_MCAP(0,,,USD,""PORTAGG"")")</f>
        <v>6370980</v>
      </c>
    </row>
    <row r="28" spans="1:7" x14ac:dyDescent="0.35">
      <c r="A28" t="s">
        <v>276</v>
      </c>
      <c r="B28" t="s">
        <v>43</v>
      </c>
      <c r="C28" t="s">
        <v>42</v>
      </c>
      <c r="D28" s="158" cm="1">
        <f t="array" ref="D28">_xll.FDS(C28,"FREF_MARKET_VALUE_COMPANY(0,,,USD,,0,,""LEGACY"")")</f>
        <v>1138.7249999999999</v>
      </c>
      <c r="E28" t="s">
        <v>719</v>
      </c>
      <c r="F28" t="str">
        <f t="shared" si="2"/>
        <v>FC0000CH</v>
      </c>
      <c r="G28" s="153" cm="1">
        <f t="array" ref="G28">_xll.FDSZ(F28,"FMA_MCAP(0,,,USD,""PORTAGG"")")</f>
        <v>2150157</v>
      </c>
    </row>
    <row r="29" spans="1:7" x14ac:dyDescent="0.35">
      <c r="A29" t="s">
        <v>167</v>
      </c>
      <c r="B29" t="s">
        <v>451</v>
      </c>
      <c r="C29" t="s">
        <v>48</v>
      </c>
      <c r="D29" s="158" cm="1">
        <f t="array" ref="D29">_xll.FDS(C29,"FREF_MARKET_VALUE_COMPANY(0,,,USD,,0,,""LEGACY"")")</f>
        <v>2826.63</v>
      </c>
      <c r="E29" t="s">
        <v>732</v>
      </c>
      <c r="F29" t="str">
        <f t="shared" si="2"/>
        <v>FC0000GB</v>
      </c>
      <c r="G29" s="153" cm="1">
        <f t="array" ref="G29">_xll.FDSZ(F29,"FMA_MCAP(0,,,USD,""PORTAGG"")")</f>
        <v>3301653.3</v>
      </c>
    </row>
    <row r="30" spans="1:7" x14ac:dyDescent="0.35">
      <c r="A30" t="s">
        <v>170</v>
      </c>
      <c r="B30" t="s">
        <v>452</v>
      </c>
      <c r="C30" t="s">
        <v>51</v>
      </c>
      <c r="D30" s="158" cm="1">
        <f t="array" ref="D30">_xll.FDS(C30,"FREF_MARKET_VALUE_COMPANY(0,,,USD,,0,,""LEGACY"")")</f>
        <v>268362.57299999997</v>
      </c>
      <c r="E30" t="s">
        <v>733</v>
      </c>
      <c r="F30" t="str">
        <f t="shared" si="2"/>
        <v>FC0000US</v>
      </c>
      <c r="G30" s="153" cm="1">
        <f t="array" ref="G30">_xll.FDSZ(F30,"FMA_MCAP(0,,,USD,""PORTAGG"")")</f>
        <v>54820068</v>
      </c>
    </row>
    <row r="31" spans="1:7" x14ac:dyDescent="0.35">
      <c r="A31" t="s">
        <v>170</v>
      </c>
      <c r="B31" t="s">
        <v>1</v>
      </c>
      <c r="C31" t="s">
        <v>1</v>
      </c>
      <c r="D31" s="158" cm="1">
        <f t="array" ref="D31">_xll.FDS(C31,"FREF_MARKET_VALUE_COMPANY(0,,,USD,,0,,""LEGACY"")")</f>
        <v>529395.62331599998</v>
      </c>
      <c r="E31" t="s">
        <v>733</v>
      </c>
      <c r="F31" t="str">
        <f t="shared" si="2"/>
        <v>FC0000US</v>
      </c>
      <c r="G31" s="153" cm="1">
        <f t="array" ref="G31">_xll.FDSZ(F31,"FMA_MCAP(0,,,USD,""PORTAGG"")")</f>
        <v>54820068</v>
      </c>
    </row>
    <row r="33" spans="1:7" x14ac:dyDescent="0.35">
      <c r="A33" s="46" t="s">
        <v>366</v>
      </c>
      <c r="B33" s="46" t="str" cm="1">
        <f t="array" ref="B33">_xll.FDS(C33,"FG_COMPANY_NAME")</f>
        <v>Nasdaq South Africa</v>
      </c>
      <c r="C33" s="46" t="s">
        <v>889</v>
      </c>
      <c r="D33" s="164" cm="1">
        <f t="array" ref="D33">_xll.FDSZ(C33,"FMA_MCAP(0,,,USD,""PORTAGG"")")</f>
        <v>0</v>
      </c>
      <c r="E33" s="46" t="str" cm="1">
        <f t="array" ref="E33">_xll.FDS(A33,"FG_COMPANY_NAME")</f>
        <v>South Africa</v>
      </c>
      <c r="F33" s="46" t="str">
        <f>_xlfn.CONCAT("FC0000",RIGHT(A33,2))</f>
        <v>FC0000ZA</v>
      </c>
      <c r="G33" s="164" cm="1">
        <f t="array" ref="G33">_xll.FDS(F33,"FG_MCAP_IDX(0,,,USD)")</f>
        <v>317343.2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6542935"><![CDATA[{"FC0000ZA^FG_MCAP_IDX(0,,,USD)":317343.2,"FC0000CN^FMA_MCAP(0,,,USD,\"PORTAGG\")":7678675.0,"NQG00809^FMA_MCAP(0,,,USD,\"PORTAGG\")":null,"MCHI^FREF_MARKET_VALUE_COMPANY(0,,,USD,,0,,\"LEGACY\")":5802.44,"INDA^FREF_MARKET_VALUE_COMPANY(0,,,USD,,0,,\"LEGACY\")":10323.4485,"FC0000US^FMA_MCAP(0,,,USD,\"PORTAGG\")":54820068.0,"FC0000GR^FMA_MCAP(0,,,USD,\"PORTAGG\")":84981.35,"GREK^FREF_MARKET_VALUE_COMPANY(0,,,USD,,0,,\"LEGACY\")":204.03743844,"FC0000GB^FMA_MCAP(0,,,USD,\"PORTAGG\")":3301653.3,"FC0000ZA^FMA_MCAP(0,,,USD,\"PORTAGG\")":317343.2,"EZA^FREF_MARKET_VALUE_COMPANY(0,,,USD,,0,,\"LEGACY\")":267.75,"FC0000CH^FMA_MCAP(0,,,USD,\"PORTAGG\")":2150157.0,"EWL^FREF_MARKET_VALUE_COMPANY(0,,,USD,,0,,\"LEGACY\")":1138.725,"FC0000KR^FMA_MCAP(0,,,USD,\"PORTAGG\")":1897331.5,"EWJ^FREF_MARKET_VALUE_COMPANY(0,,,USD,,0,,\"LEGACY\")":16222.326,"FC0000DE^FMA_MCAP(0,,,USD,\"PORTAGG\")":2305721.0,"EWW^FREF_MARKET_VALUE_COMPANY(0,,,USD,,0,,\"LEGACY\")":2054.232,"FC0000CA^FMA_MCAP(0,,,USD,\"PORTAGG\")":2734610.3,"EWC^FREF_MARKET_VALUE_COMPANY(0,,,USD,,0,,\"LEGACY\")":2693.496,"FC0000AU^FMA_MCAP(0,,,USD,\"PORTAGG\")":1703570.8,"EWM^FREF_MARKET_VALUE_COMPANY(0,,,USD,,0,,\"LEGACY\")":276.4215,"FC0000PE^FMA_MCAP(0,,,USD,\"PORTAGG\")":38030.86,"FC0000PL^FMA_MCAP(0,,,USD,\"PORTAGG\")":213421.28,"KSA^FREF_MARKET_VALUE_COMPANY(0,,,USD,,0,,\"LEGACY\")":771.188,"EPOL^FREF_MARKET_VALUE_COMPANY(0,,,USD,,0,,\"LEGACY\")":345.072,"FTSEWIVNXXXX^FMA_MCAP(0,,,USD,\"PORTAGG\")":24179.748738,"VNM^FREF_MARKET_VALUE_COMPANY(0,,,USD,,0,,\"LEGACY\")":522.588,"FC0000AE^FMA_MCAP(0,,,USD,\"PORTAGG\")":845751.25,"UAE^FREF_MARKET_VALUE_COMPANY(0,,,USD,,0,,\"LEGACY\")":37.8,"FC0000CL^FMA_MCAP(0,,,USD,\"PORTAGG\")":152863.9,"ECH^FREF_MARKET_VALUE_COMPANY(0,,,USD,,0,,\"LEGACY\")":625.381,"SET-BKK^FMA_MCAP(0,,,USD,\"PORTAGG\")":462556.198286568,"QAT^FREF_MARKET_VALUE_COMPANY(0,,,USD,,0,,\"LEGACY\")":77.1225,"FC0000IN^FMA_MCAP(0,,,USD,\"PORTAGG\")":4966062.0,"SPY^FREF_MARKET_VALUE_COMPANY(0,,,USD,,0,,\"LEGACY\")":529395.623316,"QQQ^FREF_MARKET_VALUE_COMPANY(0,,,USD,,0,,\"LEGACY\")":268362.573,"EWU^FREF_MARKET_VALUE_COMPANY(0,,,USD,,0,,\"LEGACY\")":2826.63,"FC0000BR^FMA_MCAP(0,,,USD,\"PORTAGG\")":718581.25,"EWZ^FREF_MARKET_VALUE_COMPANY(0,,,USD,,0,,\"LEGACY\")":4812.012,"FC0000JP^FMA_MCAP(0,,,USD,\"PORTAGG\")":6370980.0,"EWY^FREF_MARKET_VALUE_COMPANY(0,,,USD,,0,,\"LEGACY\")":5429.8,"FC0000MX^FMA_MCAP(0,,,USD,\"PORTAGG\")":527432.5,"EWG^FREF_MARKET_VALUE_COMPANY(0,,,USD,,0,,\"LEGACY\")":967.479,"FC0000TW^FMA_MCAP(0,,,USD,\"PORTAGG\")":2315017.0,"EWT^FREF_MARKET_VALUE_COMPANY(0,,,USD,,0,,\"LEGACY\")":4950.88,"FC0000MY^FMA_MCAP(0,,,USD,\"PORTAGG\")":403622.03,"EWA^FREF_MARKET_VALUE_COMPANY(0,,,USD,,0,,\"LEGACY\")":1724.8,"FC0000NZ^FMA_MCAP(0,,,USD,\"PORTAGG\")":91706.85,"ENZL^FREF_MARKET_VALUE_COMPANY(0,,,USD,,0,,\"LEGACY\")":83.509,"EPU^FREF_MARKET_VALUE_COMPANY(0,,,USD,,0,,\"LEGACY\")":123.9315,"FC0000SA^FMA_MCAP(0,,,USD,\"PORTAGG\")":2840998.5,"FC0000PH^FMA_MCAP(0,,,USD,\"PORTAGG\")":207000.22,"EPHE^FREF_MARKET_VALUE_COMPANY(0,,,USD,,0,,\"LEGACY\")":110.664,"FC0000ID^FMA_MCAP(0,,,USD,\"PORTAGG\")":677971.3,"EIDO^FREF_MARKET_VALUE_COMPANY(0,,,USD,,0,,\"LEGACY\")":401.88,"FC0000TR^FMA_MCAP(0,,,USD,\"PORTAGG\")":433880.8,"TUR^FREF_MARKET_VALUE_COMPANY(0,,,USD,,0,,\"LEGACY\")":256.414,"SET-BKK^FG_MCAP_IDX(0,,,USD)":462556.198286568,"CNYA^FREF_MARKET_VALUE_COMPANY(0,,,USD,,0,,\"LEGACY\")":289.1525,"FC0000QA^FMA_MCAP(0,,,USD,\"PORTAGG\")":151261.67,"CC_ZA^FG_COMPANY_NAME":"South Africa","NQG00809^FG_COMPANY_NAME":"Nasdaq South Africa","DUMMY^ECON_EXPR_DATA('FDS_ECON[NTCPMIMFGSA@PL]',,,M)":45.918358,"DUMMY^ECON_EXPR_DATA('FDS_ECON[NTCPMIMFGSA@CN]',,,M)":51.441467,"DUMMY^ECON_EXPR_DATA('FDS_ECON[NTCPMIMFGSA@BR]',,,M)":55.87442,"DUMMY^ECON_EXPR_DATA('FDS_ECON[NTCPMIMFGSA@PE]',,,M)":null,"DUMMY^ECON_EXPR_DATA('FDS_ECON[NTCPMIINDEXSA@SA]',,,M)":57.00393,"DUMMY^ECON_EXPR_DATA('FDS_ECON[NTCPMIPHMANHE]',,,M)":52.15867,"DUMMY^ECON_EXPR_DATA('FDS_ECON[NTCPMIMFGSA@IN]',,,M)":58.847507,"DUMMY^ECON_EXPR_DATA('FDS_ECON[NTCPMIMFGSA@VN]',,,M)":50.335735,"DUMMY^ECON_EXPR_DATA('FDS_ECON[NTCPMIMFGSA@GR]',,,M)":55.152985,"DUMMY^ECON_EXPR_DATA('FDS_ECON[NTCPMIMFGSA@KR]',,,M)":49.449905,"DUMMY^ECON_EXPR_DATA('FDS_ECON[PMIMYMANHE]',,,M)":48.95158,"DUMMY^ECON_EXPR_DATA('FDS_ECON[NTCPMIMFGSA@ID]',,,M)":52.886288,"DUMMY^ECON_EXPR_DATA('FDS_ECON[PMIMFGSA@ZA]',,,M)":50.2902,"DUMMY^ECON_EXPR_DATA('FDS_ECON[NTCPMIMFGSA@MX]',,,M)":50.965843,"DUMMY^ECON_EXPR_DATA('FDS_ECON[NTCPMIMFGSA@AE]',,,M)":null,"DUMMY^ECON_EXPR_DATA('FDS_ECON[NTCPMIMFGSA@CL]',,,M)":null,"DUMMY^ECON_EXPR_DATA('FDS_ECON[NTCPMIMFGSA@TW]',,,M)":50.2,"DUMMY^ECON_EXPR_DATA('FDS_ECON[NTCPMIMFGSA@TR]',,,M)":49.32495,"DUMMY^ECON_EXPR_DATA('FDS_ECON[NTCPMITHMANHE]',,,M)":48.607918,"DUMMY^ECON_EXPR_DATA('FDS_ECON[PMIQAWHEHE]',,,M)":52.043175,"CAGDPY@QA^EE_ACTUAL_ANNUAL(MED,0)":17.15,"CAGDPY@TW^EE_ACTUAL_ANNUAL(MED,0)":13.5640592219203,"CC_VN^FG_COMPANY_NAME":"Vietnam","CC_PH^FG_COMPANY_NAME":"Philippines","USDVND^FG_PRICE_CHANGE(0,-1AM)":0.09628534,"USDTRY^FG_PRICE_CHANGE(0,-1AM)":-1.0658622,"USDQAR^FG_PRICE_CHANGE(0,-1AM)":0.0,"USDINR^FG_PRICE_CHANGE(0,-1AM)":-0.0749886,"USDZAR^FG_PRICE_CHANGE(0,-1AM)":-3.5208046,"USDKRW^FG_PRICE_CHANGE(0,-1AM)":-1.1427522,"DUMMY^ECON_EXPR_DATA('FDS_ECON[NTCPMIMFGSA@EME]',,,M)":51.99054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5475934,10.6153952262209,9.47363114651142,10.1683466984571,9.55885733911211],"TRYMX10Y-FDS^FG_YIELD(-10AY,0,Y,,\"YTM\")":[5.8237,6.2537,7.5651,7.6401,8.7069,6.8373,5.552,7.558,9.0223,8.95],"TRYPE10Y-FDS^FG_YIELD(-10AY,0,Y,,\"YTM\")":[5.681629,7.426917,6.415413,5.167133,5.645114,4.243226,3.535983,5.889906,7.923381,6.6087],"CAGDPY@CN^EE_ACTUAL_ANNUAL(MED,+1)":1.3,"CAGDPY@MY^EE_ACTUAL_ANNUAL(MED,+1)":2.3,"CC_AE^FG_COMPANY_NAME":"United Arab Emirates","CC_ID^FG_COMPANY_NAME":"Indonesia","USDVND^FG_PRICE_CHANGE(0,-1AY)":8.5217,"USDTRY^FG_PRICE_CHANGE(0,-1AY)":62.21782,"USDQAR^FG_PRICE_CHANGE(0,-1AY)":0.02746582,"USDINR^FG_PRICE_CHANGE(0,-1AY)":0.5781889,"USDZAR^FG_PRICE_CHANGE(0,-1AY)":-3.8661838,"USDKRW^FG_PRICE_CHANGE(0,-1AY)":3.7976623,"USDTWD^FG_PRICE_CHANGE(0,-1AY)":4.8437,"USDPEN^FG_PRICE_CHANGE(0,-1AY)":1.4407992,"USDPHP^FG_PRICE_CHANGE(0,-1AY)":4.3412685,"USDCLP^FG_PRICE_CHANGE(0,-1AY)":13.772381,"FC0000QA^FMA_EPS(NTMA,-20AY,0,CY,,\"PORTAGG\",\"MEANR\")":[null,null,8.19979965085614,9.86863008324955,11.8416183510855,9.76511455010403,8.67191902894658,9.6607184301563,10.0321675505118,9.69647619984179,9.72756648791858,9.25802090548642,8.13418419337586,7.80636838365136,8.33677509681871,7.7374565221449,7.78465315909482,9.35773101457557,9.97398745950005,9.61320801792281],"DUMMY^ECON_EXPR_DATA('FDS_ECON[PMIDMMANHE]',,,M)":48.59645,"EPU^FMA_ROE(NTMA,-20AY,NOW,FY,\"PORTAGG\",\"MEANR\")":[null,null,null,null,null,21.6487924933022,26.674075406927,23.3940784657959,19.9442083003203,14.2295976118279,12.7121203643147,8.83035011509517,12.5824807721625,12.1461987185301,10.92253300719,11.9146021952872,12.0860263629473,15.0555657499397,13.6225814495131,12.9324474391171],"TRYIN10Y-FDS^FG_YIELD(-10AY,0,Y,,\"YTM\")":[7.86,7.89,6.63,7.35,7.35,6.55,5.9,6.45,7.33,7.19],"TRYGR10Y-FDS^FG_YIELD(-10AY,0,Y,,\"YTM\")":[9.61,8.24,7.15,4.14,4.37,1.45,0.618,1.315,4.585,3.099],"CAGDPY@CN^EE_ACTUAL_ANNUAL(MED,0)":1.41410583295463,"CAGDPY@MY^EE_ACTUAL_ANNUAL(MED,0)":1.54712272286418,"CC_TR^FG_COMPANY_NAME":"Turkey","CC_CL^FG_COMPANY_NAME":"Chile","USDVND^FG_PRICE(0)":25469.5,"USDTRY^FG_PRICE(0)":32.20875,"USDQAR^FG_PRICE(0)":3.641,"USDINR^FG_PRICE(0)":83.28125,"USDZAR^FG_PRICE(0)":18.4625,"USDKRW^FG_PRICE(0)":1362.5,"USDTWD^FG_PRICE(0)":32.23,"USDPEN^FG_PRICE(0)":3.7456,"USDPHP^FG_PRICE(0)":58.14,"USDCLP^FG_PRICE(0)":908.7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183251,17.4920004693225,21.2730178266387,20.3689427990632,19.1075295934196],"KSA^P_PRICE_RETURNS_PR('52W',2,-10AY,0,AM)":[null,null,null,null,null,null,null,null,null,null,null,null,null,null,null,null,null,null,null,null,null,null,null,null,null,null,null,null,-12.648153,-16.474884,-1.2315631,6.45746,27.108335,22.2875,11.895061,10.886562,10.44718,20.191181,15.758967,22.624731,24.769247,21.26342,7.8478694,5.1704526,12.488138,11.901987,20.28867,29.006863,24.78931,16.360128,22.254955,16.552103,12.613546,15.453375,15.037071,11.894608,19.256855,19.855202,16.157639,15.506291,7.4856997,9.904898,8.356703,7.6173067,6.514251,7.636547,12.222231,14.309036,-1.7742991,-7.277608,-34.632786,-29.749006,-19.089228,-18.283403,-16.26057,-7.9525414,-0.4750371,6.9496512,3.815782,2.0998955,4.1689873,15.895617,65.980515,56.04062,47.110294,50.569546,45.56482,42.611027,43.216206,45.72452,37.023533,33.1774,42.97067,41.244423,42.678867,36.420547,19.627296,4.975927,12.63851,12.88197,-0.046479702,2.2372127,-2.1838605,-8.74486,-10.9652815,-18.687075,-18.874973,-17.352646,-5.827135,2.82892,0.042164326,-8.080774,-3.588897,-16.151655,0.99790096,15.15106,12.634087,25.695335,23.239971,10.128307,3.4082294],"EPOL^P_PRICE_RETURNS_PR('52W',2,-10AY,0,AM)":[20.043087,26.218367,12.606692,5.127156,4.1240573,-9.67229,-11.176187,-14.875662,-19.43869,-20.517672,-14.321131,-12.9286585,-15.108705,-19.291693,-22.1299,-22.141737,-24.732376,-20.452648,-27.128864,-21.646326,-28.407944,-22.961288,-17.76042,-23.176474,-28.708738,-20.05772,-18.739487,-14.828706,-11.3794565,-15.42145,-8.123011,-1.4852703,22.363842,25.105894,17.04073,17.268515,40.396107,31.877018,47.052048,44.501556,49.7411,54.04557,62.08016,52.735565,57.13755,28.044558,15.723801,17.74218,-0.52239895,-4.437959,-6.9405613,-6.03621,-9.200441,-15.120888,-15.998775,-13.727819,-17.173332,-12.941795,-7.9862833,-6.2546434,-6.9060802,7.928407,2.6590943,-13.273692,-12.866688,-0.39226413,-3.67167,-6.143242,-10.550857,-13.5055485,-44.3106,-36.770527,-29.473412,-23.068958,-20.931154,-10.166198,-19.125622,-26.374716,-15.418726,-7.4010253,-8.221495,-1.0326207,45.36843,35.91944,43.415916,26.04804,21.19925,22.739887,39.895176,51.869595,20.350492,10.132515,12.849951,0.6055355,3.8883686,-8.850211,-22.526842,-33.535076,-33.44895,-38.10653,-47.360813,-50.217155,-28.467209,-22.889816,-18.347622,-15.60514,-17.353434,-0.27317405,14.341461,35.4812,51.456978,47.13141,47.04348,66.104355,51.899338,51.224564,27.118946,57.749557,60.71316,43.745792,43.4343],"EWZ^FG_TOTAL_RETURNC(-10AY,0,AM)":[1.5930295,3.4915328,5.0476193,-1.1180878,-8.33168,-13.784891,10.316265,-16.028101,0.9048462,-5.57065,-7.424468,12.744797,-5.7071924,-0.23392439,-12.755752,-14.099926,-16.374504,12.434494,5.296612,-12.408596,-16.004646,13.661504,24.914848,9.232569,-7.0970116,12.27057,13.19325,1.8259287,1.2253404,11.514616,-10.48451,-3.3490837,16.7338,4.990709,-7.534766,-1.1211395,-3.761065,-4.256958,12.167072,8.175921,6.5851808,-3.5104156,-0.8974016,-2.3932338,10.641825,7.0545197,-6.1617494,-2.872783,-9.2957735,-15.73525,10.268414,-10.755735,7.0726275,17.180109,-2.1739125,-2.5672197,16.55897,1.986599,-8.425826,1.7561197,-4.982984,14.952744,2.9975295,-13.544864,5.897248,6.261945,-2.9239774,9.5733529999999991,0.9785414,-9.774762,-50.965614,15.273773,2.7500033,25.302076,5.40452,-7.8620253,-5.362564,5.096221,9.6982,14.187157,-4.418981,-1.8835604,-3.403145,7.0159674,4.164326,12.693477,-6.643951,-9.332645,-2.501434,-11.294603,-1.8284559,0.5358577,8.440471,11.998653,8.863031,-4.7423244,0.2589941,-18.391382,-4.0162144,23.224567,-4.2367578,10.897851,-13.171017,4.683888,1.3546348,-2.1590173,-11.52364,9.65954,7.6173186,12.352777,1.0094881,-3.3313155,-2.349627,-4.3631735,13.250589,6.2539577,-4.8526883,0.54644346,-2.9891253,-3.0189872,-1.6688049],"SET-BKK^FMA_DIV_YLD(NTMA,-10AY,0,AM,\"PORTAGG\",\"MEANR\")":[3.7965740993802,5.50775386718067,5.55331117911904,3.41482837894858,3.33675187515173,3.48264475537857,3.34533014178547,3.41875887030128,3.20519322128538,3.17658966771311,3.40652451596602,3.35591288442643,3.37764455102818,3.44705241992533,3.53742170572996,3.7091754992078,3.66861663600208,3.56142676504902,3.61645370249196,3.89936834524797,3.79919783748315,3.56194501349808,3.33963789689693,3.35875766503303,3.44743535819088,3.30713560573412,3.16078149970591,3.12946773395066,3.28329876495072,3.28204970873953,3.2847330350275,3.28713557019482,3.15868333780549,3.13790597114004,3.14428302904268,3.14927787384715,3.18096969735848,3.18871074576656,3.25822824661163,3.22142504861107,3.033143319883,3.03004291595158,3.02973735183428,3.00492532891274,2.86353751931616,2.97726955602335,3.01490758023182,3.03511973736058,3.12931397918363,3.37347968727113,3.30438091254341,3.25135044160367,3.18440195752139,3.38009933295097,3.48565041395046,3.52292948880895,3.40606449944211,3.24327782518759,3.2924141497992,3.24761107314206,3.36045268481581,3.13560111138077,3.12649651903848,3.25981774781681,3.29376149347778,3.2549575507053,3.21827308807694,3.24425657924638,3.25154528129854,3.34269544784013,4.65977954290008,3.42439310153316,3.17168223127023,3.04526335215559,2.99933866128781,3.13602672276147,3.19666608606031,3.28115261064182,2.7611983307339,2.88059131997678,2.76285362599864,2.83123093033774,2.77932745387193,2.88694704794689,2.93575359369379,2.87933552322297,3.00183224205381,2.90384061367946,2.84104075760643,2.82413656681515,2.81167242489693,2.88626647023874,2.87689793127442,2.85687695928514,2.90290249908429,2.96936815343083,3.02247782443761,3.18447484023892,3.2005647161148,3.08668436444,3.08703305600309,3.16697710787999,3.05384128036012,3.04947098446481,2.95543459315403,3.06219377165677,3.13015677106453,3.17375960224731,3.16093632891952,3.21433395835212,3.11961229516756,3.07888202697504,3.15022575133254,3.44423980163512,3.36208805810095,3.38190964362138,3.56850345337896,3.41162215981154,3.5040411739374,3.59657292242196,3.66113896309334],"CNYA^FMA_DIV_YLD(NTMA,-10AY,0,AM,\"PORTAGG\",\"MEANR\")":[null,null,null,null,null,null,null,null,null,null,null,null,null,null,null,null,null,null,null,null,null,null,null,null,null,null,2.23846875616636,2.19923014036122,2.25758450192336,2.26969493364237,2.19475191486642,2.32787349277474,2.28877765038257,2.28414869002895,2.29678595075747,2.2731745851082,2.24668410787437,2.11662588959685,2.13293937407846,2.17904342802297,2.1496256930706,2.14762219949512,2.03850998062752,2.19763541707257,2.06068917718885,2.26271576793038,2.42983457804494,2.54933162532313,2.69852866546336,2.851197328952,2.9915827270405,3.23465218710926,3.08525838637041,3.35156650517697,3.32215675963281,3.37162681718002,3.24289815953438,2.9325028373957,2.75059320803261,2.63809386958884,2.94405714634148,2.67056090515305,2.73168251305146,2.72065983975923,2.67920720366455,2.73108916746717,2.82130137457778,2.52544636751829,2.50754057499472,2.38979350718717,2.7727044617012,2.46055430377318,2.3902421036714,2.15269642700471,1.91730030550441,1.95358036866205,1.96065211213291,1.97819612584151,1.9003129435221,1.8331567539433,1.65620090358921,1.66836080887008,1.91395816733999,1.89457035727522,1.8887263828525,1.84486235677841,1.87134020443241,2.01103062674917,1.99302859807939,1.98839521274203,1.98151601158289,1.96672618635209,2.10024243989207,2.18884618950431,2.35241440882166,2.52666335754579,2.43304117908352,2.29343072031772,2.39085647589238,2.38419693402586,2.63124270664721,2.71159195934433,2.62952424984515,2.58984422133409,2.3728889602543,2.41259091675739,2.48194094087122,2.49244266574137,2.5765297795492,2.59153582062504,2.61789787186736,2.6955279355228,2.6179399398579,2.83868870351736,2.72442788525559,2.84146052001207,2.96732019119589,2.73650485667584,2.75687663168258,2.87268824198382,2.77375962942337],"EWM^FMA_PE(NTMA,-10AY,0,AM,\"PORTAGG\",\"MEANR\")":[15.6935045498372,15.8100670160297,15.6303385698394,15.8180666643468,15.6471611619759,15.3349019595302,15.3608828487965,15.0529535004222,15.3300659955877,15.5721296794234,15.656060418419,16.0687119188913,15.7029746634745,15.2770500605409,15.3293034166424,13.9361291894743,14.6672770035828,15.6368099332884,15.182863632779,15.3660594122042,14.9669600648524,15.5355196202973,16.208189071629,16.1982409011317,15.4917259070292,16.1583172598644,16.3956406726898,16.5986941902803,16.7854983082635,16.7280627880257,16.2807693581811,16.1832009872588,16.5618286389085,16.7460502917562,16.9738530672571,16.9399435379578,16.9046406912368,16.6063549596212,16.3308094737684,16.3613461318613,16.3563221709967,15.9616877929135,15.6090040156225,16.1166246940021,16.8226717888529,16.7707431620716,16.4953707554576,16.4993813281106,15.985042076439,15.4868791549696,16.0849126559969,16.5837067435624,16.5265916307609,15.465514664714,15.7027751167531,15.79411908923,16.1634805090699,16.7192413315587,16.3003245203922,15.9911477273158,15.6691216860897,16.8556511650211,16.5391582376453,16.1001438803301,16.0214233342814,15.7482592562348,16.0268705124063,16.3245564209939,15.8323691155722,15.4701670136492,13.5048622076298,15.7678401481936,17.8274196846611,19.0708885450923,19.7446398756306,18.7940593839057,17.2338510483476,16.8412923728248,16.3379862383053,15.2001932801598,14.5822531303672,13.8886894740562,14.1883724073704,14.1998709442267,13.7703119095374,13.8439072027825,13.5858843135938,13.5637582527298,14.0139761924447,14.7442659318366,14.1446084131947,15.2440116502222,15.2573653664035,15.3811389452798,15.3699255722453,15.1188756359054,14.3357254437845,13.3467261004412,13.6591438349859,13.7370296236686,13.0737548915178,13.1714549678101,13.0613507844427,13.4007227639379,13.6150694283162,13.3001429548493,12.9295407130076,13.0733858350812,13.0247559513252,13.331197853908,13.5222550800425,13.7295849714243,13.8016419373421,13.5813881125776,13.621309981344,13.6587156957706,13.7609079101645,14.207045638177,13.9722655845202,14.0765557739515,14.5061298747999],"GREK^FMA_PE(LTMA,-10AY,0,AM,\"PORTAGG\",\"MEANR\")":[31.8884403761456,25.9822612436239,23.3493246436901,21.3770962068327,19.1302736907147,17.4143359926892,17.6594810874558,16.6137489819915,15.5232226611608,16.8102175241876,17.1448168210486,15.9624132166018,14.9058525258881,14.230987368432,12.832095136004,11.7578927208001,11.205602018012,11.7130509950933,12.5899751205468,-3.97637065382579,-0.890535367537807,-0.186658346309151,0.565753363490864,2.47497927286384,3.97647583619735,4.90659630658365,5.6001226968003,6.66237513824665,9.17066626602029,11.0110608929594,14.4182031055255,14.0853332104815,14.2396813376202,14.16301782768,14.0364451333569,14.1509615741752,15.2261072130365,15.1678755336706,15.5271081687946,15.3928873434403,15.1207922244847,16.0204019523863,16.5232058634734,20.3944115610003,22.978248636475,24.1745536475709,23.0772783517815,22.8755749251077,21.5947756688733,21.7880012006478,21.0317489882803,21.1866458410957,21.7288105618307,18.7799991154867,17.663303063924,14.9292065694907,15.1945170252433,17.6540805256276,18.5189306443562,18.2830721701543,17.4149205363576,17.6486568314499,18.1474606850686,18.5363978086043,19.9021712626174,15.7963611335493,15.3909518524434,17.2434794639167,18.7121863097195,15.3211177096004,11.6016477336684,11.941755656495,12.2947824046008,14.915095171765,15.4680404624542,14.9563177479133,15.4010834392384,14.033700973864,15.5285503393543,17.9582979617225,17.1300793727452,16.8543788641611,17.4447187329635,17.316685723632,15.5708454179595,17.1320543752425,15.8349922355048,15.6082096130729,13.8097253644021,14.2937538291846,13.6379717538401,12.6892422733482,-91.678092074452,-124.994042972581,-88.5845438753466,-77.769005346812,-67.4454181582301,-56.9093899347644,-47.1885088816486,-36.0634143626146,-27.1588179927489,-17.1855019598685,-6.63194806413291,3.46074956612448,6.61682821588724,7.93961605281245,7.67065738655413,7.66549130264626,7.69298012976801,7.87315992711254,8.1458870163836,7.58748959867424,7.15210649354119,6.70050875039957,6.66691670093773,6.2981121597929,6.39711275051507,6.72948236915735,6.78064023621127,6.85502972480887,6.91860000203625],"DDR3512M-FDS^FG_PRICE_CHANGE(0,-1AY)":-7.03476960179014,"PASP-FDS^FG_PRICE_CHANGE(0,-1AY)":-31.9727891156463,"PLATI-FDS^FG_PRICE_CHANGE(0,-1AY)":-2.70522388059702,"W-FDS^FG_PRICE_CHANGE(0,-1AY)":12.1735636801928,"COPP-FDS^FG_PRICE_CHANGE(0,-1AY)":32.266922971303,"FC0000SA^FG_PRICE(0)":50.58567,"KSA^FMA_ROE(NTMA,-20AY,NOW,FY,\"PORTAGG\",\"MEANR\")":[null,null,null,null,null,null,null,null,null,null,null,12.9007124779981,11.3294751772354,11.9967853551854,12.1701096511068,11.2305559842023,10.1469870541411,12.7997878070165,13.7729696634709,11.7634573001407],"EPOL^FMA_ROE(NTMA,-20AY,NOW,FY,\"PORTAGG\",\"MEANR\")":[null,null,null,null,null,null,12.9136409385463,11.6682069956937,9.88095297355163,9.32819662687838,9.08400416739547,8.19593899535384,8.81992527720217,10.5838129179285,10.2657999868947,9.4389843194853,7.20768650788903,10.1460102201106,10.9641857238333,12.3945793275799],"TRYQA10Y-FDS^FG_YIELD(-10AY,0,Y,,\"YTM\")":[null,null,null,null,null,null,null,null,null,null],"TRYCH10Y-FDS^FG_YIELD(-10AY,0,Y,,\"YTM\")":[0.314,null,-0.12,-0.09,-0.176,-0.434,-0.49,-0.111,1.617,0.703],"CAGDPY@IN^EE_ACTUAL_ANNUAL(MED,+1)":-1.2,"CAGDPY@PE^EE_ACTUAL_ANNUAL(MED,+1)":-0.45,"CC_TH^FG_COMPANY_NAME":"Thailand","CC_CN^FG_COMPANY_NAME":"China","USDVND^FG_COMPANY_NAME":"Vietnam Dong per U.S. Dollar","USDTRY^FG_COMPANY_NAME":"Turkish New Lira per U.S. Dollar","USDQAR^FG_COMPANY_NAME":"Qatari Rial per U.S. Dollar","USDINR^FG_COMPANY_NAME":"Indian Rupee per U.S. Dollar","USDZAR^FG_COMPANY_NAME":"South African Rand per U.S. Dollar","USDKRW^FG_COMPANY_NAME":"South Korean Won per U.S. Dollar","USDTWD^FG_COMPANY_NAME":"Taiwan Dollar per U.S. Dollar","USDPEN^FG_COMPANY_NAME":"Peruvian New Sol per U.S. Dollar","USDPHP^FG_COMPANY_NAME":"Philippines Peso per U.S. Dollar","USDCLP^FG_COMPANY_NAME":"Chilean Peso per U.S. Dollar"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2909564,33.7104852000639,47.0115895528156,46.0412578319875,54.6849336628711],"VNM^P_PRICE_RETURNS_PR('52W',2,-10AY,0,AM)":[2.3659468,9.917105,17.941772,28.337025,26.715172,13.965761,12.602854,3.3113003,-8.393234,-7.6370296,-17.25896,-6.561494,-8.888668,-7.725543,-12.069774,-27.268362,-27.739096,-15.236616,-20.418179,-20.509922,-27.91872,-24.329346,-17.702728,-18.47983,-16.059637,-15.632725,-17.103916,1.5521884,-1.7360628,-9.015524,-12.853849,-8.345824,6.6502094,-0.98817945,2.2430182,1.3638139,0.10855198,1.8434763,-0.40193796,-4.922742,1.7122984,6.9090724,25.274097,36.83728,46.778034,40.304363,34.993385,33.04696,20.419216,11.649525,9.489096,17.45832,11.912847,1.2425184,-8.783317,-12.805486,-20.159447,-8.593452,-13.209618,-6.6579523,-0.9928465,3.0186534,4.830861,-4.5126143,-2.7106822,5.981064,5.3508043,8.647299,4.3017864,-9.841317,-40.61809,-28.220957,-17.232632,-14.50007,-12.771922,-10.169231,-8.6811905,-4.020935,1.2056112,6.6904545,14.877319,21.224033,81.78388,62.538338,41.337086,45.093407,34.47553,37.65439,36.6349,30.090284,28.233004,23.886633,8.542717,9.515488,10.001099,-9.982437,-19.44176,-26.640152,-24.533558,-19.734509,-28.432243,-39.04237,-45.6437,-40.704216,-33.198982,-39.990395,-38.081497,-30.807781,-18.642044,-6.7087054,-1.3329268,-6.5643253,0.797081,7.742226,22.666084,11.223221,2.910471,17.69637,23.207855,6.414747,9.712374],"EPHE^P_PRICE_RETURNS_PR('52W',2,-10AY,0,AM)":[-10.02934,11.038947,2.2866845,20.760715,9.529436,8.150255,20.36072,24.518036,29.61768,26.025845,23.905766,18.863619,10.968363,8.96914,3.2736182,-9.120482,-9.492469,-1.178664,-11.061102,-8.885264,-25.209755,-20.631844,-11.568194,-13.048196,-10.516572,2.6398182,4.5036793,15.435303,9.405338,4.3055058,-6.5763416,-10.367316,17.66671,4.7238946,-4.9430075,0.8424401,1.0877132,-8.551961,-9.440052,-8.821559,-1.7000914,0.38775206,15.296459,25.671696,13.2111435,8.146548,-1.3462067,-7.9957604,-10.349936,-18.270731,-13.9316025,-8.694392,-17.630762,-18.32698,-15.847832,-16.050858,-12.653196,-6.236476,0.9332776,5.329895,3.2936454,22.231806,18.229008,1.4668822,11.3313675,17.791998,12.127268,9.102715,-2.661097,-5.4782987,-41.63761,-29.47188,-28.607786,-22.359627,-26.491415,-18.733156,-21.771729,-15.766311,-4.7512474,-3.8354695,-1.0402799,-4.5063376,45.44587,21.584642,18.727434,14.685726,7.2894096,8.519244,17.383623,15.172625,0.99294186,-0.21868348,-1.8592477,8.851564,4.9259543,4.088044,2.8978467,-18.48092,-11.597699,-6.9645586,-20.904137,-27.281834,-19.015629,-17.11126,-5.739623,-15.817171,-9.274316,-12.433899,-7.6882124,2.772987,9.859383,-7.209736,1.5952826,3.9895773,-0.46765208,1.8053889,-7.6061487,5.0590873,3.599453,-0.67516565,-1.2965322],"EWY^FG_TOTAL_RETURNC(-10AY,0,AM)":[2.715075,-1.7673314,2.1902442,0.71953535,-5.4415584,-7.362157,-1.457572,-1.4545679,3.7613034,-2.4050236,3.4285665,8.632601,-4.8474255,-5.1110687,-9.346951,-11.3203945,5.6054354,13.51856,-3.1415522,-0.46536922,-8.223433,-1.0777652,10.147405,2.6376963,-6.9349947,8.446705,1.6850829,4.7136784,1.3715506,-2.5325298,-6.0330987,1.7656326,7.289505,4.494381,4.301083,-1.8041253,9.580064,1.8562794,5.026448,-4.3240905,1.4041185,4.3704033,6.9790006,-3.4519196,6.2698126,-3.6825776,-3.2983243,3.1880856,0.43172836,-8.543796,-4.553467,0.41550398,4.030645,-10.975247,-3.0117512,0.19373894,5.212295,5.7742834,-5.055833,3.2669067,-12.432777,7.22543,-2.156335,-11.0365095,10.97349,2.9298902,-0.0169456,6.790948,2.5453925,-7.715416,-33.236248,27.687954,2.954185,12.648832,2.2179961,6.3400507,1.1158943,7.6777577,11.434841,7.024348,16.070759,-3.0164182,-4.956585,7.3542953,-3.5975814,3.1843543,-2.3822367,-6.8774343,0.011909008,-4.2877555,-1.1821747,1.3278246,-5.3954544,-3.6097646,-1.8098354,-4.2818604,-0.5628884,-14.762396,2.184546,-0.6670058,-12.930447,-0.45481324,15.117205,-0.39184093,12.026644,-5.289519,-0.082618,1.8025517,1.2832999,1.5396953,4.2963147,-6.7847967,-1.2185216,-6.069076,10.155832,4.3447137,-7.894331,10.590637,2.9005527,-6.0551825,1.4129162],"QAT^FMA_DIV_YLD(NTMA,-10AY,0,AM,\"PORTAGG\",\"MEANR\")":[null,4.1351631920293,3.98385618395598,3.8905287470104,3.97297795462142,4.08275248614207,3.84837892559511,4.49655799321115,4.54838824516164,4.10044881170585,4.53269840511895,4.56120962143531,4.53352499347926,4.64819677215814,4.67109705152746,4.9931173180956,4.93255797566582,4.85031846800225,5.32536151839024,5.54432853091561,6.33553406813802,5.03417191147621,4.18372229796272,4.29695276019346,4.40275593711776,4.20240259412656,4.06865822883985,3.63518800544516,3.94447718189471,3.89760748322186,4.21135178872036,3.85110332093447,3.52127818187677,3.66750917778815,3.89731424272816,3.92919382139168,3.90736355483166,4.45769860849517,4.14204335678406,4.37981504523713,4.6935300842173,4.5013453374052,4.64235757066155,4.26995430244028,4.05992547580999,4.60165193305149,4.84021072247289,4.6492132662638,4.79345115420315,4.95118193031087,4.63493730587893,4.57835031840203,4.42574304369882,4.24914134676318,4.32107775316927,4.53235529080227,4.40414063931083,4.60512745297616,4.58444100099845,4.25716774019958,4.53213072297039,3.97244434070396,4.13981159883352,4.33804025772387,4.14230951638376,4.08677539798142,4.09625272596429,3.98591514940158,4.00224396836364,4.30388258571554,4.76054498022127,4.49820721526572,4.19999714062238,3.91598384734823,3.71433093207157,3.5125601279414,3.57664198404709,3.60234826645864,3.62198284937327,3.68805258568325,3.76739720668272,3.98637875325765,3.92712295105143,3.77400096540004,3.84211745205454,3.80811633735225,3.91241305270764,3.8545281749633,4.04427955376124,3.71317822035705,3.86724194649909,4.05328480553417,3.93889514903387,3.90076698814287,3.71140039819053,3.69923113097441,4.13397010184095,4.49180129999777,4.04180691300079,3.84435623373112,4.05746277277948,4.03456824006739,4.28865343282304,4.69660097407766,4.53486882791262,4.78509646755936,4.99362127754967,5.07453361700567,4.65290629094838,4.75718521416361,4.57927312615145,4.6095811734171,4.68981008032532,4.97827404397387,4.85578039568074,4.84660527953365,4.81027276042984,4.79820258880194,4.83038465194954,5.78036408823593,5.81117697370974],"ECH^JULIAN(FMA_DIV_YLD(NTMA,-10AY,0,AM,\"PORTAGG\",\"MEANR\").DATES)":[41782,41813,41843,41873,41905,41935,41964,41996,42027,42058,42086,42117,42146,42178,42208,42237,42270,42300,42331,42361,42391,42423,42452,42482,42513,42544,42573,42605,42636,42664,42697,42727,42758,42789,42817,42846,42878,42909,42937,42970,43000,43031,43061,43091,43123,43154,43182,43213,43243,43273,43304,43335,43364,43396,43427,43455,43488,43518,43546,43578,43608,43637,43669,43700,43731,43761,43791,43822,43853,43882,43913,43944,43973,44005,44035,44064,44097,44127,44158,44188,44218,44250,44278,44309,44337,44370,44400,44431,44462,44491,44523,44553,44582,44615,44643,44673,44704,44735,44764,44796,44827,44855,44888,44918,44949,44980,45008,45037,45069,45100,45128,45161,45191,45222,45252,45282,45314,45345,45373,45405,45433],"EPU^FMA_PE(NTMA,-10AY,0,AM,\"PORTAGG\",\"MEANR\")":[12.3689291378615,13.9109739161281,14.6803072065072,13.7448988105063,13.0231586907433,12.1081161181119,12.4711345643041,12.2288374929389,12.7125952298058,13.0164636443509,12.647603265118,12.3090968391638,13.1664720818032,13.9391261025842,12.4151292001105,10.8050359999361,11.0161192320786,8.24093934373833,7.67996432599862,7.4676521598486,10.8582032625134,13.6865443455406,15.041494791227,15.1776218637464,14.644176683472,14.1390350530374,14.4120024024121,14.535429699993,13.7083350997218,12.4860073869372,11.5089761859957,11.276230115901,12.7710684976707,13.3844143973979,13.2007369563767,11.8127725975555,11.9438205840925,11.765827776559,12.347428760527,12.2417399810979,12.6593315429638,13.236954631969,12.7412822740108,13.3753140744086,14.2793217669665,13.8489746642733,13.4368109616424,13.9996004718531,13.4390181595343,13.5753669136514,13.4333596465311,13.2955092078783,13.1340460734896,12.7604697855625,12.8291167623039,12.9861721542914,14.4987888427054,15.8129942853562,15.6778787999304,14.7305254627974,12.8721661228885,13.5078968004352,15.1395037629249,14.1619482421183,14.0908871041916,13.8252907167108,13.7205502848975,14.9532396400164,14.6506059501785,14.5583399989542,9.57936098091304,12.3128038282552,16.0411662866122,19.3832220671081,20.0520499317794,23.2577469121372,20.56353618162,18.6392478417073,17.5129873104886,15.137899920992,14.5470868908491,16.0097630481145,13.5910339881703,11.0408084670627,11.0945255999452,8.81221720783737,9.12444961294474,8.81032001263527,8.83687004116866,10.2035184238518,9.81089067701636,9.84261910889938,11.2585736787506,10.8801187483261,11.765350274549,9.52790527746358,8.24668600529954,7.24387246199111,7.19965513721418,7.63736552874705,7.76767088735512,8.59715292028651,9.69445995927414,9.09732916229541,10.299886646581,9.51254919049143,9.44725077252639,9.79016070279562,9.33303362689261,9.88959630999794,10.5548834318486,10.4804555962248,9.88993531583204,9.48046364002588,10.1682477827013,11.8740570253458,11.2385804554681,11.730998863152,12.9398956565133,12.7946461883876,14.2227670864903],"EZA^FMA_PE(LTMA,-10AY,0,AM,\"PORTAGG\",\"MEANR\")":[15.7846144005561,15.846290244539,16.1789513837452,16.3373973978876,16.1012511599193,16.1717716678695,16.9530039659265,16.8408815491163,17.7274915993382,18.7646459982559,18.3818984122153,18.6150160239226,18.3951322667711,18.0658283814823,17.9849018402109,16.9581820636973,16.9181831921264,18.1130351498966,17.776959729627,16.8593358066059,15.1632905685823,15.7743755003447,16.0217014151007,16.0131552285408,15.673054053847,16.0718229888779,16.3465681007281,16.869083422315,16.8131605309079,16.6755056585245,16.255530450494,16.4339471437406,17.4504942437511,18.7988721459736,18.4513091924253,18.2448247989527,18.4189059165942,17.7675272757806,18.0165006143403,18.2158275125174,17.6342104910835,18.1071609811511,19.0807399296038,18.4194676889352,19.1583445836235,18.3078973023629,18.0628581548001,17.8376287309248,17.3618161621779,16.981937194199,16.6219226682842,16.5503223916275,15.937134053954,14.3133954412842,14.5327706532773,14.5519830500839,15.3845544823575,15.3990759076661,15.2681344279226,15.3727125530041,14.7684851751308,15.1500203174308,14.8361279775983,13.9545071137621,13.7691403858013,13.6128290732681,13.751823544158,14.5351808079832,14.0947679885755,14.4041029286252,11.7698840599702,12.2762189629124,12.5319739704575,13.0807856781595,13.5231104249856,13.4068972399485,12.9482562314442,13.5132000211049,13.5477665513651,13.910039023229,14.1246224053697,13.9736935929856,13.3464779906806,12.9188587421422,12.5877990692787,12.1279595021446,11.7153836146181,10.9447855247226,10.8719331612579,10.8232280633602,10.4701261255076,10.3598286149548,10.7948310281202,11.0113699774911,11.11484161765,10.8371671317503,10.5293364902653,10.1384774410808,10.2744591885483,10.1478867554659,9.31569937616943,9.50829753827087,10.3458194416882,10.2215359522502,11.0739839988398,10.3863511210084,10.208663190722,10.209969049324,10.0202438953556,10.011212785067,10.5523585602955,10.4369461026302,10.5833880685814,10.4486797124632,11.0675631079619,11.2662420525924,10.958339448928,10.8836020432905,10.6506345185375,10.4729117600767,10.7899163567431],"DDR3512M-FDS^FG_PRICE_CHANGE(0,-6AM)":-6.35211244429181,"PASP-FDS^FG_PRICE_CHANGE(0,-6AM)":-7.40740740740741,"PLATI-FDS^FG_PRICE_CHANGE(0,-6AM)":11.0756123535676,"W-FDS^FG_PRICE_CHANGE(0,-6AM)":25.5960413855151,"COPP-FDS^FG_PRICE_CHANGE(0,-6AM)":27.8773397052967,"SET-BKK^FG_PRICE(0)":1367.84,"FC0000GR^FG_PRICE(0)":9.9094515,"FC0000MX^FG_PRICE(0)":527.8493,"FC0000PL^FG_PRICE(0)":222.35672,"FC0000CN^FG_PRICE(0)":255.66893,"TUR^FG_PRICE(0)":43.46,"INDA^FG_PRICE(0)":53.81,"EWY^FG_PRICE(0)":63.88,"EPU^FG_PRICE(0)":42.735,"ECH^FG_PRICE(0)":29.02,"VNM^P_PRICE(0)/P_PRICE_HIGH_PR(0,,,,,,\"PRICE\",\"INTRA\",\"52W\")":0.82070947,"TUR^FG_TOTAL_RETURNC(0,-12AM)":55.717243,"SET-BKK^PERCENT_CHANGE(FMA_EPS(+1,0,,,,\"PORTAGG\",\"MEAN\"),FMA_EPS(+1,-1AM,,,,\"PORTAGG\",\"MEAN\"))":-0.643950787192931,"MCHI^FG_TOTAL_RETURNC(0,-1AM)":10.660768,"GREK^FG_TOTAL_RETURNC(0,-6AM)":16.49847,"EWZ^P_PRICE(0)/P_PRICE_LOW_PR(0,,,,,,\"PRICE\",\"INTRA\",\"52W\")-1":0.078303695,"EWY^FMA_PCT_ABOVE_MAVG(200,0,,,,\"PORTAGG\")":58.0,"VNM^FMA_ROE(NTMA,-20AY,NOW,FY,\"PORTAGG\",\"MEANR\")":[null,null,null,null,null,12.2007678582522,16.4162915324944,16.394053839446,15.4303491131499,15.2759317822094,10.9403666714676,8.5756546844961,13.4991404349356,12.1231419211942,15.1097267855615,15.4807939433741,17.0889112010564,18.3844906020794,14.7334622550631,10.7325513465194],"EPHE^FMA_ROE(NTMA,-20AY,NOW,FY,\"PORTAGG\",\"MEANR\")":[null,null,null,null,null,null,14.7602970828313,15.1929773886247,13.700399154582,13.6976116734629,14.2196145027033,13.3322794237975,12.7182053290138,12.3434443766015,11.7069295115669,12.0539318308439,8.91575729801009,9.59945410063992,10.6731246326263,11.9407094450378],"TRYZA10Y-FDS^JULIAN(FG_YIELD(-10AY,0,CY,,\"YTM\").DATES)":[42004,42369,42734,43098,43465,43830,44196,44561,44925,45289],"UAE^FMA_ROE(NTMA,-20AY,NOW,FY,\"PORTAGG\",\"MEANR\")":[null,null,null,null,null,null,null,null,null,null,11.0777984350957,12.3046871114493,11.0383578639711,12.0257898837902,10.3907544258318,8.128455158546,6.76201762780835,11.234942553465,12.9338493595798,13.2251182354264],"EIDO^FMA_ROE(NTMA,-20AY,NOW,FY,\"PORTAGG\",\"MEANR\")":[null,null,null,null,null,null,18.9279585586526,18.0738292901709,16.8092892463225,19.1020740705792,18.4086750507428,15.6625909554988,15.054606398618,15.7733994434049,15.5352440090718,14.4300103255066,11.4814604181015,13.6928560106707,15.6524440626644,14.0234033144087],"TRYUS10Y-FDS^FG_YIELD(-10AY,0,Y,,\"YTM\")":[2.1881,2.2961,2.4752,2.4325,2.6836,1.9185,0.9174,1.5119,3.8776,3.8791],"CAGDPY@SA^EE_ACTUAL_ANNUAL(MED,+1)":2.6,"CAGDPY@GR^EE_ACTUAL_ANNUAL(MED,+1)":-6.0,"TUR^FMA_ROE(NTMA,-20AY,NOW,FY,\"PORTAGG\",\"MEANR\")":[null,null,null,null,14.5323662756041,15.0832531129689,15.8676026141806,14.4769185864537,15.0590425800443,13.6524897976729,12.866544620472,12.7726870869254,12.8458107179109,15.2051271731034,14.7086929252537,14.8395467674489,12.8830286544733,18.5724934178429,24.1409635144245,25.8460088493027],"ECH^FMA_ROE(NTMA,-20AY,NOW,FY,\"PORTAGG\",\"MEANR\")":[null,null,null,14.1776881603624,11.2798802315493,14.2628883913247,14.4661394368492,14.0754868016221,12.4952890187187,10.8480668279512,9.37758339699264,9.57060991333475,8.68386650455443,9.38392046774864,11.2778516938703,9.83590954451218,8.75463942854793,10.6038911838351,12.7874449833902,13.9108390560816],"CAGDPY@SA^EE_ACTUAL_ANNUAL(MED,0)":3.19136442056759,"CAGDPY@GR^EE_ACTUAL_ANNUAL(MED,0)":-6.34147154305661,"CAGDPY@PL^EE_ACTUAL_ANNUAL(MED,0)":1.58176511984872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5949217405,8.38849749810761,9.94747027091188,10.1243577068579,9.34877442177023],"CNYA^FMA_ROE(NTMA,-20AY,NOW,FY,\"PORTAGG\",\"MEANR\")":[null,null,null,null,null,null,null,null,null,null,null,null,12.0357109832906,13.2280587166858,12.9587909941324,13.4756717158229,12.9923016395817,13.7663180618798,13.3712255061331,12.0077667934377],"QAT^FMA_ROE(NTMA,-20AY,NOW,FY,\"PORTAGG\",\"MEANR\")":[null,null,null,null,null,null,null,null,null,null,16.7779984816015,14.8814458142908,12.1435908718223,12.1306553272553,12.3947412104099,11.6446378155882,11.2380998666164,12.7317850147387,13.2901313577645,12.1192289718939],"CAGDPY@VN^EE_ACTUAL_ANNUAL(MED,0)":null,"MCHI^FMA_ROE(NTMA,-20AY,NOW,FY,\"PORTAGG\",\"MEANR\")":[null,null,null,null,null,null,null,16.2489448712134,14.7844836511748,14.7477410048543,13.8220324417748,12.2640889399399,12.007707790005,13.3821124977803,13.2137488528733,12.8854511837074,12.3572373310687,11.9739138767707,11.5500903476445,11.5611834350638],"CAGDPY@AE^EE_ACTUAL_ANNUAL(MED,+1)":8.85,"INDA^FMA_ROE(NTMA,-20AY,NOW,FY,\"PORTAGG\",\"MEANR\")":[null,null,null,null,null,null,null,null,15.6108197056138,16.0962597956391,15.7612771435553,15.9055421047158,15.6930916584344,15.3154529754558,14.6122050459717,14.5354845941958,12.8423838581616,15.1612835327609,14.9254235326562,16.0848706505016],"CAGDPY@AE^EE_ACTUAL_ANNUAL(MED,0)":12.15,"CAGDPY@BR^EE_ACTUAL_ANNUAL(MED,0)":-1.41835074191142,"CAGDPY@ID^EE_ACTUAL_ANNUAL(MED,0)":-0.14,"CC_KR^FG_COMPANY_NAME":"South Korea","USDSAR^FG_PRICE(0)":3.75055,"USDAED^FG_PRICE(0)":3.673,"USDTHB^FG_PRICE(0)":36.5275,"USDCNH^FG_PRICE(0)":7.2591,"USDEUR^FG_PRICE(0)":0.92365956,"USDBRL^FG_PRICE(0)":5.15285,"USDMXN^FG_PRICE(0)":16.732,"USDMYR^FG_PRICE(0)":4.7045,"USDPLN^FG_PRICE(0)":3.9364,"USDIDR^FG_PRICE(0)":15992.5,"FC0000MY^FMA_EPS(NTMA,-20AY,0,CY,,\"PORTAGG\",\"MEANR\")":[10.1502703335633,10.4437641251748,12.9724796418955,18.2503396188415,14.0466581252587,15.3757138406976,21.4306644102707,21.3490176148404,22.6884806281536,22.3178913580133,20.4911207311994,16.0128576219857,14.3791410735133,17.4218065826708,16.3463734540467,15.698795472227,16.3882261570195,16.0085524503313,16.6997810143762,16.7568420392787],"GREK^P_PRICE_RETURNS_PR('52W',2,-10AY,0,AM)":[12.576448,59.26255,36.87457,23.743092999999998,2.6743293,-21.751976,-21.991999,-33.332027,-42.606754,-40.418888,-53.516693,-53.64074,-41.554005,-48.227512,-52.704773,-54.62126,-49.188084,-37.319202,-46.50703,-41.240738,-45.622593,-54.267223,-36.35332,-19.569904,-25.794489,-30.687935,-25.924725,-20.752853,-24.014526,-30.280525,-9.863215,-4.6551824,20.95945,28.460014,12.930429,0.3266096,9.426618,21.76149,48.90908,44.624413,38.36225,24.17897,12.740767,35.439587,46.09778,40.441356999999996,26.45172,36.18554,0.2418518,-1.8416464,-12.903845,-13.363236,-10.601902,-14.094877,-18.632954,-30.454231,-35.8096,-26.765942,-16.70583,-16.661722,-15.432334,2.5617838,6.9823384,2.3241282,13.93689,32.752514,41.397606,48.203457,44.20997,21.714973,-35.392982,-30.684889,-22.982138,-23.898369,-26.613443,-21.333403,-29.568321,-32.232018,-23.15712,-13.283348,-16.781992,-7.669121,75.68213,66.38605,57.687378,42.631638,34.17077,39.314438,46.550835,52.367355,24.103212,7.2477937,13.736666,20.531607,3.1473994,-0.30972958,-5.333245,-12.631947,-11.006069,-10.460204,-20.872265,-15.49179,0.110816956,3.3204079,8.173264,15.184629,20.409811,20.233286,37.83084,54.058872,75.28236,58.361935,57.66753,47.404682,46.74604,44.77612,33.693897,28.385592,38.440144,30.437778,25.90723],"UAE^FG_TOTAL_RETURNC(-10AY,0,AM)":[null,-8.623958,4.11036,4.673302,2.4803638,-9.963697,3.0013442,-15.789109,2.3017526,1.5509129,-6.1760845,15.3628235,-2.2293746,0.47658682,1.7707825,-15.273076,2.3787737,0.28973818,-12.272906,0.18999577,-11.408109,12.106013,5.4313183,7.1515203,-9.501701,8.8390465,4.2312264,-1.9777,-0.19423962,-4.2417645,-4.180658,8.710504,3.550303,-1.5428603,-2.0156682,0.6942034,1.4123559,1.0630131,3.5966992,0.70062876,-0.86530447,1.083231,-5.809355,0.12801886,7.3273063,-4.528576,-3.6993623,0.6737828,-0.42699575,-1.0727942,0.06418228,0.28672218,-2.1407485,-1.9862711,-1.14097,-6.9619775,1.0932922,4.1095853,-0.034618378,8.694136,-13.193112,2.328527,7.0260286,-5.241406,1.5358686,3.6823034,-4.9442887,-2.051282,1.346302,-4.8819184,-31.877254,12.984061,2.167344,6.7849755,-1.3157904,7.50618,-2.2508025,-0.67575574,6.925559,6.438005,9.276199,-0.9516537,1.1529565,2.8784275,7.0249915,1.6538262,-2.4595857,6.8443775,0.8091688,-1.2795925,12.476027,-1.1665106,3.356886,1.6676784,8.72643,2.6030302,-11.575055,-6.596279,5.8900595,1.8541336,-4.1868925,-1.709938,0.6443262,-2.7973354,-0.19801855,-3.3068776,-4.5827627,7.455194,-2.5350213,2.7918577,2.188778,1.6064286,2.4374127,-13.054663,8.505917,0.10420084,3.2213807,-3.519261,3.028226,-4.5424223,-2.0293891],"EIDO^FG_TOTAL_RETURNC(-10AY,0,AM)":[4.2568803,-6.7933855,11.830818,-1.6046464,-2.9146433,-0.4288733,1.1126995,-4.583907,4.6641827,-1.7825305,-0.9800315,1.3196468,-4.7756853,-7.9027357,-3.9910913,-19.068348,-5.5944085,25.12821,-4.5992613,1.1464953,-1.7021239,4.5694947,6.7617297,2.4558425,-7.947862,10.68511,5.8406353,2.4044037,1.0392666,0.91428757,-11.36278,-2.7887225,6.3157916,2.1452188,4.6041965,1.2741327,2.9355764,2.1237135,-2.3127735,2.818489,-1.4985383,-1.2615979,2.8936386,2.193427,7.6923013,-1.9269109,-10.806232,2.4686694,-10.489249,-0.95219016,-0.085181,-0.04261732,-0.93817115,-6.3280225,11.075365,0.93779564,10.554409,-1.7459095,-2.8733492,3.3086777,-11.152983,10.20912,2.856028,-7.721567,3.2563806,1.7964125,-3.8823545,4.841137,2.2612095,-8.69233,-50.187893,29.002512,2.2742033,19.024134,2.156341,2.8496027,-12.416625,10.720563,16.19047,5.4227233,6.2228084,-2.458012,-5.4178896,-2.575487,-4.2844114,-0.5152762,-2.649331,4.898572,0.61320066,14.299107,-2.6251018,-2.559775,2.220285,2.6831388,1.5346289,0.6535888,-4.586035,-0.48747063,-2.4707377,5.5999994,0.75757504,-1.25314,-1.6920447,-2.5544107,3.7466526,-1.1178017,-1.8260896,5.403006,-0.042009354,-1.6594648,2.6614308,-1.8274546,-0.7359326,-9.943306,3.002429,4.4578314,-0.7713258,3.5207987,-0.044173002,-6.71674,-3.363341],"EWW^FMA_DIV_YLD(NTMA,-10AY,0,AM,\"PORTAGG\",\"MEANR\")":[null,null,null,null,null,null,null,null,null,null,null,null,null,null,null,null,null,null,null,null,2.1968351608889,2.14442714579849,2.07495675801286,2.04693248939179,2.08696446538406,2.10606585480091,2.03915218163755,2.06109181493027,2.06216408250956,2.06307489405368,2.29894373213892,2.39732855780373,2.33014568566985,2.3599555172763,2.36769070988372,2.39884163454424,2.39911985333733,2.4957940877578,2.34957928446218,2.36173420951855,2.44849376999252,2.50262021998594,2.51099365242862,2.54609752853683,2.47171946794147,2.59283500202777,2.67636495019066,2.62571838882943,2.90307993507838,2.83711152102051,2.72081947989779,2.74621227474746,2.7756681353668,3.0206444385893,3.51548608927345,3.45233022391664,3.30116877564662,3.29980231823849,3.4678908786603,3.29368015380478,3.56252648235808,3.50365442316612,3.73263457100594,3.89896318276766,3.56842045502186,3.46676705157478,3.50970014383091,3.44930447987345,3.37045113765092,3.3555266124749,4.84928221220376,4.32639868620039,3.46430338447371,3.03558157315259,3.0280802236622,3.05249175107842,3.4527387403786,3.27312340422443,3.20844973716712,3.49843247723257,3.53349648220993,3.43902885435632,3.41819878089447,3.07800278475913,3.0923296144289,3.15752003470922,3.15987715123955,3.14191513615581,3.2011672816577,3.35044288707926,3.52797727378055,3.38757502314486,3.53820551896625,3.7229438769294,3.41441639598319,3.59942590195157,3.74035081962901,4.22814672729268,4.09889312498237,4.04041711731346,4.16838340552413,4.02338785283344,3.6943615645338,3.83534792389798,3.58215376312205,3.53743944240737,3.75754952307129,3.63700492703479,3.71867463939642,3.8055784337138,3.77835339243994,3.96528012700683,4.13661503638533,4.46071206596456,4.06874457801998,3.74658369001799,3.86399389112063,3.80450083111126,4.05247454364337,4.11691163089352,4.14141418185382],"MCHI^FMA_PE(NTMA,-10AY,0,AM,\"PORTAGG\",\"MEANR\")":[8.69693449000228,8.64093018129007,9.20551530152123,9.33512660526282,8.76651090923967,8.53029022536103,8.68318368093244,9.21561040239614,10.1674807648308,10.226890396204,10.2494401767822,12.3774712087746,11.9207853367646,11.3390876904169,10.0120640766458,8.91812029203903,8.79691992989191,9.68405405917163,9.56973766982102,9.41198210799059,8.92634496108784,9.07460928673156,10.109635919566,10.3729467776605,9.56063782512679,10.7680186079244,11.4120421703665,12.0653451908686,12.5872609819999,12.3082343998294,11.8616683299441,11.1360750257609,11.8182479238597,12.5408006596241,12.5615026567505,12.4347349923633,13.0472602625544,13.1144219112438,13.4430015624684,13.6349198595967,13.7112037705532,13.7106197633659,14.3260664975482,13.4439671458192,14.5557975371151,13.65840267911,12.7284668874135,12.2041354787937,12.5653943780661,12.1843077215499,11.8659901800197,11.4344748932788,11.3218835524688,10.0671207750118,10.3699904103857,10.0859803638783,10.694061165605,11.49134204177,11.6939002502167,12.2258835025827,10.6610540353944,11.4857067539972,11.5029440579868,11.012246334015,11.2791343691299,11.0577137030866,11.242209858564,12.2923493795201,12.1854517651754,12.3685765492353,10.5350930777891,12.3075462938221,12.2326058540704,14.2750603498079,15.1371933981519,14.984686218288,14.7250705633359,15.3942016797038,15.2728930117521,15.4369766119463,17.6988685344409,17.9064414279971,16.3059761345789,16.2419747825179,15.3539600918007,15.9463419745961,14.6735480762607,13.0539768706756,13.252886152992,13.9382741242762,13.0479368718347,12.410779460337,12.7386548676764,11.6779524397606,10.9417204368336,10.0532658792468,10.5237541020652,11.7588180965834,11.2886312627689,10.6872131725527,9.96084547858348,9.11707474310779,9.79573708971649,10.6400157117093,12.0481547304706,10.9817962063297,10.7872657506088,10.6617623685031,10.2797810875404,10.1450151704462,10.3159572770922,9.93270697257568,10.1384542117189,9.40127978343448,9.72180044186774,8.93280812617273,8.49055416281757,9.28749753162286,9.22354020457879,9.48233878700908,10.692598022338],"KSA^FMA_PE(LTMA,-10AY,0,AM,\"PORTAGG\",\"MEANR\")":[null,null,null,null,null,null,null,null,null,null,null,null,null,null,null,null,null,null,null,null,10.119312234561,11.4302613046274,11.8741845326332,12.0681378130404,12.2445305975014,12.7716672743161,13.010580888072,12.5968292049191,12.6611755152559,12.3816524126369,14.4259859828471,15.0441999080932,14.9608135495364,15.3270263837809,15.223897951977,15.1609816693886,15.0192897800055,15.5716887212401,15.3805605158655,15.135582916871,14.956367965835,14.175185148606,14.1210899260637,14.3993422886974,15.1367098596683,15.1611488018809,15.223316867385,15.4791086797287,15.3491386724745,15.4146132535347,15.5937265673118,14.8239513014138,14.7186935591596,14.4826338831017,14.5891774127586,15.3124568584491,16.9188509308465,17.3421128333873,17.2505689235047,17.5773825436926,17.0988656853999,17.3721172062286,17.4225807942853,17.846446638132,18.1847862965619,18.3790323877006,18.88187588569,20.1319824897696,19.7331558831867,18.5255182178239,16.9023296387411,17.6480804576356,18.666839046428,19.2791257107235,19.7515076859101,21.2491883637066,24.1439845297439,26.0181248449569,27.3014644074461,28.6268962092049,27.3088649393525,26.5893495592431,26.0330797400426,25.5882083456771,24.8893286267422,24.4066933784077,23.5163054078063,22.8326732489261,22.107126727333,22.3773135933372,20.3313864565383,19.6907889174819,21.3218172701293,21.4579187589177,21.3206708221881,21.2151174039282,19.9782431125602,18.9133990513153,19.2900877018595,18.8898047418841,17.7098315395907,17.6578221105425,16.5447234445759,15.1861819277466,15.9939139759615,15.3320777656733,15.3899950785589,15.8515134240016,16.1666136164533,16.7715605329672,17.3928674998337,17.6656163403308,17.4559405074685,16.8993113865787,18.6146469213029,20.4449816368527,21.4432444583184,22.0697570221591,21.8694669003337,21.3458105225785,20.8076378554838],"EPOL^FMA_PE(LTMA,-10AY,0,AM,\"PORTAGG\",\"MEANR\")":[15.1793834468738,15.1524242111896,14.8001880848055,14.8978078660813,14.6549650304335,14.6045147421207,14.7105711352234,14.3847085446724,17.623422578008,20.4620143859439,19.9735465450182,19.6925404164214,19.025060666414,17.8766730974387,16.7317501032675,15.7358372745524,14.3982340310145,13.9197268613968,12.5243610366431,11.2945674397699,10.5164278161272,12.2833176698783,12.3868812790208,12.3755899135877,12.0510960730465,12.1832551176853,11.9647455950552,12.1863283668724,12.1370814435388,12.5255785396236,12.666525733365,13.6889980407892,13.8859756689717,16.412522463358,15.5256350218395,15.2633514910666,14.9198688809343,14.6528632469005,14.4812980238777,14.303363881826,14.0811316630356,13.3092768201846,12.8662785789751,12.3982825389252,13.141551364747,12.0620031717936,11.6535722208144,11.777074177507,11.5908692602559,11.3743259299507,11.4045739966627,11.8335346489292,11.5004884075962,11.1102608580218,11.3689604150283,11.3418195651404,11.9375731071047,11.6331637266472,11.5922108067891,11.6838531845201,11.2944165402526,11.4817703407976,11.5602317432133,10.9242597515507,10.8801092593021,11.0136497793623,10.9110816187141,10.9447243694109,11.0366035529213,11.2762586713224,9.35728401605644,10.4220971629984,11.2151547725085,12.1561027125956,12.0450035614984,12.6446609250869,12.5595779431232,14.8195983189697,19.688588390657,21.9239382332223,16.1118191764005,15.0875897130742,16.9177603643793,16.3432926719636,16.3173011152419,15.656410787522,14.8347819499378,14.1570879438756,13.7538481168006,13.8266974002687,12.4614098427262,10.6057334258082,10.6453299876505,9.96250639553772,9.78120196150719,9.3467121653088,8.69740458961273,8.11871108713517,7.30942200773655,6.92470831802659,6.34442053357848,6.27440054716644,6.10027606405361,5.92950265634566,6.36559028775667,5.43575023092283,5.98772855195037,6.06302798119655,6.30521537696919,6.58558914642271,6.5988629799411,6.86115570651103,6.92614307521699,7.1754102500707,7.48270062191093,8.97780637728858,8.4276535862192,9.09794623361903,8.93157666602125,8.86273293643378,9.09329045367238],"WL-FDS^FG_PRICE_CHANGE(0,-1AY)":-24.3481917577796,"NI-FDS^FG_PRICE_CHANGE(0,-1AY)":-4.6242774566474,"CPALM-FDS^FG_PRICE_CHANGE(0,-1AY)":8.50464657842862,"BRENT-FDS^FG_PRICE_CHANGE(0,-1AY)":10.7442280407584,"TIOS-FDS^FG_PRICE_CHANGE(0,-1AY)":10.3153745072273,"FC0000AE^FG_PRICE(0)":138.20006,"FC0000BR^FG_PRICE(0)":199.24702,"FC0000MY^FG_PRICE(0)":255.79094,"FC0000ID^FG_PRICE(0)":1143.5574,"VNM^FG_PRICE_MAVG(0,,,,30)":12.5045,"QAT^FG_PRICE_MAVG(0,,,,30)":17.273666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27361735546,16.6003945620161,20.3536752492382,19.4075515529462,18.6086842292654]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7648129789124,8.30770317762994,10.1458776465552,7.50979396092208,8.9090911478552]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83134823894,11.6209108675926,14.724411980088,12.9407920839873,11.9152161134332],"TRYMY10Y-FDS^FG_YIELD(-10AY,0,Y,,\"YTM\")":[4.131911,4.345605,4.195897,3.902544,4.235642,3.300551,2.804181,3.573893,4.131847,3.727505],"TRYAU10Y-FDS^FG_YIELD(-10AY,0,Y,,\"YTM\")":[2.81,2.88,2.76,2.63,2.315,1.375,0.972,1.671,4.051,3.955],"GREK^FMA_ROE(NTMA,-20AY,NOW,FY,\"PORTAGG\",\"MEANR\")":[null,null,null,null,null,null,null,null,5.18059570882845,5.02924580688049,6.28451178662672,5.47133635917723,4.56601797799517,3.94646034419328,4.24726660688599,5.81002154172499,5.36711218261452,8.82576684666533,11.0341923380188,13.1253657894167],"TRYGB10Y-FDS^FG_YIELD(-10AY,0,Y,,\"YTM\")":[1.8155,2.0248,1.2817,1.2536,1.3339,0.822,0.197,0.966,3.662,3.534],"CAGDPY@TW^EE_ACTUAL_ANNUAL(MED,+1)":13.5,"CC_GR^FG_COMPANY_NAME":"Greece","USDCNH^FG_PRICE_CHANGE(0,-3AM)":0.71941614,"USDCLP^FG_PRICE_CHANGE(0,-6AM)":3.5909653,"TUR^FG_TOTAL_RETURNC(-10AY,0,AM)":[10.887408,-0.070512295,6.492746,-8.968538,-6.0998144,4.0748,6.203902,-3.2235086,5.5575967,-9.850073,-5.511504,-3.9705336,5.7971,-5.157125,-8.0029125,-13.330192,-1.6362131,13.057936,1.4958382,-8.719778,-8.048719,8.234954,10.454905,8.718681,-14.953476,9.246958,-14.1882,9.204542,4.0582776,-4.849994,-13.872838,-1.5225172,1.6444325,12.026871,-1.5258908,4.5379043,7.9407096,4.085183,6.4009547,3.4052253,-5.4665146,-3.7854195,-6.1308265,8.2546,8.003807,-1.1910021,-8.303565,-5.4771185,-13.494724,-8.874273,-3.5064042,-26.450039,6.4608097,5.5778623,7.0160627,-2.1064878,10.683942,1.608777,-12.774384,-1.7739296,-14.489704,16.483175,11.207271,-5.8365765,4.3801665,0.0,6.2945366,0.32788515,8.896399,-7.618064,-32.238804,9.526432,6.7370534,9.967863,1.724875,-12.2933445,-7.008219,3.8461566,12.812817,10.2533455,12.999594,3.2154322,-20.66459,-3.184992,6.399274,-4.7020855,-2.8375328,9.938765,-8.012003,-3.213781,-7.8440847,9.625745,-4.306221,-2.7999997,3.1378508,13.566089,-9.793586,-4.121357,-2.2976518,20.630682,3.2786846,16.68812,19.485294,14.0430565,-1.5455544,-5.2327213,-0.9299636,-1.6427159,-12.854158,0.01630783,10.882675,12.947571,6.39683,-6.3846827,0.79568624,-5.6925535,1.4501572,14.651573,-5.818188,5.5708766,13.531876],"KSA^FMA_DIV_YLD(NTMA,-10AY,0,AM,\"PORTAGG\",\"MEANR\")":[null,null,null,null,null,null,null,null,null,null,null,null,null,null,null,null,null,4.48302961758287,4.60041709141388,4.73453007695982,5.63409247725255,5.03554296960119,4.51202209009221,4.22278279101166,4.21644079557829,4.13273059696565,4.21397075677536,4.67284766498667,4.77779866647785,4.91299784450696,4.03407733275291,3.89722961401791,3.81943308913187,3.80196184356404,4.04839982236806,4.01489133301176,4.06950297018711,3.64873965347536,3.7327680765966,4.01707470120408,4.30504846131655,4.47146090977925,4.44729404825662,4.29830375687713,4.1865520619801,4.29906630899824,3.91879321442249,3.70412513623534,3.83285291697277,3.82050959584295,3.77482877627651,4.13739927730545,4.29341186625543,4.40185290131022,4.44081190622201,4.28625476663441,3.94916632055787,3.91529673508834,3.83397317390037,3.66268565242177,3.93188577033954,3.84047715351947,3.89079197931531,3.9707855919493,4.18760667512807,4.21460569493631,4.05486169503111,3.92779515158652,4.01432213810645,4.31386368929773,5.67722528239729,4.71086758723088,4.31032497214617,3.88668831062556,3.85108275989354,3.57206961730571,3.44698032343237,3.28515634086772,3.4208524253011,3.48774251152019,3.46550771826104,3.47635252156795,3.4877139471019,3.29157295056969,3.32979771650752,3.19882647005601,3.31618945969487,3.22980247861053,3.09422271666885,2.83923753427821,3.18030933481354,3.21630399226089,3.00678049747059,2.9261186051588,2.88723117536488,2.71154010499756,3.03947019090805,3.32034625271247,3.22411866331739,3.09538243857409,3.42254408622292,3.26029663730002,3.51436519671818,3.8551346338946,3.67291022859854,3.85641523364655,3.70531200672457,3.4153339076687,3.49134449097541,3.46135714243908,3.37615509275407,3.59772270654964,3.75373644230275,4.05595925141146,3.76615082129269,3.55810525266173,3.41145601013185,3.22666875611432,3.27741412258291,3.45565886524101,3.60485211154396],"WL-FDS^FG_PRICE_CHANGE(0,-1AM)":-5.844382414515,"PLATI-FDS^MAX(FG_PRICE(0,-5AY))":1272.59,"FC0000TR^FG_PRICE(0)":266.82947,"VNM^FG_PRICE_MAVG(0,,,,200)":13.34055,"QAT^FG_PRICE(0)":16.95,"EWZ^FG_PRICE_MAVG(0,,,,60)":31.893,"EWM^FG_PRICE(0)":23.18,"ECH^FG_PRICE_MAVG(0,,,,30)":27.485,"VNM^FG_TOTAL_RETURNC(0,-3AM)":-1.6845345,"TUR^FG_TOTAL_RETURNC(0,-3AM)":12.883115,"QAT^FG_TOTAL_RETURNC(0,-3AM)":-5.254322,"INDA^FG_TOTAL_RETURNC(0,-3AM)":3.88031,"EZA^FG_TOTAL_RETURNC(0,-3AM)":11.577845,"EWY^FG_TOTAL_RETURNC(0,-3AM)":-1.9643962,"EWT^FG_TOTAL_RETURNC(0,-1AM)":10.21378,"EPU^FG_TOTAL_RETURNC(0,-1AM)":7.839048,"ECH^FG_TOTAL_RETURNC(0,-3AM)":15.479517,"SPY^PERCENT_CHANGE(FMA_EPS(+1,0,,,,\"PORTAGG\",\"MEAN\"),FMA_EPS(+1,-1AM,,,,\"PORTAGG\",\"MEAN\"))":0.650027083400345,"UAE^SIZE(FG_CONSTITUENTS)":42,"EWT^FMA_COS_UP(\"EPS\",\"1M\",+1,NOW,,,\"PORTAGG\",\"MEANR\")":44.0,"CNYA^SIZE(FG_CONSTITUENTS)":519,"EWY^FG_ROE(0)":6.23721393400389,"REFVNDISC-FDS^FG_YIELD(NOW,,,0)":3.0,"TRYGR10Y-FDS^FG_YIELD_NAME":"Greece Benchmark Bond - 10 Year","REFIDRREPO-FDS^PROPER_NAME(0,,,\"SECURITY\",\"NAME\")":"Indonesia BI (Reverse) Repo Rate - 7 Day","TRYSA10Y-FDS^FG_YIELD(0,,,,\"YTM\")":5.299484,"TRYZA10Y-FDS^FG_YIELD(0,,,,\"YTM\")":11.966108,"CC_BR^IMF_IFS_RCPI_Q(0)":4.3081307,"VWO^JULIAN(FMA_DIV_YLD(NTMA,NOW,NOW,M,\"PORTAGG\",\"MEANR\").DATES)":45412,"VNM^FG_FCF_YIELD_NTM(0)":-1.31929576646402,"MCHI^FMA_EVAL_EBITDA(NTMA,0,,,\"PORTAGG\",\"MEANR\")":9.44336727652941,"EWT^FMA_DIV_YLD(NTMA,NOW,NOW,M,\"PORTAGG\",\"MEANR\")":3.16931360420137,"EPU^JULIAN(FMA_DIV_YLD(NTMA,NOW,NOW,M,\"PORTAGG\",\"MEANR\").DATES)":45412,"EWT^FG_COMPANY_NAME":"iShares MSCI Taiwan ETF","CNYA^FG_PRICE_MAVG(0,,,,200)":26.680916,"EWM^FMA_COS_DOWN(\"EPS\",\"1M\",+1,NOW,,,\"PORTAGG\",\"MEANR\")":11.0,"EWW^FG_ROE(0)":11.3178804759326,"TRYSA10Y-FDS^FG_YIELD_NAME":"Treasury - SAUDI ARABIA Benchmark Bond 10Y","REFCLMPR-FDS^(SUBARRAY(NOT_NA(NO_REPEAT_F(FG_YIELD(NOW,-10AY,D))),0,1)-SUBARRAY(NOT_NA(NO_REPEAT_F(FG_YIELD(NOW,-10AY,D))),1,1))*100":-50.0,"EWY^FMA_EVAL_EBITDA(NTMA,0,,,\"PORTAGG\",\"MEANR\")":6.377478454731,"EPOL^FMA_EVAL_EBIT(LTMA,NOW,NOW,M,\"PORTAGG\",\"MEANR\")":7.82924104255961,"EIDO^FMA_DIV_YLD(NTMA,NOW,NOW,M,\"PORTAGG\",\"MEANR\")":4.36079694658015,"CNYA^JULIAN(FMA_DIV_YLD(NTMA,NOW,NOW,M,\"PORTAGG\",\"MEANR\").DATES)":45412,"EWM^FG_COMPANY_NAME":"iShares MSCI Malaysia ETF","TRYPE10Y-FDS^PCTCHG(FG_YIELD(0,,,,\"YTM\"),FG_YIELD(-3AM,,,,\"YTM\"))":4.3353333,"USDVND^STD(FG_PRICE_CHANGE(0,-3AY,M))":1.28214821198522,"USDZAR^STD(FG_PRICE_CHANGE(0,-3AY,M))":4.01042902885765,"USDMYR^FG_PRICE_CHANGE(0,-3AM)":-1.5279949,"USDPLN^FG_COMPANY_NAME":"Polish Zloty per U.S. Dollar","FC0000ZA^FMA_EPS(NTMA,-20AY,0,CY,,\"PORTAGG\",\"MEANR\")":[21.1738585852974,23.7133706065956,27.6451629284564,34.5616321819067,25.2671072778123,27.8489815431612,37.9789630694542,35.9045018487394,33.8436615365372,28.3585622697464,25.4355494971776,19.9580367513956,24.0966328377552,27.7235772532822,26.7049155898813,31.8782513706453,34.3748784343716,36.8513185482666,38.6122872227081,33.9202192829757],"MCHI^P_PRICE_RETURNS_PR('52W',2,-10AY,0,AM)":[2.3632407,17.474926,16.51075,16.912413,3.2712817,4.93207,2.6537657,7.88064,20.471155,17.744017,25.061548,46.5099,40.71201,31.097233,7.828903,-10.229456,-6.780857,6.6581964,-1.5380085,-4.3366013,-24.793768,-24.298023,-19.743967,-30.79362,-34.82654,-25.89823,-13.257867,7.3607802,13.747072,3.159678,-1.6595542,-5.266285,21.420431,31.274378,24.04002,17.779541,36.227394,30.862415,33.829533,33.185555,29.652798,35.934185,53.47445,58.279873,63.962162,48.024033,34.94533,34.189056,31.65387,24.2612,10.888994,-0.34606457,-4.0410995,-14.933449,-20.190351,-20.328909,-24.14375,-13.136,-9.920824,-1.6661704,-19.192732,-9.893841,-4.1534243,-7.714939,-3.0396402,8.235073,9.013737,24.035954,16.810776,9.258139,-11.90728,-6.16436,6.671691,14.893972,21.945404,32.62644,26.939964,37.697662,38.283073,26.947546,40.936672,44.584167,58.90293,42.411232,30.869507,21.812689,5.072963,-8.098048,-5.241549,-6.423312,-15.99111,-20.635868,-29.604643,-34.90771,-33.411304,-40.674026,-36.712032,-31.822193,-32.872635,-26.891972,-35.058445,-44.20966,-34.898014,-23.911196,-11.101752,-15.40494,-8.469862,1.6518831,-6.4171076,-16.659838,-11.5628,-8.121485,1.5954256,5.6843996,3.6906958,-13.545012,-29.946636,-15.920544,-14.274364,-12.193704,2.2150517],"KSA^FMA_PE(NTMA,-10AY,0,AM,\"PORTAGG\",\"MEANR\")":[null,null,null,null,null,null,null,null,null,null,null,null,null,null,null,null,null,12.648123510244,12.521143656689,12.4930101968088,10.6555420336937,11.8573710402155,13.0747350058701,13.1330463906266,13.0275117454629,13.5581102033761,13.5779921226817,12.4172075320677,12.1408889960837,11.5007438222392,13.9821961857883,14.0643689956363,14.2726095916772,14.4474094592199,13.6792882140768,13.6383463995139,13.5271605341978,14.8913029301073,14.5402886085057,13.9861657336266,13.7042902078632,12.7887408375678,12.9303203086289,13.2331496283487,13.871987275381,13.7585648423647,14.7386890504457,15.4403122023852,14.9053191673545,14.852490442887,15.100407963759,13.8505800546566,13.7376214226049,13.3950402240253,13.3934048578391,14.2141378292048,15.8184733512964,16.0367063652948,16.3346419069108,17.4224526612581,16.016542871054,16.6848087825968,16.627998840732,17.0367557099754,16.9477904945701,16.7425654156884,16.8146102184754,17.2212612948845,16.9885602387263,16.1007337119295,13.0775548948498,16.2369832541531,18.623590513252,19.1338030642896,19.5451265220698,20.3508807332166,21.3179691545936,21.3734097338891,20.0370373744957,19.3706963136723,19.0727175462756,18.4814537890568,18.4398393985117,19.2127107723208,18.9663272579949,19.4335231977298,18.9743206857565,18.5669575232,18.6278411812444,19.4490717206687,17.9189257790085,17.7409631456778,19.2278772606658,19.2939004632,19.1502833795436,19.1898183341761,16.4742803311719,15.1006759750516,16.3282259225362,16.3316257019694,15.0234971910622,15.6122793118007,14.7399837542409,14.0077731710369,14.9286319728689,14.4698910406822,15.1774171342992,16.3773079314916,16.6152748238794,17.0697031834099,17.5216609685429,17.0330472911154,16.1538736317739,15.0076003749703,16.4372359492378,17.5420115744877,18.5276659381218,19.1669593776327,18.6862218081134,17.7376755650188,17.0151851720894],"ECH^FMA_PE(NTMA,-10AY,0,AM,\"PORTAGG\",\"MEANR\")":[14.3249461796585,14.2036099375559,14.8110593663598,14.5466350863203,14.4957788741695,13.7842585426378,14.5908873043192,13.4558181355175,13.2738075514802,13.6423737328051,13.2311062481717,14.1722692990026,14.1446935567215,13.6174164720322,12.7131613381491,12.3743633761235,12.2940307610498,13.1940138887261,13.6657984477562,12.384752598105,11.8829064250098,12.3483566930332,13.2940465220958,13.9920010561685,13.5499709815583,13.9611115267508,15.338091911385,15.7726276078987,15.5116204297239,16.5138015584891,15.9587940531175,15.1261973034365,15.5877217081874,16.0908570306358,16.7247000539528,17.2112005603662,17.3230276119289,16.8964252656811,17.6197418401352,18.3426972654359,19.2297814896548,15.5779641191581,13.2188163156869,14.1504896658329,14.6116790388981,14.4354563247336,13.7384469313867,13.9706686544304,13.2523798944451,11.832110666049,11.9709122821921,12.1845258493898,12.3871962326784,14.9904298529314,15.0427777446014,14.3532456964642,15.666110800503,16.0736755207221,15.031028125265,14.8251959003329,13.929208163758,14.8759476294889,15.064578264585,13.664451693224,15.1614252525888,14.7829376482673,13.9233150321331,13.4771123982304,13.3016086208919,12.7709428698098,8.20062074561479,10.895955099249,13.111974970329,14.8296657921751,14.8904086711243,16.0030431767279,13.5228237725386,14.3589443948598,14.9382516240907,13.8422967964831,14.5751315099429,14.156991177061,14.4144306234347,13.774036690175,11.1238951261258,11.3532926748849,10.3669155891899,10.1219401154475,10.193759069182,9.14784640923301,10.0222446451239,9.24915287811912,10.0366549931362,9.61410579044741,9.69700848235391,9.23856514876003,8.90872822770694,6.40004213336378,6.60785795859538,6.63866317751164,7.26392145447857,7.22755218485243,7.00682216895,7.31350080068101,7.70782389969321,7.86781437013838,7.33737586868773,7.55344981183497,8.45609128088369,8.41068015182613,9.29075020388639,9.22915460502626,8.47415627009687,8.27748163628151,8.89192815203747,8.11003160664805,7.9809876069272,7.27824484207567,8.14016516031754,7.86700137159638,7.91739437820043],"PLATI-FDS^FG_PRICE(0)/MAX(FG_PRICE(0,-1AY))":0.97294776119403,"W-FDS^FG_PRICE_MAVG(0,,,,30)":6.1364164,"TIOS-FDS^FG_PRICE(0)/MAX(FG_PRICE(0,-1AY))":0.815274694783574,"FC0000IN^FG_PRICE(0)":1366.9381,"FC0000PH^FG_PRICE(0)":313.99185,"EWT^PERCENT_CHANGE(FMA_EPS(+1,0,,,,\"PORTAGG\",\"MEAN\"),FMA_EPS(+1,-3AM,,,,\"PORTAGG\",\"MEAN\"))":-1.8906077236172,"EPHE^FG_TOTAL_RETURNC(0,-1AM)":0.79239607,"EWJ^P_PRICE(0)/P_PRICE_LOW_PR(0,,,,,,\"PRICE\",\"INTRA\",\"52W\")-1":0.18391609,"EWJ^FMA_COS_DOWN(\"EPS\",\"1M\",+1,NOW,,,\"PORTAGG\",\"MEANR\")":84.0,"GREK^SIZE(FG_CONSTITUENTS)":30,"EWM^SIZE(FG_CONSTITUENTS)":34,"EPU^FMA_RBICS_REV_CURRENT(30, LOC, \"PORTAGG\")":24.3073936173843,"REFINREPO-FDS^FG_YIELD(NOW,,,0)":6.5,"REFTWDISC-FDS^(SUBARRAY(NOT_NA(NO_REPEAT_F(FG_YIELD(NOW,-10AY,D))),0,1)-SUBARRAY(NOT_NA(NO_REPEAT_F(FG_YIELD(NOW,-10AY,D))),1,1))*100":12.5,"TRYQA10Y-FDS^PCTCHG(FG_YIELD(0,,,,\"YTM\"),FG_YIELD(-3AM,,,,\"YTM\"))":null,"TRYTW10Y-FDS^PCTCHG(FG_YIELD(0,,,,\"YTM\"),FG_YIELD(-1AM,,,,\"YTM\"))":-4.076736,"TRYPH10Y-FDS^FG_YIELD_NAME":"Philippines Benchmark Bond - 10 Year","TUR^FMA_PE(LTM,0,,,\"PORTAGG\",\"MEANR\")":8.52096736334147,"GREK^FMA_PE(NTMA,0,,,\"PORTAGG\",\"MEANR\")":7.36628405726902,"EWY^FMA_EVAL_EBIT(LTMA,NOW,NOW,M,\"PORTAGG\",\"MEANR\")":19.050011437065,"EIDO^FG_FCF_YIELD_NTM(0)":null,"CNYA^FMA_PE(LTM,0,,,\"PORTAGG\",\"MEANR\")":15.5841100199138,"VNM^FG_TOTAL_RETURNC(0,-1AM)":6.910908,"EWM^FMA_COS_UP(\"EPS\",\"1M\",+1,NOW,,,\"PORTAGG\",\"MEANR\")":9.0,"TRYZA10Y-FDS^FG_YIELD_NAME":"South Africa Benchmark Bond - 10 Year","TRYVN10Y-FDS^FG_YIELD(0,,,,\"YTM\")":2.870478,"VGK^FMA_EVAL_EBIT(LTMA,NOW,NOW,M,\"PORTAGG\",\"MEANR\")":13.2614541152763,"TUR^JULIAN(FMA_DIV_YLD(NTMA,NOW,NOW,M,\"PORTAGG\",\"MEANR\").DATES)":45412,"MCHI^FG_FCF_YIELD_NTM(0)":6.4229974108691,"GREK^FMA_PE(LTM,0,,,\"PORTAGG\",\"MEANR\")":7.68651798426192,"EWT^FMA_PE(NTMA,0,,,\"PORTAGG\",\"MEANR\")":17.7415311832713,"EWY^FG_FCF_YIELD_NTM(0)":4.96635878039809,"EWT^FMA_PE(LTM,0,,,\"PORTAGG\",\"MEANR\")":21.6516259477395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63542503008,16.7115371927188,16.932589581546,16.8118349535848,14.5722752976358],"TRY10Y-FDS^FG_YIELD(-10AY,0,Y,,\"YTM\")":[null,null,null,null,null,null,null,null,null,null],"CAGDPY@TR^EE_ACTUAL_ANNUAL(MED,+1)":-2.6,"USDTHB^STD(FG_PRICE_CHANGE(0,-3AY,M))":2.99071471703012,"USDCNH^FG_PRICE_CHANGE(0,-1AM)":-0.024789572,"USDMXN^STD(FG_PRICE_CHANGE(0,-3AY,M))":2.33291578486215,"USDCLP^FG_PRICE_CHANGE(0,-3AM)":-7.7110586,"SET-BKK^FG_TOTAL_RETURNC(-10AY,0,AM)":[-1.8652678,5.144465,4.960859,0.9996295,2.1297812,-3.6103964,3.0325174,-3.0414104,4.3861866,-0.27778745,-4.635203,1.6335368,-1.358068,-1.3538003,-3.8962722,-5.471879,0.70005655,2.9792666,-1.547873,-8.586878,-0.5076468,4.5550942,6.514609,-0.09559393,-2.064073,3.9596438,5.063355,2.0495296,-3.0635178,0.50171614,-0.26726723,0.9102106,4.0272117,-0.2209127,0.08932352,0.0828743,-0.33949018,1.1293054,-0.55928826,-0.008261204,5.4449677,2.0210266,0.87441206,2.0323515,5.149019,-1.2949109,-0.766021,-0.2268374,-2.041185,-6.76437,2.493608,1.7335534,3.0103207,-5.555427,-2.1982968,-1.6503334,1.3821602,2.5856614,-0.77807903,1.5197873,-3.6809444,6.6685677,0.45017004,-4.5330944,-1.4508009,0.5342603,-2.0680845,-1.5115321,0.008261204,-4.9952326,-31.478374,24.214722,2.4706602,4.023111,0.23738146,-4.441583,-2.7130842,-3.9873123,17.04172,-0.31047463,5.780995,0.18225908,4.240942,-0.6814778,-0.07402301,2.5534034,-2.950853,2.3927212,3.1022668,0.75223446,0.18254519,-0.30065775,0.685966,2.6453137,-1.0905147,0.7532954,-3.2716334,-4.74965,-0.3132999,5.2063107,-0.11386275,-2.4753153,2.0787835,-0.42169094,4.110539,-1.8746614,-3.5595179,-2.214414,-1.509279,-1.9102931,1.5761971,1.2921333,-1.7056108,-8.094102,0.51881075,-0.10806322,-3.4552872,3.0666232,-1.2230515,-1.7074168,0.764668],"VNM^FMA_DIV_YLD(NTMA,-10AY,0,AM,\"PORTAGG\",\"MEANR\")":[3.52111632947372,3.06067882310247,3.46826793947691,3.02402519907901,3.38843093842253,2.88615246113617,3.00114679860592,3.37407163139531,3.01278040437768,3.06790262185426,3.05229200942381,2.70241377174255,2.75007752245472,2.73111149723213,4.05528524703619,4.15037679148476,3.32021105054457,3.16492505452476,2.96038099971111,2.67326008077826,null,null,2.8515474306723,3.07664152539453,3.24008302228254,3.27617039752385,3.22889971336934,3.04889178027562,2.69051408057385,2.59354555473262,null,2.87743597877897,2.87254690018589,3.13324444253004,2.67749240484214,2.66447516805403,2.39207632605235,1.89867576368111,1.55463628285472,1.76853005288129,1.72335697639089,1.84449839082455,2.0415595858927,1.63152493895532,1.49380039502379,1.71784839938632,1.75193383481599,1.95631656798827,1.79535593167479,1.61506082054109,1.66218528046833,1.64952742844002,1.74847812805453,1.74737633722024,1.79629018343445,1.60750070723921,1.80752021513934,1.53702985329563,1.5650744952596,1.60300700188232,1.5377633440959,1.63767757699863,1.75761886441574,1.91060029428943,1.7711820664749,1.81896789583557,1.5955030971088,1.51541100125383,1.49092287859282,1.58462278956184,2.17367934526165,1.75879116950566,1.35124513492926,1.33656517800072,1.36464367767428,1.39272573268816,1.31096094083914,1.32991524794756,1.32216596281607,1.22234562052679,1.17227691432291,1.18712875645575,1.24607241530414,1.12811010083247,1.20117743136288,1.37697971144643,1.43640568805332,1.45004430646178,1.42084180902635,1.42471943157331,1.4457027848858,1.5806209066301,1.58985197383122,1.7075545081244,1.5273720097093,1.69705203382263,1.88786878038691,1.97351277940639,1.93206108454091,1.94703438695417,2.18070351627788,2.56383155239615,2.64801256499705,2.70440806814341,2.63397402023011,2.56741182505226,2.59682423704075,2.52839832654585,2.5568465553681,2.53742821775054,2.6328931749366,2.53106604215447,2.70804723849745,3.14758490765407,2.77619165315514,2.89718748302675,2.74839786259332,2.85146138570522,2.24015643133171,2.46470197357692,1.9324748193032],"EPHE^FMA_PE(LTMA,-10AY,0,AM,\"PORTAGG\",\"MEANR\")":[19.3844581790283,19.1858891172336,19.2837642564261,19.6106367915888,19.9206109114313,19.4321162758837,20.1335356854793,19.8850430558012,20.6421582788831,21.1681975911951,20.9298103739008,20.7074031223296,20.5835188493055,20.110354896631,20.2726435147055,19.5460196106866,18.8459634611202,19.497000234091,18.4362806872831,18.3374975204112,16.1121528878161,17.1372915564794,16.9840443360564,16.8484916309123,16.8611896635023,17.5473163168141,18.0738623583198,18.52299492439,17.9901165440457,17.9598999406133,16.4800597532458,16.403163259374,18.4229608731132,18.1080835692611,17.8384964423157,17.9698949622681,18.0096193829905,18.0191097367459,17.9345692526595,18.1123105344856,18.7740031140115,19.4022672396539,19.1191075627715,19.5225778076981,20.5150631613265,19.3362649612877,19.0455867860272,18.6411841990859,18.4753883464987,17.7471091595072,17.6518746977751,17.9903998258394,16.6920862280179,16.2566191967539,16.1445547821624,16.762028038289,17.5395543051354,17.3868879813273,16.8253659801536,16.7040503793407,16.6211036137641,16.7642067436604,16.8563257333557,16.0735642774525,15.3386856609575,15.2472440639363,14.8345411763278,15.1922230683827,14.6454892837675,14.0204912896798,12.1711434051147,12.7500714624197,13.5886060050698,15.4029343713922,15.8363663086946,17.7181123922212,18.7110139521991,21.5155510059869,25.0431006401887,25.1064800674214,25.3019473461891,23.4114388452536,22.3262647263696,21.6248475826947,21.1039684411767,21.5673568639499,20.3772561984778,19.9520117664219,20.3498870651934,21.2985839992522,20.6187772343955,19.8831709641063,19.6492933566149,19.6029918611461,18.970157047632,18.504821710234,17.6662882390744,16.7609411038197,16.4782259763675,16.1671070032662,14.9988657686926,14.0504990948157,14.0191333577592,13.8012137514834,14.7323128738807,13.5866092964381,13.1247121136021,12.9769510267468,12.6612582790313,12.0076230192186,11.9912073841947,11.1232501625663,11.0880910914103,10.8199248741934,10.4855550400862,9.98818531374694,10.1128438588239,10.7137900716493,10.5479872980828,10.3282058495796,10.155240251716],"WL-FDS^FG_PRICE_MAVG(0,,,,30)":565.85,"FC0000TW^FG_PRICE(0)":361.29477,"VNM^FG_PRICE_MAVG(0,,,,60)":13.020917,"MCHI^FG_PRICE_MAVG(0,,,,200)":41.58795,"EWZ^FG_PRICE_MAVG(0,,,,30)":31.362,"EPU^FG_PRICE_MAVG(0,,,,200)":34.243446,"TUR^FG_TOTAL_RETURNC(0,-1AM)":13.531876,"QAT^FG_TOTAL_RETURNC(0,-1AM)":-2.305472,"INDA^FG_TOTAL_RETURNC(0,-1AM)":3.460884,"EZA^FG_TOTAL_RETURNC(0,-1AM)":9.42328,"EWY^FG_TOTAL_RETURNC(0,-1AM)":1.4129162,"EPU^PERCENT_CHANGE(FMA_EPS(+1,0,,,,\"PORTAGG\",\"MEAN\"),FMA_EPS(+1,-3AM,,,,\"PORTAGG\",\"MEAN\"))":0.143110421212125,"ECH^FG_TOTAL_RETURNC(0,-1AM)":9.220934,"SPY^FMA_PCT_ABOVE_MAVG(200,0,,,,\"PORTAGG\")":77.6447105788423,"UAE^FMA_COS_DOWN(\"EPS\",\"1M\",+1,NOW,,,\"PORTAGG\",\"MEANR\")":5.0,"CNYA^FMA_COS_DOWN(\"EPS\",\"1M\",+1,NOW,,,\"PORTAGG\",\"MEANR\")":293.0,"REFVNDISC-FDS^PROPER_NAME(0,,,\"SECURITY\",\"NAME\")":"Vietnam Discount Rate","GREK^FMA_COS_DOWN(\"EPS\",\"1M\",+1,NOW,,,\"PORTAGG\",\"MEANR\")":2.0,"REFINREPO-FDS^PROPER_NAME(0,,,\"SECURITY\",\"NAME\")":"India Repo Rate","TRYID10Y-FDS^FG_YIELD(0,,,,\"YTM\")":6.833361,"VNM^FMA_DIV_YLD(NTMA,NOW,NOW,M,\"PORTAGG\",\"MEANR\")":2.41516457277059,"CC_MX^IMF_IFS_RCPI_Q(0)":null,"VNM^FMA_PE(NTMA,0,,,\"PORTAGG\",\"MEANR\")":16.1772971924727,"GREK^JULIAN(FMA_DIV_YLD(NTMA,NOW,NOW,M,\"PORTAGG\",\"MEANR\").DATES)":45412,"EPOL^FMA_EVAL_EBITDA(NTMA,0,,,\"PORTAGG\",\"MEANR\")":5.03992460094272,"EIDO^FMA_PE(NTMA,0,,,\"PORTAGG\",\"MEANR\")":11.9398710714717,"CC_US^IMF_IFS_RCPI_Q(0)":3.209516,"CAGDPY@PE^EE_ACTUAL_ANNUAL(MED,0)":0.830176564820384,"USDVND^STD(FG_PRICE_CHANGE(0,-1AY,AM))":1.00561705727776,"USDZAR^STD(FG_PRICE_CHANGE(0,-1AY,AM))":2.91806513392025,"USDMYR^FG_PRICE_CHANGE(0,-1AM)":-1.5794992,"USDPHP^STD(FG_PRICE_CHANGE(0,-3AY,M))":1.79675386057915,"FC0000BR^FMA_EPS(NTMA,-20AY,0,CY,,\"PORTAGG\",\"MEANR\")":[15.9634949001004,22.2696791655794,25.3174251708984,34.9736621173337,24.6574673527732,33.0231081589585,41.0114711872356,37.007882634304,30.1094290911466,25.6248810860719,21.0352241233002,13.1501919917959,17.125192658189,19.0183216245735,20.4219604225124,20.1300196376573,15.3188008139011,18.753940755244,21.2767394345033,24.3311095509281],"INDA^P_PRICE_RETURNS_PR('52W',2,-10AY,0,AM)":[16.30863,29.676115,27.083445,51.714897,34.349728,26.469648,40.60122,22.424911,36.207794,36.704384,28.448475,18.53645,6.1849356,4.923165,2.058673,-6.845599,-9.813791,-1.1459231,-15.538388,-5.9559765,-22.917826,-25.219648,-16.055382,-12.528366,-14.622837,-6.8628907,-6.2185946,3.193307,9.923387,2.2873878,-3.393209,-4.6909037,9.964943,25.049995,17.344152,15.217579,21.812487,15.605831,18.767357,16.8041,11.71,17.318296,35.47003,39.12597,39.255585,19.699705,7.467234,11.800694,4.438412,5.208969,1.939106,5.5208445,-0.5591631,-13.104338,-7.650447,-7.479125,-13.628447,-5.0537705,5.131495,2.8256297,7.9974294,6.2095165,1.0739684,-8.889484,3.0644774,16.743301,7.98105,9.711826,9.942365,9.396542,-40.29227,-24.755526,-24.619167,-14.640432,-5.4355917,4.632497,-2.7680278,3.3468723,7.4361324,10.569429,16.922426,22.083103,106.97098,53.93025,65.045456,49.55213,39.542316,40.34735,52.39259,42.13221,34.73358,23.316933,17.156183,10.398256,9.850777,18.38311,2.0959496,-5.245042,-1.4562964,-0.87408423,-11.549532,-10.811817,-7.3423567,-8.609587,-7.444489,-10.189188,-11.131507,-10.782999,-0.3392279,8.358002,7.6384306,2.6039124,4.8814774,4.726839,5.583954,16.246355,14.70387,31.720757,31.288635,30.66293,31.07655],"VNM^FMA_PE(NTMA,-10AY,0,AM,\"PORTAGG\",\"MEANR\")":[11.8098963627937,12.574124657732,12.888181632505,12.9649703770607,12.0944014638676,11.984429934958,11.5335730043369,11.6240054019129,12.0503441251776,12.8226130813351,12.0004947505014,13.4157307926879,13.8495548039924,14.1248491780437,14.5104099593829,13.5592388839599,13.8434292008042,14.919623050274,14.3259307093289,11.7774976152523,12.0847418799816,13.8528715694997,12.3111904131416,12.9978381770614,12.6442539039444,12.6546437127966,12.2583771659017,11.6714503926448,13.4686657564069,13.1997318818125,12.9433286377742,12.4945231426711,12.3385044583367,13.3198557698702,14.3966473626668,14.1731562075898,14.518188483758,15.5812271329135,14.7291817188513,15.493653722597,15.2133731498363,16.2882149855965,17.7718875212747,18.6432857731538,21.2293385094743,20.6264051867422,21.2934798922284,20.7469265822355,19.3727768594215,17.5041945944176,17.2889435259695,17.8804861823852,17.2644641772868,14.9798612749593,15.3271180334577,14.8279778485004,15.1837658937588,16.8312019000439,17.4491133002201,17.8211889878324,17.6157904365472,16.7167541037118,15.8930854013483,14.3641125131239,13.5975764731582,14.3440475760245,14.5863784940619,14.2265555470703,14.171728312271,13.3177553011955,10.519893881121,14.0999319814277,15.0166721571069,14.7381255590711,14.9384971439058,14.4397639676513,15.5763621365964,15.6235126225309,15.5624772531948,16.7039558107898,17.2264533621091,17.1262371076263,16.5090042478771,16.9361737122449,16.748580631307,17.6446288958619,16.3881073265335,15.9596092528373,16.4785230712116,16.0868265862437,16.1447852042538,16.3321292355157,15.1320539793588,14.8679329137719,14.7803256229601,13.5037571216163,12.082307677475,11.0661229080485,10.8957267902458,11.438707025303,11.1746103526014,10.1735738041789,10.1914810897227,10.9978462706108,11.6858660890778,12.2699918032544,13.3955024551001,13.5330546388645,14.5419738557464,15.0694515944682,13.8223088344141,13.8499967399333,13.0974586887946,13.360337514977,14.3479882344463,14.1872295489432,14.5240379479483,16.0854075524592,16.9857729072703,14.6910699419663,16.1772971924727],"CNYA^FMA_PE(NTMA,-10AY,0,AM,\"PORTAGG\",\"MEANR\")":[null,null,null,null,null,null,null,null,null,null,null,null,null,null,null,null,null,null,null,null,null,null,null,null,null,null,13.7169977661143,13.9103808993389,13.7008447315161,13.7772854516585,14.186451465136,13.1758423054076,13.1832214826605,13.2811620588632,13.2564957509113,13.4571613973094,13.2723869595487,14.1273246128051,14.2594601842633,14.0375738858983,14.2816923121047,14.3673776551605,14.9878480450439,13.9114585941172,14.6544556129732,13.4328443664306,12.6904136646096,12.2752036742279,11.8141871842035,11.2298367115943,10.7334515986383,9.98444957219935,10.5150330386154,9.72392030283391,9.67993682212364,9.47818862876911,9.87122898431685,10.9221795164751,11.6390891424807,12.1162807413254,10.7618919400161,11.8580685153787,11.5117719288659,11.6598093189807,11.7943754447812,11.5760741241691,11.3626148906248,12.3244854238837,12.4597025250239,13.0224881461749,11.1666785749332,12.5557303882646,12.8110870961882,14.1683651729575,16.1320780546998,16.009886424991,15.9369674748362,15.7426073170772,16.3806001898389,16.6121841239744,18.3836343946093,18.1071380904982,15.9428656783524,16.3068043853431,16.1327735953382,16.4813087316812,15.9954244582533,15.1230005759727,15.3082540509112,15.4037651662945,15.3518624741524,15.3595729744502,14.5567493449067,13.9169196919735,12.8671059085708,12.1046856923623,12.695707588324,13.3706495838338,13.0308594506859,12.7823535995275,11.798012354535,11.4103901213605,11.6757255748058,11.6196799056726,12.6515077892158,12.3698637566771,11.9917947456829,12.123192344839,11.8634670686152,11.8841833724897,11.6811161475572,11.4019133050275,11.7901959672232,10.8510988532263,11.5234458035746,11.1004037365162,10.5765189904071,11.4520274436066,11.7504503559846,12.1421728678807,13.0415360098746],"PLATI-FDS^FG_PRICE_CHANGE(0,-3AM)":14.7414741474147,"W-FDS^FG_PRICE(0)":6.98,"EPU^FG_PRICE_MAVG(0,,,,60)":39.982265,"EWY^PERCENT_CHANGE(FMA_EPS(+1,0,,,,\"PORTAGG\",\"MEAN\"),FMA_EPS(+1,-3AM,,,,\"PORTAGG\",\"MEAN\"))":1.2486775299426,"EWT^PERCENT_CHANGE(FMA_EPS(+1,0,,,,\"PORTAGG\",\"MEAN\"),FMA_EPS(+1,-1AM,,,,\"PORTAGG\",\"MEAN\"))":1.14693641667298,"EPHE^PERCENT_CHANGE(FMA_EPS(+1,0,,,,\"PORTAGG\",\"MEAN\"),FMA_EPS(+1,-3AM,,,,\"PORTAGG\",\"MEAN\"))":2.52210828113919,"EWJ^P_PRICE(0)/P_PRICE_HIGH_PR(0,,,,,,\"PRICE\",\"INTRA\",\"52W\")":0.9397072,"EWJ^FMA_COS_UP(\"EPS\",\"1M\",+1,NOW,,,\"PORTAGG\",\"MEANR\")":122.0,"EPOL^FMA_RBICS_REV_CURRENT(30, LOC, \"PORTAGG\")":49.4297083760557,"REFTWDISC-FDS^FG_YIELD(NOW,,,0)":2.0,"TRYQA10Y-FDS^PCTCHG(FG_YIELD(0,,,,\"YTM\"),FG_YIELD(-1AM,,,,\"YTM\"))":null,"TRYMY10Y-FDS^PCTCHG(FG_YIELD(0,,,,\"YTM\"),FG_YIELD(-3AM,,,,\"YTM\"))":0.34202057,"CC_KR^IMF_IFS_RCPI_Q(0)":3.0037532,"TRYJP10Y-FDS^FG_YIELD(-10AY,0,Y,,\"YTM\")":[0.3138,0.2604,0.0315,0.0465,-0.0051,-0.0208,0.0201,0.0672,0.4224,0.6127],"CAGDPY@TR^EE_ACTUAL_ANNUAL(MED,0)":-5.05351907961185,"CC_BR^FG_COMPANY_NAME":"Brazil","USDTHB^STD(FG_PRICE_CHANGE(0,-1AY,AM))":2.00950765607461,"USDCNH^FG_PRICE_CHANGE(0,-1AY)":2.7880788,"USDMXN^STD(FG_PRICE_CHANGE(0,-1AY,AM))":2.93990541238185,"USDCLP^FG_PRICE_CHANGE(0,-1AM)":-4.159218,"QAT^FG_TOTAL_RETURNC(-10AY,0,AM)":[null,-5.783802,8.425056,3.201878,-0.56753755,-2.587521,3.867185,-11.395264,-3.2682478,6.1869264,-5.702579,5.322695,1.0747433,-3.4158826,-1.6578257,-8.069229,3.5696745,3.871572,-10.13636,-4.3500304,-13.694495,14.714897,5.61198,0.4048586,-7.4596763,2.6854396,5.2805185,7.21004,-6.067258,-0.025933981,-6.798136,6.7461133,4.9468994,0.6958246,-3.5537958,-0.12795329,-3.4588754,-10.651743,9.703339,-6.3661933,-5.3213,-4.5476494,-10.452736,20.526754,6.606412,-3.5345376,0.23934841,3.5308242,-2.543342,1.2418866,3.7354589,2.3022413,2.6543617,1.9673944,3.4729958,0.42458773,4.1110516,-5.8461485,-0.9803951,4.9504876,-10.220128,7.644129,0.8427024,-5.6824565,4.725337,0.9870291,0.08935928,-0.0055789948,1.8415213,-6.575346,-13.245744,4.248357,2.1478534,6.818247,2.9706001,3.6270976,-0.7460475,2.1104336,2.7180076,2.3131251,2.049613,-4.0654716,1.155746,6.8552732,-0.7128298,-0.07855892,-1.04931,4.9310684,0.48003197,5.214989,-0.05736351,-1.3654172,5.966449,3.1112313,6.5420628,2.0885587,-6.7103148,-8.477187,6.445217,7.3591113,-8.763552,3.04327,-5.9067845,-7.0627394,2.496016,-5.8031025,-3.0253112,1.5882015,8.096039,-5.091703,3.4785032,-1.667124,-2.2790432,-5.745167,5.7332635,1.255703,-0.5073309,1.3597727,1.0620475,-4.0376067,-2.305472],"UAE^FMA_DIV_YLD(NTMA,-10AY,0,AM,\"PORTAGG\",\"MEANR\")":[null,2.65141967286251,2.72018826464395,2.58149326150831,2.49184943792949,2.81498189983043,2.90117023934245,3.39344253349921,3.42620987112088,3.4399263623717,3.70939959733521,3.15760437465725,3.22916839863224,3.4382983566255,3.48885366173037,3.93903859583428,4.03670946191071,3.97863230020363,4.2897355532672,4.1056586368476,5.02895045948907,4.37547755695875,3.99937574085371,3.96563887343649,4.09807133488396,3.85589526014608,3.74227911293115,3.75528097162607,3.64632688581331,3.7281459311896,4.0466446444522,4.18382575067581,4.06158754435619,4.0909227289588,4.18117900691471,4.04635797807176,3.99150688574013,4.15699231287505,3.91853389813325,4.01126652313678,4.15959682785476,4.21355421267637,4.48286467343564,4.50524517557924,4.21741913351405,4.46981911812174,4.56546032932822,4.81632072176363,4.86775238650627,4.90282020550465,4.76702781381836,4.75780106626099,4.84049852496454,4.9223241277832,4.87085455646493,5.1881505117671,5.21018764044501,5.10989632807469,5.21358209469247,4.74892398699044,5.28308508513601,5.13285492373183,4.90315117221913,5.10380961301955,4.8651794961139,4.65267154414411,4.9884568733201,5.0252364518022,5.13704570442405,5.17954114476119,7.75022420738764,5.2655012727113,4.61398458635662,4.3945342899324,4.6360571110198,4.48388589067423,4.4193958266136,4.11368496721948,4.40960678837356,4.49001887848992,4.12481098280419,4.43895654286073,4.43476937471573,4.47031709764521,4.30291124626819,4.52841536186776,4.72526358138642,4.48562180107936,4.10642894120502,4.05164880069368,3.76085592737385,4.37279618739799,4.23956176486742,4.19659183723147,3.69958132165865,3.45550493235042,4.04359212261169,4.42196086354154,4.13983862846383,4.08125539480011,4.2261680319882,4.3700749184397,4.3635289395852,4.7083822345605,4.71930672027889,4.70136045223935,4.8463438263262,4.4841529970161,4.5643561461597,4.39163505872701,4.30410045571483,4.24464813023276,4.28071539857461,4.86972386791726,4.68716953729966,4.64324438130553,4.49543597687934,4.99327961962582,5.29355337564528,5.67852953873222,5.73715438042661],"EIDO^FMA_PE(LTMA,-10AY,0,AM,\"PORTAGG\",\"MEANR\")":[15.7591000545359,15.3930867005102,15.712627561716,16.0342338361107,15.9902590342047,16.1746762797766,16.1761930278829,16.7532604345958,17.2377132845795,17.7997839228335,17.8916900332347,17.7884139917251,17.6183573942645,17.0275143452195,16.8796244851305,15.4520889550867,15.4347223830075,16.8418046094978,16.4100463458457,15.9327960520191,15.7258710071915,16.0524956768524,16.7871442294909,16.7086426833473,16.3117365467484,16.6261565435404,17.2957978876895,17.9497501369083,18.2188074347111,18.2626625769901,17.1494005829048,16.5747894049205,17.4007528537093,17.6479459907052,17.5103000695914,17.3990704204863,17.3867855827561,17.37522647782,17.1936083701094,17.3804273957612,17.2566722459709,17.1989930688521,17.3914546558554,17.5243219512857,18.7114077493904,17.8784398240917,17.3515581961791,17.2168924419692,16.3728356542028,15.9327195886691,15.7273531391253,15.9353049897586,15.5861272115775,14.9673846429666,15.539645249616,15.5124768765605,16.3481510454733,16.0270353808981,15.9216657625705,15.7120049877319,15.1596271239419,15.5421730741384,16.0488956696119,15.8553634725939,15.8468208746141,16.1042856552728,16.200301853306,16.8000799897584,17.4888670375899,16.3700027020998,13.9445666388806,14.1423942554872,14.5531940306173,16.5253588432922,17.5076312046473,18.4929714917435,18.0524003797258,19.8883763019421,22.8795883524754,25.6276407427308,25.5515222233103,24.4859542741853,23.5636995373777,22.823267113818,21.8431677543724,21.1111096525313,20.296527198712,19.8909060180132,19.202228799713,19.5000551798888,18.1089287727627,16.8560146473975,17.1588121678072,17.3972687101529,17.2614095851284,16.9370095393037,16.1214535264255,15.55029359413,15.0338760213957,14.8337426616415,14.4836468326877,13.8158325832304,13.2514156461723,12.4768239211214,12.32921813435,12.3185654276627,11.9957653309171,12.1515888925273,12.1585646871417,12.8972187695334,13.2730613433299,13.5695666375326,13.584384281814,12.8948459871498,13.1994248965413,13.8073014535336,13.87766437117,14.3036162434052,14.1340469766299,13.7526233815448,13.5860734204701],"WL-FDS^FG_PRICE(0)":539.7,"TIOS-FDS^FG_PRICE_CHANGE(0,-6AM)":-9.48089956869994,"MCHI^FG_PRICE_MAVG(0,,,,60)":41.56283,"EWZ^FG_PRICE(0)":30.64,"EPU^FG_PRICE_MAVG(0,,,,30)":41.50816,"CNYA^FG_PRICE_MAVG(0,,,,60)":26.50812,"VNM^PERCENT_CHANGE(FMA_EPS(+1,0,,,,\"PORTAGG\",\"MEAN\"),FMA_EPS(+1,-3AM,,,,\"PORTAGG\",\"MEAN\"))":-3.94889208313153,"TUR^PERCENT_CHANGE(FMA_EPS(+1,0,,,,\"PORTAGG\",\"MEAN\"),FMA_EPS(+1,-3AM,,,,\"PORTAGG\",\"MEAN\"))":-7.51139171531432,"QAT^PERCENT_CHANGE(FMA_EPS(+1,0,,,,\"PORTAGG\",\"MEAN\"),FMA_EPS(+1,-3AM,,,,\"PORTAGG\",\"MEAN\"))":2.17205344324443,"INDA^PERCENT_CHANGE(FMA_EPS(+1,0,,,,\"PORTAGG\",\"MEAN\"),FMA_EPS(+1,-3AM,,,,\"PORTAGG\",\"MEAN\"))":-0.138322529284118,"EZA^PERCENT_CHANGE(FMA_EPS(+1,0,,,,\"PORTAGG\",\"MEAN\"),FMA_EPS(+1,-3AM,,,,\"PORTAGG\",\"MEAN\"))":5.53075678180982,"EWY^PERCENT_CHANGE(FMA_EPS(+1,0,,,,\"PORTAGG\",\"MEAN\"),FMA_EPS(+1,-1AM,,,,\"PORTAGG\",\"MEAN\"))":3.3855564812433,"EPU^PERCENT_CHANGE(FMA_EPS(+1,0,,,,\"PORTAGG\",\"MEAN\"),FMA_EPS(+1,-1AM,,,,\"PORTAGG\",\"MEAN\"))":0.0411510195662062,"ECH^PERCENT_CHANGE(FMA_EPS(+1,0,,,,\"PORTAGG\",\"MEAN\"),FMA_EPS(+1,-3AM,,,,\"PORTAGG\",\"MEAN\"))":5.69428392803198,"EWJ^PERCENT_CHANGE(FMA_EPS(+1,0,,,,\"PORTAGG\",\"MEAN\"),FMA_EPS(+1,-3AM,,,,\"PORTAGG\",\"MEAN\"))":-2.14819841380588,"UAE^FMA_COS_UP(\"EPS\",\"1M\",+1,NOW,,,\"PORTAGG\",\"MEANR\")":12.0,"GREK^FMA_COS_UP(\"EPS\",\"1M\",+1,NOW,,,\"PORTAGG\",\"MEANR\")":11.0,"CNYA^FMA_COS_UP(\"EPS\",\"1M\",+1,NOW,,,\"PORTAGG\",\"MEANR\")":122.0,"EWT^FG_ROE(0)":10.2989706158129,"REFAEREPO-FDS^(SUBARRAY(NOT_NA(NO_REPEAT_F(FG_YIELD(NOW,-10AY,D))),0,1)-SUBARRAY(NOT_NA(NO_REPEAT_F(FG_YIELD(NOW,-10AY,D))),1,1))*100":25.0,"TRYMY10Y-FDS^PCTCHG(FG_YIELD(0,,,,\"YTM\"),FG_YIELD(-1AM,,,,\"YTM\"))":-1.9645809,"EPHE^PERCENT_CHANGE(FMA_EPS(+1,0,,,,\"PORTAGG\",\"MEAN\"),FMA_EPS(+1,-1AM,,,,\"PORTAGG\",\"MEAN\"))":3.72567729388789,"EPU^SIZE(FG_CONSTITUENTS)":26,"REFTWDISC-FDS^PROPER_NAME(0,,,\"SECURITY\",\"NAME\")":"Taiwan China Discount Rate","REFCLMPR-FDS^FG_YIELD(NOW,,,0)":6.0,"TRYCN10Y-FDS^PCTCHG(FG_YIELD(0,,,,\"YTM\"),FG_YIELD(-3AM,,,,\"YTM\"))":-3.9255555,"TRYVN10Y-FDS^FG_YIELD_NAME":"Treasury - Vietnam Benchmark Bond 10Y","TRYBR10Y-FDS^FG_YIELD(0,,,,\"YTM\")":11.854141,"TRYID10Y-FDS^FG_YIELD_NAME":"Treasury - Indonesia Benchmark Bond 10Y","VGK^FMA_EVAL_EBITDA(NTMA,0,,,\"PORTAGG\",\"MEANR\")":9.01996929934107,"SET-BKK^FMA_EVAL_EBIT(LTMA,NOW,NOW,M,\"PORTAGG\",\"MEANR\")":18.7849820176829,"MCHI^FMA_DIV_YLD(NTMA,NOW,NOW,M,\"PORTAGG\",\"MEANR\")":2.87639514290055,"EPU^FG_COMPANY_NAME":"iShares MSCI Peru and Global Exposure ETF","CAGDPY@PL^EE_ACTUAL_ANNUAL(MED,+1)":0.8,"USDVND^FG_PRICE_CHANGE(0,-6AM)":5.039692,"USDZAR^FG_PRICE_CHANGE(0,-6AM)":-1.7690897,"USDMYR^FG_PRICE_CHANGE(0,-1AY)":2.9431105,"USDPHP^STD(FG_PRICE_CHANGE(0,-1AY,AM))":1.59029584300958,"FC0000KR^FMA_EPS(NTMA,-20AY,0,CY,,\"PORTAGG\",\"MEANR\")":[25.662347195809,29.7949627913341,31.2503748053754,35.671095666108,19.0450116297318,29.9539754539252,37.906953014038,39.1650245409456,44.428480693782,44.151808890174,37.5299107205561,33.45961264389,36.5379279291672,53.6332908559232,45.9241136881632,35.9024812442641,42.8018507749476,51.3050657286793,35.3894151556571,41.7033181461674],"TUR^FMA_DIV_YLD(NTMA,-10AY,0,AM,\"PORTAGG\",\"MEANR\")":[2.85459816794902,2.95313173016877,2.68071758962249,3.08474337934609,3.12088625236355,2.98719897865823,2.81407700426566,2.76458909040858,2.66351227133842,2.84687106545314,2.91406884985663,2.89338091935661,2.82959245961802,2.98600831175695,3.13508116360721,3.34893008436318,3.43387761430488,3.15096278007422,3.22570725349068,3.52941136194125,3.72153681759651,3.43942939873526,3.20224467385168,3.16121406318265,3.5283368605166,3.53135151936902,3.81828039541344,3.51230783947258,3.4903703669801,3.55983281701636,3.7920176417151,3.82586471779943,3.62606269731172,3.4470356224217,3.55878201795755,3.62905242014925,3.61220634231291,3.57728550291867,3.49957502093045,3.74633793815906,3.99375646549922,4.1396100270289,4.29949875804283,4.20977002091657,3.97108449563072,4.1667240847959,4.40883109732271,4.75976103483674,5.27774538785219,5.4788925487406,5.42917210756787,5.71878978412184,5.49277177722219,5.53765232944997,5.34033501995597,5.29679030961808,4.53261914597397,4.77016237197534,4.53237880882066,5.08757124773515,5.69273074331697,5.03265548405009,4.40622915727071,4.93448459474061,5.04791298560223,5.0430081309474,4.49878479677357,4.3569211834212,4.38160402497654,4.53156452534697,6.14799582697114,4.54818016157409,4.01596588325109,3.21078784967796,3.38320980220377,4.0212257494208,4.71669841793622,4.25207790214537,3.97191597414535,3.926688068321,3.95760387916595,4.64209846308401,5.14909707121707,5.5519292147363,5.54035126554291,5.60081866829754,6.08032824786855,5.78021396254199,6.10962089446904,5.8992003841405,5.05852286962814,5.52240936386401,5.72942809827013,6.01225682755898,5.83001845688105,5.41434491634787,5.65302576629692,5.88025774902847,6.10592777533252,4.80165130246857,4.96231333037989,5.02322057739625,4.75644678077863,4.42498729297666,4.80577069990552,5.25677943575585,4.95392306767139,5.13176938733722,5.78956014904642,4.71143159060467,3.84762684020594,3.77017175340995,3.78279163550447,4.23480578734066,4.42042970708286,4.80046744550208,4.3759402843434,4.06701826437901,4.18255135065305,4.32866366797442,4.15527641890382],"UAE^FMA_PE(NTMA,-10AY,0,AM,\"PORTAGG\",\"MEANR\")":[null,14.1576079396147,14.3824966288719,14.9651033234577,15.2672474494341,14.0647111900901,13.7422663095866,11.8986116787701,11.9328710483499,12.6712474617681,11.811835017039,13.6392539329811,14.0260221460205,13.092479823676,13.1734446123021,11.3954228392829,11.9636477766095,11.8375475127711,10.8763337586934,10.9869510396884,9.82287628822147,11.232326631436,12.3824116197987,13.4248604360505,12.306129100912,12.6380392573317,12.8783712881762,12.5430108684911,12.3401322760531,12.1685958373996,11.3922289143045,11.4826907793761,12.3601262799594,12.3933556651124,11.9285722485405,11.998129644825,11.5602263291904,11.0895662905604,11.5861331188591,11.4290188670319,11.1421506922276,11.4059456810727,10.7177077709562,10.880474658205,11.6901262800913,11.105952115642,11.0275858996353,11.3659297362235,10.6106248621207,10.8454810054876,11.2617424818334,11.3771719876569,11.7780144959036,11.3944888576295,11.8157347167635,11.0957738131018,10.8637094817794,11.2035838494696,11.9046995769457,12.3476501808316,11.1156130918388,11.8696439940826,12.2859587199973,12.1403777116282,12.7639451698856,13.3238711003054,12.7334674312083,13.8546518039186,13.8485073839181,12.7226407581973,8.9222100974344,14.7813081500401,15.9825130505757,17.7445455530056,16.1270068871621,13.9547355724102,13.0682639238785,14.9812530482254,15.7626879993171,15.1580833152339,16.3858076914064,15.0274464806947,15.2872720166274,13.9933163135778,14.4491050714653,14.9254181518334,14.1591008406643,14.4100940326683,14.655947481661,14.6398229287188,15.30198425625,15.5357820296666,16.0455537587066,15.6909162518587,15.8618623392462,16.5151949953594,14.3656764342,12.9505573028442,13.4812634358151,13.3626209971451,13.0305909415617,12.5408479554396,12.3044631930248,12.136221073381,12.1001547837354,11.7259366709499,10.9282316563044,11.2463285238813,10.9590954771986,11.2190667613249,11.3350726728168,11.1834442103697,11.2601852997329,9.70408174513873,10.3231364090188,10.3834621323028,10.6299640202946,10.0100549333131,9.72977650388927,9.08854704533401,8.6563238486538],"PLATI-FDS^FG_PRICE_CHANGE(0,-1AM)":14.6153846153846,"BRENT-FDS^MAX(FG_PRICE(0,-5AY))":140.85,"VNM^FG_PRICE(0)":12.84,"EWT^FMA_PCT_ABOVE_MAVG(200,0,,,,\"PORTAGG\")":75.5555555555556,"EWJ^FG_TOTAL_RETURNC(0,-6AM)":9.896803,"URTH^SIZE(FG_CONSTITUENTS)":1467,"EZA^SIZE(FG_CONSTITUENTS)":34,"EPHE^FMA_RBICS_REV_CURRENT(30, LOC, \"PORTAGG\")":43.3599048314739,"TRYBR10Y-FDS^FG_YIELD_NAME":"Treasury - Brazil Benchmark Bond 10Y","REFEUREFI-FDS^(SUBARRAY(NOT_NA(NO_REPEAT_F(FG_YIELD(NOW,-10AY,D))),0,1)-SUBARRAY(NOT_NA(NO_REPEAT_F(FG_YIELD(NOW,-10AY,D))),1,1))*100":25.0,"EWW^FMA_ROE(NTMA,-20AY,NOW,FY,\"PORTAGG\",\"MEANR\")":[null,null,null,null,null,null,null,null,null,null,null,null,12.2361967072767,12.6640790394995,12.8972143418882,12.0869262494349,11.7827107678683,13.687162530438,13.3394699175221,13.7129718327555],"TRYEU10Y-FDS^FG_YIELD(-10AY,0,Y,,\"YTM\")":[0.5475,0.636,0.2082,0.4294,0.239,-0.189,-0.575,-0.181,2.533,2.004],"CAGDPY@TH^EE_ACTUAL_ANNUAL(MED,+1)":2.4,"USDTHB^FG_PRICE_CHANGE(0,-6AM)":3.5653472,"USDMXN^FG_PRICE_CHANGE(0,-6AM)":-2.5679827,"USDCNH^STD(FG_PRICE_CHANGE(0,-3AY,M))":1.78028996989137,"EZA^P_PRICE_RETURNS_PR('52W',2,-10AY,0,AM)":[16.439713,29.495012,20.037376,21.788788,2.4434805,0.015890598,15.0231,4.024577,14.185465,16.422129,9.8421335,8.279133,0.16541481,-3.135103,-8.709264,-19.88011,-16.394203,-7.2603045,-20.031946,-21.560919,-38.63495,-32.218273,-22.278345,-19.154846,-27.56263,-12.524003,-7.2773876,6.9247246,10.497856,-2.0047665,-5.038434,6.5969825,40.667366,30.610275,23.376728,7.81312,31.53019,7.865238,11.474764,11.496746,8.07724,13.79162,22.57862,38.328888,35.66936,33.240032,15.290976,17.626549,7.228029,4.345739,-2.6120782,-8.689809,-6.5310297,-15.51578,-16.216028,-24.54915,-23.427856,-22.116142,-23.583961,-10.695344,-18.837463,2.103579,-0.6431103,-13.059646,-4.7816634,8.056629,3.6896825,12.334037,-1.9562304,-4.475701,-46.048607,-41.415627,-27.866613,-25.71836,-21.450705,-11.016917,-20.38697,-12.517601,-8.742178,-3.1631172,-0.5412519,13.406968,104.39589,81.22523,57.996952,40.00417,28.444397,29.819834,40.651344,30.263662,15.311933,7.449436,10.758865,8.219135,18.866598,-1.3563037,-6.0884356,-9.603655,-9.741461,-6.2067747,-20.380009,-19.746326,0.55298805,-3.4810722,-4.04768,-15.967536,-22.757816,-10.120994,-14.5283165,-5.038601,5.6263924,-1.3418674,4.477179,1.631558,-6.3523054,-1.6298592,-14.493137,-6.2942266,-2.0427585,-7.089776,13.382864],"MCHI^FG_TOTAL_RETURNC(-10AY,0,AM)":[3.0364394,1.3097525,7.9363346,2.7377725,-4.836166,-1.0578692,3.417194,0.68284273,7.396865,-1.4380276,1.5550017,20.094513,-1.1490643,-5.5095553,-11.221182,-14.5186,-1.1218309,13.206267,-4.529965,-2.1788716,-15.233952,-1.1810005,7.664323,4.4401526,-7.694083,7.434976,3.94274,5.780077,4.759884,-1.4466226,-5.1891623,-5.7665586,8.644867,6.838715,1.7310858,-0.39572716,6.297171,3.2039165,5.651462,5.9167624,3.6537886,1.6606569,7.628286,-3.1396866,12.309074,-3.546673,-7.2573957,-0.95394254,4.2889476,-2.7682185,-5.546445,-4.8145237,0.514102,-10.509813,0.9771347,-4.017329,7.721865,8.648359,-0.13130307,5.850458,-14.299023,7.5639606,1.2711883,-8.351469,5.6062937,-0.103753805,2.8734684,7.9672813,1.4469981,-0.29457808,-17.92878,12.751043,-0.72256327,13.692379,7.486558,3.2253623,-2.3973048,8.362079,3.3108354,-0.883162,14.110268,0.9554148,-9.8009405,1.0492086,-5.2631617,1.9087315,-7.284445,-9.714055,0.63637495,6.5882444,-6.8846645,-6.363225,1.2593627,-6.6908064,-7.727355,-11.336618,2.6190877,9.782529,-5.431783,-5.0817785,-10.605126,-8.444243,8.671677,9.4392185,18.306244,-11.207521,-0.16286373,-2.1411061,-4.9385366,-2.2332728,2.7161598,-3.6579967,0.70905685,-6.5182805,5.515063,-7.242954,-4.708582,6.570518,-0.9273231,2.9850721,10.660768],"ECH^FMA_PE(LTMA,-10AY,0,AM,\"PORTAGG\",\"MEANR\")":[15.8290240181205,15.8901854150221,16.3551220711626,16.3704706544083,16.54640492593,16.0070562825959,16.7061065570836,16.5926320105391,16.2678206716091,16.8655478955805,16.4336623951296,16.4715298165281,16.376954945278,16.0267240368878,15.3330410533798,15.0729978098443,14.9045805931866,15.6912972886116,16.1742940952136,16.3329367033514,15.0458312563797,15.6560795435205,15.5184693646118,15.5492656756107,15.2298164596687,15.1522004720707,15.7683861656512,16.0294701654007,16.1409725256725,16.9620405805471,16.4582327330362,15.078586015581,15.9102860642135,16.7497089111566,16.9500866134356,17.1562992219832,17.3095031399702,17.3173624987703,17.9472956129948,19.0521759445813,20.2871975790303,18.4121095388536,16.6929242773815,17.9299521881146,18.4198032167524,18.057297753749,17.2795754264353,17.0628027846938,16.5460045352585,15.60762910168,15.4791244311101,15.4759023314567,15.5858062497547,16.9645681969322,17.3183768526268,16.2983170984185,17.6864489650495,18.2216443928851,15.7494341960759,15.6823640633502,15.4341752310097,15.895977656785,16.0884813669614,15.2891927733383,16.6716102999561,16.4346130307873,15.6733642852933,15.611241339248,15.07680686497,14.3654383210258,14.6042874209016,14.8935960055092,15.6687510671067,16.8051538527637,17.3538171827185,19.798426734342,18.3461977963568,20.5485954845275,22.8367388789574,24.3827102388989,23.3797113667968,25.5030875349714,31.1645050626082,29.1778155733788,26.3863065031611,24.2027985328024,21.6070092095131,19.4543267790102,17.2965418114665,14.6105287663204,12.9212893634686,9.53936919347055,9.77711583830532,9.21317854475949,9.87629516677587,9.69780091757538,9.46445238684244,8.02655869617781,7.77027112176018,7.29122431826301,7.49929464297669,7.1691063592559,5.88514789102448,5.506088533064,5.66616342738344,6.00949601055322,5.85102042439419,6.07065574514765,6.64439166048242,6.92679963726558,7.69056527093913,7.93685063581563,7.79724072037442,7.80011858182665,8.26960709813689,8.72336767790143,8.66242962436358,6.86650824690371,7.33641308866962,7.42879154823394,7.59227499118567],"PASP-FDS^MAX(FG_PRICE(0,-5AY))":3158.12,"TIOS-FDS^FG_PRICE_CHANGE(0,-3AM)":-7.34726054394954,"MCHI^FG_PRICE_MAVG(0,,,,30)":43.263332,"EWY^FG_PRICE_MAVG(0,,,,200)":62.50575,"EPOL^FG_PRICE_MAVG(0,,,,200)":21.5287,"CNYA^FG_PRICE_MAVG(0,,,,30)":26.697866,"VNM^PERCENT_CHANGE(FMA_EPS(+1,0,,,,\"PORTAGG\",\"MEAN\"),FMA_EPS(+1,-1AM,,,,\"PORTAGG\",\"MEAN\"))":-3.46711688282093,"TUR^PERCENT_CHANGE(FMA_EPS(+1,0,,,,\"PORTAGG\",\"MEAN\"),FMA_EPS(+1,-1AM,,,,\"PORTAGG\",\"MEAN\"))":0.443499402378603,"QAT^PERCENT_CHANGE(FMA_EPS(+1,0,,,,\"PORTAGG\",\"MEAN\"),FMA_EPS(+1,-1AM,,,,\"PORTAGG\",\"MEAN\"))":1.05054246873221,"INDA^PERCENT_CHANGE(FMA_EPS(+1,0,,,,\"PORTAGG\",\"MEAN\"),FMA_EPS(+1,-1AM,,,,\"PORTAGG\",\"MEAN\"))":0.255204481399452,"EZA^PERCENT_CHANGE(FMA_EPS(+1,0,,,,\"PORTAGG\",\"MEAN\"),FMA_EPS(+1,-1AM,,,,\"PORTAGG\",\"MEAN\"))":1.75536978814115,"EWW^FG_TOTAL_RETURNC(0,-12AM)":15.479195,"EPU^FMA_PCT_ABOVE_MAVG(200,0,,,,\"PORTAGG\")":84.6153846153846,"ECH^PERCENT_CHANGE(FMA_EPS(+1,0,,,,\"PORTAGG\",\"MEAN\"),FMA_EPS(+1,-1AM,,,,\"PORTAGG\",\"MEAN\"))":8.66212801792649,"EWJ^PERCENT_CHANGE(FMA_EPS(+1,0,,,,\"PORTAGG\",\"MEAN\"),FMA_EPS(+1,-1AM,,,,\"PORTAGG\",\"MEAN\"))":-0.895452222924776,"TUR^SIZE(FG_CONSTITUENTS)":98,"EZA^FMA_COS_DOWN(\"EPS\",\"1M\",+1,NOW,,,\"PORTAGG\",\"MEANR\")":14.0,"KSA^FMA_RBICS_REV_CURRENT(30, LOC, \"PORTAGG\")":43.1872602787841,"EWM^FG_ROE(0)":7.97782359186495,"REFAEREPO-FDS^FG_YIELD(NOW,,,0)":5.4,"TRYCN10Y-FDS^PCTCHG(FG_YIELD(0,,,,\"YTM\"),FG_YIELD(-1AM,,,,\"YTM\"))":3.5565817,"CC_MX^FG_COMPANY_NAME":"Mexico","USDVND^FG_PRICE_CHANGE(0,-3AM)":3.3664823,"USDZAR^FG_PRICE_CHANGE(0,-3AM)":-4.357958,"USDPHP^FG_PRICE_CHANGE(0,-6AM)":4.950583,"FC0000MX^FMA_EPS(NTMA,-20AY,0,CY,,\"PORTAGG\",\"MEANR\")":[12.7623750851153,17.4927009872891,24.3227140078413,28.6358691988307,18.3981121787071,21.1225586549364,25.2833135475083,25.3632619889916,28.0716519822771,26.2005304543781,23.6403453539385,20.9545559014505,19.8032110904755,23.4173783162506,25.5454576160172,25.3691273734602,22.3569609127116,28.1816282016733,32.5319871434715,39.4423843156453],"UAE^FG_PRICE_MAVG(0,,,,200)":14.742216,"EWY^FG_PRICE_MAVG(0,,,,60)":65.06067,"TIPSCL10Y-FDS^FG_YIELD(-10AY,0,Y,,\"YTM\")":[null,null,null,null,null,null,null,null,null,null],"USDCNH^FG_COMPANY_NAME":"Chinese Offshore Renminbi per U.S. Dollar","MCHI^FMA_DIV_YLD(NTMA,-10AY,0,AM,\"PORTAGG\",\"MEANR\")":[3.70869435695219,3.73937344393159,3.52108224448739,3.46529810138347,3.67335133618601,3.75946204032385,3.71980316038211,3.45632338216309,3.13865607657003,3.10833523561765,3.08327517132298,2.50421024242966,2.57637284360102,2.71056624250825,3.06480374957539,3.42458762382418,3.48602358124538,3.1548211925965,3.1909573354423,3.23915600451984,3.28969094250149,3.23225222127661,2.9579119731489,2.84612852622293,3.06563121530444,2.61012754046558,2.47367025030713,2.33820122412226,2.21971136001574,2.25453316170156,2.32760701883735,2.46221998266546,2.34817251861563,2.21944273355001,2.2207892077869,2.28944381778757,2.18155638044284,2.15275530716168,2.10536962165154,2.10984075272173,2.09155402714824,2.06869331600426,1.96698940248878,2.07051813621987,1.90897857043839,2.04453130439904,2.23480046202217,2.34107213918017,2.26682638495541,2.3405353095536,2.41338019093078,2.52601510927839,2.56463664674548,2.89215341204191,2.81977030083959,2.86390361360546,2.68319000554193,2.50209925217471,2.42887950889989,2.34433411114617,2.68455024916631,2.49150599432166,2.46915829147487,2.58254862850906,2.5022158676569,2.54561037862944,2.49643119328284,2.26591840765397,2.27920478790296,2.23687920085415,2.61331353001832,2.22914544206049,2.23178617176766,1.88790113698988,1.77955791892708,1.77617755067299,1.80196095393932,1.719200057238,1.70689389836076,1.67097072977306,1.41328465687681,1.37553911981094,1.53334561061728,1.58346869789237,1.69127103501084,1.61858489059316,1.7546175452806,1.99052476869522,1.95393685049677,1.87200155318512,2.02002533648695,2.13854954492349,2.11883638940201,2.30281950476839,2.46190930633789,2.73414850448083,2.63520601990397,2.37493657631715,2.48424751640369,2.58818996450129,2.72786303335438,2.95795669842305,2.73752039780357,2.48500386651442,2.17644697445138,2.38062532549709,2.43779996540593,2.49357398719997,2.57720651314087,2.56447899512373,2.49669210845035,2.56961746380764,2.51869253457346,2.69049337280052,2.60951425489466,2.81500642391006,2.92954638642531,2.8372223125063,2.98849038412896,2.9853485191575,2.67131224815824],"TUR^FMA_PE(NTMA,-10AY,0,AM,\"PORTAGG\",\"MEANR\")":[10.8052593677932,10.5802739454346,10.9290324825441,10.1393457672976,9.66389789793288,9.97433186339369,10.3959020473039,10.3987749610839,11.1348163878487,10.6299475477057,10.2802044682939,10.1888630718891,10.4757639861762,10.1194528372498,9.42602296073968,8.7711422212419,8.85963916463383,9.42937110949818,9.28778558589557,8.39793140872477,7.88367734673531,8.52302733506359,8.96961037700748,9.39490291225996,8.3504517330276,8.46331783594948,7.73402196323872,8.42978187648399,8.61987114920474,8.29695509637901,7.6252171567988,7.65825301969606,8.16454170653709,8.66114094271886,8.42452350405191,8.49956886096255,8.66557791660177,8.66841600160818,8.95231751717765,8.65034499666937,8.17380843981279,8.24313964422247,7.82325801074584,7.95200449371457,8.33784082107524,8.11174055056686,7.85564242998213,7.40727123568905,6.68163309224171,6.31469252112038,6.16942455644076,5.77045702397899,6.08666767727835,5.799077364861,5.70798179114669,5.96348186621913,6.93714899215405,7.04075675636383,6.92947998952213,6.23047543360217,5.49216229813245,6.10830864392934,6.57853209421406,6.29749850923644,6.2570407510889,6.11832964421718,6.34404072391632,6.47220549571621,6.78116498054298,6.45798534008241,4.68516813723778,5.90762133066098,7.30341180799116,8.4747421324187,8.43410761741293,7.77893607392772,7.34847692841559,7.7987336613314,8.16526902190806,7.72939977015793,7.83477788635301,7.17498750398763,6.45185571236184,6.02469513888607,6.2072404968295,5.8288693547618,5.46376041539555,5.51493969789601,5.14384880568559,5.29964592857411,5.91118770749933,5.44404907577613,5.37538811905406,4.52979840269789,4.67777539547449,4.884005850261,4.3611648497893,4.72751918410274,4.1997419415046,4.60322778502328,4.49740981314846,4.8849374212906,5.60916285821468,5.83158406911713,5.51205594253132,4.96520380727658,4.90134898141846,4.63811021219486,3.96149028084171,4.90335583548304,5.47214771024154,5.95134994894444,5.80991149329127,5.12436706100672,4.92938108675449,4.48136331404598,4.68432733069151,5.24672962454142,5.17449408991078,5.42573163574969,5.96023561181993],"PASP-FDS^FG_PRICE(0)/MAX(FG_PRICE(0,-1AY))":0.680272108843537,"PLATI-FDS^FG_PRICE_MAVG(0,,,,30)":982.26666,"BRENT-FDS^FG_PRICE(0)/MAX(FG_PRICE(0,-1AY))":0.870614479821537,"FC0000ZA^FG_PRICE(0)":325.7893,"TRYFR10Y-FDS^FG_YIELD(-10AY,0,Y,,\"YTM\")":[0.837,0.9989,0.682,0.785,0.71,0.118,-0.344,0.201,3.07,2.534],"CAGDPY@TH^EE_ACTUAL_ANNUAL(MED,0)":1.19744517894672,"CAGDPY@PH^EE_ACTUAL_ANNUAL(MED,+1)":-2.5,"USDTHB^FG_PRICE_CHANGE(0,-3AM)":1.1631966,"USDMXN^FG_PRICE_CHANGE(0,-3AM)":-2.3746967,"USDMYR^FG_COMPANY_NAME":"Malaysian Ringgit per U.S. Dollar","USDCNH^STD(FG_PRICE_CHANGE(0,-1AY,AM))":1.16737890136985,"EWZ^P_PRICE_RETURNS_PR('52W',2,-10AY,0,AM)":[-9.620703,16.333258,16.656792,24.14962,-2.545023,-18.264347,-4.2633176,-14.641678,-7.784331,-12.002707,-20.315063,-20.48304,-26.79385,-28.853666,-40.911484,-49.30259,-53.172695,-38.931763,-41.710514,-39.198017,-50.869064,-39.07895,-17.797464,-18.354828,-21.532112,-11.697096,9.90287,35.80743,64.3895,68.10187,38.608574,52.944767,112.55724,96.34211,45.337547,31.233978,36.285698,16.222881,16.80435,22.351337,27.28895,11.471785,22.110224,27.921104,18.12681,20.448816,22.237373,20.071936,13.166582,-0.5810857,-2.0864785,-19.222134,-18.643278,-1.4520884,-2.7214527,-2.9439986,2.2983432,-1.5331984,-5.0040603,-0.36328435,4.37423,43.100403,32.997143,28.840614,27.42628,15.553451,12.630224,28.955566,11.718082,0.19613504,-47.07802,-40.04767,-35.613167,-29.331572,-27.680094,-27.443928,-31.121445,-31.877064,-23.019474,-19.77806,-23.16814,-17.424833,62.6716,51.018356,52.232838,37.691593,21.952475,20.006,23.634089,3.1281233,-6.6128073,-17.777426,-9.152341,6.483376,20.004976,7.241988,2.8146625,-25.545269,-24.043583,4.038501,2.1867633,27.66713,12.991774,17.653715,9.96586,-3.9348483,-21.924877,-14.0060005,-3.5242975,32.820724,39.93634,9.652519,6.743562,-3.573656,26.323175,30.279278,19.83664,23.150326,30.683744,19.417774,9.113407],"INDA^FG_TOTAL_RETURNC(-10AY,0,AM)":[12.765956,-1.0107875,4.3501616,1.1445403,-0.8729398,-0.61970353,6.2684655,-7.8306017,11.167169,-1.3615727,-1.3803601,-3.576988,0.0967741,-1.2890816,1.5013218,-7.590437,-4.1244326,8.931828,-9.203482,2.626264,-8.248913,-4.9684525,10.7053995,1.9490242,-3.7132382,7.6827645,3.4248948,0.48292875,2.1283984,-0.8403361,-12.338978,1.247716,5.859816,8.068026,3.883493,0.32225847,1.5740514,2.1960497,4.970491,0.029587746,-0.9467423,2.6881814,2.0069718,3.0240178,6.1210275,-7.10814,-6.7326665,4.367602,-5.114788,3.5736918,1.0956407,3.5442233,-5.148512,-11.691016,8.409309,2.2365093,0.016069412,-0.39926767,6.9380164,1.0668993,-0.34236312,0.68267584,-2.6685834,-6.662732,7.296276,0.029432774,0.6474376,3.488338,0.22623539,-1.7494321,-41.125786,27.365852,0.038301945,13.782776,7.827258,3.535676,-0.54396987,6.320274,4.629886,6.5064907,6.134498,2.4425745,-0.18886328,-5.2743616,7.5905085,2.786827,0.61017275,4.132974,7.9918027,-1.3482451,-0.30370355,-2.518338,1.9294858,-4.5058784,-0.6838381,1.4459491,-6.6289606,-4.603833,4.4450045,4.9367785,-3.6384702,0.36073923,2.6599526,-3.8515449,3.2289386,-7.337719,-1.7258883,2.9958725,3.1344056,3.7212372,4.18036,-0.38323402,0.65625906,-1.9334555,3.645122,6.967485,0.6617069,6.409204,-2.5289536,3.0104876,3.460884],"VNM^FMA_PE(LTMA,-10AY,0,AM,\"PORTAGG\",\"MEANR\")":[11.8549411455803,12.3798450421054,12.743414985382,13.0982937781188,13.1976152045022,13.1745312723819,12.9479636432943,12.5715518294542,12.2056026833885,12.9544749265556,16.6210450452564,16.7108913750624,16.7536995747167,16.8121453468588,17.1366594039695,17.037672081025,18.1731016357379,23.156374493919,25.6240783200169,23.5388994352221,16.5849690498927,18.4965653584183,-4.98790578624725,-2.80066549590268,-0.96345616834259,1.34173787473161,2.65060039208881,4.4581545577222,7.99238894180565,10.7467840676407,12.2797556220311,14.1548601804062,14.3078631007314,15.9828080651778,15.7948968724481,15.7003220460743,15.7590816037624,16.3393772770909,15.9509329147987,16.9788626614961,17.6763064021417,18.3991670040126,19.9264278816734,22.0910246135362,25.4735360844643,24.7209029926264,24.5668591739579,24.2244151348669,23.5838809583512,22.3359511767341,21.8296213075672,22.0949276581058,21.819738932384,19.8388144557422,19.2998631874961,18.3219987987038,18.4098607104108,19.9011291865384,19.6940686408112,19.6827476871607,19.6231923844951,19.2968638426597,18.7934268632458,17.699505716112,17.0878186441233,17.3617722749335,17.512087214184,16.9807606103978,16.5075483326917,15.3785420346144,14.4143912578865,15.280620490344,15.826864587098,15.9647907286363,16.4456846546682,16.79759449814,18.2152705293546,18.9957323606929,19.6947377732424,22.6976202046905,24.282979878347,24.5081906116851,23.9205528615905,23.3963242298503,22.7530803428842,22.5925387232565,21.4078880880627,20.6263179160888,20.4455144718703,20.0425002525998,18.9789830060408,18.5547995223506,17.2790659669756,16.8640778726429,16.4194382152106,15.9214529295043,15.1612766069811,14.3269710290841,13.8945972707994,13.9740961831552,13.5639209163757,12.2148273849082,11.4953273247573,11.7814533365331,12.4468536802236,12.7484224474274,12.6235571303058,12.8397239168062,13.4684773216692,14.1158177963247,13.7244905177246,14.3379539002321,14.2886456989532,15.508805593599,15.9618125738787,16.4659557831183,16.8765050458273,17.9883937186691,18.7933284885599,17.9332240271221,18.3161535560651],"CNYA^FMA_PE(LTMA,-10AY,0,AM,\"PORTAGG\",\"MEANR\")":[null,null,null,null,null,null,null,null,null,null,null,null,null,null,null,null,null,null,null,null,null,null,null,null,null,null,null,null,null,null,null,null,15.0068073964616,15.2871975025412,15.1327565636817,15.0763281683425,14.9101303680964,15.2657547112488,15.3806553952804,15.3165123574459,15.6511552194823,15.884243524552,16.7790010319725,15.9478025868647,16.9648689867912,15.5447818508634,15.0866089326925,14.7781624174562,14.391890401912,13.8950873155981,13.3577623160856,12.5333147799978,12.6885629897478,11.7193297257744,11.3227949994284,10.8089996972215,11.0710671896191,12.2574895507158,12.7074653689074,12.8022650926493,12.2587029892452,12.7409066503091,12.581413190965,12.6781541146903,12.8643381177293,12.8087449088912,12.7458644987584,14.1550714243108,14.385468242851,15.0259310326175,13.8980403915913,14.1305673199151,14.1833416092251,14.8724139647206,16.2362569341961,16.5203360480619,16.9983596751266,17.3009150818162,18.4457322396946,19.3283234640584,21.565242357655,21.2459604463168,19.7047748427422,19.5030676622248,19.215991981211,19.1642736173671,18.6609486144225,17.8934525036376,17.924103316732,17.957486358717,17.9843949095454,18.2407461197739,17.3232083721191,16.7284533006538,16.2703892809624,15.7643064997817,15.7131061099243,15.8323641209089,15.5186987043783,15.240335846024,14.38340401237,13.8595593753381,14.0104428088575,13.8740366748169,15.0591994148773,14.7637643354286,14.433351916929,14.3080265055345,14.0671792628113,13.9568420317257,13.7456944556231,13.4730647281389,13.7915933440448,12.9272086611186,13.5293627270025,13.0803292302616,12.4226200884068,13.4360349310259,13.5610350584364,13.5639628273529,13.8716904212671],"EWM^JULIAN(FMA_ROE(NTMA,-20AY,NOW,FY,\"PORTAGG\",\"MEANR\").DATES)":[38352,38716,39080,39447,39813,40178,40543,40907,41274,41639,42004,42369,42734,43098,43465,43830,44196,44561,44925,45289],"TRYCN10Y-FDS^FG_YIELD(-10AY,0,Y,,\"YTM\")":[3.653331,2.901145,3.070911,3.93859,3.259862,3.197311,3.1948,2.7893,2.855,2.574],"CC_TW^FG_COMPANY_NAME":"Taiwan, China","USDINR^STD(FG_PRICE_CHANGE(0,-3AY,M))":1.07904649730989,"USDPHP^FG_PRICE_CHANGE(0,-3AM)":4.0071487,"FC0000TW^FMA_EPS(NTMA,-20AY,0,CY,,\"PORTAGG\",\"MEANR\")":[9.12031426379573,8.9303476254386,10.2763772347485,12.3642519570992,4.81199406443955,7.91488615207717,11.8918959542291,8.78728433127933,9.24807829331148,10.3356087291291,11.5748258148764,10.8182747076803,11.1314122132999,13.6882434720029,12.8934590818377,12.9786240188185,15.9439970068329,24.3051164427367,19.7601608611466,19.0980372403794],"INDA^FMA_DIV_YLD(NTMA,-10AY,0,AM,\"PORTAGG\",\"MEANR\")":[1.58750452759689,1.57001819578261,1.55972705718094,1.57381543384016,1.5711131895144,1.6041230195976,1.53433323593671,1.59010851695595,1.48314767161489,1.48619340804194,1.51972025626239,1.59571731330963,1.60828198355695,1.65284143633797,1.52999696765273,1.58128057181824,1.70098691089001,1.63714756442971,1.73806262391057,1.71798789709739,1.80503258347611,1.84425813969671,1.73042620991381,1.69325148523192,1.73522118353118,1.59522753586793,1.54884606404094,1.54929876464099,1.51498201685,1.54564567623177,1.71422011013808,1.73389399231897,1.66037992225174,1.57852976162302,1.56364973424291,1.58350495777856,1.60949376347222,1.63005184604772,1.54520560305677,1.55803991254959,1.54994481264669,1.53316808889398,1.52230182731398,1.51394026800362,1.43823402862822,1.57205701290784,1.63279301080256,1.60382880913644,1.66084061433312,1.59752134876682,1.57087685103761,1.48604693210025,1.55241834954122,1.73928159518516,1.67649331519795,1.65561396580306,1.65963291390553,1.65625118932476,1.58897920923789,1.6337133738856,1.67991153769973,1.70027470640007,1.7787541887425,1.83456082570316,1.75805781107247,1.8033054711093,1.75507926187236,1.65476813218811,1.64983186661044,1.66255318456189,2.62372620124291,2.02039563653456,1.93916505827772,1.6357372380115,1.5316765602009,1.52039940661649,1.57663894502452,1.52113168135666,1.46432097037218,1.37020052433236,1.32650638015094,1.36747412913153,1.36517473211932,1.42314373793174,1.41371581570049,1.40892811929126,1.38871808272157,1.35181552095288,1.25787955973162,1.30720828052867,1.37196521233528,1.38250622879582,1.3670314024471,1.47657752263102,1.46922214496462,1.48766891936501,1.66916616903246,1.71203992732484,1.57540445786304,1.48757975960906,1.52943290853408,1.51467739527401,1.49074478724677,1.52059096115882,1.51024415439429,1.57788588507684,1.63786597471557,1.62432319149905,1.6108355045725,1.55528173720113,1.4771961798375,1.50681043916693,1.51861220240507,1.53388375323704,1.49785519504142,1.39290225427023,1.40853527787425,1.34145537086586,1.36174854359294,1.34888517582425,1.34482800196986],"SET-BKK^FMA_PE(NTMA,-10AY,0,AM,\"PORTAGG\",\"MEANR\")":[13.9593545567225,14.0994580367093,14.6346860486055,15.835370816629,15.9640736202223,15.1033882375316,15.5891229970004,15.0888566426516,16.060700302357,16.0189180024802,14.9759562263912,15.2724800899284,15.5385218282422,15.1732979016415,14.7359535431161,13.9350034267193,14.043237965059,14.3957745909267,13.8353656820443,12.502845210771,12.7469115734308,13.6624531541705,14.7095539933771,14.55348485413,14.097841464743,14.6811948931305,15.3272284465668,15.2772515181913,14.6233543528554,14.7015588833993,14.6076384964006,14.6002474834855,15.0327105546033,14.9141214701153,14.9325015507977,14.8483273490344,14.7048332884266,14.8843148429922,14.6724748668705,14.673145128775,15.3723878466073,15.5481918838884,15.5761215136173,15.8035441134149,16.5327637965593,16.0458157029469,15.5077284769188,15.3021962714504,15.3120204024617,14.2178368626521,14.5324691821477,14.6876317395857,15.0698054450114,14.1942649652524,13.9309022254763,13.7491076080872,14.2907508921563,14.9608961824861,14.9254860731606,15.1230197439053,14.6252920403801,15.6977405688743,15.7553632250681,15.3062161666526,15.1155432230067,15.4854838531756,15.6501849555671,15.3139152257632,15.547468732201,15.3296242573794,11.3753894697678,15.5929597171559,18.2725166127032,19.2455035846054,19.6682348616154,18.9845760946062,18.4747015736492,17.3421219239477,19.3311284155328,19.1285594994918,19.5362276294765,19.142404369881,19.4436640396041,18.6273254720724,17.5591443906661,17.5086922434497,16.8160667285974,17.2181897956187,17.4771981931705,17.4056424937679,17.4620976382668,17.1247725747785,17.1471201493892,17.447854918044,17.2421706610892,16.6841216692163,16.2294174402344,15.1050830067416,14.9427828306178,15.5308305596942,15.4086556379172,15.1415072616806,15.6031535441492,15.5180601433499,15.99795986337,15.8127486543325,15.6726368696605,15.488433043669,15.5592257691496,15.3676683555445,15.7905844069301,16.0336065443111,15.628652251609,14.3336108292022,14.5179077930596,14.517062172898,13.9854728237171,14.5180426752489,14.2624894704318,14.0594081424162,14.1708131639666],"PASP-FDS^FG_PRICE_CHANGE(0,-3AM)":1.5228426395939,"PLATI-FDS^FG_PRICE(0)":1043.0,"UAE^FG_PRICE_MAVG(0,,,,60)":14.598462,"EWM^P_PRICE(0)/P_PRICE_LOW_PR(0,,,,,,\"PRICE\",\"INTRA\",\"52W\")-1":0.16834676,"EIDO^FG_TOTAL_RETURNC(0,-12AM)":-11.764174,"URTH^P_PRICE(0)/P_PRICE_LOW_PR(0,,,,,,\"PRICE\",\"INTRA\",\"52W\")-1":0.266783,"URTH^FMA_COS_UP(\"EPS\",\"1M\",+1,NOW,,,\"PORTAGG\",\"MEANR\")":743.0,"SET-BKK^SIZE(FG_CONSTITUENTS)":1,"EPU^FMA_COS_UP(\"EPS\",\"1M\",+1,NOW,,,\"PORTAGG\",\"MEANR\")":11.0,"ECH^FMA_RBICS_REV_CURRENT(30, LOC, \"PORTAGG\")":31.3700783805281,"TRYMX10Y-FDS^FG_YIELD_NAME":"Treasury - Mexico Benchmark Bond 10Y","REFEUREFI-FDS^PROPER_NAME(0,,,\"SECURITY\",\"NAME\")":"Eurozone Main Refinancing Operations Minimum Bid Rate","REFMYON-FDS^FG_YIELD(NOW,,,0)":3.0,"REFCNRMB-FDS^FG_YIELD(NOW,,,0)":3.45,"TRYIN10Y-FDS^PCTCHG(FG_YIELD(0,,,,\"YTM\"),FG_YIELD(-1AM,,,,\"YTM\"))":-1.8548205,"CAGDPY@QA^EE_ACTUAL_ANNUAL(MED,+1)":15.55,"CAGDPY@PH^EE_ACTUAL_ANNUAL(MED,0)":-2.56663776811855,"USDAED^STD(FG_PRICE_CHANGE(0,-3AY,M))":0.0088376970103064,"USDTHB^FG_PRICE_CHANGE(0,-1AM)":-1.4501512,"USDBRL^STD(FG_PRICE_CHANGE(0,-3AY,M))":3.65674702016239,"USDMXN^FG_PRICE_CHANGE(0,-1AM)":-1.553309,"USDPEN^STD(FG_PRICE_CHANGE(0,-3AY,M))":2.36992963100437,"USDCNH^FG_PRICE_CHANGE(0,-6AM)":1.5251637,"EWY^P_PRICE_RETURNS_PR('52W',2,-10AY,0,AM)":[14.87875,26.377094,19.007385,21.700012,1.0361314,-9.334946,-8.947545,-10.572142,-2.1584988,-5.3567767,-0.11006594,0.51373243,-7.157797,-10.05618,-20.21076,-29.362171,-21.541435,-3.8567543,-5.4997387,-4.5511484,-15.575772,-14.427632,-8.86876,-12.507301,-15.78685,-3.754437,6.8174005,27.477968,22.367191,6.820905,1.928401,4.213059,21.828127,28.690529,21.859991,15.430236,37.27536,28.933,34.432125,21.675932,20.358013,30.335247,46.63385,41.62947,39.437855,28.52646,19.161999,25.22012,14.766062,3.949225,-6.3516083,-1.7124414,0.3124833,-13.992232,-22.024483,-18.38283,-19.88538,-10.144377,-16.467535,-13.552403,-24.62566,-10.311932,-9.409899,-19.741362,-14.385027,-1.0124743,0.21451712,8.763086,6.006193,-6.629771,-34.96416,-19.584173,-6.350404,-0.6717324,3.7689567,19.951523,13.019312,18.232584,31.774616,32.06265,47.983837,57.092606,123.6336,88.02107,73.48222,61.26405,54.006516,34.864353,33.39192,20.22357,5.144179,-0.45227408,-20.73822,-19.3591,-16.6892,-24.565495,-23.380953,-36.70723,-33.78297,-29.32772,-38.47329,-35.89769,-25.45451,-26.719654,-13.224554,-14.736748,-13.236928,-8.815795,-6.0084763,11.967838,12.834454,7.2433114,17.419743,14.806843,11.964846,15.366006,-5.3816023,10.483122,15.656101,4.9993753,5.13376],"GREK^FG_TOTAL_RETURNC(-10AY,0,AM)":[-4.705882,8.230448,-9.378952,-2.5641203,-7.703334,-10.419899,-1.3888955,-16.72536,-7.0949373,4.670763,-18.580849,-5.300987,17.172695,-1.7004073,-17.215818,-6.4676642,3.2978773,10.504627,-15.843433,-8.527118,-18.170559,-7.507509,13.311696,18.19483,9.454536,-8.182722,-11.350721,-0.1360476,-0.95368624,2.3370028,7.797146,-3.2418907,3.8131356,-1.7721534,-0.3866017,2.4579525,22.348488,2.1671772,7.6767683,-2.3452044,-5.763692,-7.645255,-1.76602,15.955067,11.838425,-5.5752277,-10.3092785,10.344828,-9.943175,-1.4721453,-2.988255,-2.8602898,-3.8505018,-10.24735,-6.955385,-0.9873092,3.3264399,7.6271176,3.2808304,9.148669,-8.614677,17.707014,2.7279854,-7.0899367,7.0614934,4.5744658,-0.40691495,3.2686472,0.54222345,-9.519041,-44.96124,17.102634,3.092873,14.555561,-0.9370327,1.1828423,-5.650264,0.61950684,12.929714,16.53793,-2.7407825,-0.409168,4.724729,10.906243,-2.4053752,3.7332416,-6.813419,5.061865,-0.7494688,3.0564547,-6.629449,0.71002245,6.7731857,1.953125,-10.37966,5.596578,-5.9256554,-4.264474,-5.435175,6.1041236,-12.290734,10.102427,10.570824,3.938818,11.788214,8.561325,-6.3141527,7.0717096,6.2015533,7.007301,8.985591,-5.3638816,-9.340077,-0.8511901,8.940208,2.927184,3.9193392,4.250908,0.72102547,1.1849046,2.5128007],"UAE^FMA_PE(LTMA,-10AY,0,AM,\"PORTAGG\",\"MEANR\")":[null,null,null,null,null,null,null,null,12.1334011504002,12.6182375517669,12.8954741283025,13.4926338724413,13.8292748369884,13.580981679025,13.7945168717371,12.8607343719007,13.375845185335,13.410084883621,12.090427110163,12.3623186981224,11.2101656139476,12.791628290415,13.0419269016528,13.3884150975546,13.103165088421,13.3504826184507,13.574987500289,13.5306684747677,13.459803119438,13.5157450383228,12.6259923524329,12.5548746235416,13.5383655286167,13.7673548667096,13.3198343831271,13.2864524870727,13.0819372789268,12.7838958943841,13.0221048673579,12.6596726451272,12.2648318816258,12.3536530489518,11.4096992629466,11.6888105719231,12.5262962206669,12.6591225983171,12.3547383530952,12.4047054589721,11.869056670733,12.0237211543986,12.2046907590125,12.2278664906232,12.668232922244,12.5463323204973,12.93256395039,12.0485552614342,11.9553001888647,12.5427379143089,12.7745644088078,12.9115922022434,12.4641912487792,12.8892728731348,13.274770293413,13.6791008304187,14.2447761722048,14.3592384597438,14.0516364546342,16.0725464033252,16.1459827796955,14.9109726873542,13.7754547191478,15.4448676620112,16.3817680830059,18.0320246403359,17.8942681180743,16.4220407536877,18.1084357568545,21.3689403219014,25.5916877194899,24.3074843284141,27.1280100707831,27.9384891054585,26.7508768837826,25.2151412406868,24.2446983373662,23.3708677979703,21.9142916382413,21.0492881319581,20.0727648307169,18.8100367327056,18.4217663067873,16.8652937246247,17.1105210892844,16.787212748159,17.2154335168578,17.4183777204533,16.596807126785,15.7320851332946,15.7256967709502,15.4850831096785,15.0462316283814,14.3191839132915,13.7521237395608,12.7436337855335,12.4977948603517,12.2590871633641,12.0938687173842,12.0776219949319,11.8357956577514,11.7890232574894,11.7038472476547,11.4088717260333,11.282441857143,10.1060915767598,10.2077657084711,10.0469679039112,10.1397257003847,9.4053498562216,9.43555499560689,9.28941050909472,9.09282010278711],"ECH^JULIAN(FMA_DIV_YLD(LTMA,-10AY,0,AM,\"PORTAGG\",\"MEANR\").DATES)":[41782,41813,41843,41873,41905,41935,41964,41996,42027,42058,42086,42117,42146,42178,42208,42237,42270,42300,42331,42361,42391,42423,42452,42482,42513,42544,42573,42605,42636,42664,42697,42727,42758,42789,42817,42846,42878,42909,42937,42970,43000,43031,43061,43091,43123,43154,43182,43213,43243,43273,43304,43335,43364,43396,43427,43455,43488,43518,43546,43578,43608,43637,43669,43700,43731,43761,43791,43822,43853,43882,43913,43944,43973,44005,44035,44064,44097,44127,44158,44188,44218,44250,44278,44309,44337,44370,44400,44431,44462,44491,44523,44553,44582,44615,44643,44673,44704,44735,44764,44796,44827,44855,44888,44918,44949,44980,45008,45037,45069,45100,45128,45161,45191,45222,45252,45282,45314,45345,45373,45405,45433],"BRENT-FDS^FG_PRICE_CHANGE(0,-6AM)":0.0,"TIOS-FDS^FG_PRICE_MAVG(0,,,,30)":113.52433,"INDA^FG_PRICE_MAVG(0,,,,200)":48.063675,"EWW^FG_PRICE_MAVG(0,,,,200)":63.7492,"EPOL^FG_PRICE_MAVG(0,,,,30)":24.378,"KSA^FG_TOTAL_RETURNC(0,-12AM)":3.4082294,"UAE^FG_TOTAL_RETURNC(0,-12AM)":-0.92445016,"SET-BKK^FG_TOTAL_RETURNC(0,-12AM)":-10.880613,"MCHI^FG_TOTAL_RETURNC(0,-12AM)":2.2150517,"GREK^FG_TOTAL_RETURNC(0,-12AM)":25.90723,"EWZ^P_PRICE(0)/P_PRICE_HIGH_PR(0,,,,,,\"PRICE\",\"INTRA\",\"52W\")":0.85730267,"EWW^P_PRICE(0)/P_PRICE_HIGH_PR(0,,,,,,\"PRICE\",\"INTRA\",\"52W\")":0.9347582,"EPOL^P_PRICE(0)/P_PRICE_LOW_PR(0,,,,,,\"PRICE\",\"INTRA\",\"52W\")-1":0.53958595,"CNYA^FG_TOTAL_RETURNC(0,-12AM)":-8.852953,"URTH^PERCENT_CHANGE(FMA_EPS(+1,0,,,,\"PORTAGG\",\"MEAN\"),FMA_EPS(+1,-3AM,,,,\"PORTAGG\",\"MEAN\"))":0.351019443666334,"VWO^SIZE(FG_CONSTITUENTS)":4781,"EWZ^SIZE(FG_CONSTITUENTS)":51,"UAE^FMA_RBICS_REV_CURRENT(30, LOC, \"PORTAGG\")":58.4054260571537,"EPOL^FG_ROE(0)":15.9539198545929,"REFTR1WREPO-FDS^(SUBARRAY(NOT_NA(NO_REPEAT_F(FG_YIELD(NOW,-10AY,D))),0,1)-SUBARRAY(NOT_NA(NO_REPEAT_F(FG_YIELD(NOW,-10AY,D))),1,1))*100":500.0,"REFMYON-FDS^PROPER_NAME(0,,,\"SECURITY\",\"NAME\")":"Malaysia Policy Rate - Overnight","EPOL^FMA_PE(NTMA,0,,,\"PORTAGG\",\"MEANR\")":9.02244933190269,"GREK^P_PRICE(0)/P_PRICE_LOW_PR(0,,,,,,\"PRICE\",\"INTRA\",\"52W\")-1":0.37006402,"EWM^P_PRICE(0)/P_PRICE_HIGH_PR(0,,,,,,\"PRICE\",\"INTRA\",\"52W\")":0.98932993,"EIDO^P_PRICE(0)/P_PRICE_LOW_PR(0,,,,,,\"PRICE\",\"INTRA\",\"52W\")-1":0.022812724,"URTH^P_PRICE(0)/P_PRICE_HIGH_PR(0,,,,,,\"PRICE\",\"INTRA\",\"52W\")":0.9857531,"VWO^FMA_COS_DOWN(\"EPS\",\"1M\",+1,NOW,,,\"PORTAGG\",\"MEANR\")":1619.0,"TRYTW10Y-FDS^FG_YIELD_NAME":"Taiwan China Benchmark Bond - 10 Year","REFPEMPR-FDS^(SUBARRAY(NOT_NA(NO_REPEAT_F(FG_YIELD(NOW,-10AY,D))),0,1)-SUBARRAY(NOT_NA(NO_REPEAT_F(FG_YIELD(NOW,-10AY,D))),1,1))*100":-25.0,"REFCNRMB-FDS^PROPER_NAME(0,,,\"SECURITY\",\"NAME\")":"China Loan Prime Rate (LPR) - 1 Year","TRYGR10Y-FDS^PCTCHG(FG_YIELD(0,,,,\"YTM\"),FG_YIELD(-3AM,,,,\"YTM\"))":4.7535753,"TRYPL10Y-FDS^PCTCHG(FG_YIELD(0,,,,\"YTM\"),FG_YIELD(-1AM,,,,\"YTM\"))":-0.2422158,"TRYTR7Y-FDS^FG_YIELD(0,,,,\"YTM\")":24.4331,"TRYKR10Y-FDS^FG_YIELD_NAME":"South Korea Benchmark Bond - 10 Year","TRYCN10Y-FDS^FG_YIELD(0,,,,\"YTM\")":2.3177,"CC_PE^IMF_IFS_RCPI_Q(0)":2.8496776,"VGK^FG_PE_NTM(0,,,90,0)":13.6681228708518,"MCHI^JULIAN(FMA_DIV_YLD(NTMA,NOW,NOW,M,\"PORTAGG\",\"MEANR\").DATES)":45412,"TRYBR10Y-FDS^FG_YIELD(-10AY,0,Y,,\"YTM\")":[12.319731,15.989595,11.062725,9.887577,8.936093,6.883678,6.961219,10.970291,12.900059,10.455909],"TRYTR7Y-FDS^FG_YIELD(-10AY,0,Y,,\"YTM\")":[7.979133,10.679033,11.110786,11.586128,15.896213,12.034795,12.534946,23.870693,7.323803,21.984322],"CC_MY^FG_COMPANY_NAME":"Malaysia","USDINR^STD(FG_PRICE_CHANGE(0,-1AY,AM))":0.493114804221366,"USDPHP^FG_PRICE_CHANGE(0,-1AM)":1.0831594,"EZA^FG_TOTAL_RETURNC(-10AY,0,AM)":[6.194544,-1.1468172,2.856648,-1.2645781,-7.0442557,0.32149553,9.400284,-9.405333,5.864918,2.3279667,-3.0525506,4.6338797,-1.9020557,-4.268551,-3.0623019,-12.643498,-3.780377,11.281574,-5.665767,-11.1374855,-16.044092,11.50012,11.164415,7.355821,-10.889822,15.606129,2.8326035,0.6575465,-0.5649686,-3.7819624,-6.2373104,-0.24936199,10.789787,3.5283566,5.0078273,-4.421258,6.7047834,-5.193776,5.4049373,1.5072107,-2.775979,0.43160915,4.859507,7.7141523,9.379625,1.6745448,-9.137994,-2.485025,-2.7282238,-9.255636,0.017237663,-4.827583,-0.54347515,-9.162116,3.990376,-4.20261,12.399745,-0.6220281,-5.8173776,12.255669,-11.596727,11.12603,-0.018167496,-16.721195,8.926237,3.0855536,-0.058311224,3.6239386,-1.8988669,-4.102665,-46.29224,21.895432,12.600529,10.62249,5.7260275,-2.5913477,-5.613196,13.275087,4.254794,9.958994,2.2835255,7.7144027,-3.2013178,8.077168,-0.13730526,-3.638655,-3.003496,-1.5482545,2.2619605,2.6121736,-5.6456566,2.461493,7.251668,3.4606934,6.322503,-11.3657,-3.7956536,-7.2455764,-2.0216286,1.1276364,-13.190985,3.8535118,17.736853,-1.6491294,6.622052,-9.39191,-2.2689283,5.2297235,-10.33442,3.0527234,8.642292,-5.2483025,-3.8499713,-3.4099698,5.7234526,4.372883,-5.8650312,-0.7038593,0.36754608,1.5956044,9.42328],"GREK^FMA_DIV_YLD(NTMA,-10AY,0,AM,\"PORTAGG\",\"MEANR\")":[2.1651471325653,1.86056594508087,2.11265776212389,2.05074391260884,2.24326940427337,2.44911592436085,2.4922703479275,2.9937245262805,2.99406233252264,3.27008443351986,3.42793328541001,3.64695741213528,3.2137656990604,3.424615019491,3.30971446356718,4.31831169072964,3.24651083617106,2.74340203556215,3.19281512239792,2.93152056901684,2.73670773000376,2.80589251308131,3.43299823739984,2.83174300556653,2.22519163515286,2.49864574332283,2.89075019694747,2.97349499131969,3.16154997257584,2.95934184432991,2.65684338712241,2.91423991387571,2.92735595754758,3.01222975076122,3.04516728454552,2.67220195967957,2.5532939443028,2.53366308692566,2.43888361670377,2.51924535241549,2.7189714041945,2.90964453252507,3.17252396623456,2.58125276846674,2.49172463389283,2.8699701223426,3.24189117848184,2.98494190204124,3.29662903285896,3.33659000749315,3.48157832924537,3.60504637788652,3.73607128298644,4.25127052701018,4.44418492272924,4.52734861411927,4.33857336364896,4.02050347833981,3.83920930883688,3.59718500521629,3.92549218977748,3.3330026689782,3.22914700079372,3.39222817552828,3.32721565268369,3.22260987338499,3.21138382481954,2.96284805263898,2.89992169042361,2.92213690943162,5.55550782701484,4.69853856107111,4.14364276016855,3.59812383993634,3.57912359655525,3.63332775954712,3.70597260302293,3.93479432950877,3.46180858916432,3.25032157105662,3.34845901936557,3.47755585275413,3.68358793151588,3.45621296972513,3.25384363897563,2.99967562282141,3.03162226756022,3.20621331064206,3.03383539285255,3.01579895654628,2.916379851242,3.20232503734418,3.09985943898752,2.91283617199925,3.08857185934652,3.05533519706436,3.58049157181227,4.11503139241426,4.20977143800085,3.93750819629587,4.73084142491273,4.33253055618274,4.49642695037671,4.46800286071666,4.36065502603739,3.91139272115104,4.35394793649123,4.10848452037422,3.87020606313046,3.91097165617111,3.96894784735976,4.40481930827868,4.60763682519232,5.08641330233946,4.43480574024222,4.55107898592213,4.58870080348012,4.54634489231158,4.97161419314605,5.10957478266198,5.24071253581874],"QAT^FMA_PE(NTMA,-10AY,0,AM,\"PORTAGG\",\"MEANR\")":[null,14.9827234006951,15.580488739485,16.1720399489386,15.6915388459342,15.151993157262,15.2194513655899,13.3169159578194,13.1290365064061,14.0092907989567,12.9211453227707,13.4224501223119,13.5281797946054,13.1695293233093,13.2948176525756,12.5147089020046,12.6563698603364,12.6892612896651,11.7390639587419,10.3748295305031,9.72203114483085,11.6246545282018,12.2006461966124,12.3328187929584,11.3146271321541,11.9525037375563,12.4953598265136,13.4177338026625,12.7162047800451,12.9611271706079,12.0437006216089,13.2485676198167,13.8865534502992,13.4955998226241,12.9009647848188,12.9384202703653,13.0938734275139,12.2525733997439,12.5160823098455,11.9603012765896,10.8845360212123,10.7375608183305,10.793737098287,11.9413038128528,12.2020341822845,11.732650817501,11.3064119675106,11.6986472667083,11.3728117284196,11.0941183879668,11.6341746461396,12.0060996658262,12.255820967757,12.8614984240044,12.9233998182613,13.0034842034088,13.3307347797762,12.5874362923282,12.3537194711208,13.1407956887302,11.9566495538715,13.4568487175799,13.2824964427986,12.6594396540918,13.3417573633743,13.5961905394928,13.1895959084416,13.9578113797004,14.0248027125608,13.1957427624765,11.306047033267,12.4413235502886,13.873333531957,14.6222102637827,15.1656058318511,15.6971385447815,14.9069911695621,15.3161375258465,15.3115120599043,14.2374899939166,14.267755918221,13.1889784601355,13.3862100240834,13.9816061564585,13.7383373437276,13.6825084843541,12.996765941314,13.5124834552067,13.2774631283973,13.7352320280211,13.4119842956816,13.1211950483692,13.6919555171724,13.7078993045763,14.1735986135075,14.077704499897,12.7614063354687,11.7876807873369,13.0247327802185,13.4415889473248,12.6284360771093,12.6058982678765,12.4091518784466,11.4259312697858,11.6043783328239,11.0010548386,10.5908013587246,10.4668078281409,11.252211343094,11.0271506523173,11.3940409705686,11.1196841703354,10.89091049159,10.2511692602021,10.678574735704,10.6289552454553,10.7185082474702,10.5309275478562,10.5190688359522,10.005740221625,9.88963796776014],"PASP-FDS^FG_PRICE_CHANGE(0,-1AM)":-0.990099009900991,"CPALM-FDS^MAX(FG_PRICE(0,-5AY))":8163.0,"UAE^FG_PRICE_MAVG(0,,,,30)":14.44383,"INDA^FG_PRICE_MAVG(0,,,,60)":51.799,"SET-BKK^FMA_COS_DOWN(\"EPS\",\"1M\",+1,NOW,,,\"PORTAGG\",\"MEANR\")":93.0,"EPOL^SIZE(FG_CONSTITUENTS)":34,"CNYA^FMA_RBICS_REV_CURRENT(30, LOC, \"PORTAGG\")":20.1955514594949,"REFZAREPO-FDS^(SUBARRAY(NOT_NA(NO_REPEAT_F(FG_YIELD(NOW,-10AY,D))),0,1)-SUBARRAY(NOT_NA(NO_REPEAT_F(FG_YIELD(NOW,-10AY,D))),1,1))*100":50.0,"UAE^FMA_EVAL_EBIT(LTMA,NOW,NOW,M,\"PORTAGG\",\"MEANR\")":9.96536689307681,"SET-BKK^FMA_DIV_YLD(NTMA,NOW,NOW,M,\"PORTAGG\",\"MEANR\")":3.62771385541944,"EZA^FG_FCF_YIELD_NTM(0)":6.14527183480466,"EWY^FMA_PE(LTM,0,,,\"PORTAGG\",\"MEANR\")":17.0024103961071,"EWM^FMA_EVAL_EBITDA(NTMA,0,,,\"PORTAGG\",\"MEANR\")":9.07141400119819,"EPOL^FMA_PE(LTM,0,,,\"PORTAGG\",\"MEANR\")":7.60590710445043,"TRYVN10Y-FDS^FG_YIELD(-10AY,0,Y,,\"YTM\")":[7.3,6.277413,7.1117578,5.6717234,4.738006,3.5404546,2.4877946,2.059403,4.687226,2.9473283],"CAGDPY@ID^EE_ACTUAL_ANNUAL(MED,+1)":-0.5,"USDAED^STD(FG_PRICE_CHANGE(0,-1AY,AM))":0.0110656215814481,"USDTHB^FG_PRICE_CHANGE(0,-1AY)":5.3272724,"USDBRL^STD(FG_PRICE_CHANGE(0,-1AY,AM))":2.03350752123853,"USDMXN^FG_PRICE_CHANGE(0,-1AY)":-6.9720864,"USDPEN^STD(FG_PRICE_CHANGE(0,-1AY,AM))":2.25687360576079,"EPU^FMA_EPS(NTMA,-20AY,0,CY,,\"PORTAGG\",\"MEANR\")":[null,null,null,null,null,2.32525395129155,3.70455099626404,3.91000310564685,3.95899801372697,2.82022185033686,2.58004727651874,1.7402921975997,2.8587512141433,3.049394604189,2.65459381565907,2.43807409059732,2.41141007545713,2.94854993669394,3.11609678108668,2.96006706365419],"EWW^P_PRICE_RETURNS_PR('52W',2,-10AY,0,AM)":[0.22287369,15.881002,5.4944515,11.632824,5.0480723,3.3637166,4.701054,-11.09274,-5.395693,-3.4720898,-3.854996,-4.220706,-10.370546,-11.790257,-19.028973,-28.284842,-24.684858,-15.585661,-16.589361,-12.131101,-22.847832,-17.235786,-9.9939165,-8.511215,-14.627248,-11.461723,-5.6902647,4.351032,-4.158288,-1.850754,-18.7796,-12.637985,-2.078396,0.73595047,-1.7012596,-1.4023542,6.94679,7.274294,14.018154,13.253296,16.769707,0.39303303,20.109058,13.713276,22.395206,11.794448,0.53344965,1.6266227,-8.40404,-11.7899475,-9.360057,-8.834201,-6.3700857,-7.2719216,-20.96647,-15.165025,-13.026846,-12.030005,-12.79065,-6.7069235,-3.7614346,0.9032607,-16.040493,-21.3368,-11.939108,-0.8865297,13.47431,16.386831,9.278393,8.697832,-40.24133,-41.163765,-28.85524,-23.569458,-20.28538,-13.358492,-27.347343,-17.449492,-6.437719,-6.4561186,-8.678638,-8.693457,73.3803,80.22151,59.706177,45.54113,50.271606,47.815918,62.359035,39.460217,15.835929,20.794308,15.0813465,20.136536,25.732363,12.073076,9.142197,-0.8472562,-1.895392,-0.9585619,-7.080972,-1.1742294,19.792044,8.218945,21.659779,21.450256,11.056482,20.054615,19.596148,38.736298,42.5874,37.50534,33.178234,15.613258,19.20991,36.574543,14.363074,17.867744,22.565067,13.454413,15.479195],"TUR^FMA_PE(LTMA,-10AY,0,AM,\"PORTAGG\",\"MEANR\")":[10.168700882157,10.3473850380612,10.8184271601283,10.5361794108983,10.4731476255138,10.8599598231615,11.495754297262,11.6881546455511,12.845126859634,12.2376251562057,11.8302155433566,11.7178500628643,11.7942020869806,11.6247856992508,11.1433588476846,10.6356696474264,10.5793195009302,11.1420396393769,11.1784202714998,10.0631834004883,9.48632049977115,9.85416928080369,9.79925604785559,9.91477072194727,9.52599184051754,9.53636103639556,9.08646313578386,9.54839209631498,9.67716038414828,9.396470807109,8.89248723507006,8.9209018809034,9.46051161198493,10.0411502749019,9.79427264498969,9.73814498982257,9.7583727048138,9.69178845880834,9.81059716549172,9.55426108744075,9.17359653968626,9.14472491872504,8.7274363126993,8.77265630611145,9.15536246850695,9.14280743787811,9.10654240786224,8.87889566951651,8.47807417351538,8.14099067646884,7.84561370385397,7.35509358890263,7.61324878179186,7.20866939231172,6.73778891392335,6.63594450061381,7.29307683799075,7.30678700914595,7.39973448696281,7.20780488085513,6.89281050785609,7.22324152721781,7.57845661147557,7.55445933356857,7.58221369973841,7.63576813844785,8.30597392158882,8.96338035830265,9.54011099146393,8.97157662362499,7.66866360662138,7.80004230920089,8.43706211742278,9.40374660913295,9.83372532569012,9.91865216107846,10.0170480035462,11.6473506126144,13.0443061265189,12.9136764979923,13.2933739194859,11.8085528868594,11.1084787632277,10.5393026691484,10.1761114816389,9.51868667736529,8.86334970604582,8.31632318380382,7.55701425950459,7.15857008649022,7.1103240744344,6.63269970777532,6.81548021298257,6.04647101382447,5.7478396425044,5.71605348760017,5.40433147691917,5.46825210979188,5.12280370185837,4.97555107619541,4.67342582865546,4.86701503343911,5.19305085591549,5.21597827330897,5.20324618540634,4.58433572291298,4.71292197576868,4.66125682793635,4.43687659455902,4.91565845455746,5.50666873742132,6.05042084540175,6.30403933230859,5.95673561816539,5.7783460526326,5.49486711916123,5.76635247404522,6.78731652135749,6.5496882306199,6.54844398114335,6.77409572985247],"DDR3512M-FDS^MAX(FG_PRICE(0,-5AY))":3.3053632,"BRENT-FDS^FG_PRICE_CHANGE(0,-3AM)":0.0,"TIOS-FDS^FG_PRICE(0)":117.53,"FC0000QA^FG_PRICE(0)":97.157875,"FC0000CL^FG_PRICE(0)":219.11298,"INDA^FG_PRICE_MAVG(0,,,,30)":52.178,"EWW^FG_PRICE_MAVG(0,,,,60)":67.2255,"EPOL^FG_PRICE(0)":25.28,"KSA^P_PRICE(0)/P_PRICE_LOW_PR(0,,,,,,\"PRICE\",\"INTRA\",\"52W\")-1":0.13891196,"UAE^P_PRICE(0)/P_PRICE_LOW_PR(0,,,,,,\"PRICE\",\"INTRA\",\"52W\")-1":0.051840663,"CAGDPY@IN^EE_ACTUAL_ANNUAL(MED,0)":-1.8,"CC_PE^FG_COMPANY_NAME":"Peru","USDINR^FG_PRICE_CHANGE(0,-6AM)":-0.07349253,"USDIDR^STD(FG_PRICE_CHANGE(0,-3AY,M))":1.56312460147422,"EWW^FG_TOTAL_RETURNC(-10AY,0,AM)":[5.6195855,1.5692711,3.6766768,1.4238954,-2.807808,-4.188937,1.3870001,-11.283302,0.963974,-1.273036,1.0858536,0.6042242,-1.1177838,-0.084358454,-4.831296,-9.7033615,1.5436411,7.38647,0.18149614,-6.541437,-10.518307,4.9241543,9.9308605,1.0672688,-6.637752,3.62041,1.2817979,0.0,-6.7367554,8.45511,-15.938407,0.52559376,0.29748678,7.939768,7.2711825,1.2216687,1.4210582,3.9377332,7.0201635,-0.08722544,-2.2350252,-8.287197,0.15579462,-5.3957224,9.053159,-1.4089882,-3.53418,2.3223162,-8.589315,-0.7453799,10.899961,0.4924178,-0.058799982,-8.74682,-14.635712,2.7083993,10.539341,-0.06713867,-3.023523,7.713628,-5.7032585,2.246976,-6.0812354,-5.846816,11.880922,2.7064204,-0.6922662,3.6741018,3.788054,-1.666671,-46.105988,6.0509443,14.827335,9.074699,-2.0457268,4.330468,-7.9776287,16.698658,12.554825,3.653729,2.1130443,-2.4441302,2.338338,10.235489,1.0575294,0.0874877,1.1380434,2.6255488,1.076138,-0.50221086,-5.8146534,8.090663,-1.2670994,0.346303,7.1051598,-2.426076,-0.8935511,-9.073221,-0.3064096,3.9956093,-5.17205,5.587721,14.421248,-2.3519754,10.995567,0.1734972,-2.0609677,6.01238,-1.768142,5.478704,2.0110369,0.7313132,-5.3345976,-11.070358,16.741657,10.577381,-4.9697638,3.2433271,1.4279366,-1.4671087,-0.015032291],"EZA^FMA_DIV_YLD(NTMA,-10AY,0,AM,\"PORTAGG\",\"MEANR\")":[3.32347316798745,3.30628116545697,3.22537254480871,3.25635768179568,3.43587052624319,3.50042121845787,3.24552213416372,3.34780394643344,3.20325116045347,3.03338903831126,3.06675124588825,2.9471218296033,3.10476342405878,3.19256677536799,3.1718200765118,3.44976945869026,3.43003126781446,3.18483189882196,3.29347475994953,3.4234731571506,3.75062650355298,3.56004052825447,3.29436038500458,3.23808953250946,3.36096759183172,3.05524961171507,2.96337368320125,2.97152163823658,3.12815624130705,3.2022763504184,3.3286601206386,3.33567192029541,3.14587394446592,3.14778992750119,3.14824791365068,3.15593435744976,2.99927537560192,3.34965562229808,3.20205605849676,3.13100842417303,3.33582400329275,3.25250510524515,3.09219166376652,3.36468261017054,3.24200831550789,3.30838506132712,3.22279943517635,3.27556429162225,3.43994603711604,3.53384919951292,3.61569516061482,3.55410410031386,3.71363168248961,4.21669764789091,4.08952677423946,3.97164425333066,3.71883738497393,3.76947858481987,3.93419872024701,3.62646506391888,4.0788727722194,3.7091930930531,3.80889068343571,4.12729322075621,4.25821139512114,4.22276150500069,4.13519660132338,3.72135406887813,3.77339152364386,3.81729328587477,6.06433284829697,4.18018890269532,3.54524247375091,3.35425011710127,3.35105277978207,3.44279878182591,3.63889736491387,3.55412819353889,3.63043875277698,3.85863110126612,3.89846633188752,3.84952196009989,3.88768443783376,4.25082685810195,4.34104847087343,4.35435951227095,4.4537886568657,5.10249821410645,4.84386602625345,4.71045628045265,4.56002510656736,4.62672096785209,4.40233168217354,4.46328723982868,4.38875327379455,4.67145475590802,4.93682965438025,5.21825607861473,4.93323807169492,5.02941534621269,5.61794796481172,5.53558878543348,4.89408169982925,4.88012528950592,4.52023663539845,4.65986667719676,4.73568039953105,4.52288905154769,4.72365444834824,4.58788416563617,4.24293826418425,4.44544183380576,4.46700049827519,4.58963348535315,4.34891926421674,4.23178691446134,4.38504160233714,4.328497355085,4.23895110587139,4.26435929811657,3.88795402401602],"DDR3512M-FDS^FG_PRICE(0)/MAX(FG_PRICE(0,-1AY))":0.924796211538461,"PASP-FDS^FG_PRICE_MAVG(0,,,,30)":1002.43335,"CPALM-FDS^FG_PRICE(0)/MAX(FG_PRICE(0,-1AY))":0.841450098274732,"UAE^FG_PRICE(0)":14.0,"EWM^FG_TOTAL_RETURNC(0,-6AM)":11.114967,"EIDO^P_PRICE(0)/P_PRICE_HIGH_PR(0,,,,,,\"PRICE\",\"INTRA\",\"52W\")":0.8553459,"URTH^FG_TOTAL_RETURNC(0,-6AM)":15.154993,"URTH^FMA_PCT_ABOVE_MAVG(200,0,,,,\"PORTAGG\")":75.7015742642026,"SET-BKK^FMA_COS_UP(\"EPS\",\"1M\",+1,NOW,,,\"PORTAGG\",\"MEANR\")":66.0,"EPOL^FMA_COS_DOWN(\"EPS\",\"1M\",+1,NOW,,,\"PORTAGG\",\"MEANR\")":13.0,"KSA^FG_ROE(0)":10.6591004547012,"TRYMY10Y-FDS^FG_YIELD_NAME":"Treasury - Malaysia Benchmark Bond 10Y","REFZAREPO-FDS^PROPER_NAME(0,,,\"SECURITY\",\"NAME\")":"South Africa Repo Rate","^FG_YIELD(-10AY,0,Y,,\"YTM\")":[null,null,null,null,null,null,null,null,null,null],"TRYTW10Y-FDS^FG_YIELD(-10AY,0,Y,,\"YTM\")":[1.6015,1.015,1.2037,0.9478,0.8648,0.672,0.315,0.7413,1.2812,1.211],"USDAED^FG_PRICE_CHANGE(0,-6AM)":0.012254715,"USDBRL^FG_PRICE_CHANGE(0,-6AM)":5.3128004,"USDPEN^FG_PRICE_CHANGE(0,-6AM)":0.18589497,"FC0000PL^FMA_EPS(NTMA,-20AY,0,CY,,\"PORTAGG\",\"MEANR\")":[11.3956611787009,13.1552545733141,20.1382940093796,27.2509703511728,17.8154691533002,15.6334740740598,20.0842977011357,17.7256437482491,16.740047713355,17.3182407358996,14.5525654325642,12.4912768812566,13.2484078165723,19.4716186195535,18.0244220851928,16.9181600231376,12.7251193000516,16.7959254186769,17.0889243836624,23.3955887248491],"EWT^P_PRICE_RETURNS_PR('52W',2,-10AY,0,AM)":[10.621822,23.287296,20.290148,26.99846,11.505735,8.668411,17.341864,8.316982,15.275025,14.882051,18.48719,14.7358055,11.695278,5.6688905,-6.5186205,-21.237778,-13.317263,-4.406518,-11.728639,-9.043276,-22.453499,-16.992504,-12.677622,-14.327359,-18.858253,-8.672487,2.133119,24.617529,21.74753,15.406775,14.086056,13.7642145,34.618114,31.817318,25.495731,26.090694,36.351227,28.199375,24.759663,25.125336,18.26868,22.17672,27.532578,26.75029,29.751884,18.597376,13.869249,13.875222,10.438871,4.599619,4.6967506,3.278768,3.9693952,-9.627914,-13.276142,-8.9893875,-15.598792,-6.084156,-7.079363,2.1049738,-9.394228,0.9068966,0.19843578,-5.3958654,0.3707528,19.999207,24.849045,34.605717,30.328346,20.375751,-8.0597105,-0.24985075,12.874735,17.731583,23.534405,31.16089,23.392355,24.10444,29.49593,27.389753,44.564056,55.73069,93.45402,85.06148,62.584484,58.511913,49.777866,42.402924,49.095905,36.551964,33.096874,31.60472,13.1683235,10.36812,9.30792,-6.6120567,-4.6435714,-14.793407,-18.055511,-14.687502,-27.887314,-30.393135,-23.181927,-27.101547,-18.143528,-17.688543,-13.02473,-10.088682,-3.4048855,7.072127,9.550535,5.153942,14.040173,23.332548,16.904879,23.62349,12.022245,16.56909,22.325218,18.779255,27.998734],"INDA^FMA_PE(NTMA,-10AY,0,AM,\"PORTAGG\",\"MEANR\")":[16.1858503792152,16.2801333717397,16.795231551943,16.643311168743,16.6337911586551,16.4685378209581,17.3649551759542,16.7610494951123,18.0997416400488,18.2441207106728,17.8764821609078,17.4365412150429,17.7753509011279,17.5805238336553,18.7158358243584,18.540041679785,17.3115719383548,18.026378496713,17.1561899695912,17.2349364389603,16.3047155927515,16.4155637108195,17.3445562937724,17.5264280495549,16.9874396508989,17.7142308074021,18.1662899472054,18.0386711344866,18.0267864612565,17.6568664653203,16.0725462258212,15.8093838097274,16.6539923243259,17.8704465631181,17.8339309526511,17.8887742035645,17.9805137925049,17.9665400478471,18.7093209575186,18.5629703278111,18.6243484963313,18.7142587769051,18.7810526955954,18.966260413417,19.6815264400131,18.4622168366324,17.5832680599451,18.444312105261,17.882352801551,18.6409884982685,18.8135026928498,19.895904100207,18.9345660082847,16.734150078171,17.7240224659491,17.8790354021236,18.0166980989502,18.1490388233834,18.9158918926833,18.9623162934121,18.9014954469315,18.7536587002126,18.2143080703131,17.8568873823695,18.5226097869125,18.4665811984823,19.2624503451712,19.2981933383799,19.3492808646462,19.2032085614283,12.3508402999862,16.9609883646866,18.431491499937,22.3632473402897,23.8963073179756,23.4865381362292,22.3566263798538,22.7567227499583,22.7674774154467,23.8177662061332,24.0237565970965,23.0540706618119,23.1350894848954,21.9621030597425,22.5164424395947,23.1406832281456,23.1862795627982,23.5689142658898,24.9854420520909,24.2865305952417,23.2523186449259,22.8736872046238,22.9733723203471,21.7933323652282,21.8173904691281,21.9155441530433,20.3152066135379,19.6282673028032,21.2814101262505,22.4845347641519,21.9105363763899,21.8261459478784,22.2995432689812,21.596070789354,21.7003919184449,20.4904989516316,19.7347640994294,20.0973612965228,20.9208425071763,21.3193595169276,21.6139295326181,20.8523909662835,20.6744924085181,19.9793459958577,20.4056910341672,21.6872204061562,21.6620898727823,22.7490879451604,22.1757255803005,22.4314658615307,22.6354821810386],"SET-BKK^FMA_PE(LTMA,-10AY,0,AM,\"PORTAGG\",\"MEANR\")":[17.9683104011173,17.7540980751045,17.876426786822,18.928968631504,19.2611549294007,18.7515583322989,19.8692532123071,19.6825292178692,21.63619461461,23.7481881405945,22.9864655797668,22.3323804204577,21.9152291922697,21.1418197247432,20.3753624931508,19.3101298418468,18.7847263156343,18.5804721499587,16.398195366225,14.3124822080112,14.1853776975919,16.8093787569411,16.6446148255193,16.4851447322961,16.1982157129593,16.3906781229982,16.7385245729654,16.6594281429348,16.1876053008959,16.1364387990792,15.9928619792093,15.9753524132961,16.5401514321921,16.2447226979276,16.2923404508953,16.2108084749651,16.0797574654153,16.103815405071,15.9639325229063,15.9247481651098,16.4675958906444,16.6521787663744,17.0822927421012,17.6273258638553,18.6132661980334,17.7249493705512,17.5849263957473,17.3363496796833,17.2187247792311,16.5309966865515,16.4824479247237,16.3384676825658,16.5200131803121,15.6217997234097,15.0525538952226,14.6268210921821,15.0870046453986,16.1368518600436,16.1843033965842,16.1704674070726,15.9467502686496,16.4052406321184,16.5134668165064,16.3570255339711,16.2946398577232,16.7642580188424,17.1764326592213,16.921163361369,16.9519708439416,16.6534562126067,14.2779809217128,15.389138485182,16.8994347528871,18.1668464671233,19.2996287894001,20.0194271252196,21.0333277556917,21.2040832526022,23.8823656888042,26.3929838211241,27.3488796233457,28.0178782749059,27.2086870956547,26.2787500960667,25.0554580566657,24.0592653875838,22.8878184414994,22.2445039816425,21.6850316788338,20.8666273659177,20.0064934161273,18.9937292241579,18.8591558674637,19.0367574676988,18.8137743146148,18.5473331204573,18.2379034437355,17.5327125901996,17.2058886772696,17.1734649507015,16.7805007996451,16.3077657963328,16.6336794172685,16.4385424480557,17.2867793868425,17.3736755096481,17.3346131644958,17.2001414844468,17.1450236927887,17.0321134537969,17.2825806831746,17.6093045807655,17.3754710079527,16.477858724914,16.2996059134883,16.2751352153773,15.2547082824294,16.9085249309239,16.5510400288684,16.3159107526044,16.2047438383323],"BRENT-FDS^FG_PRICE_CHANGE(0,-1AM)":0.0,"GREK^FG_PRICE_MAVG(0,,,,200)":37.766235,"EWW^FG_PRICE_MAVG(0,,,,30)":66.89367,"EPHE^FG_PRICE_MAVG(0,,,,200)":25.67962,"KSA^P_PRICE(0)/P_PRICE_HIGH_PR(0,,,,,,\"PRICE\",\"INTRA\",\"52W\")":0.9145138,"UAE^P_PRICE(0)/P_PRICE_HIGH_PR(0,,,,,,\"PRICE\",\"INTRA\",\"52W\")":0.89256114,"SET-BKK^P_PRICE(0)/P_PRICE_HIGH_PR(0,,,,,,\"PRICE\",\"INTRA\",\"52W\")":0.8660339,"MCHI^P_PRICE(0)/P_PRICE_HIGH_PR(0,,,,,,\"PRICE\",\"INTRA\",\"52W\")":0.9020825,"GREK^FG_TOTAL_RETURNC(0,-3AM)":4.475379,"EWZ^FG_TOTAL_RETURNC(0,-3AM)":-7.4879227,"EWW^FG_TOTAL_RETURNC(0,-3AM)":-0.075149536,"EPOL^FG_TOTAL_RETURNC(0,-6AM)":19.462717,"CNYA^P_PRICE(0)/P_PRICE_HIGH_PR(0,,,,,,\"PRICE\",\"INTRA\",\"52W\")":0.85334617,"VWO^PERCENT_CHANGE(FMA_EPS(+1,0,,,,\"PORTAGG\",\"MEAN\"),FMA_EPS(+1,-3AM,,,,\"PORTAGG\",\"MEAN\"))":-4.17475040822807,"VGK^SIZE(FG_CONSTITUENTS)":1281,"EWZ^FMA_COS_UP(\"EPS\",\"1M\",+1,NOW,,,\"PORTAGG\",\"MEANR\")":18.0,"CAGDPY@CL^EE_ACTUAL_ANNUAL(MED,+1)":-3.5,"CC_PL^FG_COMPANY_NAME":"Poland","USDTHB^FG_COMPANY_NAME":"Thailand Baht per U.S. Dollar","USDINR^FG_PRICE_CHANGE(0,-3AM)":0.3993392,"USDMXN^FG_COMPANY_NAME":"Mexican Peso per U.S. Dollar","USDIDR^STD(FG_PRICE_CHANGE(0,-1AY,AM))":1.60745084172042,"EWT^FG_TOTAL_RETURNC(-10AY,0,AM)":[2.1753907,2.9940128,5.426359,0.0,-4.411763,-1.7307699,3.84866,-4.7463655,6.1197042,-0.12673736,2.474618,2.4767756,-0.66464543,-2.4330854,-6.7331734,-16.778076,6.506026,8.371043,-4.105777,-1.8485844,-9.98475,7.451308,7.8014255,-2.192986,-3.2884955,9.814537,5.2779675,0.6016016,4.0531516,0.5108595,-3.113085,-2.1254718,6.515777,5.2157164,2.6315808,-1.7292857,4.5813203,3.2492042,2.2478223,1.099205,-0.70672035,2.84698,1.9962788,-3.878826,9.413409,-3.8294613,-1.4600456,-1.7241359,1.4254451,-2.5945902,2.7469397,-0.2700448,1.4622331,-11.929548,-2.121216,-0.17008781,2.5271893,5.023408,1.1883616,6.0187936,-9.997231,7.9076886,2.5663018,-5.8382034,7.6468825,5.2934766,3.5686374,5.829346,-0.73081255,-3.8036764,-22.06633,15.024555,3.756404,10.477233,7.621646,2.306807,-1.0372043,5.901122,8.067989,4.1080832,13.951672,2.4452806,-3.1881154,10.034477,-7.2704496,5.8803678,1.6916752,-2.7306974,3.614068,-3.3634365,5.7202697,2.940929,-1.6430855,-0.46404004,-4.118103,-7.714754,-3.547597,-5.3896546,-2.1555007,1.219511,-12.417412,-6.345683,16.20469,-2.3115993,10.443354,0.08920431,1.3146162,-3.342867,2.275312,4.8720717,0.70004463,-3.4126878,-2.5081754,-1.3199091,9.317613,3.959608,0.20238161,4.151702,4.891193,-4.8685255,10.21378],"EWZ^FMA_DIV_YLD(NTMA,-10AY,0,AM,\"PORTAGG\",\"MEANR\")":[4.09193031221882,4.0183218835538,3.75606035755555,3.67675860840491,3.81172924840923,4.07961015593689,3.61218458970893,4.06541739669085,4.07466921341647,3.95571661712725,3.81905729357969,3.63668299488428,3.7394643210628,3.89961063539436,4.04398065896177,4.25142434365353,4.45796706573012,4.0026862864455,3.9055087813484,4.1009900959626,4.93871470585903,4.17308321090726,3.29914353197664,3.1326707881911,3.45019385649222,3.31590101998559,2.94167132652603,3.12159000014777,3.12220397844802,2.85653885684544,3.123895910346,3.64652118325362,3.3218951590451,3.31882412453439,3.6762211079191,3.64361137399715,3.77443043926021,3.73399314568802,3.52139961813136,3.304629151794,3.16204610924087,3.21285423573964,3.40120351560694,3.47139090030214,3.31065556199625,3.27659955191583,3.5175320952838,3.64289772972413,3.95187773638099,4.57961030849654,4.20985813585934,4.39619174887582,4.26673778797935,4.02650624737673,4.03186880563167,4.09124649696892,3.68945585766631,3.45416015021072,3.43174697863723,3.43718033683855,3.50024703283668,3.03733425009915,3.12757505279514,3.47174586833776,3.23204067516214,3.26482180074428,3.2491693158926,3.13080675590228,2.9952633100039,3.17445760501908,5.42515195831755,3.95228460097994,3.53999418732193,2.92457601931846,2.68725313791354,2.81167381248939,3.47636130748545,3.39035054130388,3.42338967949642,3.36453577115794,3.56946914711016,3.92618300384242,4.49550017848964,4.59453090875341,4.73875245350774,4.86998698081419,5.4384180717691,6.01560178066458,6.29477178329404,6.9741919812862,7.64844021313629,7.54133061208104,7.07359752282512,6.92265796055476,8.3610118536252,8.74635739164291,9.86288829720513,11.141703635857,11.4287167484067,10.4499431669269,10.355368272539,8.95075599052739,7.79668347047363,6.77719452175567,6.60663192680469,6.40553288498634,7.02953207887091,6.68246369214508,6.55131239664304,6.05709620948883,5.93132574746464,5.90467470516884,5.9770973130983,6.36613954033056,6.15297187288553,5.75555343798488,5.81444638609153,5.96129926972699,6.31315581523182,6.37865840841947,6.71727214705155],"DDR3512M-FDS^FG_PRICE_CHANGE(0,-3AM)":-0.961037909903906,"PASP-FDS^FG_PRICE(0)":1000.0,"TUR^FG_PRICE_MAVG(0,,,,200)":36.67575,"MCHI^FG_TOTAL_RETURNC(0,-6AM)":6.3554287,"EWM^FG_TOTAL_RETURNC(0,-3AM)":6.9681644,"EIDO^FG_TOTAL_RETURNC(0,-6AM)":-3.3149064,"URTH^FG_TOTAL_RETURNC(0,-3AM)":3.5416484,"VWO^PERCENT_CHANGE(FMA_EPS(+1,0,,,,\"PORTAGG\",\"MEAN\"),FMA_EPS(+1,-1AM,,,,\"PORTAGG\",\"MEAN\"))":-2.30795789317252,"QAT^SIZE(FG_CONSTITUENTS)":34,"EPOL^FMA_COS_UP(\"EPS\",\"1M\",+1,NOW,,,\"PORTAGG\",\"MEANR\")":10.0,"VNM^FG_ROE(0)":9.48802917449969,"TRYPE10Y-FDS^FG_YIELD_NAME":"Treasury - Peru Benchmark Bond 10Y","REFTHREPO-FDS^(SUBARRAY(NOT_NA(NO_REPEAT_F(FG_YIELD(NOW,-10AY,D))),0,1)-SUBARRAY(NOT_NA(NO_REPEAT_F(FG_YIELD(NOW,-10AY,D))),1,1))*100":25.0,"REFBRSELIC-FDS^(SUBARRAY(NOT_NA(NO_REPEAT_F(FG_YIELD(NOW,-10AY,D))),0,1)-SUBARRAY(NOT_NA(NO_REPEAT_F(FG_YIELD(NOW,-10AY,D))),1,1))*100":-25.0,"REFPEMPR-FDS^PROPER_NAME(0,,,\"SECURITY\",\"NAME\")":"Peru Policy Rate","TRYSA10Y-FDS^PCTCHG(FG_YIELD(0,,,,\"YTM\"),FG_YIELD(-1AM,,,,\"YTM\"))":-3.7025044,"TRYZA10Y-FDS^PCTCHG(FG_YIELD(0,,,,\"YTM\"),FG_YIELD(-3AM,,,,\"YTM\"))":2.0932853,"TRYPH10Y-FDS^PCTCHG(FG_YIELD(0,,,,\"YTM\"),FG_YIELD(-1AM,,,,\"YTM\"))":-3.89553,"TRYTH10Y-FDS^FG_YIELD(0,,,,\"YTM\")":2.828641,"CC_SA^IMF_IFS_RCPI_Q(0)":null,"TRYSA10Y-FDS^FG_YIELD(-10AY,0,Y,,\"YTM\")":[null,null,3.8912454,3.7299898,4.5715504,2.8775356,2.0844028,2.5113702,4.613973,4.608568],"TRYDE10Y-FDS^FG_YIELD(-10AY,0,Y,,\"YTM\")":[0.5475,0.636,0.22,0.47,0.239,-0.189,-0.575,-0.181,2.534,2.004],"USDAED^FG_PRICE_CHANGE(0,-3AM)":0.0013589859,"USDBRL^FG_PRICE_CHANGE(0,-3AM)":3.2655954,"USDPEN^FG_PRICE_CHANGE(0,-3AM)":-1.3225138,"FC0000PH^FMA_EPS(NTMA,-20AY,0,CY,,\"PORTAGG\",\"MEANR\")":[8.59220082539698,10.2584058872744,13.4692809727856,18.2110568110308,13.0515502293789,16.0518603317777,24.4586496686729,25.9703873749774,28.0571210508876,26.0025463366439,28.3275730235173,26.2170868437055,26.5572871869144,30.208789832529,29.6177771378772,33.6632760141823,25.625710924974,24.8900071648497,26.8368786703138,30.8315679687197],"EWM^P_PRICE_RETURNS_PR('52W',2,-10AY,0,AM)":[1.031208,8.887041,4.355526,15.908766,0.95324516,-2.0451605,-1.3784647,-9.594375,-5.3470554,-9.360207,-9.508097,-8.0558,-14.214659,-19.550592,-23.233181,-37.239807,-33.838566,-25.484138,-27.218151,-19.928312,-22.231138,-18.40409,-10.54371,-12.149471,-17.390179,-7.3654594,-6.141603,17.165733,14.819288,5.1130176,-3.203833,-4.964471,1.0813713,-0.29230714,-4.968709,-6.4211187,6.638944,1.9167304,2.4354458,1.7669916,4.7089815,4.9178243,15.663517,23.341274,28.232765,26.703262,20.887386,21.419096,11.914563,4.1415095,8.539653,8.58382,6.7525268,1.4092207,-1.8175781,-6.461787,-10.96046,-8.796263,-11.768019,-13.650608,-14.068657,-0.73896646,-4.9045506,-12.101418,-11.120981,-5.033219,-4.735631,1.8392563,-4.2149663,-12.655288,-30.445402,-20.093197,-11.401921,-11.438394,-4.3835106,1.530838,-6.528574,-2.2517204,2.353835,2.9114842,0.9374857,6.137073,37.83436,23.973953,10.665798,5.2111506,-5.9805393,-5.6754827,3.393805,3.8142323,-7.0314465,-10.392576,-6.925118,-1.6254067,-0.35974383,-4.278767,-4.2734027,-12.012458,-7.19682,-7.0754347,-13.881469,-17.812628,-9.55587,-4.7299623,1.6390085,-10.221505,-12.043476,-10.367459,-9.46542,-5.2473903,-1.2625396,-2.706492,2.4056911,0.77022314,1.5981197,-1.1116385,-9.391027,1.3632178,4.998207,4.033458,13.929987],"GREK^FMA_PE(NTMA,-10AY,0,AM,\"PORTAGG\",\"MEANR\")":[18.2890644299252,10.2455898572942,8.68991251590548,8.17379692422247,7.44752780543263,6.84533981679624,6.83970558218985,5.0922794157759,4.47637512616531,5.20972234951495,4.68969601769209,4.86828518146991,5.01184275815002,5.87242786172558,4.72906938281872,4.45293180164639,4.17363249268394,4.2524152416818,4.60217714440285,4.83787528133888,9.44358908789922,8.37566353086674,8.50485061854144,10.9156799999675,11.1990895963913,10.0948755798794,9.10440552910143,8.59722010581977,8.96025190986142,9.06667889857601,9.66658786008858,8.75738406790576,9.1621679392772,9.25572493003247,9.00294339613822,10.5516180618376,13.5204102684178,12.9076550287981,13.1255428181851,12.2365384841721,11.2841561818064,11.8628814188614,11.7327369205412,14.1260019522703,14.7769217611274,14.5382086700186,13.2702847725774,15.0475825462932,13.6575807963756,15.1127073303464,14.4181510936951,14.7232174203637,14.6065294439814,12.0979807952539,11.6624885495712,11.0720865683475,11.2820096860952,12.0149660694253,13.0305345934258,13.4889866154709,12.1368287110711,13.4470810394403,13.8824614196736,13.4212144186877,13.7780132172198,11.9354983127743,11.6927074001934,11.4210847435269,11.3012767447642,10.7571057965185,5.87724624749954,8.61603450371077,10.1118360239658,13.9262778598534,13.5221542143094,11.9913866446786,11.49110064036,10.1002811365188,10.8612453271519,11.9106543561193,11.1174176765331,11.5566073619699,11.8007514175249,12.5765689151848,8.26106353725055,12.5833689281681,11.0256520276633,10.8945335233681,10.3718080285583,10.5341532995466,10.6909341586634,9.5933513457044,9.88013817915551,10.1888670988613,9.58989825709166,10.5303065933153,9.01814516241397,8.45313943431747,7.98416372273682,8.27318298307109,6.46515736822654,6.99574086878973,6.87404632561024,6.6922481600607,6.70030751439065,7.9760808941552,7.18322102555159,7.2985098753775,7.48672928868571,7.80371162797068,8.27029726664776,7.46581347606893,6.86586101166047,6.50966078809627,6.80725102048172,6.61861941600179,6.81664728453937,7.06913055834949,7.07595405281345,7.24280109522949,7.36628405726902],"QAT^FMA_PE(LTMA,-10AY,0,AM,\"PORTAGG\",\"MEANR\")":[null,null,null,null,null,null,null,null,14.3029843674235,15.1819554862839,14.8045968882322,14.8106709469523,14.7583618808619,14.5273151430534,14.5535785121073,14.0279240496185,13.9786607177877,13.9393654105461,12.8078163428642,11.1954385524756,10.165467927628,12.2562320888584,12.1543273629739,12.2867854218964,11.9632342667198,12.2817127223152,12.6387454646154,13.3887230987368,13.1181725127607,13.4893298149221,13.0028456003947,14.3383487839183,15.143615639276,15.1881028524212,14.7419471085067,14.638938181132,14.6340068530388,14.1500977027814,14.2447289548519,13.8308278446277,12.7779607188718,12.5702546340455,12.3813651099541,13.5475171531596,13.6885273638512,13.5357388525824,12.7818739254914,12.8082973380483,12.5988763790739,12.4318729659449,12.6436326665003,12.8722345584867,13.0257669370695,13.6956669048727,13.8919878694545,14.1393138632796,14.5835726211933,13.568760698109,13.5153531194841,13.6761242200253,13.2081090006138,13.8406366862946,13.8505113264746,13.4344796586395,13.9042310039469,14.2139020386926,14.0995850402657,14.7787944752584,15.2199703187481,14.2863927823955,13.4939238498488,13.6859905593985,14.3040600217997,14.8176970529204,15.5384657838696,16.3457825651395,15.9167169581395,16.523309677117,17.6488582159818,17.3881572327317,17.5647619270585,16.5318621123683,16.7012819069329,16.5931950944791,16.3265257269136,16.0594126324173,15.4700864889495,15.5192979280414,15.2971296564764,15.7645581339602,15.3720723752202,14.8467584665665,15.5840172132075,16.0474891643991,16.2028849084972,16.0101797597943,15.3713678521333,14.5814218996148,15.0032735154902,15.0940057563641,14.4009386896092,14.0091310106941,13.5445121461978,12.4266726448259,12.4852320584823,11.6857139699742,11.666612481315,11.5539275654689,11.8010616829062,11.7209410242712,11.9469117915666,11.8390280156679,11.6756745769748,11.1749181016125,11.6091771425086,11.6242240774782,11.6136539799145,11.411767839552,11.4354978498228,11.2007913863441,11.0450508506453],"CPALM-FDS^FG_PRICE_CHANGE(0,-6AM)":0.0519345624513168,"BRENT-FDS^FG_PRICE_MAVG(0,,,,30)":85.86,"TUR^FG_PRICE_MAVG(0,,,,60)":38.46275,"GREK^FG_PRICE_MAVG(0,,,,60)":40.594917,"EWW^FG_PRICE(0)":66.48,"EPHE^FG_PRICE_MAVG(0,,,,60)":26.470167,"KSA^FG_TOTAL_RETURNC(0,-6AM)":5.577135,"UAE^FG_TOTAL_RETURNC(0,-6AM)":-3.9438844,"SET-BKK^FG_TOTAL_RETURNC(0,-6AM)":-2.7562737,"MCHI^FG_TOTAL_RETURNC(0,-3AM)":12.907267,"GREK^FG_TOTAL_RETURNC(0,-1AM)":2.5128007,"EWZ^FG_TOTAL_RETURNC(0,-1AM)":-1.6688049,"CAGDPY@ZA^EE_ACTUAL_ANNUAL(MED,+1)":-2.4,"CAGDPY@CL^EE_ACTUAL_ANNUAL(MED,0)":-3.68653581083686,"USDQAR^STD(FG_PRICE_CHANGE(0,-3AY,M))":0.010855940593524,"USDTWD^STD(FG_PRICE_CHANGE(0,-3AY,M))":1.70130120767341,"USDIDR^FG_PRICE_CHANGE(0,-6AM)":2.8126001,"EPU^P_PRICE_RETURNS_PR('52W',2,-10AY,0,AM)":[-7.347411,5.741465,10.504972,7.0055842,4.744506,-3.0944288,9.461474,-1.0365963,-11.143673,-10.325468,-6.7065535,-9.822363,-11.472005,-15.180868,-24.612677,-38.287056,-35.494267,-28.102291,-34.82477,-34.21561,-38.258953,-26.861841,-9.021169,2.400899,-0.92635155,3.9462805,21.088255,59.048878,53.59055,45.028732,48.154842,58.590614,87.5692,66.332504,32.531227,12.703646,17.900585,13.481641,9.413874,8.286023,14.469886,29.364193,30.079329,31.430244,30.059074,22.722412,28.140497,37.167336,27.290726,22.51687,15.672517,3.6343217,0.00011920929,-13.608355,-13.858849,-10.637307,-15.283561,-6.1240854,-4.3053627,-13.1323395,-16.66581,-5.3376856,-2.5542438,-8.761769,-4.6171308,1.365149,-0.5029321,7.4879527,4.4661283,-7.168412,-44.58098,-33.532314,-21.449316,-19.596554,-18.805265,-5.21636,-15.1328745,-10.016739,-4.551858,-3.2565296,-2.3917854,15.2429695,65.498825,32.264984,21.552801,-1.0647297,-4.1730165,-16.466051,-5.4035482,1.9354582,-8.75594,-13.600063,-3.5383224,-9.636921,12.828946,9.622871,-3.7649155,-2.1095932,-4.059535,10.011732,-5.4133415,-9.9478245,8.064985,4.268539,-0.5368352,-9.334641,-17.952883,-3.1114101,4.3139935,20.644855,33.31144,27.587854,25.787842,16.853893,9.546065,27.066158,11.826361,25.278616,41.65423,32.64052,48.77987],"EWM^FG_TOTAL_RETURNC(-10AY,0,AM)":[2.8717399,0.37220716,1.0885954,0.124299526,-4.5934258,-1.3662994,-1.6490757,-8.297295,0.4480958,-0.6691456,-1.2724578,5.2312374,-3.602308,-6.278026,-3.5387635,-17.839188,0.20387173,11.088503,-3.9377332,0.8876562,-1.9329906,3.6793709,8.238279,3.044498,-9.090912,5.095148,-1.4457822,1.7114878,-1.8028796,-1.4687896,-8.695656,-0.9474158,4.3056965,2.2703767,3.161788,1.2389898,3.832531,0.4413128,-1.1863828,1.2954235,1.7779112,-1.9920349,2.4703026,3.1243443,9.107817,1.0505319,-1.5734792,1.6842723,-4.295337,-6.885016,3.3740282,1.3366461,0.18405914,-7.011634,-0.79025626,-2.1492898,4.280293,3.0122519,-3.6953747,-1.1344671,-4.758692,7.351625,-0.77284575,-6.332546,1.3015151,-0.642401,0.61063766,3.470838,-1.919049,-5.7630777,-23.556059,13.580251,6.0869575,6.815362,7.13166,0.03657341,-7.2760525,3.9037824,5.3510427,4.034579,-3.081715,-1.6434431,-0.72648525,2.1587968,-4.369622,0.56135654,-4.2643127,0.36115646,1.6393423,4.4846535,-5.798191,0.27337074,0.45285225,4.180324,0.5507469,-2.3865342,-3.8477004,-7.568556,1.3805866,0.090777874,-5.804986,0.24073124,3.121996,5.623758,7.168305,-7.9767346,-1.4898419,0.54996014,-3.9197862,-3.2621443,4.4932604,-0.28666854,0.95831156,-3.1324148,4.017639,1.4319539,-0.51985383,2.9453754,1.1075258,0.54769516,5.220151],"EWY^FMA_DIV_YLD(NTMA,-10AY,0,AM,\"PORTAGG\",\"MEANR\")":[1.24693530778301,1.28535681095523,1.28227727378725,1.29126138351873,1.340168937359,1.4708591137633,1.40916188351618,1.40469516926374,1.5425187224572,1.58456637270799,1.53186898201384,1.4720487362203,1.55368827086343,1.65222536431286,1.72971180033526,1.88496917044646,1.84282994212871,1.72273882104444,1.86303613922241,1.91204960671868,2.05350928275547,1.95445888283407,1.89523291487274,1.9136631908622,2.00713139433477,1.94780197083684,1.94482472861402,1.86668671595566,1.86215904346975,1.93242455502505,1.97787214009323,1.95010257967147,1.95741739687526,1.90974303748151,1.87581229616556,1.93743947672054,1.8089803483325,1.76065664825631,1.74033149120338,1.83055431145789,1.79720370053399,1.71563247145609,1.96197069878383,2.08336975521431,2.00345084851703,2.14680441272825,2.21443709301921,2.20095124697306,2.21720366414044,2.30236853544621,2.38227515820371,2.40305766394967,2.37444586250232,2.609840135116,2.66578037638704,2.62254697558131,2.55303224417688,2.43875959204186,2.47373993230771,2.4543796508634,2.58954713696272,2.51472553217201,2.51389887936469,2.69400037256879,2.47607316056371,2.47816861918101,2.44141248221246,2.31378096008543,2.27569329985858,2.2964919860625,3.34580981978972,2.54269002830748,2.43458897442638,2.26375058346729,2.2275228881315,2.14901434646354,2.15557856717531,2.16419833644392,1.96309486507436,1.86279580916673,1.63717970145553,1.67458927182523,1.71594749817112,1.69921496847177,1.7519562615325,1.65822904439555,1.71162893943409,1.86069470453119,1.84278185108525,1.9411659154657,1.95832453955021,1.93215141428154,2.05454436004318,2.20023140140099,2.21198282189103,2.27686861247645,2.33343084427227,2.65582460910842,2.58670006894869,2.57750396129028,2.75039989962106,2.7510121515116,2.54384508569716,2.58993417002994,2.49592079494871,2.47910357181677,2.46102727544073,2.33094701308593,2.37132190642914,2.35901240970331,2.33530814037473,2.48588675939815,2.42622453186351,2.5967184936652,2.39723935767392,2.30806205071154,2.41611709131165,2.23771450123924,2.16026491251583,2.25558596534678,2.18158618007861],"DDR3512M-FDS^FG_PRICE_CHANGE(0,-1AM)":-0.81799870634871,"NI-FDS^MAX(FG_PRICE(0,-5AY))":48241.0,"FTSEWIVNXXXX^FG_PRICE(0)":384.13515362,"FC0000PE^FG_PRICE(0)":832.88293,"TUR^FG_PRICE_MAVG(0,,,,30)":40.511166,"EWM^FG_TOTAL_RETURNC(0,-1AM)":5.220151,"EIDO^FG_TOTAL_RETURNC(0,-3AM)":-9.89399,"VWO^P_PRICE(0)/P_PRICE_HIGH_PR(0,,,,,,\"PRICE\",\"INTRA\",\"52W\")":0.97985363,"VWO^FMA_PCT_ABOVE_MAVG(200,0,,,,\"PORTAGG\")":46.8615649183147,"QAT^FMA_COS_DOWN(\"EPS\",\"1M\",+1,NOW,,,\"PORTAGG\",\"MEANR\")":11.0,"EPHE^SIZE(FG_CONSTITUENTS)":35,"UAE^FG_ROE(0)":12.8880456831335,"TRYPL10Y-FDS^FG_YIELD_NAME":"Treasury - Poland Benchmark Bond 10Y","REFTHREPO-FDS^PROPER_NAME(0,,,\"SECURITY\",\"NAME\")":"Thailand Repo Rate - 1 Day","REFBRSELIC-FDS^FG_YIELD(NOW,,,0)":10.5,"TRYID10Y-FDS^FG_YIELD(-10AY,0,Y,,\"YTM\")":[7.922017,8.942368,7.89735,6.462641,8.148183,7.263584,5.902206,6.458283,6.936579,6.498571],"TRYKR10Y-FDS^FG_YIELD(-10AY,0,Y,,\"YTM\")":[2.6272,2.0852,2.0916,2.4797,1.9804,1.6728,1.7238,2.2417,3.6906,3.1928],"USDSAR^STD(FG_PRICE_CHANGE(0,-3AY,M))":0.0430894837935631,"USDAED^FG_PRICE_CHANGE(0,-1AM)":0.0040888786,"USDEUR^STD(FG_PRICE_CHANGE(0,-3AY,M))":2.17952888526641,"USDBRL^FG_PRICE_CHANGE(0,-1AM)":-0.06302595,"USDPEN^FG_PRICE_CHANGE(0,-1AM)":1.3461113,"FC0000ID^FMA_EPS(NTMA,-20AY,0,CY,,\"PORTAGG\",\"MEANR\")":[29.3284073880372,28.5023046220539,34.6859014024765,3676.24176737639,35.3597916554534,47.7361447001776,65.769342621642,77.3469090906142,77.3051891445901,63.4414356734006,63.874105605238,48.7526184920652,55.9889041636352,62.060562018712,62.7205184660321,63.7324767422149,51.5269226239035,58.7717056024802,64.9727942126264,67.9891570262377],"EZA^FMA_PE(NTMA,-10AY,0,AM,\"PORTAGG\",\"MEANR\")":[14.706419783367,14.7917591007711,15.1754577987265,15.1293960503045,14.5298911754789,14.3754543023227,15.5580556571811,15.6258667859748,16.6215128218401,17.17644940878,16.787147991558,17.7339288233696,16.9854350169837,16.2488513823374,16.2943684784773,14.7868180601351,15.0843845998768,16.1194297535838,15.6003870151601,14.7679304552144,13.3290309691413,13.8606550318405,14.9215342828263,15.0623480919086,14.228994227292,15.0739316034604,15.419688849177,15.5741403928612,15.0298664972187,14.6031366765382,14.0865491003735,14.0968537422465,15.1100763928061,15.6147453522535,16.1267996599742,15.8785456945205,16.5390995965113,15.2737209863898,15.7898670171334,15.9303573732783,15.0980412943844,15.3923601871474,16.0752795187677,14.904076028193,15.5760061308745,15.2313053871749,15.5235698997706,15.3159333573495,14.5369781525129,14.1186601071754,13.8078523263567,13.8530239203068,13.3264188173305,11.742881366135,12.2198696911294,12.325062401193,13.1142052269572,13.1759459255462,12.9245961170935,13.7764998254399,12.4405328423308,13.4761225208188,13.0697672126158,11.798577978978,11.8356347702428,11.6582640296755,12.0259459414098,12.3438793183159,11.9454767533352,11.8621189930322,7.13169624769251,9.91627102472174,10.6690055886314,11.5226497162016,11.8056366668357,11.1612736479771,10.294679737278,10.5514656574296,10.1488146962266,9.86399775211699,10.0943648518816,10.2043851230548,9.87346630771505,9.64197976521676,9.60242465783901,9.45715445227284,9.40061025516946,8.82980222529421,9.18323836808105,9.57146611077374,9.4822727588246,9.62768756913195,9.89821482296437,9.95000469162012,9.92441414772469,9.36270619486573,8.90748990274208,8.40272741122536,8.87390836269429,8.64704903503118,7.77012948632539,8.17394786618558,9.09723224166972,8.98300101598229,9.55370710396892,8.98351396650829,8.82800864692793,9.11633900911806,8.78390695380198,8.94822903282375,9.84527255141341,9.55787722322292,9.50290093855532,9.1823980141649,9.66907361683299,9.72288491525986,9.32486985456263,9.41118459268839,9.35970708691119,9.05806220188105,9.9683201117465],"MCHI^FMA_PE(LTMA,-10AY,0,AM,\"PORTAGG\",\"MEANR\")":[9.28123037564273,9.25608295826559,9.60636580435597,9.77803512512708,9.43866080730109,9.29179836617662,9.41986996856291,9.93916511158414,10.7605131541673,10.7485514464537,10.8281872768043,11.5058152153514,11.5319641752545,11.4337952479703,10.7774535264466,10.0439914613046,9.75720975669417,10.3907619567007,10.2132071253599,9.9578765732408,9.43731569661725,9.55024048123925,9.5317664374389,9.73677528206828,9.57244884796518,10.3189977451447,10.9437463280466,11.7704155750335,12.6863340710986,12.9573225602003,13.0780420760636,12.7212286236239,13.5782150393421,14.3924901654712,14.0326353374673,13.9137707260682,14.0968106026418,14.1562995668638,14.4119160824591,14.6869053467936,14.899228588904,15.1449900332145,15.9135171487063,15.3658753150638,16.7992178817289,15.8424543897194,15.130968686293,14.7915301598202,14.7586110904411,14.4441994358811,14.1331980945084,13.6679420021873,13.4176683158712,12.1216678916965,12.0504552442171,11.4823346547389,11.996875315586,12.941029080943,12.8282526957651,12.9465114758531,12.3204479724518,12.6509694397692,12.6739669319121,12.3110963834712,12.4890153814875,12.3240177358547,12.4560814322681,13.6873876326669,13.6459747254317,13.7479073956931,12.6901776789277,13.1262482153024,13.1375186317274,14.2831120330486,15.136366798068,15.3713020274662,15.752840860198,16.8607604358997,17.2779240350064,18.0794396293543,21.0278518417567,21.0113838259029,19.4885076511532,19.2403919026055,18.6881033049158,18.7506577037212,17.7936182160919,16.3642436613779,16.1509514111031,16.4748960124778,15.2049112864509,14.186471712508,14.4503040961143,13.3453855554011,12.8701972611602,12.458729554857,12.4723844204524,12.980723364233,12.730697076928,12.2976170275221,11.6928319404272,10.8118195947178,11.3286395480363,12.1926246538033,13.9714806598304,12.725850084437,12.3081789012351,12.1851428812234,11.9413786110124,11.7717366340362,11.7964430978859,11.4621423231025,11.638346742608,10.9779197485958,11.2258496036921,10.3548433703812,9.83770598595043,10.6717426702519,10.4340233983912,10.4344348290508,10.8838738594442],"CPALM-FDS^FG_PRICE_CHANGE(0,-3AM)":-2.92265054169816,"BRENT-FDS^FG_PRICE(0)":85.86,"GREK^FG_PRICE_MAVG(0,,,,30)":40.978832,"CAGDPY@ZA^EE_ACTUAL_ANNUAL(MED,0)":-1.6,"USDQAR^STD(FG_PRICE_CHANGE(0,-1AY,AM))":0.00761764787174341,"USDTWD^STD(FG_PRICE_CHANGE(0,-1AY,AM))":1.30592640199526,"USDIDR^FG_PRICE_CHANGE(0,-3AM)":2.5521874,"EIDO^P_PRICE_RETURNS_PR('52W',2,-10AY,0,AM)":[-18.371666,-8.860236,-2.0207584,20.340084,8.315409,8.764172,20.098137,24.770153,20.62099,7.775581,2.3368716,2.8502345,-7.009673,-7.178527,-20.310986,-35.241043,-36.263783,-19.904512,-24.429195,-19.890636,-25.348866,-19.89758,-13.634872,-13.012552,-15.575689,1.4635563,11.369001,41.530884,51.47594,27.748001,13.502514,9.086573,17.984497,15.249205,12.920153,11.570835,24.814438,15.160155,6.456673,6.7186,2.5920868,1.7949224,16.432047,25.04648,25.8322,20.815754,3.0170083,4.2321086,-9.36181,-11.572379,-10.087168,-12.589169,-11.698705,-16.602594,-9.971148,-10.079986,-8.714045,-7.9217377,-1.3483107,0.40478706,-0.3397286,11.0324745,14.1549225,5.3852916,9.847593,19.374966,3.901434,7.2942734,-0.75437427,-8.014334,-52.699635,-40.935593,-30.17338,-26.571173,-27.070683,-19.676262,-31.053967,-25.009686,-9.349018,-8.84614,-5.0977707,1.1500835,92.06152,45.047558,32.710648,13.461447,8.123959,10.277998,26.684116,32.17732,9.600676,1.301825,-4.5486393,2.6228786,10.16643,16.799046,13.459182,13.490904,11.763561,14.459372,14.623606,-1.215893,-0.023889542,-0.018399954,1.4745474,-2.281654,-5.516058,-2.5994241,3.6542892,2.4335265,7.919705,0.2399087,-2.868843,-9.936744,-5.554694,1.0193348,-3.250593,1.287961,3.7235618,-8.73158,-11.764174],"EPU^FG_TOTAL_RETURNC(-10AY,0,AM)":[4.8439264,1.9911647,2.5925994,0.13736486,-3.876686,-5.05569,2.4067402,-6.837946,-4.136854,-1.3549209,-3.7185967,3.5490632,2.251339,-1.6370177,-8.815611,-18.22878,0.7220268,5.824375,-7.168359,-5.967206,-8.8991165,15.405262,19.767439,15.883493,-0.50268173,3.2006621,7.750416,5.8823586,-2.7346015,-2.1899998,-3.1164885,0.65630674,7.747364,2.3390055,-4.571104,-0.56179166,3.1519413,-0.6673157,3.6347508,5.047047,3.8545012,9.435439,-0.90756416,0.046479702,6.556964,-3.4339666,-0.35799742,6.443107,-4.275423,-4.9577,-1.5730381,-5.885339,0.1078248,-5.3581,-1.1948824,0.6784797,4.136741,6.7768335,1.3522267,-2.9569209,-8.169163,7.2611094,1.9831538,-11.88066,4.655373,0.57770014,-1.0051668,6.5552235,1.2091279,-6.13631,-38.835983,16.390156,9.548962,8.764374,2.9868245,3.3957958,-6.773037,6.640935,5.006993,8.001268,2.3910522,10.521841,-12.163204,-6.9821777,2.3241282,-12.898999,-0.24875402,-9.868187,5.5731177,14.114571,-5.3477645,2.2675157,15.579462,2.4016738,9.674585,-10.505211,-9.289122,-11.400789,-1.1560738,2.2222161,-9.229594,8.109247,14.146912,-1.3252497,10.25281,-6.6560507,-0.75059533,7.356477,-3.8591087,2.4698496,9.179031,-2.1284223,-4.982871,-5.4113445,6.8990707,14.009989,-2.4911463,4.5728326,11.952602,0.767684,7.839048],"INDA^FMA_PE(LTMA,-10AY,0,AM,\"PORTAGG\",\"MEANR\")":[16.8257138797495,17.0004801217512,17.459406338026,17.6198330702955,17.942720123435,18.0713471333126,19.3216767474501,19.0831429078739,20.6345342727336,20.8631117167727,20.7987936265167,20.4880836685952,20.4874763460796,20.3359312011598,21.047386412734,21.0446568237059,20.1774044758426,20.8983829421912,20.1609760146502,20.4135528782769,19.270514037500998,19.2038085330859,18.9834032075927,19.0030988663701,18.7803494143763,19.1667613533802,19.5637782350532,19.6828039729186,19.8930494679617,19.7905390234725,18.6127765087123,18.481701380382,19.3632759273632,20.690197125161,20.4425406248024,20.3333331203695,20.2816854871227,20.2521951289958,20.716903671413,20.7521070879519,21.0041107582647,21.3880327572473,21.8323058854859,22.4655445821709,23.5149594211493,21.7794978969978,21.387161584984,21.4032427320722,21.0480228787033,21.2766615742953,21.3604292475585,22.3139578394641,21.8090765143541,19.9612150645496,21.0867275256872,21.425399970689,21.587666594449,21.6160993918259,21.7000513567379,21.571083041571,21.4881328103164,21.3794454909961,21.0726490954427,20.8525996639784,21.5647375637728,21.8021116068884,23.2900854185627,23.4566727420735,23.7520050635863,23.1650755046636,19.8183445262052,20.6337905349768,21.1502746961101,23.3723652888145,24.9533754412634,25.5271029463303,25.4757890006538,26.7683884071341,27.4650925110804,32.6665602451283,33.2677138977606,31.6117339020494,30.6453703977699,29.6534391551326,29.2936362060141,29.0480254195009,28.7371737332487,28.7640613765666,29.7584740240747,29.2321843816455,28.4807265173777,28.248913321462,28.3885303893295,26.8955283920217,26.2579830310035,25.9672280158028,25.0151037031372,24.2754126428883,24.9144440738548,25.7187938881547,25.3393596408077,25.3542334591484,26.1249813736272,25.5843686646455,25.7551293821478,24.5339766095638,23.8417410113709,23.684090743401,23.810912564161,23.9344989237233,24.1619980767834,23.7105847780858,23.6219501536496,23.1113016675949,23.5945888624729,25.3160872937952,25.3587949040791,26.5290504725694,25.9390364649844,25.7543276331273,25.667923023727],"DDR3512M-FDS^FG_PRICE_MAVG(0,,,,30)":0.96784997,"TRYAE10Y-FDS^FG_YIELD(-10AY,0,Y,,\"YTM\")":[null,null,null,3.371059,3.6940188,2.542721,1.7060698,2.0444937,4.2739367,null],"TRYPL10Y-FDS^FG_YIELD(-10AY,0,Y,,\"YTM\")":[2.5048,2.9303,3.6245,3.292,2.8144,2.1086,1.235,3.6216,6.8411,5.1912],"USDSAR^STD(FG_PRICE_CHANGE(0,-1AY,AM))":0.0134358477068219,"USDAED^FG_PRICE_CHANGE(0,-1AY)":0.020420551,"USDEUR^STD(FG_PRICE_CHANGE(0,-1AY,AM))":1.59344173606522,"USDBRL^FG_PRICE_CHANGE(0,-1AY)":3.828442,"USDPLN^STD(FG_PRICE_CHANGE(0,-3AY,M))":3.30999927089993,"FC0000CL^FMA_EPS(NTMA,-20AY,0,CY,,\"PORTAGG\",\"MEANR\")":[13.4345645762327,13.9377456000386,16.9673771165975,22.3266043070326,16.9726142999547,22.0450374886443,30.8805428396108,24.5524085371812,26.1691360625743,23.6838683927762,20.4877824093345,18.4268311165022,17.2536219467367,26.3633049059602,21.6808239098782,17.3861921503202,15.4747210424778,18.6856862684859,25.9091620891167,28.7038462101019],"EWT^FMA_DIV_YLD(NTMA,-10AY,0,AM,\"PORTAGG\",\"MEANR\")":[3.23357430628641,3.19085731674829,3.12813346819814,3.22193141222873,3.42047583324518,3.56261356746993,3.39983499251415,3.43506956009578,3.40071301738307,3.41524387764709,3.4111867191058,3.5010114712998,3.72771039182601,3.82284606376185,4.14577136561602,4.56310745669846,4.37760111072642,4.07482843804447,4.12421787986175,4.21198550945401,4.60846035853855,4.31195905805379,4.08959920914369,4.32199002343436,4.40570478011968,4.17593728857319,4.07155552180537,4.08170449028215,3.98245757188791,3.98665861447492,4.16710645253576,4.28952944608497,4.17269659562581,4.09555926761187,4.09124731014486,4.1667212029562,4.08577735351717,3.97750754414585,3.98627679395445,4.06462493176567,4.12052438045331,4.02806858412925,4.02402132845945,4.18118617263729,4.00048181622287,4.18587953432915,4.2024719790933,4.31569746931595,4.34046813076447,4.38639057504593,4.35748548908807,4.37288487475887,4.40746407108526,5.00861675200889,4.96365234182947,4.96039550146729,4.71695855289914,4.46299493821193,4.2798810201834,4.1779461264236,4.56630004140185,4.33369485076764,4.22249738076172,4.4186698660688,4.22936166952434,4.16135265427797,4.06483050456736,3.96369195069063,3.97051624534085,4.09983260701859,5.24616455154867,4.3361154442245,4.18749001461283,3.89832014749123,3.67416592616578,3.7712630017918,3.89812766547476,3.85340276285032,3.71818726716965,3.70741741565257,3.36890219693413,3.45243188564903,3.67523521564283,3.64319259637745,4.19122378525856,4.03711675760108,4.11008528637158,4.39387714524213,4.32698870187277,4.44836940017732,4.25847473069267,4.15974633024887,4.30622806325532,4.32348648115749,4.44960698313403,4.6593313294725,4.83379180206665,5.08034173705056,5.09958597875945,4.96020400882221,5.24053412397593,5.39638874777899,4.46025546687378,4.50921020400068,4.20896172220871,3.97120202465778,3.86305777519876,3.90784252555309,3.63672264398697,3.45479691682863,3.45461554033428,3.58770272309229,3.64802921451241,3.657816756017,3.43278961072821,3.37909072190222,3.38075689254038,3.26412636529326,3.08214916081106,3.2844713762224,3.06386375906568],"EWZ^FMA_PE(NTMA,-10AY,0,AM,\"PORTAGG\",\"MEANR\")":[10.9450225322569,11.3834169212678,11.8645522046223,12.133778625962,11.7152160770089,10.625956361638,11.9690473018536,11.2837047952463,11.256941870543,12.0728711639192,12.9353626685292,14.208192000928,13.6240495137199,13.2148471178941,12.1795037400158,10.9268004654791,10.7362811504009,11.2102690008993,11.267969159882,10.5231237280835,9.41678887287015,11.0209664683275,13.3043693273512,13.7192310570956,12.2204458610896,12.5965642816035,13.6395307998351,13.7748175039821,13.7821688851253,14.7405397641579,13.8218274232864,12.297922239843,13.5533823563605,13.6315193308927,12.6122114724517,12.4117233439909,12.0895294663413,11.6590929895778,12.2605305398472,13.3603151158615,14.0175847691236,13.8211991680376,13.2808471187366,13.3320789683921,13.5710833347018,13.9078624747142,12.7081552354162,12.8060195368837,11.704870970414,10.2671628956751,11.0218449258034,10.5621859861297,10.7902285495103,11.2517953448994,11.2925255963195,11.2739072198723,13.1000411443325,12.6923295546097,11.9809845148385,11.5628594154975,11.5481011968644,12.5980910139149,12.7151681547154,12.1541338462315,12.9258317365268,13.3680145046416,13.6150076168778,14.4043110720733,14.6004880443943,14.0360689822115,8.86954175954097,12.6469326378755,15.7830282045621,17.9783975730516,25.4774688309862,24.3015917340811,18.1451816904803,16.6096108254551,14.47672327837,13.0977205338155,11.7114063697185,10.6726319782342,9.28772011016796,9.12472318916714,8.96916595900965,9.27626224614958,8.53062037558623,7.72063510816152,7.64876185923029,7.45629101229706,7.39710661408111,7.72621750383723,7.86122606097721,7.9944211450845,7.69250486015004,7.02959899481216,6.74528411242384,5.90586884919632,5.90683801080816,6.46862858669219,6.57248849068595,7.31851212844448,6.60284010889781,6.9695896794741,7.0281821007302,7.01817353270985,6.31755150284056,6.93034772799515,7.12797230966394,7.86931121236346,8.02211909793541,7.96207693005713,7.69674791192226,7.20296755513793,7.79979447185513,7.92424807936258,7.57115699578038,7.94994533631485,7.69470031161745,7.53367377725499,7.50922605091298],"CPALM-FDS^FG_PRICE_CHANGE(0,-1AM)":-5.40142401178493,"COPP-FDS^MAX(FG_PRICE(0,-5AY))":5.119,"GREK^FG_PRICE(0)":42.02,"EWT^FG_PRICE_MAVG(0,,,,60)":48.469833,"EPHE^FG_PRICE(0)":25.44,"KSA^FG_TOTAL_RETURNC(0,-1AM)":-4.8454046,"UAE^FG_TOTAL_RETURNC(0,-1AM)":-2.0293891,"SET-BKK^PERCENT_CHANGE(FMA_EPS(+1,0,,,,\"PORTAGG\",\"MEAN\"),FMA_EPS(+1,-3AM,,,,\"PORTAGG\",\"MEAN\"))":-2.17280886375953,"MCHI^PERCENT_CHANGE(FMA_EPS(+1,0,,,,\"PORTAGG\",\"MEAN\"),FMA_EPS(+1,-1AM,,,,\"PORTAGG\",\"MEAN\"))":0.0981464921897201,"GREK^PERCENT_CHANGE(FMA_EPS(+1,0,,,,\"PORTAGG\",\"MEAN\"),FMA_EPS(+1,-1AM,,,,\"PORTAGG\",\"MEAN\"))":4.47868920420312,"EWZ^PERCENT_CHANGE(FMA_EPS(+1,0,,,,\"PORTAGG\",\"MEAN\"),FMA_EPS(+1,-1AM,,,,\"PORTAGG\",\"MEAN\"))":1.99974897496411,"CAGDPY@BR^EE_ACTUAL_ANNUAL(MED,+1)":-1.5,"USDQAR^FG_PRICE_CHANGE(0,-6AM)":0.0,"USDTWD^FG_PRICE_CHANGE(0,-6AM)":2.1860719,"USDIDR^FG_PRICE_CHANGE(0,-1AM)":-1.4025867,"FC0000SA^FMA_EPS(NTMA,-20AY,0,CY,,\"PORTAGG\",\"MEANR\")":[null,null,null,3.96336847567451,3.26626042393583,2.53989246401814,2.77600916912685,3.29521282805116,3.61051444681354,3.7978958686548,3.75005115904989,3.29103190766382,2.82016085211551,3.21155371352054,3.27157784678448,2.35315851096824,1.93303150127544,3.07367882812738,3.62874668882188,3.01142146924842],"ECH^P_PRICE_RETURNS_PR('52W',2,-10AY,0,AM)":[-20.049126,-8.527004,-11.777282,-6.6768227,-19.390738,-18.345695,-7.2158456,-13.899583,-9.957462,-3.6531746,-6.634575,-5.8197317,-8.046222,-12.469417,-17.6284,-23.146027,-21.693707,-12.463265,-22.003693,-15.271318,-20.743847,-17.127508,-8.002102,-10.012823,-15.604937,-3.7952483,7.305014,15.320683,16.65038,14.580631,15.385496,12.505174,30.277359,25.621582,21.87909,20.51245,23.775566,16.17744,18.278671,27.745115,32.62465,33.475876,27.125608,43.353428,41.746365,38.429176,21.956778,25.479174,24.334394,14.979529,4.5681357,-3.6472738,-4.283881,-15.469778,-6.748658,-17.660677,-15.95872,-12.478489,-16.017193,-18.645126,-23.961699,-12.657791,-13.075214,-19.56404,-17.067856,-12.023968,-25.557922,-16.644794,-27.876776,-33.82897,-56.363472,-45.569706,-36.24127,-35.007923,-29.100163,-25.604593,-37.14053,-28.490948,-11.320829,-9.525532,0.4156947,10.763168,87.98442,51.163208,17.368746,15.852618,1.214695,6.0640335,20.975208,-2.9758513,3.2646775,-19.872267,-14.146507,-18.328684,-10.9358425,-18.1679,7.115495,-9.562844,-4.273176,5.193734,-3.6811411,7.830274,1.6510606,23.858906,14.197612,20.355474,5.933237,8.299398,10.301077,24.526834,30.95585,15.896082,9.168375,4.3810368,10.912442,10.431933,-5.0814924,-8.106375,-1.2234926,0.89621544,1.5075445],"EPOL^FG_TOTAL_RETURNC(-10AY,0,AM)":[0.56666136,0.49718618,-2.7546167,-2.1203816,0.52410364,-5.109495,-1.3186753,-7.717228,-6.131685,3.2880306,1.6977906,5.6761265,-1.6587675,-4.7389565,-6.1743793,-1.3145924,-3.62885,0.285995,-9.600764,-0.7742286,-13.480127,10.180008,8.563387,-1.8681943,-8.196717,6.8207264,-5.405408,4.285717,0.2739668,-2.7868748,-3.316468,6.394434,7.4651837,12.649035,1.5646577,0.0906229,7.9674125,0.33894777,5.660379,2.3015857,5.1590323,-1.1803746,1.9036889,-0.5275428,11.244154,-8.207196,-8.2081375,1.8363357,-8.780867,-4.176325,3.5008907,3.2957554,0.7556677,-6.833333,0.8497238,1.8749714,7.1019053,-4.118615,-0.8161545,2.122128,-9.414757,9.696984,-0.29926896,-12.735844,1.2284994,6.5048575,-2.6435733,-0.5625367,2.0722866,-7.3654356,-36.08563,15.948962999999999,3.0261278,17.351007,2.4712682,1.0936618,-10.624128,-3.0415952,11.843788,8.863425,1.2156367,-0.15665293,-6.1192455,8.412242,9.506679,2.387786,-1.4705896,2.378738,1.8678784,4.651153,-10.854697,-0.37927032,3.550589,-10.850173,-3.0558467,-5.760866,-6.055361,-12.160593,-1.4809608,-4.652834,-13.363361,-0.5199373,27.439034,7.388115,9.650267,-7.855874,-5.0641003,16.272783,5.3426266,4.0793777,9.269071,-6.64081,-8.463144,6.2960863,16.221989,7.4124813,-8.007038,14.347208,-3.345877,4.0674925,5.1143527],"EWZ^FMA_PE(LTMA,-10AY,0,AM,\"PORTAGG\",\"MEANR\")":[11.5385554167616,11.8381115954805,12.2070824162428,12.6551366647007,12.4622213636107,11.7438758533767,13.0961291261847,12.5412102997745,12.2435061803487,12.8573251644444,13.0718559553909,13.6515475670897,13.7371433118958,13.8770603461429,13.3139576276442,12.563297639708,12.2603757540182,12.7041543336979,13.0341607558538,12.3789379836606,11.0301625582873,12.1699744595572,13.1109769904926,13.3556295868391,12.9523717058957,13.2438739239823,14.0075801196819,14.3862525886579,14.4903136549678,15.5582628153809,15.1612820145748,14.262452306826,15.7850725941011,17.0812643103656,16.4645766584493,16.0733418008958,15.6153583405208,14.9983179314451,14.9961836228002,15.478968714558,15.7161469694387,15.3926283935261,14.9089892653022,14.771530202965,15.584816172085,16.7253700843344,16.2622813778986,15.9706938422234,15.2728826289505,14.2313294461723,14.2830216168926,13.5482503181691,13.4165198169983,13.8299833895385,13.567034858102,13.4928490490513,14.9514348790993,15.0061578110922,14.5578154360009,14.1784340379809,13.9872510164843,14.370944045858,14.3441990428386,13.9497314561242,14.2216247210112,15.0568755259067,15.4660967081574,17.1871828018951,17.9018245591542,18.7483292907179,15.8878184472837,16.5497657291563,18.2265383900271,20.1161702408268,30.6017575415472,34.911503647802,30.5585501244317,32.929523199132,31.7522252422207,35.4908145541448,29.7410569696423,25.7299813710487,19.7191307353473,18.4931229414514,17.4047236328454,16.2987712360551,14.6815568834537,12.9134267820592,11.3040410353445,9.75298854537972,8.13431383025753,6.84068682844081,6.8288746189535,7.10781913424278,7.01720625615083,6.85476153373632,6.69128894281858,6.27533892723316,6.13124899205194,6.26346822699111,6.11153855239413,6.48281260074228,5.78906095774462,5.68616478537052,5.81592773136631,5.71743871649497,5.52793775197601,5.79931007063472,6.00993102896503,6.65083237632404,7.02258734423169,7.16576164083168,7.22575385525482,7.17024922825965,7.99724930320777,8.61233804166976,8.20810142600923,8.61408913318976,8.38220693093114,8.28299554567023,8.20646818908606],"DDR3512M-FDS^FG_PRICE(0)":0.96178806,"COPP-FDS^FG_PRICE(0)/MAX(FG_PRICE(0,-1AY))":0.94090642703653,"SET-BKK^FG_PRICE_MAVG(0,,,,60)":1375.7979,"EWM^PERCENT_CHANGE(FMA_EPS(+1,0,,,,\"PORTAGG\",\"MEAN\"),FMA_EPS(+1,-1AM,,,,\"PORTAGG\",\"MEAN\"))":1.98876890110644,"EIDO^PERCENT_CHANGE(FMA_EPS(+1,0,,,,\"PORTAGG\",\"MEAN\"),FMA_EPS(+1,-3AM,,,,\"PORTAGG\",\"MEAN\"))":-0.818752994339081,"CNYA^PERCENT_CHANGE(FMA_EPS(+1,0,,,,\"PORTAGG\",\"MEAN\"),FMA_EPS(+1,-1AM,,,,\"PORTAGG\",\"MEAN\"))":-2.69451332055331,"VGK^PERCENT_CHANGE(FMA_EPS(+1,0,,,,\"PORTAGG\",\"MEAN\"),FMA_EPS(+1,-1AM,,,,\"PORTAGG\",\"MEAN\"))":0.0,"MCHI^SIZE(FG_CONSTITUENTS)":661,"EPHE^FMA_COS_UP(\"EPS\",\"1M\",+1,NOW,,,\"PORTAGG\",\"MEANR\")":19.0,"SET-BKK^FG_ROE(0)":7.54510131066329,"REFQALEND-FDS^FG_YIELD(NOW,,,0)":6.25,"REFKRBASE-FDS^(SUBARRAY(NOT_NA(NO_REPEAT_F(FG_YIELD(NOW,-10AY,D))),0,1)-SUBARRAY(NOT_NA(NO_REPEAT_F(FG_YIELD(NOW,-10AY,D))),1,1))*100":25.0,"REFPL7D-FDS^PROPER_NAME(0,,,\"SECURITY\",\"NAME\")":"Poland Reference Rate - 7 Day","TRYAE10Y-FDS^PCTCHG(FG_YIELD(0,,,,\"YTM\"),FG_YIELD(-3AM,,,,\"YTM\"))":null,"TRYBR10Y-FDS^PCTCHG(FG_YIELD(0,,,,\"YTM\"),FG_YIELD(-1AM,,,,\"YTM\"))":1.3822771,"TIPSCL10Y-FDS^PCTCHG(FG_YIELD(0,,,,\"YTM\"),FG_YIELD(-3AM,,,,\"YTM\"))":5.1226315,"TRYQA10Y-FDS^FG_YIELD_NAME":"Treasury - Qatar Benchmark Bond 10Y","TRYZA10Y-FDS^FG_YIELD(-10AY,0,Y,,\"YTM\")":[7.9537,9.7513,8.9047,8.58389,9.37766,9.011772,9.179499,9.791837,10.764477,11.358896],"USDSAR^FG_PRICE_CHANGE(0,-6AM)":-0.001335144,"USDEUR^FG_PRICE_CHANGE(0,-6AM)":0.77126026,"USDPLN^STD(FG_PRICE_CHANGE(0,-1AY,AM))":2.62181440128516,"CC_SA^FG_COMPANY_NAME":"Saudi Arabia","CAGDPY@KR^EE_ACTUAL_ANNUAL(MED,+1)":2.75,"USDSAR^FG_PRICE_CHANGE(0,-3AM)":0.001335144,"USDEUR^FG_PRICE_CHANGE(0,-3AM)":-0.04618168,"USDPLN^FG_PRICE_CHANGE(0,-6AM)":-1.7594635,"EPU^FMA_DIV_YLD(NTMA,-10AY,0,AM,\"PORTAGG\",\"MEANR\")":[2.3714664200625,2.19503855306672,2.15385394557582,2.1418065404239,2.19641521074128,2.30054987034681,2.18448524117998,2.1764319503067,2.2743139578586,2.21773733169683,2.32901111407489,2.23075429788402,1.82068512955091,1.98914945080036,2.07680676340965,2.42048964366886,2.58538932541128,2.51800095947289,2.42664822021453,2.49491130241136,2.88056309991135,2.41830157720405,2.11150011094668,1.93729472615966,1.76293397150619,1.77458364943276,1.70731374167674,1.45574968033491,1.52826060885298,1.5038808254457,1.93966861234496,2.31253645232679,2.15970863696778,1.99200272960364,2.10843702659508,2.12288428861933,2.24810257014158,2.24853044316926,2.28171289599248,2.07845333508109,2.26072235093614,2.29919268229508,2.65366097170324,2.76889752684158,2.55457310288273,2.35557651613463,2.23832984316253,2.11186915991005,4.63799461545092,2.00960276524124,2.10541532105567,2.46119212422621,2.2939148809027,2.54590951751801,2.33134995661479,2.4020507530222,2.37913352998701,2.1606402598265,2.23175364362212,2.40365104608927,2.78772113883828,2.65335422168751,2.66956057838021,2.98770418737609,2.97898456404565,3.04863199269067,2.95143016065873,2.63884777512577,2.64490031390592,2.94874537547338,4.84992225355292,3.58758759079371,3.19213881459427,3.09694790989496,2.86798367733345,2.53653552909206,2.75334573176859,2.51621638903032,2.08943529681973,1.70120755981724,1.75590524119026,1.68043251015628,2.12562148484951,2.38866639158729,2.4149049660553,2.8784796485485,3.05036490839567,3.61749959703765,3.68875628134777,3.45758834712626,3.90099735885751,4.19005524628877,3.61122150137121,3.50184716182991,3.51385504157834,4.00738205095558,4.56769984756502,5.16805054079578,5.19770968511208,5.24908920127585,5.29508949626302,5.05699840758512,3.73493247948595,3.86129842025461,3.74354816112384,4.28575290613858,4.70003818485948,4.6710948966793,5.16692162249373,5.0683466347423,4.43413274286824,4.60385342229843,4.91316888985861,5.19745642437836,4.29048107221378,3.6393997939058,3.5259164781994,3.80586466818949,3.38675586909554,3.44682087717753,3.34085138797985],"EWW^FMA_PE(NTMA,-10AY,0,AM,\"PORTAGG\",\"MEANR\")":[null,null,null,null,null,null,null,null,null,null,null,null,null,null,null,null,null,null,null,null,16.3905697613918,17.4355824974771,18.5340563044187,19.5008745897367,19.1409325051999,18.6645905702089,18.8183052541725,18.5678054334577,17.9412428379478,18.2823970235697,16.5842263447738,16.0747288222427,16.35648543256,16.4258042621998,17.0736220315057,16.8705192837943,16.4935920362008,16.4415735674003,17.2592589657713,17.2220493277002,16.8447752884774,16.1409241060121,15.822428245884,15.6902300167327,16.2095446253048,15.7346940806597,15.0159597117035,15.5715120948711,14.5087228470415,14.8076533039697,15.4839539549971,15.3294654401582,15.0534424998048,13.9504784938226,12.250140992589,12.4070160358187,13.1143495354203,13.1441965922027,12.812960271461,13.6254534768892,12.8489404120343,13.0638786598471,12.4564131679889,12.3265186895993,13.5564196551268,13.7780618732621,13.7717620295924,14.0565481612606,14.5000649940591,14.2209141119998,9.85948845739642,11.8297226499895,14.6154443735492,17.3249391061113,16.9572581406423,17.1048584954919,14.8628256306308,15.1061659983291,15.446698311399,15.0520880961697,14.7931834628062,14.4143068188426,14.6888675614227,15.1970826459823,14.9805066187321,14.9464024129406,14.3645948587993,14.5612590801976,14.0476942154789,13.9414058913321,13.2912560984059,13.7680073519074,13.4265443356229,13.1886371895011,13.9135657999829,13.3474477369682,12.5635160391795,11.4556196063283,11.5518971620286,11.6484840042141,11.2254149311438,11.6501340174593,12.7117465252261,12.212078016183,13.0049963394227,12.6507745605129,12.4593604329747,12.5103734695812,11.9520287175756,11.670883166896,11.85950624598,11.8028157547482,11.5237266290903,10.8602215517052,11.9746951610637,12.9491638996742,12.4610789161701,12.7221721490236,12.5393644022284,12.5185324231851,12.5510819051596],"NI-FDS^FG_PRICE_CHANGE(0,-3AM)":15.2502910360885,"CPALM-FDS^FG_PRICE(0)":3853.0,"FC0000KR^FG_PRICE(0)":470.14987,"KSA^FG_PRICE_MAVG(0,,,,200)":41.51105,"EZA^FG_PRICE_MAVG(0,,,,60)":40.024666,"EWT^FG_PRICE(0)":51.04,"EIDO^FG_PRICE_MAVG(0,,,,60)":21.6305,"KSA^PERCENT_CHANGE(FMA_EPS(+1,0,,,,\"PORTAGG\",\"MEAN\"),FMA_EPS(+1,-1AM,,,,\"PORTAGG\",\"MEAN\"))":0.313857812687594,"UAE^FMA_PCT_ABOVE_MAVG(200,0,,,,\"PORTAGG\")":27.027027027027,"QAT^FG_TOTAL_RETURNC(0,-12AM)":-9.010422,"INDA^FG_TOTAL_RETURNC(0,-12AM)":31.07655,"EZA^FG_TOTAL_RETURNC(0,-12AM)":13.382864,"EWY^FG_TOTAL_RETURNC(0,-12AM)":5.13376,"EWT^FG_TOTAL_RETURNC(0,-12AM)":27.998734,"EPOL^FMA_PCT_ABOVE_MAVG(200,0,,,,\"PORTAGG\")":75.7575757575758,"ECH^FG_TOTAL_RETURNC(0,-12AM)":1.5075445,"TRYPH10Y-FDS^FG_YIELD(-10AY,0,Y,,\"YTM\")":[3.8633,4.1,4.6281,5.6986,7.1730304,4.847582,3.4208684,4.796723,6.9293385,6.0028777],"USDTRY^STD(FG_PRICE_CHANGE(0,-3AY,M))":7.54335755075275,"USDKRW^STD(FG_PRICE_CHANGE(0,-3AY,M))":3.00753693864682,"USDTWD^FG_PRICE_CHANGE(0,-1AM)":-1.1516452,"FC0000AE^FMA_EPS(NTMA,-20AY,0,CY,,\"PORTAGG\",\"MEANR\")":[null,null,9.51942202383999,6.27417255991747,8.02074819362704,5.61305265783873,4.48773354464463,4.36276532972229,4.57776089413252,5.61852556037871,6.62765839680209,6.49328499289418,6.08610782877682,7.11967239035059,7.13788542966966,7.02066550038881,5.12773396645605,7.54796836254382,11.3918613623253,11.0560462161177],"UAE^P_PRICE_RETURNS_PR('52W',2,-10AY,0,AM)":[null,null,null,null,null,null,null,null,null,null,null,null,-12.311297,-3.6572635,-5.822289,-24.486626,-23.844206,-15.171492,-27.750868,-14.041525,-25.407345,-17.82406,-7.657689,-13.820261,-20.610111,-14.002657,-12.008608,1.8974304,-0.663501,-5.4722843,3.597188,12.407457,31.387043,15.390694,7.2402596,1.0061264,12.931335,4.8629403,5.5217147,7.0723653,7.3613763,12.266564,10.372353,3.4203887,5.35326,2.1584153,0.40299892,0.38263798,-1.4380395,-3.1784654,-6.810808,-7.1938396,-8.70018,-11.169767,-6.7670584,-12.949806,-18.400723,-11.017693,-8.079839,-0.27275085,-13.058639,-9.546894,-3.8125992,-9.11476,-5.7001534,-0.24636388,-5.013156,0.97848177,1.2312174,-7.125801,-36.97261,-34.48506,-22.835558,-19.534142,-25.805813,-16.737253,-18.963926,-22.3701,-12.676257,-5.1078377,1.2559295,6.5447927,58.204426,44.05415,50.08886,43.65226,41.987263,41.113197,45.530666,44.07605,52.154423,41.28367,31.638193,37.164425,47.434128,47.1351,21.485233,11.625635,20.97094,15.521145,9.795976,9.159815,-2.1820843,-3.7961423,-7.1050224,-11.650335,-22.465199,-17.799265,-10.496992,-1.5009165,-5.5277405,-5.1750183,0.23828745,-10.320515,-2.7551115,-0.42934418,2.9821277,2.75594,9.306812,-1.4357865,-0.92445016],"ECH^JULIAN(P_PRICE_RETURNS_PR('52W',2,-10AY,0,AM).DATES)":[41782,41813,41843,41873,41905,41935,41964,41996,42027,42058,42086,42117,42146,42178,42208,42237,42270,42300,42331,42361,42391,42423,42452,42482,42513,42544,42573,42605,42636,42664,42697,42727,42758,42789,42817,42846,42878,42909,42937,42970,43000,43031,43061,43091,43123,43154,43182,43213,43243,43273,43304,43335,43364,43396,43427,43455,43488,43518,43546,43578,43608,43637,43669,43700,43731,43761,43791,43822,43853,43882,43913,43944,43973,44005,44035,44064,44097,44127,44158,44188,44218,44250,44278,44309,44337,44370,44400,44431,44462,44491,44523,44553,44582,44615,44643,44673,44704,44735,44764,44796,44827,44855,44888,44918,44949,44980,45008,45037,45069,45100,45128,45161,45191,45222,45252,45282,45314,45345,45373,45405,45435],"EWT^FMA_PE(NTMA,-10AY,0,AM,\"PORTAGG\",\"MEANR\")":[14.1472508209186,14.3527645301362,14.295129935498,13.8433308355823,13.2406092745559,12.7608104582281,13.222616366087,12.8853819575771,12.9267278882568,12.7680743713571,12.9469915603829,12.959713792139,12.8136890805581,12.6701201843865,11.9018059267782,10.8654043420786,11.522445421322,12.2261813883774,12.1365705659524,11.7715153802202,11.0717091164268,12.1179889107965,12.8646825598691,12.5057584366377,12.5024795398785,13.1297019315227,13.5329980601874,13.5768264308087,13.8450581382126,13.688327744473,13.1244880722701,12.7181267051808,13.0544046357262,13.1329762043267,13.2821156136068,12.9544530285491,13.3401698586766,13.8802648924035,13.982423934942,13.9391433961302,13.3813679185,13.7389865294241,13.8183550408865,13.1742560787347,13.9865249795316,13.3837938835029,13.419098248656,13.2696559447031,13.4729281276226,13.396898663066,13.4625698739513,13.4011658679499,13.2178675824439,11.9257472304935,12.1770898879459,12.3346003498714,13.2534548737474,14.1935309395959,14.8190496561295,15.2984762522897,14.1627922156931,15.0510830414694,15.2283159501053,14.6115806876308,15.237235591611,15.3934747366777,15.6109693994371,15.8579463158222,15.6154542328339,14.9407691744628,11.9963020101439,14.4435668425671,15.1670123025446,16.3132170836674,16.9491406840814,16.1944772454348,15.2674408520446,15.1709024690367,15.6427506631115,15.5499459995299,16.9211739961934,16.2231398683576,15.3003874175747,15.238268669451,13.1268104534066,13.7784085590054,13.6124777817877,12.6894722027461,12.9623379109694,12.717925651213,13.3321374906212,13.5751231719079,12.8694295786917,12.7634369337447,12.4652163862139,11.729184275809,11.4032843502066,10.6762172698876,10.5469649416459,11.0803832337726,10.5288397006109,10.198141546476,12.6410455550512,12.6052965503499,13.8074416917794,14.4765890071161,15.0971747187057,14.862813467421,15.8847613329216,16.4658405826947,16.6577763547822,15.8840887346309,15.3554033679899,14.9091915917274,15.7169918794601,15.9318789727586,15.882111909889,16.4707322337213,17.5443493669206,16.488106010481,17.7415311832713],"EWW^FMA_PE(LTMA,-10AY,0,AM,\"PORTAGG\",\"MEANR\")":[null,null,null,null,null,null,null,null,null,null,null,null,null,null,null,null,null,null,null,null,22.5213786066229,23.7668181890243,24.6699309625436,24.5654625958452,24.0644755945644,23.2799340444333,23.2084911849494,22.7869994505258,22.0698647206318,22.3854893805004,20.9352477812707,20.356293665146,20.8284129437794,21.5736102412739,21.3585171203469,20.9742246292428,20.4476768240069,19.9400418548552,20.0726134212248,19.6965624790477,19.1959691370784,18.4140519460708,17.0856119246455,16.9628586915397,17.5587154863106,18.0699806620533,17.7410947058751,17.7144010083783,17.1779674628534,17.207012169222,17.5192375093873,17.3572833809206,17.1522197411224,16.1426039588503,14.5426890976191,14.5762578207531,15.3139186237448,15.7971691867357,15.3820761008522,15.4331586972038,15.0075045150822,14.981503318447,14.5720749711144,14.2642676557086,15.1892300385555,15.3913571673507,15.4914284084046,15.7566818329395,16.2733180204284,16.3653089136459,14.2855479795614,14.5704154033264,15.9905181888169,18.0272619426002,18.8842663998868,20.4620804404285,19.4085423007729,21.1644322430528,23.6662879715568,31.4700226567198,30.9631962632315,28.1708903208196,26.6080396798027,25.5604145242794,24.4301246241385,23.1838365821703,21.6446353982714,20.5208432498116,18.9675228962634,17.5200686128769,16.0164236027967,15.5412161963384,14.8638701954889,14.6241251516853,15.0406681650176,14.8463639708322,14.4249625219245,13.7644765052975,13.5948572155073,13.4000027438627,12.8253478740596,13.04526728412,13.7926411813902,13.2619411578288,14.1221064550402,14.4976322699101,14.4615178967342,14.3364452386913,13.96262391401,13.5396613586337,13.4328518004782,13.1421612316703,12.7734338553672,12.0226747187578,12.9751176899199,14.0637260593982,13.6110935852549,16.3123120311426,15.6905985169725,15.4216021517412,15.2263052679633],"WL-FDS^FG_PRICE(0)/MAX(FG_PRICE(0,-1AY))":0.706968823683521,"COPP-FDS^FG_PRICE_CHANGE(0,-1AM)":7.25977062687895,"EPU^FG_TOTAL_RETURNC(0,-12AM)":48.77987,"EPHE^FG_TOTAL_RETURNC(0,-12AM)":-1.2965322,"SPY^P_PRICE(0)/P_PRICE_LOW_PR(0,,,,,,\"PRICE\",\"INTRA\",\"52W\")-1":0.28530586,"SPY^SIZE(FG_CONSTITUENTS)":504,"MCHI^FMA_COS_UP(\"EPS\",\"1M\",+1,NOW,,,\"PORTAGG\",\"MEANR\")":184.0,"EIDO^FMA_COS_DOWN(\"EPS\",\"1M\",+1,NOW,,,\"PORTAGG\",\"MEANR\")":34.0,"INDA^FG_ROE(0)":15.1731668544428,"TRYTH10Y-FDS^FG_YIELD_NAME":"Thailand Benchmark Bond - 10 Year","REFCNRMB-FDS^(SUBARRAY(NOT_NA(NO_REPEAT_F(FG_YIELD(NOW,-10AY,D))),0,1)-SUBARRAY(NOT_NA(NO_REPEAT_F(FG_YIELD(NOW,-10AY,D))),1,1))*100":-9.99999999999996,"REFKRBASE-FDS^PROPER_NAME(0,,,\"SECURITY\",\"NAME\")":"South Korea Base Rate","REFPHRREPO-FDS^FG_YIELD(NOW,,,0)":6.5,"TRYTR7Y-FDS^PCTCHG(FG_YIELD(0,,,,\"YTM\"),FG_YIELD(-3AM,,,,\"YTM\"))":6.0671926,"TRYKR10Y-FDS^PCTCHG(FG_YIELD(0,,,,\"YTM\"),FG_YIELD(-1AM,,,,\"YTM\"))":-4.618851,"TRYCN10Y-FDS^FG_YIELD_NAME":"Treasury - China Benchmark Bond 10Y","CAGDPY@KR^EE_ACTUAL_ANNUAL(MED,0)":2.04376201054732,"CC_QA^FG_COMPANY_NAME":"Qatar","USDSAR^FG_PRICE_CHANGE(0,-1AM)":-0.0066637993,"USDEUR^FG_PRICE_CHANGE(0,-1AM)":-1.1868954,"USDPLN^FG_PRICE_CHANGE(0,-3AM)":-1.1774182,"USDIDR^FG_COMPANY_NAME":"Indonesian Rupiah per U.S. Dollar","ECH^FG_TOTAL_RETURNC(-10AY,0,AM)":[3.2052636,-1.765579,-0.7847786,-4.005307,-2.2360563,-2.004242,4.018283,-8.703762,-0.6089866,4.748535,-3.3633888,6.557369,0.6153822,-6.3514414,-6.6324472,-9.60961,-1.2987018,9.547114,-7.318431,-0.8233905,-6.0079336,8.3387375,7.2776318,3.2663345,-4.758048,6.753123,5.3629518,-3.9845824,-0.16063452,4.237056,-3.6531985,-3.2991111,8.839787,4.4669986,4.0816307,3.5714269,-3.5609603,0.19993782,6.6619277,4.2898297,4.987216,3.5728812,-7.722461,9.874737,6.2112927,2.0222306,-8.303576,6.562805,-4.44079,-7.9322157,-2.3713708,-3.903705,4.3782353,-8.605403,1.7979622,-4.5781794,10.219515,4.6913147,-10.103578,2.5393844,-10.685623,5.5531263,-2.6524544,-11.077166,7.617426,-3.0468345,-12.721289,5.450058,-4.6323957,-5.3901553,-39.814507,27.90314,5.5077434,6.691015,6.1964154,-3.1926632,-12.357843,10.294115,8.2353,7.58487,7.007444,3.2268286,2.1452665,2.8502703,-17.211199,4.2078376,-7.2214603,1.4455199,-0.036537647,-11.403513,15.016497,-16.52003,18.535006,-5.0168395,11.391401,-5.060154,7.864332,-12.01778,0.898695,8.502018,-8.470142,-0.8968651,8.515013,1.7179489,9.28899,0.10493994,-1.9566774,-1.7818987,8.563137,-0.67054033,8.642399,-6.215775,-10.233521,-8.990049,11.895752,4.083812,-5.81184,-3.0852318,4.29765,1.3735294,9.220934],"EPOL^FMA_DIV_YLD(NTMA,-10AY,0,AM,\"PORTAGG\",\"MEANR\")":[3.94331340061411,3.97121871272158,4.09128071285876,4.14857540156441,4.16709631553051,4.00376763929936,3.97806182128945,4.02858480181422,4.01201249714613,3.75330601045703,3.67268852058106,3.30819717391424,3.33738133246464,3.59381918308438,3.70546401383508,3.6980808670116,3.69094097719138,3.63268107847398,3.91946343842782,4.04075949378329,4.33074448031447,4.01040791232157,3.69240619173003,3.61657596829226,3.88564329704711,3.7470938191868,3.62716511429091,3.55975005050879,3.54445405359843,3.38951982704466,3.21524290355408,3.10285139785054,2.8611784638672,2.53669542619764,2.44045618640753,2.44272614858742,2.48828863462347,2.53627945443174,2.2898290684881,2.43521849797878,2.52742925162632,2.4396806689372,2.4569577307971,2.82577407196425,2.73243142886759,3.01128036528457,3.13757669125509,3.04731509465985,3.12692175094897,3.13817259447092,2.9316508490061,2.8113885441897,2.97131564433315,3.21634282035253,3.11501836755641,3.16982102020365,2.96687841562572,3.0169192313856,3.04387633161516,3.04633984331712,3.36115634249285,3.25888408582172,3.32492036258587,3.82129037995159,3.64918265334987,3.42599638449544,3.40058665764177,3.5378439605228,3.63151654441597,3.71665334832437,5.06912441309519,3.57055320083357,2.82946392199203,2.41554640267935,2.45096551899506,2.77722041537698,3.05514837012633,3.45663445879627,2.55447667137772,2.78039278419432,2.78689248898773,2.9413556224563,2.94896110827365,2.90332775618905,2.83217385767086,3.01027921971089,3.07421445624615,2.99135100933177,3.01365699332945,2.87918647998304,3.23488260361064,3.38025203029284,3.17882836245655,3.62808497704602,3.48675049880936,3.622932009096,3.90422148841454,4.48848984404391,4.26524875344498,4.35825258799843,4.68616189075511,4.87354918613583,4.24861829895014,4.19952834489739,3.91398196326142,4.32307848879443,4.84191434621859,4.33859289737764,4.238620207012,3.97622251372998,3.78036103493785,4.01765046821463,4.31117430266147,4.26360031203865,4.47240313682019,4.68630613958721,5.1757895739786,4.61378159017143,5.04390713273552,4.990518316622,5.00912590331172],"NI-FDS^FG_PRICE_CHANGE(0,-1AM)":5.40324727175938,"W-FDS^MAX(FG_PRICE(0,-5AY))":14.2525,"USDTRY^STD(FG_PRICE_CHANGE(0,-1AY,AM))":6.93985628830018,"USDKRW^STD(FG_PRICE_CHANGE(0,-1AY,AM))":2.19917118649272,"USDMYR^STD(FG_PRICE_CHANGE(0,-3AY,M))":2.1805311027277,"FC0000TR^FMA_EPS(NTMA,-20AY,0,CY,,\"PORTAGG\",\"MEANR\")":[9.86463285413856,13.697013097437,15.4857358154397,22.3352325303583,17.0194207562287,19.5831499482532,23.3457716305229,19.9467070950164,22.8671187954567,20.0828803302685,19.5514117112726,17.4011919479576,16.4826621500299,20.8864123256607,19.0848898388226,22.5659659752379,23.2814280899331,19.7583568197709,36.4008275641257,47.716878299101],"TUR^P_PRICE_RETURNS_PR('52W',2,-10AY,0,AM)":[-23.868782,-0.7252276,1.4293194,7.4836016,-10.919851,-10.008555,2.6247263,13.814772,35.791134,18.896639,14.706314,-6.835991,-11.30032,-15.637243,-27.120596,-30.778854,-27.314138,-21.040314,-24.540632,-28.826231,-39.723866,-25.562733,-12.984532,-0.48960447,-20.808434,-8.781362,-18.219555,7.208526,13.4150505,-4.3853226,-19.00273,-12.616253,-3.4045994,-0.020462275,-10.865021,-14.858556,8.779359,3.6396742,29.093134,21.682013,9.612346,11.78087,20.142937,33.098484,42.30342,25.513245,16.874563,5.6776524,-15.308374,-26.138628,-32.757248,-52.171642,-45.936234,-40.89536,-32.61744,-38.716297,-37.554585,-35.206665,-40.677834,-36.52295,-37.253063,-17.825455,-7.562244,18.344807,16.031897,9.901726,9.854937,11.875307,10.068523,0.5801797,-22.257948,-13.314163,8.845949,2.1521688,-6.5581083,-13.001352,-22.461302,-19.479048,-14.541281,-6.086832,-2.8162062,8.879828,27.477478,12.682688,12.326109,-2.6584387,-7.0242524,16.543472,15.285468,6.0151935,-12.226688,-12.726325,-26.564486,-30.399597,-9.517879,5.566585,-10.015547,-9.467209,-9.305924,-0.11062026,12.149882,36.6578,75.308586,82.372536,87.633804,82.937706,75.72253,46.899532,47.026134,53.37112,73.22805,62.975143,67.24985,34.69752,13.768482,-5.703008,-3.1763077,17.139471,12.21553,19.526875,55.717243],"KSA^FG_TOTAL_RETURNC(-10AY,0,AM)":[null,null,null,null,null,null,null,null,null,null,null,null,null,null,null,null,null,3.2163262,-2.1616817,-3.2093227,-17.078192,4.816878,6.5784097,2.332294,1.1938334,2.1947384,-1.4590263,-5.3543987,-2.253908,-1.4588237,15.87392,4.3257117,-0.9928107,0.84148645,-2.4790108,1.4760137,0.72727203,11.210691,-4.8032103,-0.0459373,0.7659912,-5.4731965,0.36187172,4.152572,6.2140346,0.31603575,4.8298597,8.830714,-2.5657535,2.7886987,0.9049773,-4.7085166,-2.4873912,-3.2402635,0.0,1.2284398,13.290858,1.0406852,1.3732791,8.220446,-9.331441,5.034232,-0.45208335,-5.358762,-3.4868836,-2.2207499,3.2203436,4.149711,-2.6492178,-4.9180326,-28.31034,16.305912,7.1133137,3.4193873,2.0121455,6.9594264,1.496172,5.0737023,0.19575357,2.4282932,1.1798382,3.8449407,2.6707172,9.340822,1.5679836,5.2417517,-1.3785958,4.7890186,1.9268751,6.4953923,-5.4164705,-0.44679046,8.757091,2.461946,3.713417,4.149115,-10.596567,-7.647729,5.8475256,4.9883485,-9.746891,9.102082,-9.650505,-7.124293,6.110811,-6.424361,3.4737468,6.6613674,1.3382912,0.8409858,3.4110427,-3.9392471,-4.125488,-6.312805,8.855891,5.3467274,4.3013334,4.426849,0.11155605,-3.4098506,-4.8454046],"EPOL^FMA_PE(NTMA,-10AY,0,AM,\"PORTAGG\",\"MEANR\")":[13.7271994587284,13.7760260919751,13.2282435902094,13.4209078529239,13.5340876386908,13.4684490913007,13.3902777396654,13.4037107650889,13.3455050153728,13.4694706095058,13.7949218765388,14.9281224240045,14.5484891136179,13.4718417904622,12.7558485560644,12.5704297932142,11.9652023851083,12.3719220679081,11.7788618886853,12.2168954322443,11.7979157352269,13.064053452535,13.4118397163618,12.9997646161721,11.9173079649437,12.1625898958905,11.7752089635277,12.0633567407323,11.7204105746714,11.7160881666533,11.6211247425245,11.8410751376548,11.7720058699538,12.992710362741,12.3672745820421,12.4072424302482,12.3246361484088,12.423282369796,12.6473516539517,12.6038689456352,12.4500163672442,12.0949675683321,11.9801771089855,11.8244064648194,12.9025191556626,11.6202219653415,10.9465158018338,11.3939425482012,10.8781989210344,10.4973612267688,10.6050444748311,11.1930791657196,10.6924652102402,10.1772093248879,10.4971940081691,10.532137002441,10.9679108269492,10.7829493425065,11.1319217807753,11.3066739186412,10.1622328121738,10.6717295863819,10.7557656028123,9.74288028923953,9.71303076896243,10.0975311363147,10.1161266856206,10.1798589492042,10.3551506085625,10.5992072886222,7.78935092868438,11.0493585616824,11.948184380322,13.0899509660388,12.5639720690158,12.5184843061378,11.1905591741999,11.3236241562252,13.5343678348149,13.4690614291414,11.1285637807234,10.8615451875947,12.0825848355124,11.8529633123435,12.8549431502259,12.5453959249348,11.8870711363407,11.8274201057001,11.480594896371,11.9897321250688,11.2467776195826,10.2315774232564,10.4666857540124,9.36202778684109,9.35315476337756,8.08907689579685,6.98452817050243,6.44937849798035,6.08183607306055,6.21709200128435,5.7038240202848,6.40680456934377,7.20769913742058,7.57644063424221,8.03602955963365,7.5828497773997,6.96060805141522,7.11356378324218,7.49563269642623,7.9819617421187,8.10881920701761,8.18121729756842,7.93854479364337,8.08174030252016,8.37965015289193,8.54013164803889,8.03628553546756,9.36958233681759,9.0106207148334,8.70667552343435,9.02244933190269],"EWT^FMA_PE(LTMA,-10AY,0,AM,\"PORTAGG\",\"MEANR\")":[15.4831946216895,15.5154312667875,15.4210414611449,15.0720053471658,14.5140371601276,14.0101312153147,14.1668618977127,13.7364282622537,14.3477376240964,14.2616757586226,14.2744152743963,14.1777395528359,14.0359483158711,13.8723766080807,13.308121357504,12.436872560709,12.5522800021965,12.9153211847901,12.7727440630102,12.3275727572545,11.1494634602091,12.2561638151475,12.5260907245217,12.5050586573936,12.6084968806189,13.0106327412252,13.4027647271045,13.760986077729,14.2484691345022,14.3921839777148,14.1689488703138,14.0122999812048,14.3154070548951,14.6007168105909,14.493261163445,14.3100153495857,14.3447338307693,14.5646374145423,14.6927009172445,14.7520616837802,14.441939621727,14.7123583077454,14.9820737686409,14.5524528586223,15.2098082102502,14.4189207105054,14.4186706680699,14.280077601327,14.2868147466602,14.2074708387246,14.2143426767589,14.0819715297905,13.856543853483,12.6332192943357,12.3724545659049,12.460176391003,12.986114084661,13.9474019733847,14.2526307895211,14.5358661597837,14.2833219074731,14.8146769071722,15.1934768240343,14.9641112023149,15.602581465959,16.1187637366304,16.7017494727898,17.4638958580598,17.6417782795292,17.0059881996233,15.698634965018,16.1775307340792,16.465620121477,17.1490465042204,17.7993933212778,17.4325159235006,17.0141232172538,17.1603785837046,17.5006773034802,17.7591963182127,19.4868745393474,19.3067151377727,18.365970325228,18.0439080223651,16.86285768136,16.5971809292489,16.0254880406747,14.8167654528713,14.4233529997454,13.6183995139319,13.4158672862743,12.9671855610047,12.6804122343644,12.7106610036554,12.3569132057472,12.1313586632954,11.9090442347091,11.5254632386273,11.165253687654,11.2309458932785,10.6545894914484,9.84920912232626,10.9834429086257,10.8049689047315,11.5955349375563,12.4530779965089,12.8254316063933,13.1277995449462,14.0303941310716,14.9436664553427,15.7095400331861,15.9774942525369,16.1860385256328,16.3192845970888,17.4098728497858,18.4944354048933,19.017554461345,19.7663982347943,19.8827983659551,19.4307053770505,19.7761037170767],"W-FDS^FG_PRICE(0)/MAX(FG_PRICE(0,-1AY))":0.918119039789543,"COPP-FDS^FG_PRICE_MAVG(0,,,,30)":4.6452665,"CAGDPY@MX^EE_ACTUAL_ANNUAL(MED,+1)":-0.7,"USDSAR^FG_PRICE_CHANGE(0,-1AY)":0.014662743,"USDEUR^FG_PRICE_CHANGE(0,-1AY)":-0.44335127,"USDPLN^FG_PRICE_CHANGE(0,-1AM)":-2.333486,"USDCLP^STD(FG_PRICE_CHANGE(0,-3AY,M))":4.3981640909495,"CNYA^FG_TOTAL_RETURNC(-10AY,0,AM)":[null,null,null,null,null,null,null,null,null,null,null,null,null,null,null,null,null,null,null,null,null,null,null,null,null,null,4.191625,2.9885054,-2.5297582,0.4198432,0.7601738,-4.0984035,2.1522522,3.9797187,-0.26266575,0.3009796,-2.2880733,6.4662695,5.1303387,2.303958,3.3764243,1.2406826,6.0791254,-2.8743207,10.336161,-5.6378126,-5.2057924,-1.6387224,1.618123,-7.312292,-6.105554,-6.7413626,4.313183,-7.2881756,-1.6333997,-3.663689,7.23325,12.339544,6.4603806,5.755353,-12.817156,6.795764,-0.105929375,-3.7115633,3.7077785,1.0973454,-0.7703066,4.1041374,3.247869,2.450335,-14.603752,8.73679,-0.34806728,10.090709,15.234876,2.301228,-1.7008662,4.916239,5.706811,2.2272468,11.290336,0.9661794,-11.700744,4.95075,0.49283504,1.1928678,0.8553028,-3.6213636,0.737226,2.9272795,0.1376152,0.8748412,-4.3767157,-2.7318478,-7.6619864,-9.578443,1.0917664,7.439673,-3.130108,-1.1801124,-11.998856,-2.487886,1.358521,1.7693877,14.610076,-5.0244036,-1.118511,-1.5591502,-5.217391,-4.5209227,1.0034323,-4.3640494,1.0501981,-7.327813,4.5428634,-4.544836,-4.206353,7.207954,0.96600056,-1.0524273,3.0748367],"EPHE^FMA_DIV_YLD(NTMA,-10AY,0,AM,\"PORTAGG\",\"MEANR\")":[2.06979861084709,2.19331924996962,2.08138536770673,2.01400093553868,1.9498014947433,2.25023814723828,2.15995383112892,2.16746367267627,2.08416763815939,1.9609962038076,1.9047330369616,1.90753409165909,1.93393327375071,1.98356864989245,1.8805857236612,1.98722080630165,2.08948851410061,1.94649699346555,2.01282567637556,1.94738054480702,2.20088355024227,1.97785112770451,1.77608745778911,1.80827216840497,1.77371863900456,1.66365365012386,1.63409746364323,1.60366004250161,1.64005338598793,1.63127188243355,1.79271170506198,1.83606771549626,1.61487551716572,1.62066859300784,1.65085707430915,1.5966767247734,1.59871926658694,1.57148729532523,1.57255336234642,1.55739735257237,1.49476738708939,1.45108963824605,1.52567476342641,1.55479494171982,1.49382473266027,1.56999752168493,1.66241734549603,1.74303902942542,1.77997567676371,1.88647677602247,1.80176269199361,1.72320853289142,1.81367439695864,1.88389719702099,1.83998086914745,1.77977679441336,1.6727442898408,1.68648215485592,1.70487969480006,1.73413458551024,1.7773414534359,1.74867107074535,1.69312732054902,1.82116265064016,1.85712046209496,1.84891336228106,1.87667686193404,1.83120336582577,1.86491065165856,1.92573461151625,3.01646289910243,2.50722585552791,2.43221058115135,2.08130792252638,2.13519441568629,2.07984093653597,2.08820457389356,1.79510349799578,1.60752799523895,1.69419350691049,1.72028035957182,1.80930464457372,1.88068307743294,1.96291130217325,2.15433151374472,1.91602018309895,2.0378602203987,2.05433295624772,1.86569797641425,1.79034031219624,1.73013551026679,1.76712847167013,1.78941371430469,1.82183722488027,1.97169682208282,2.06394268630793,2.41817032412967,2.44071765556271,2.4553806999175,2.32709971709699,2.532631944956,2.66776847475069,2.45687251041435,2.37531697406478,2.23410599573001,2.41272988613056,2.70329256337796,2.7677935214282,2.85328560790176,2.98086573899311,2.91122780736753,3.11237775759041,2.88045767164727,2.96442600899246,3.06409033115524,3.19083083538314,3.09286187697792,2.67738345902915,2.72132238852309,2.93329229672818,3.14392395290996],"CAGDPY@VN^EE_ACTUAL_ANNUAL(MED,+1)":null,"USDTRY^FG_PRICE_CHANGE(0,-6AM)":11.748636,"USDKRW^FG_PRICE_CHANGE(0,-6AM)":5.0136805,"USDMYR^STD(FG_PRICE_CHANGE(0,-1AY,AM))":1.90213346366366,"FC0000TH^FMA_EPS(NTMA,-20AY,0,CY,,\"PORTAGG\",\"MEANR\")":[31.2696221195453,27.830708973543,28.9087147679287,30.2976622903306,23.8840282811916,35.3892777377471,41.7866258502755,42.2131083571648,48.114746973891,45.5007724746185,42.846065697041,39.0473397635884,39.7546846722989,47.2983820623366,49.7080844180477,48.1240323726985,34.7106307301713,40.2723415007705,42.4815782329109,40.1816074670961],"SET-BKK^P_PRICE_RETURNS_PR('52W',2,-10AY,0,AM)":[-13.102656,4.8696876,1.8667698,15.176678,10.680866,5.170989,14.779115,15.460658,22.164726,22.211147,11.724365,8.53244,8.443583,2.3510575,-6.28584,-11.976206,-13.518387,-7.606083,-11.713523,-16.763002,-18.733734,-16.820484,-7.095349,-9.097874,-9.329599,-4.4457555,4.2332053,12.774515,8.559668,5.9732914,7.325959,18.47626,23.876404,18.217813,11.086559,10.261953,13.244653,10.161507,4.7121882,2.1635532,10.163414,13.388216,14.102221,15.820539,16.6152,15.359985,14.374137,14.020205,12.073326,3.4201741,6.497574,8.35272,5.126047,-2.009946,-4.994792,-8.151263,-11.704463,-7.236266,-8.465708,-6.638026,-8.200842,5.0598383,2.9312253,-3.409195,-7.5923023,-1.633954,-0.41635633,-1.3639808,-2.7006686,-9.241068,-37.7716,-23.860323,-19.849903,-21.006441,-21.173769,-20.691717,-22.10884,-25.612026,-11.09643,-10.012263,-4.871744,0.369215,52.69021,22.086704,17.547644,17.372799,13.639534,21.766996,29.045654,35.096348,15.909969,15.921378,9.198486,13.050688,7.2686553,7.8037977,5.3361177,-2.165091,0.023829937,3.2552242,0.034332275,-3.170222,-1.3374507,-1.4572263,1.8944502,-2.5924742,-5.023986,-7.8193545,-6.1420736,-3.344226,-1.103276,-5.176389,-7.457656,-12.141418,-13.407415,-13.087398,-19.447279,-15.390897,-12.872529,-12.891758,-10.880613],"VNM^FG_TOTAL_RETURNC(-10AY,0,AM)":[0.049829483,1.5438199,7.748902,1.6841173,0.0,-5.416298,0.094652176,-9.486604,0.107359886,4.825735,-9.923267,3.6342978,-2.684933,3.0968428,2.6761293,-17.021269,0.70512295,10.948443,-6.024104,-9.590954,-9.07703,9.868932,-2.0350873,2.9369593,-0.06958842,3.621173,0.13440847,2.41611,-2.555704,-0.80699325,-6.779659,-4.9141407,5.799377,1.9999981,1.1619449,-0.71787834,1.4461279,5.4169655,-1.284647,-3.0137002,5.225992,3.288591,9.551657,1.8569231,15.384281,-2.498722,-2.6673675,-2.1493912,-8.182317,-2.3923397,-3.0637264,4.0455103,0.72904825,-6.9963813,-1.297015,-3.0920625,6.151736,9.465551,-3.1764746,2.430141,-2.6097298,-0.30450225,0.48869848,-5.2279654,2.629888,1.3124943,-1.1104167,-0.841552,1.9060493,-6.93624,-35.160427,23.81444,12.572861,2.7366877,2.5197983,-0.77247024,2.6185393,6.482756,4.2746186,4.532361,9.486877,-1.5803874,-2.7685523,10.706162,-1.7489731,5.0785303,-4.982561,1.5731573,1.8585324,-0.4561603,4.684317,0.9893179,-3.9690197,-0.80645084,-2.337402,-10.197705,-11.297798,-4.310912,-1.0238886,6.689656,-9.179056,-15.516019,-6.31845,10.166454,8.185887,-10.891092,0.7692337,0.9329915,3.6974788,9.724474,5.8345675,-0.06978512,-0.9776473,-10.648805,6.9455385,-1.9382894,1.6916871,1.9118309,5.13016,-12.527311,6.910908],"EPHE^FMA_PE(NTMA,-10AY,0,AM,\"PORTAGG\",\"MEANR\")":[17.8091323245952,17.3689964802637,17.3930512541502,17.6910700491985,17.7647332299594,17.1799696932196,17.6577553785436,17.1417318835462,17.8495184185138,18.2663867802651,18.2809478797286,18.0715379316565,18.2071423959257,17.3924477943841,17.8305345053112,16.9991944636952,16.2498417815657,17.0430494115513,16.1106715867901,16.2215781963278,14.3798828850367,15.3194546620185,17.0585097036394,16.3289357152773,16.1777156967277,17.3914393651269,17.9522267291823,18.3305037917199,17.2715733345679,16.9850126692726,15.2240737136589,14.8999693688025,16.9459997887146,16.5070535748297,16.8085680863277,17.3087497363395,17.2743192704859,17.1334712270618,16.8420741693651,16.7711158628491,17.2405423398355,17.7705423308508,17.201437978786,17.3910650060143,18.2398605384679,17.1382605212851,16.1293855133695,15.5565873760622,15.7587991962807,14.7193804729653,15.010118604568,15.7423117521181,14.2413598131309,13.9429682884993,14.1142639167563,14.906149850723,15.6731254953092,15.4259942176227,15.4745445783692,15.2855795624263,15.2345042595471,15.5688609971535,15.7409814998528,14.7304771106015,13.9027861309999,13.9969049999486,13.7502545150976,14.2116254066445,13.6380923190062,13.1405573735678,8.66336595142784,11.3503192523669,13.0712789056667,15.7261435226596,15.1631893767273,16.0740398771962,15.6873872877877,16.9984768908694,17.9087056936707,16.6061707090937,16.4735059000033,15.5265011142114,14.866392117219,14.6188803589932,14.6113582931472,16.4625185652199,15.0851613697466,15.0512112027516,15.7182434421921,16.7652475571189,16.3096500746036,15.4444760689679,15.205829800579,15.2624531816771,14.4590986145282,14.2673453735199,13.0489901683579,12.2312706584293,12.6296442093996,12.8163966356287,12.0306773054252,11.5140487000123,12.1177660067231,12.400337467362,13.3955773792664,12.359333613971,11.6540535519931,11.469028095166,11.0113419995261,10.023959958511,10.356975928356,9.34461513931624,9.69241845320896,9.56558669293152,9.53842425734278,9.40413157660597,9.56000467568889,10.0632758918828,9.45046865729781,8.90898982945953,8.95011612954701],"EWM^FMA_PE(LTMA,-10AY,0,AM,\"PORTAGG\",\"MEANR\")":[16.7008305445704,16.7583268048493,16.6667752339822,16.8283562957302,16.7207529059877,16.5172486279666,16.5163080322119,16.2475925985985,16.6139224295511,16.5872187876617,16.9910540716677,17.0274471457764,16.8646072773774,16.6181136258085,16.6314576270566,15.6738478367219,16.0862646566369,16.8395365215049,16.5486437236965,16.6001865603714,16.1083184296426,16.6711938218841,16.6853593309741,16.6822526801075,16.4043366623212,16.6431419613803,16.7810270485675,16.938769820785,17.2384216656094,17.3356311468811,17.1008517523239,16.7682376954192,17.2229642309066,17.0799570917107,17.1338415333358,17.1871377610397,17.2717679442048,17.2425100242741,17.1800098663264,17.3451530906898,17.4925286054143,17.3456870953872,17.1937653054876,17.9723407584955,18.7462988759463,18.6661799211521,18.4590836893561,18.3145372413857,17.9844653090264,17.5780210452598,17.7306308333789,17.9555086411877,17.7978139961353,16.6874290200005,16.6800761293137,16.7264276810419,16.8648738352677,17.314002232134,17.0206349661919,16.8879548061931,16.7269513439175,17.2690487351921,17.1602198897679,16.9276300646964,16.8391216226526,16.6008397446361,16.8419269753663,17.2890530498992,16.8042729590786,16.3450877165416,15.910364432761,16.4688780806126,17.5219627090869,18.6191751968222,19.7176803428566,19.7631259638191,19.8466939207502,20.3835617461295,21.0083847514173,21.364298245041,20.4168015604667,18.9991971957688,19.3831232070239,18.7892332895978,18.0918228265524,17.489025486485,16.7760515234372,16.0487860404735,15.6887236349148,15.5925142161326,14.2911045093577,15.1279987415865,15.1353917383149,15.5856619745777,15.9256946578065,15.8679054128664,15.5800283274423,15.0571640909308,15.1571454334335,15.1657818109491,14.6735236159084,14.7578659974233,14.6373670912416,14.8268576417979,15.0098815107106,14.8708834732297,14.7070752017945,14.6112743191983,14.4699383911359,14.5323455785867,14.6187994870827,14.8033936501947,14.938632414208,14.8282829343474,15.0023990368631,15.1306951108889,15.2772909547238,15.616319528567,15.7286719216449,15.6239348923329,15.6944971582858],"W-FDS^FG_PRICE_CHANGE(0,-3AM)":21.7088055797733,"COPP-FDS^FG_PRICE(0)":4.8165,"QAT^FG_PRICE_MAVG(0,,,,60)":17.539284,"EPU^FG_TOTAL_RETURNC(0,-6AM)":41.42865,"EPHE^FG_TOTAL_RETURNC(0,-6AM)":2.472663,"SPY^FG_TOTAL_RETURNC(0,-6AM)":16.423046,"SPY^FMA_COS_UP(\"EPS\",\"1M\",+1,NOW,,,\"PORTAGG\",\"MEANR\")":271.0,"INDA^FMA_COS_DOWN(\"EPS\",\"1M\",+1,NOW,,,\"PORTAGG\",\"MEANR\")":59.0,"ECH^SIZE(FG_CONSTITUENTS)":29,"EWT^FMA_RBICS_REV_CURRENT(30, LOC, \"PORTAGG\")":18.3096455592651,"TRYCA10Y-FDS^FG_YIELD(-10AY,0,Y,,\"YTM\")":[1.79,1.39,1.72,2.04,1.96,1.7,0.67,1.42,3.3,3.0987],"CAGDPY@MX^EE_ACTUAL_ANNUAL(MED,0)":-0.475,"CC_IN^FG_COMPANY_NAME":"India","USDPLN^FG_PRICE_CHANGE(0,-1AY)":-5.49314,"USDCLP^STD(FG_PRICE_CHANGE(0,-1AY,AM))":3.92612298825322,"ECH^JULIAN(FG_TOTAL_RETURNC(-10AY,0,AM).DATES)":[41782,41813,41843,41873,41905,41935,41964,41996,42027,42058,42086,42117,42146,42178,42208,42237,42270,42300,42331,42361,42391,42423,42452,42482,42513,42544,42573,42605,42636,42664,42697,42727,42758,42789,42817,42846,42878,42909,42937,42970,43000,43031,43061,43091,43123,43154,43182,43213,43243,43273,43304,43335,43364,43396,43427,43455,43488,43518,43546,43578,43608,43637,43669,43700,43731,43761,43791,43822,43853,43882,43913,43944,43973,44005,44035,44064,44097,44127,44158,44188,44218,44250,44278,44309,44337,44370,44400,44431,44462,44491,44523,44553,44582,44615,44643,44673,44704,44735,44764,44796,44827,44855,44888,44918,44949,44980,45008,45037,45069,45100,45128,45161,45191,45222,45252,45282,45314,45345,45373,45405,45435],"EIDO^FMA_DIV_YLD(NTMA,-10AY,0,AM,\"PORTAGG\",\"MEANR\")":[2.49089196183001,2.64898896418006,2.53048698524232,2.48416599784425,2.50827574760459,2.5752567652162,2.51319597553382,2.49739256137849,2.42558912014584,2.32636565181992,2.31211967064168,2.30201151023454,2.31456457096343,2.46929259922848,2.45491991847726,2.82722945997679,2.86924251926407,2.50064177496325,2.54285667650336,2.53953042198559,2.56109581042426,2.49283727527599,2.34564254994315,2.35539256367778,2.45368217767454,2.34604004985711,2.18463522329089,2.16152010323729,2.18371594015348,2.24305454844053,2.4490042809159,2.60841281829583,2.46599414380962,2.42483759176809,2.40428898442114,2.43644241554368,2.47010104440328,2.52935949697819,2.58996154263038,2.53865730852968,2.57148311653512,2.55309625316149,2.586212843575,2.57528731149565,2.41496702782509,2.46821320173266,2.68292493076068,2.70111401118971,3.13152719865671,3.1263814251748,3.08380029242996,2.97756914421516,2.99593090569953,3.11536432599901,2.91964300341739,2.86521617075009,2.76315385591396,2.83874931212129,2.77671418691897,2.79915322216758,3.08828112296553,2.78961376731472,2.69957558688571,2.8172706883347,2.82992482676189,2.74333705643228,2.82928424601664,2.7761267013459,2.70579460514699,2.89838821017184,4.80335435386855,4.00769412479365,3.80059401157163,3.0387020699335,2.86744354940497,2.7606848007639,3.02129336662301,2.83299145955432,2.43551371316292,2.27302798653875,2.2438836810954,2.45561270787535,2.5862294115301,2.73335926665859,2.87758302649645,2.9468486036473,3.08296137029778,3.02613340252672,3.15433136144497,2.87537196830397,3.02116415309166,3.18162835163116,3.09220989794927,3.08026814409012,3.24676748907855,3.2804311581343,3.57625463337308,3.54202578567704,3.65943321743087,3.64346561923799,3.65370583794221,3.88050894937006,3.9102408011054,4.07319181972616,4.19707830283428,4.17954507370976,4.39523142857615,4.32373088413813,4.60723621692661,4.35889581857951,4.15319319514302,4.11653392795459,4.12475832238164,4.37022101098756,4.21521226555684,4.14284880686274,4.09386576831895,4.10456946686566,4.04223896658302,4.38394861420334,4.47681347669924],"WL-FDS^FG_PRICE_CHANGE(0,-3AM)":-11.8281326580624,"NI-FDS^FG_PRICE(0)":19800.0,"KSA^FG_PRICE(0)":41.24,"EWZ^FG_PRICE_MAVG(0,,,,200)":32.21795,"EWM^FG_PRICE_MAVG(0,,,,30)":22.482334,"ECH^FG_PRICE_MAVG(0,,,,200)":26.54822,"VNM^FG_TOTAL_RETURNC(0,-6AM)":-0.08482933,"TUR^FG_TOTAL_RETURNC(0,-6AM)":23.824823,"QAT^FG_TOTAL_RETURNC(0,-6AM)":-3.2534242,"INDA^FG_TOTAL_RETURNC(0,-6AM)":19.022346,"EZA^FG_TOTAL_RETURNC(0,-6AM)":8.855164,"EWY^FG_TOTAL_RETURNC(0,-6AM)":4.1979074,"EWT^FG_TOTAL_RETURNC(0,-6AM)":19.318604,"EPU^FG_TOTAL_RETURNC(0,-3AM)":21.655441,"ECH^FG_TOTAL_RETURNC(0,-6AM)":9.717119,"SPY^PERCENT_CHANGE(FMA_EPS(+1,0,,,,\"PORTAGG\",\"MEAN\"),FMA_EPS(+1,-3AM,,,,\"PORTAGG\",\"MEAN\"))":0.212224867745736,"VNM^FMA_COS_UP(\"EPS\",\"1M\",+1,NOW,,,\"PORTAGG\",\"MEANR\")":5.0,"EWT^FMA_COS_DOWN(\"EPS\",\"1M\",+1,NOW,,,\"PORTAGG\",\"MEANR\")":35.0,"ECH^FMA_COS_DOWN(\"EPS\",\"1M\",+1,NOW,,,\"PORTAGG\",\"MEANR\")":10.0,"EWZ^FG_ROE(0)":19.0079707985248,"REFVNDISC-FDS^(SUBARRAY(NOT_NA(NO_REPEAT_F(FG_YIELD(NOW,-10AY,D))),0,1)-SUBARRAY(NOT_NA(NO_REPEAT_F(FG_YIELD(NOW,-10AY,D))),1,1))*100":-50.0,"USDEUR^FG_COMPANY_NAME":"Euro per U.S. Dollar","USDKRW^FG_PRICE_CHANGE(0,-3AM)":2.3627877,"USDMYR^FG_PRICE_CHANGE(0,-6AM)":0.5449891,"FC0000GR^FMA_EPS(NTMA,-20AY,0,CY,,\"PORTAGG\",\"MEANR\")":[10.0263829592273,10.1383155721295,13.780296395744,19.0687884512301,14.4348202091653,11.7776779993124,7.89872428476136,4.25532007667177,3.48757992339741,1.35869561359766,2.30816157475713,1.40229646911472,0.485154410379686,0.505979411552489,0.451702417206922,0.580096132576718,0.557417673683109,0.621885469021717,0.869531876625146,1.21959709581891],"USDSAR^FG_COMPANY_NAME":"Saudi Arabian Riyal per U.S. Dollar","USDTRY^FG_PRICE_CHANGE(0,-3AM)":3.6534429,"USDAED^FG_COMPANY_NAME":"UAE Dirham per U.S. Dollar","EZA^FG_PRICE_MAVG(0,,,,200)":39.35845,"GREK^P_PRICE(0)/P_PRICE_HIGH_PR(0,,,,,,\"PRICE\",\"INTRA\",\"52W\")":0.96265745,"EWT^FG_TOTAL_RETURNC(0,-3AM)":9.976303,"EIDO^FG_TOTAL_RETURNC(0,-1AM)":-3.363341,"VGK^FG_TOTAL_RETURNC(0,-6AM)":14.826751,"TUR^FMA_COS_DOWN(\"EPS\",\"1M\",+1,NOW,,,\"PORTAGG\",\"MEANR\")":18.0,"TUR^FG_ROE(0)":21.4608202758989,"TRYVN10Y-FDS^PCTCHG(FG_YIELD(0,,,,\"YTM\"),FG_YIELD(-3AM,,,,\"YTM\"))":28.866322,"TRYPL10Y-FDS^PCTCHG(FG_YIELD(0,,,,\"YTM\"),FG_YIELD(-3AM,,,,\"YTM\"))":7.629108,"TRYIN10Y-FDS^FG_YIELD(0,,,,\"YTM\")":7.0375,"CC_VN^IMF_IFS_RCPI_Q(0)":3.77269,"VWO^FMA_DIV_YLD(NTMA,NOW,NOW,M,\"PORTAGG\",\"MEANR\")":3.0624402074539,"UAE^FG_FCF_YIELD_NTM(0)":9.8289019932803,"QAT^FMA_PE(NTMA,0,,,\"PORTAGG\",\"MEANR\")":9.88963796776014,"EZA^FMA_DIV_YLD(NTMA,NOW,NOW,M,\"PORTAGG\",\"MEANR\")":4.1548951107817,"EWW^FMA_PE(LTM,0,,,\"PORTAGG\",\"MEANR\")":15.4761616049024,"EPOL^FMA_DIV_YLD(NTMA,NOW,NOW,M,\"PORTAGG\",\"MEANR\")":5.1150677484436,"EWY^FG_COMPANY_NAME":"iShares MSCI South Korea ETF","UAE^FMA_DIV_YLD(NTMA,NOW,NOW,M,\"PORTAGG\",\"MEANR\")":5.6413885639115,"EWW^JULIAN(FMA_DIV_YLD(NTMA,NOW,NOW,M,\"PORTAGG\",\"MEANR\").DATES)":45412,"EPOL^JULIAN(FMA_DIV_YLD(NTMA,NOW,NOW,M,\"PORTAGG\",\"MEANR\").DATES)":45412,"EPOL^FG_COMPANY_NAME":"iShares MSCI Poland ETF","EWT^FMA_EVAL_EBIT(LTMA,NOW,NOW,M,\"PORTAGG\",\"MEANR\")":19.9636831788479,"USDQAR^FG_PRICE_CHANGE(0,-3AM)":0.0,"NI-FDS^FG_PRICE_MAVG(0,,,,30)":19003.334,"VNM^FMA_PCT_ABOVE_MAVG(200,0,,,,\"PORTAGG\")":65.2173913043478,"GREK^PERCENT_CHANGE(FMA_EPS(+1,0,,,,\"PORTAGG\",\"MEAN\"),FMA_EPS(+1,-3AM,,,,\"PORTAGG\",\"MEAN\"))":4.53959901332999,"EWM^FG_TOTAL_RETURNC(0,-12AM)":13.929987,"TUR^FMA_COS_UP(\"EPS\",\"1M\",+1,NOW,,,\"PORTAGG\",\"MEANR\")":14.0,"REFKRBASE-FDS^FG_YIELD(NOW,,,0)":3.5,"ECH^JULIAN(FMA_DIV_YLD(NTMA,NOW,NOW,M,\"PORTAGG\",\"MEANR\").DATES)":45412,"EWW^FG_COMPANY_NAME":"iShares MSCI Mexico ETF","CC_AE^IMF_IFS_RCPI_Q(0)":null,"VWO^FG_PE_NTM(0,,,90,0)":12.748010304047,"QAT^FMA_PE(LTM,0,,,\"PORTAGG\",\"MEANR\")":10.9181419341227,"TRYID10Y-FDS^PCTCHG(FG_YIELD(0,,,,\"YTM\"),FG_YIELD(-3AM,,,,\"YTM\"))":4.3050876,"EZA^P_PRICE(0)/P_PRICE_HIGH_PR(0,,,,,,\"PRICE\",\"INTRA\",\"52W\")":0.94392,"EZA^FG_ROE(0)":14.8887831867191,"VGK^FG_PE(0)":13.143664905942,"CNYA^FMA_DIV_YLD(NTMA,NOW,NOW,M,\"PORTAGG\",\"MEANR\")":2.81685641348317,"EPHE^FMA_PE(LTM,0,,,\"PORTAGG\",\"MEANR\")":9.8056239674993,"EPOL^FG_TOTAL_RETURNC(0,-3AM)":5.7298183,"TRYAE10Y-FDS^FG_YIELD(0,,,,\"YTM\")":4.928123,"EWZ^JULIAN(FMA_DIV_YLD(NTMA,NOW,NOW,M,\"PORTAGG\",\"MEANR\").DATES)":45412,"EWW^FMA_EVAL_EBIT(LTMA,NOW,NOW,M,\"PORTAGG\",\"MEANR\")":10.4011907861917,"EZA^FG_PRICE_MAVG(0,,,,30)":41.078,"UAE^FG_TOTAL_RETURNC(0,-3AM)":-3.6476254,"EIDO^PERCENT_CHANGE(FMA_EPS(+1,0,,,,\"PORTAGG\",\"MEAN\"),FMA_EPS(+1,-1AM,,,,\"PORTAGG\",\"MEAN\"))":-0.649018071533948,"VGK^FG_TOTAL_RETURNC(0,-3AM)":6.237364,"EPHE^FMA_COS_DOWN(\"EPS\",\"1M\",+1,NOW,,,\"PORTAGG\",\"MEANR\")":10.0,"REFSAREPO-FDS^(SUBARRAY(NOT_NA(NO_REPEAT_F(FG_YIELD(NOW,-10AY,D))),0,1)-SUBARRAY(NOT_NA(NO_REPEAT_F(FG_YIELD(NOW,-10AY,D))),1,1))*100":25.0,"TRYVN10Y-FDS^PCTCHG(FG_YIELD(0,,,,\"YTM\"),FG_YIELD(-1AM,,,,\"YTM\"))":3.5585148,"TRYPH10Y-FDS^PCTCHG(FG_YIELD(0,,,,\"YTM\"),FG_YIELD(-3AM,,,,\"YTM\"))":6.7441196,"TRYIN10Y-FDS^FG_YIELD_NAME":"India Benchmark Bond - 10 Year","EZA^FMA_PE(NTMA,0,,,\"PORTAGG\",\"MEANR\")":9.9683201117465,"EPHE^FG_COMPANY_NAME":"iShares MSCI Philippines ETF","EPHE^FMA_EVAL_EBITDA(NTMA,0,,,\"PORTAGG\",\"MEANR\")":8.22557638637926,"REFMXTON-FDS^PROPER_NAME(0,,,\"SECURITY\",\"NAME\")":"Mexico Target Rate - Overnight","TRYID10Y-FDS^PCTCHG(FG_YIELD(0,,,,\"YTM\"),FG_YIELD(-1AM,,,,\"YTM\"))":-3.179296,"EWT^FG_FCF_YIELD_NTM(0)":3.91887714973089,"REFAEREPO-FDS^PROPER_NAME(0,,,\"SECURITY\",\"NAME\")":"United Arab Emirates Repo Rate","TRYTH10Y-FDS^PCTCHG(FG_YIELD(0,,,,\"YTM\"),FG_YIELD(-3AM,,,,\"YTM\"))":10.091693,"USDBRL^FG_COMPANY_NAME":"Brazilian Real per U.S. Dollar","GREK^FMA_PCT_ABOVE_MAVG(200,0,,,,\"PORTAGG\")":89.2857142857143,"EIDO^FMA_PCT_ABOVE_MAVG(200,0,,,,\"PORTAGG\")":28.9473684210526,"QAT^FG_ROE(0)":11.0234017305319,"REFSAREPO-FDS^FG_YIELD(NOW,,,0)":6.0,"TRYGR10Y-FDS^FG_YIELD(0,,,,\"YTM\")":3.592,"VWO^FG_PE(0)":14.3929854998588,"EZA^FMA_PE(LTM,0,,,\"PORTAGG\",\"MEANR\")":11.975407278788,"CNYA^FMA_EVAL_EBIT(LTMA,NOW,NOW,M,\"PORTAGG\",\"MEANR\")":16.5627791840439,"EPHE^FMA_EVAL_EBIT(LTMA,NOW,NOW,M,\"PORTAGG\",\"MEANR\")":13.2318958847095,"REFSAREPO-FDS^PROPER_NAME(0,,,\"SECURITY\",\"NAME\")":"Saudi Arabia Repo Rate","CNYA^FG_FCF_YIELD_NTM(0)":5.2463269326819,"USDTWD^FG_PRICE_CHANGE(0,-3AM)":2.0938277,"EZA^FG_PRICE(0)":42.5,"UAE^PERCENT_CHANGE(FMA_EPS(+1,0,,,,\"PORTAGG\",\"MEAN\"),FMA_EPS(+1,-3AM,,,,\"PORTAGG\",\"MEAN\"))":13.6838031144201,"ECH^P_PRICE(0)/P_PRICE_LOW_PR(0,,,,,,\"PRICE\",\"INTRA\",\"52W\")-1":0.22602451,"MCHI^FG_ROE(0)":10.6428124514744,"REFMXTON-FDS^(SUBARRAY(NOT_NA(NO_REPEAT_F(FG_YIELD(NOW,-10AY,D))),0,1)-SUBARRAY(NOT_NA(NO_REPEAT_F(FG_YIELD(NOW,-10AY,D))),1,1))*100":-25.0,"CC_TR^IMF_IFS_RCPI_Q(0)":null,"VGK^FG_FCF_YIELD_NTM(0)":5.19946370736339,"UAE^FMA_PE(NTMA,0,,,\"PORTAGG\",\"MEANR\")":8.6563238486538,"QAT^JULIAN(FMA_DIV_YLD(NTMA,NOW,NOW,M,\"PORTAGG\",\"MEANR\").DATES)":45412,"EZA^JULIAN(FMA_DIV_YLD(NTMA,NOW,NOW,M,\"PORTAGG\",\"MEANR\").DATES)":45412,"MCHI^FMA_EVAL_EBIT(LTMA,NOW,NOW,M,\"PORTAGG\",\"MEANR\")":13.8415156993668,"CNYA^FMA_EVAL_EBITDA(NTMA,0,,,\"PORTAGG\",\"MEANR\")":10.4420260948372,"EIDO^FG_COMPANY_NAME":"iShares MSCI Indonesia ETF","UAE^JULIAN(FMA_DIV_YLD(NTMA,NOW,NOW,M,\"PORTAGG\",\"MEANR\").DATES)":45412,"EWZ^FMA_PE(NTMA,0,,,\"PORTAGG\",\"MEANR\")":7.50922605091298,"INDA^FMA_PE(NTMA,0,,,\"PORTAGG\",\"MEANR\")":22.6354821810386,"ECH^FMA_EVAL_EBITDA(NTMA,0,,,\"PORTAGG\",\"MEANR\")":6.17008378323053,"CPALM-FDS^FG_PRICE_MAVG(0,,,,30)":3975.1333,"UAE^PERCENT_CHANGE(FMA_EPS(+1,0,,,,\"PORTAGG\",\"MEAN\"),FMA_EPS(+1,-1AM,,,,\"PORTAGG\",\"MEAN\"))":5.67299720852419,"EZA^P_PRICE(0)/P_PRICE_LOW_PR(0,,,,,,\"PRICE\",\"INTRA\",\"52W\")-1":0.18847883,"EWJ^FMA_PCT_ABOVE_MAVG(200,0,,,,\"PORTAGG\")":71.1009174311927,"QAT^FMA_COS_UP(\"EPS\",\"1M\",+1,NOW,,,\"PORTAGG\",\"MEANR\")":7.0,"EIDO^SIZE(FG_CONSTITUENTS)":77,"GREK^FG_ROE(0)":14.5558814909961,"TRYAE10Y-FDS^PCTCHG(FG_YIELD(0,,,,\"YTM\"),FG_YIELD(-1AM,,,,\"YTM\"))":null,"ECH^FG_COMPANY_NAME":"iShares MSCI Chile ETF","EPHE^FG_FCF_YIELD_NTM(0)":5.62404108920862,"REFTR1WREPO-FDS^FG_YIELD(NOW,,,0)":50.0,"VGK^JULIAN(FMA_DIV_YLD(NTMA,NOW,NOW,M,\"PORTAGG\",\"MEANR\").DATES)":45379,"EWM^FMA_EVAL_EBIT(LTMA,NOW,NOW,M,\"PORTAGG\",\"MEANR\")":17.8255050066074,"KSA^FG_COMPANY_NAME":"iShares MSCI Saudi Arabia ETF","ECH^FG_ROE(0)":10.1643372097379,"EPHE^JULIAN(FMA_DIV_YLD(NTMA,NOW,NOW,M,\"PORTAGG\",\"MEANR\").DATES)":45412,"INDA^JULIAN(FMA_DIV_YLD(NTMA,NOW,NOW,M,\"PORTAGG\",\"MEANR\").DATES)":45412,"REFPHRREPO-FDS^PROPER_NAME(0,,,\"SECURITY\",\"NAME\")":"Philippines Reverse Repo Rate - Overnight","USDIDR^FG_PRICE_CHANGE(0,-1AY)":7.476473,"EWY^FG_PRICE_MAVG(0,,,,30)":64.00467,"TUR^P_PRICE(0)/P_PRICE_LOW_PR(0,,,,,,\"PRICE\",\"INTRA\",\"52W\")-1":0.57406735,"EWM^PERCENT_CHANGE(FMA_EPS(+1,0,,,,\"PORTAGG\",\"MEAN\"),FMA_EPS(+1,-3AM,,,,\"PORTAGG\",\"MEAN\"))":3.20736291635681,"ECH^P_PRICE(0)/P_PRICE_HIGH_PR(0,,,,,,\"PRICE\",\"INTRA\",\"52W\")":0.9051778,"URTH^PERCENT_CHANGE(FMA_EPS(+1,0,,,,\"PORTAGG\",\"MEAN\"),FMA_EPS(+1,-1AM,,,,\"PORTAGG\",\"MEAN\"))":0.932423519921241,"REFMXTON-FDS^FG_YIELD(NOW,,,0)":11.0,"TRYKR10Y-FDS^FG_YIELD(0,,,,\"YTM\")":3.4672,"CC_TH^IMF_IFS_RCPI_Q(0)":-0.78397644,"VGK^FMA_DIV_YLD(NTMA,NOW,NOW,M,\"PORTAGG\",\"MEANR\")":3.45020953118843,"UAE^FMA_PE(LTM,0,,,\"PORTAGG\",\"MEANR\")":10.2087041546154,"MCHI^FMA_PE(NTMA,0,,,\"PORTAGG\",\"MEANR\")":10.692598022338,"EWZ^FMA_EVAL_EBIT(LTMA,NOW,NOW,M,\"PORTAGG\",\"MEANR\")":6.73854193892368,"EWT^FMA_EVAL_EBITDA(NTMA,0,,,\"PORTAGG\",\"MEANR\")":10.0748161952135,"EWT^FG_PRICE_MAVG(0,,,,200)":46.5824,"EWZ^FMA_EVAL_EBITDA(NTMA,0,,,\"PORTAGG\",\"MEANR\")":4.66087595001658,"CNYA^FG_COMPANY_NAME":"iShares MSCI China A ETF","TUR^FMA_EVAL_EBITDA(NTMA,0,,,\"PORTAGG\",\"MEANR\")":4.82167080627848,"INDA^FG_FCF_YIELD_NTM(0)":2.9420447613215,"SET-BKK^FMA_EVAL_EBITDA(NTMA,0,,,\"PORTAGG\",\"MEANR\")":9.44328624813325,"EWM^FMA_PE(LTM,0,,,\"PORTAGG\",\"MEANR\")":18.6205577160583,"EWJ^SIZE(FG_CONSTITUENTS)":218,"TRYAE10Y-FDS^FG_YIELD_NAME":"Treasury - United Arab Emirates USD Benchmark Bond 10Y","VNM^FMA_EPS(NTMA,-20AY,0,CY,,\"PORTAGG\",\"MEANR\")":[null,null,null,null,null,1.76556929798562,1.77344510490664,1.79926295005356,2.1935186011017,2.03454772468732,1.57039558296485,1.29980601244052,1.03619480330304,0.937220389578586,1.03904047410582,1.11601822649293,1.03737377793235,1.28884335629541,1.11127492950619,0.886057282514537],"TUR^FMA_EVAL_EBIT(LTMA,NOW,NOW,M,\"PORTAGG\",\"MEANR\")":7.41240018104184,"MCHI^FMA_PE(LTM,0,,,\"PORTAGG\",\"MEANR\")":13.6243110624861,"EWT^JULIAN(FMA_DIV_YLD(NTMA,NOW,NOW,M,\"PORTAGG\",\"MEANR\").DATES)":45412,"VGK^PERCENT_CHANGE(FMA_EPS(+1,0,,,,\"PORTAGG\",\"MEAN\"),FMA_EPS(+1,-3AM,,,,\"PORTAGG\",\"MEAN\"))":-1.55746566433551,"REFPEMPR-FDS^FG_YIELD(NOW,,,0)":5.75,"TRYTW10Y-FDS^FG_YIELD(0,,,,\"YTM\")":1.6,"CC_IN^IMF_IFS_RCPI_Q(0)":5.014141,"EWZ^FMA_PE(LTM,0,,,\"PORTAGG\",\"MEANR\")":7.63643830482781,"FC0000CL^JULIAN(FMA_EPS(NTMA,-20AY,0,CY,,\"PORTAGG\",\"MEANR\").DATES)":[38352,38716,39080,39447,39813,40178,40543,40907,41274,41639,42004,42369,42734,43098,43465,43830,44196,44561,44925,45289],"W-FDS^FG_PRICE_CHANGE(0,-1AM)":19.3162393162393,"TUR^P_PRICE(0)/P_PRICE_HIGH_PR(0,,,,,,\"PRICE\",\"INTRA\",\"52W\")":0.9786084,"MCHI^FMA_COS_DOWN(\"EPS\",\"1M\",+1,NOW,,,\"PORTAGG\",\"MEANR\")":350.0,"EIDO^FMA_COS_UP(\"EPS\",\"1M\",+1,NOW,,,\"PORTAGG\",\"MEANR\")":15.0,"REFMYON-FDS^(SUBARRAY(NOT_NA(NO_REPEAT_F(FG_YIELD(NOW,-10AY,D))),0,1)-SUBARRAY(NOT_NA(NO_REPEAT_F(FG_YIELD(NOW,-10AY,D))),1,1))*100":25.0,"TRYTR7Y-FDS^PCTCHG(FG_YIELD(0,,,,\"YTM\"),FG_YIELD(-1AM,,,,\"YTM\"))":1.4186118,"TRYMX10Y-FDS^FG_YIELD(0,,,,\"YTM\")":9.7367,"CC_QA^IMF_IFS_RCPI_Q(0)":null,"QAT^P_PRICE_RETURNS_PR('52W',2,-10AY,0,AM)":[null,null,null,null,null,null,null,null,null,null,null,null,-3.215444,-0.6642401,-9.9018755,-19.620216,-16.402458,-10.859388,-22.877472,-16.745228,-26.365059,-19.753271,-10.124624,-14.025086,-21.55562,-16.600204,-9.72178,4.1232586,-5.5651784,-8.148336,-5.7322025,5.203593,27.926863,12.293172,2.5475621,2.4422765,6.413305,-7.4080825,-4.7131357,-15.73599,-15.614069,-18.908257,-21.607859,-11.412412,-10.638684,-14.392871,-11.026007,-7.766491,-6.891799,2.6999712,-0.23701191,8.998847,17.550337,26.247179,45.88021,21.925522,18.704296,17.125166,14.176643,16.019356,6.8803787,14.480448,10.470271,1.8480539,3.9027572,2.9037952,-0.3550589,-0.8876085,-3.0481696,-2.8999686,-15.715254,-16.27913,-5.6818485,-5.4766536,-3.4821033,6.738138,0.5043268,1.622355,4.291272,6.7096114,6.2337875,9.80028,28.027475,31.229042,27.155136,19.318317,14.660192,16.102993,17.537224,20.496738,17.838478,13.601744,17.589462,26.786507,33.53759,28.364908,19.874048,9.79836,18.55452,20.847584,9.730291,7.573855,1.1756539,-4.668456,-7.7905893,-15.762419,-23.326874,-22.977812,-11.593217,-8.322996,-11.659879,-18.371033,-13.515223,-20.026218,-9.6992855,-2.1411717,-4.9581885,2.2689342,6.9433928,0.67721605,-9.010422],"EWT^FG_PRICE_MAVG(0,,,,30)":48.467,"EZA^FMA_PCT_ABOVE_MAVG(200,0,,,,\"PORTAGG\")":69.6969696969697,"EWM^FMA_PCT_ABOVE_MAVG(200,0,,,,\"PORTAGG\")":72.7272727272727,"ECH^FMA_PCT_ABOVE_MAVG(200,0,,,,\"PORTAGG\")":75.8620689655172,"EWZ^FG_FCF_YIELD_NTM(0)":9.82116214660909,"CNYA^FMA_PE(NTMA,0,,,\"PORTAGG\",\"MEANR\")":13.0415360098746,"TRYTH10Y-FDS^PCTCHG(FG_YIELD(0,,,,\"YTM\"),FG_YIELD(-1AM,,,,\"YTM\"))":4.461892,"CC_TW^IMF_IFS_RCPI_Q(0)":null,"EWY^SIZE(FG_CONSTITUENTS)":101,"EWJ^FG_TOTAL_RETURNC(0,-3AM)":-1.869297,"EWY^JULIAN(FMA_DIV_YLD(NTMA,NOW,NOW,M,\"PORTAGG\",\"MEANR\").DATES)":45412,"CNYA^P_PRICE_RETURNS_PR('52W',2,-10AY,0,AM)":[null,null,null,null,null,null,null,null,null,null,null,null,null,null,null,null,null,null,null,null,null,null,null,null,null,null,null,null,null,null,null,null,null,null,null,null,null,12.188125,13.198889,12.446463,18.1329,20.234966,26.581966,28.197647,38.46818,25.66067,19.432735,17.123055,21.80525,6.6206098,-5.2917185,-13.665449,-13.393581,-20.22214,-26.022417,-26.85346,-28.687168,-14.562225,-6.6527367,2.5148392,-12.047833,1.849556,7.814777,11.31748,10.671436,20.681345,18.25844,31.556438,26.667059,18.620945,-7.3393764,-4.7271013,7.926357,12.258875,29.498566,33.85073,30.409718,35.335876,44.169796,41.570568,49.189533,50.38754,55.499912,50.08565,49.524223,39.119434,21.759438,14.7103195,17.55545,14.358461,9.250879,7.805538,-7.806194,-10.763603,-6.681985,-18.160254,-19.121593,-14.128834,-18.475086,-15.432983,-26.124674,-29.64021,-29.158056,-28.52984,-14.338845,-16.357826,-10.43058,-2.7165115,-8.5726795,-18.750715,-15.757132,-18.013239,-7.470435,-10.528773,-7.71789,-13.243646,-27.654135,-18.336374,-15.4254675,-16.185612,-8.852953],"TUR^FMA_PCT_ABOVE_MAVG(200,0,,,,\"PORTAGG\")":72.0430107526882,"EWZ^FG_TOTAL_RETURNC(0,-12AM)":9.113407,"CNYA^P_PRICE(0)/P_PRICE_LOW_PR(0,,,,,,\"PRICE\",\"INTRA\",\"52W\")-1":0.15718627,"ECH^FMA_COS_UP(\"EPS\",\"1M\",+1,NOW,,,\"PORTAGG\",\"MEANR\")":10.0,"EPU^FG_ROE(0)":9.3213374578468,"TIPSCL10Y-FDS^PCTCHG(FG_YIELD(0,,,,\"YTM\"),FG_YIELD(-1AM,,,,\"YTM\"))":-4.504717,"CC_CN^IMF_IFS_RCPI_Q(0)":-0.032185,"INDA^FMA_EVAL_EBIT(LTMA,NOW,NOW,M,\"PORTAGG\",\"MEANR\")":22.7719956234222,"EPHE^FMA_DIV_YLD(NTMA,NOW,NOW,M,\"PORTAGG\",\"MEANR\")":2.86912122220609,"EWM^FG_FCF_YIELD_NTM(0)":5.69002269535044,"EWM^FMA_PE(NTMA,0,,,\"PORTAGG\",\"MEANR\")":14.5061298747999,"UAE^FG_COMPANY_NAME":"iShares MSCI UAE ETF","EWY^FMA_PE(NTMA,0,,,\"PORTAGG\",\"MEANR\")":9.92871771336959,"EIDO^FMA_PE(LTM,0,,,\"PORTAGG\",\"MEANR\")":14.8942946891,"SET-BKK^FMA_PE(LTM,0,,,\"PORTAGG\",\"MEANR\")":17.1426570123996,"EPU^FG_FCF_YIELD_NTM(0)":7.42060701851368,"INDA^FG_COMPANY_NAME":"iShares MSCI India ETF","EPU^FMA_PE(NTMA,0,,,\"PORTAGG\",\"MEANR\")":14.2227670864903,"EWM^FG_PRICE_MAVG(0,,,,200)":21.42205,"SET-BKK^P_PRICE(0)/P_PRICE_LOW_PR(0,,,,,,\"PRICE\",\"INTRA\",\"52W\")-1":0.028265595,"EWZ^FG_TOTAL_RETURNC(0,-6AM)":-5.961263,"EPU^P_PRICE(0)/P_PRICE_LOW_PR(0,,,,,,\"PRICE\",\"INTRA\",\"52W\")-1":0.49684775,"CNYA^FG_TOTAL_RETURNC(0,-6AM)":0.9476185,"INDA^SIZE(FG_CONSTITUENTS)":137,"EPHE^FG_ROE(0)":12.5243875935,"REFTR1WREPO-FDS^PROPER_NAME(0,,,\"SECURITY\",\"NAME\")":"Turkey Repo Rate - 1 Week","EPHE^FG_TOTAL_RETURNC(-10AY,0,AM)":[4.8020244,-2.2508025,4.5039296,1.294589,-0.5477309,-0.8654654,3.4920573,-2.0344138,5.5729866,3.4448624,-1.0062337,1.427877,-2.0281494,-4.1402817,-0.95821023,-10.629511,-1.2124658,8.240795,-6.857455,0.3622532,-13.449276,9.91292,10.298597,-1.6022146,2.1897912,9.953583,1.1785269,-1.610899,-6.3728037,-0.53806305,-13.443333,-3.7102818,13.62083,-2.177024,0.11712313,4.7382355,2.094388,-0.53154826,-0.27585626,-0.47026873,4.280162,-1.6791046,0.84034204,2.8105736,3.0088902,-6.553209,-8.670843,-2.321422,-0.5179703,-9.319824,5.0186515,5.586052,-6.4526024,-1.9614279,3.9013028,1.5428185,8.254266,0.5842805,-0.2904415,0.23303032,-2.44115,7.051015,1.8212438,-9.383601,2.641964,3.7278175,-1.8254519,-0.46152472,-3.4180462,-3.2062947999999998,-37.875004,21.12677,-0.5398631,15.593565,-3.5973847,2.8269887,-3.7390053,11.6907835,11.012626,0.49550533,-2.1439552,-5.133027,-5.3777575,1.255238,-2.0661175,10.733843,-9.814585,4.0056705,4.1240573,6.4111233,0.2503991,-0.7101536,-2.698511,4.0803313,-8.790201,0.10073185,-2.8513908,-12.272989,-0.11947751,7.177031,-11.476934,-1.9541919,11.401629,1.6246676,10.650433,-7.047093,-1.7011881,-2.4454474,1.4269114,-2.3313642,6.8951964,-9.583479,-1.8344939,-0.91362,4.9036026,4.8089147,1.2298226,5.694759,-2.1551728,-7.342142,0.79239607],"COPP-FDS^FG_PRICE_CHANGE(0,-3AM)":24.0726429675425,"SET-BKK^FG_TOTAL_RETURNC(0,-3AM)":-2.1671712,"EWZ^PERCENT_CHANGE(FMA_EPS(+1,0,,,,\"PORTAGG\",\"MEAN\"),FMA_EPS(+1,-3AM,,,,\"PORTAGG\",\"MEAN\"))":0.195160619792762,"EPU^P_PRICE(0)/P_PRICE_HIGH_PR(0,,,,,,\"PRICE\",\"INTRA\",\"52W\")":0.9503002,"CNYA^FG_TOTAL_RETURNC(0,-3AM)":2.9752731,"VGK^FMA_PCT_ABOVE_MAVG(200,0,,,,\"PORTAGG\")":69.2368839427663,"VNM^FMA_RBICS_REV_CURRENT(30, LOC, \"PORTAGG\")":56.0450460074213,"EIDO^FG_ROE(0)":12.095707622876,"REFTHREPO-FDS^FG_YIELD(NOW,,,0)":2.5,"TRYIN10Y-FDS^PCTCHG(FG_YIELD(0,,,,\"YTM\"),FG_YIELD(-3AM,,,,\"YTM\"))":-0.6002828,"CC_GR^IMF_IFS_RCPI_Q(0)":3.091925,"KSA^FMA_EVAL_EBIT(LTMA,NOW,NOW,M,\"PORTAGG\",\"MEANR\")":22.3242337305304,"TUR^FG_FCF_YIELD_NTM(0)":7.68180761332497,"INDA^FMA_EVAL_EBITDA(NTMA,0,,,\"PORTAGG\",\"MEANR\")":15.0344452466523,"EWZ^FMA_DIV_YLD(NTMA,NOW,NOW,M,\"PORTAGG\",\"MEANR\")":6.6966925994556,"EWM^FMA_DIV_YLD(NTMA,NOW,NOW,M,\"PORTAGG\",\"MEANR\")":4.10235444811837,"EPHE^FMA_PE(NTMA,0,,,\"PORTAGG\",\"MEANR\")":8.95011612954701,"CNYA^FG_TOTAL_RETURNC(0,-1AM)":3.0748367,"INDA^FMA_COS_UP(\"EPS\",\"1M\",+1,NOW,,,\"PORTAGG\",\"MEANR\")":59.0,"TUR^FMA_RBICS_REV_CURRENT(30, LOC, \"PORTAGG\")":22.3640930641429,"CC_ZA^IMF_IFS_RCPI_Q(0)":null,"VNM^FG_COMPANY_NAME":"VanEck Vietnam ETF","KSA^FMA_EVAL_EBITDA(NTMA,0,,,\"PORTAGG\",\"MEANR\")":11.2128148309167,"REFQALEND-FDS^PROPER_NAME(0,,,\"SECURITY\",\"NAME\")":"Qatar Lending Rate - Overnight","QAT^FG_FCF_YIELD_NTM(0)":null,"EWM^FG_PRICE_MAVG(0,,,,60)":22.1825,"SET-BKK^FG_TOTAL_RETURNC(0,-1AM)":0.764668,"EWM^FMA_DIV_YLD(NTMA,-10AY,0,AM,\"PORTAGG\",\"MEANR\")":[3.11036193450778,3.11100236611664,3.16704356261869,3.14579890214853,3.21566700340637,3.27132898953601,3.25151653821395,3.3175527382915,3.23339951243344,3.20518730027393,3.22873819282953,3.10719315166625,3.19098531017884,3.26378188815558,3.27287031860283,3.5945213761021,3.43329424044374,3.22811900328149,3.30486227150463,3.29359433418521,3.37814553137011,3.18924152790307,3.0433375293353,3.06078594043904,3.20124215322853,3.06944002186838,3.02519384234186,2.96738628806274,2.94656929548524,2.94470172936371,3.02892440260353,3.06322368099762,3.00819628600177,2.99403367489855,2.95792991019242,2.97002939331048,2.97027075987483,3.01176285128783,3.05036372062862,3.0366105719064,3.03507559376028,3.11742482810836,3.27162544640054,3.21322639201983,3.10008645342277,3.09826647068213,3.17735026779259,3.16965032159182,3.27997626511897,3.3622404148288,3.23693785358631,3.15287569560841,3.18818907942238,3.41989669456775,3.38527734375287,3.33354590760951,3.26807938216341,3.22249017172509,3.34003798459373,3.40074856348838,3.49854606669316,3.41339658923527,3.43223157741703,3.48474882487253,3.52778015510307,3.56811201737745,3.48164180992327,3.42341114757411,3.5202146013713,3.63734172738738,4.36543669607149,3.81300843617681,3.38216101336154,3.13633715193825,3.01013656953535,3.14665546771323,3.33520346859129,3.38597872314744,3.41226139368818,3.54312078033604,3.72316558367332,3.92909284942727,4.04003553202043,3.96936897934545,4.1001203659978,4.14819590018715,4.22513519403368,4.1867150209558,4.07317587544215,3.86626866468065,4.02625672376261,3.83828567723471,3.84657389898138,3.80480309756521,3.78629072861803,3.82328072314054,4.03077455596889,4.25764760215845,4.1235942940513,4.10792316823506,4.31964377856125,4.28856444070521,4.28061683817116,4.22198913521144,4.16703257983659,4.29720590697006,4.49211611915916,4.41872310200048,4.44203579104962,4.43411218766258,4.36201695593963,4.26311947681313,4.28647297116786,4.32525319689449,4.26805673009458,4.30400380192572,4.26754381026211,4.11448999746596,4.15921546033425,4.12836396896511,4.01386713505894],"SET-BKK^FMA_PCT_ABOVE_MAVG(200,0,,,,\"PORTAGG\")":32.2822822822823,"EWZ^FMA_PCT_ABOVE_MAVG(200,0,,,,\"PORTAGG\")":44.0,"CNYA^PERCENT_CHANGE(FMA_EPS(+1,0,,,,\"PORTAGG\",\"MEAN\"),FMA_EPS(+1,-3AM,,,,\"PORTAGG\",\"MEAN\"))":-10.1380557773464,"SET-BKK^FMA_RBICS_REV_CURRENT(30, LOC, \"PORTAGG\")":23.9085220140597,"CNYA^FG_ROE(0)":9.79709973660075,"REFQALEND-FDS^(SUBARRAY(NOT_NA(NO_REPEAT_F(FG_YIELD(NOW,-10AY,D))),0,1)-SUBARRAY(NOT_NA(NO_REPEAT_F(FG_YIELD(NOW,-10AY,D))),1,1))*100":25.0,"REFPL7D-FDS^(SUBARRAY(NOT_NA(NO_REPEAT_F(FG_YIELD(NOW,-10AY,D))),0,1)-SUBARRAY(NOT_NA(NO_REPEAT_F(FG_YIELD(NOW,-10AY,D))),1,1))*100":-25.0,"TUR^FMA_DIV_YLD(NTMA,NOW,NOW,M,\"PORTAGG\",\"MEANR\")":4.15922734408353,"QAT^FG_COMPANY_NAME":"iShares MSCI Qatar ETF","ECH^FMA_EVAL_EBIT(LTMA,NOW,NOW,M,\"PORTAGG\",\"MEANR\")":9.55820092892855,"GREK^FG_COMPANY_NAME":"Global X MSCI Greece ETF","TIOS-FDS^MAX(FG_PRICE(0,-5AY))":219.77,"EPOL^FG_PRICE_MAVG(0,,,,60)":23.927,"EPOL^FG_TOTAL_RETURNC(0,-12AM)":43.4343,"SPY^FMA_COS_DOWN(\"EPS\",\"1M\",+1,NOW,,,\"PORTAGG\",\"MEANR\")":175.0,"EZA^FMA_COS_UP(\"EPS\",\"1M\",+1,NOW,,,\"PORTAGG\",\"MEANR\")":9.0,"QAT^FMA_RBICS_REV_CURRENT(30, LOC, \"PORTAGG\")":59.8743264359565,"TRYGR10Y-FDS^PCTCHG(FG_YIELD(0,,,,\"YTM\"),FG_YIELD(-1AM,,,,\"YTM\"))":0.47552335,"TRYUS10Y-FDS^FG_YIELD(0,,,,\"YTM\")":4.4767,"TRYMY10Y-FDS^FG_YIELD(0,,,,\"YTM\")":3.88557,"TUR^FMA_PE(NTMA,0,,,\"PORTAGG\",\"MEANR\")":5.96023561181993,"INDA^FMA_DIV_YLD(NTMA,NOW,NOW,M,\"PORTAGG\",\"MEANR\")":1.334679812118,"ECH^FMA_DIV_YLD(NTMA,-10AY,0,AM,\"PORTAGG\",\"MEANR\")":[3.00871021993531,3.05281312666123,3.1114572027147,3.09490434248691,3.08343729860961,3.178955027559,2.94187086133431,3.1949447708938,3.17254544351247,3.13459816456347,3.31340807178562,3.13246713418221,3.2107231900312,3.41122857418397,3.56754871512703,3.67679831215648,3.72609821089355,3.45296424592897,3.5821349687764,3.7810660714424,3.95331665448444,3.68909823722521,3.40572968809047,3.30856041949975,3.36994057891794,3.18262543746201,2.87298789506969,2.86194580143746,3.02081594879786,2.67038793246674,2.87254692501222,2.96908560184691,2.93717285828698,2.75529762075259,2.60625708790639,2.48937724600747,2.4174229681824,2.69328690063042,2.57451863504325,2.52313351834022,2.43717317509802,2.79885968677891,3.1377088665499,2.98499441394536,2.78940300215111,2.95956075108303,3.14293745295916,3.07032284749256,3.19419525218566,3.36932473817134,3.29461465231878,3.48098974989663,3.24168074001587,3.03924446141716,3.06825718648458,3.20261360131589,2.97197300085448,2.91124161413342,3.09761387965373,2.97606775431409,3.31343736384239,3.28660955189824,3.21158344023411,3.72025862756694,3.29464027999044,3.3357797447861,3.52494388530026,3.68385706401804,3.78320545740925,3.85088635641273,5.75264920216845,4.27731664952102,3.69684347742361,3.33391252765755,3.28858770348688,3.32403534659058,3.96318168090583,3.6636350126233,3.31853062842323,3.16853340370515,3.13830194015725,3.0850982229135,2.93508507703825,3.1625897780314,4.02622578519991,3.90174009829915,4.73836180476734,4.74739492665763,4.66854572302742,5.03887468973015,4.75308770851104,5.57328494897243,4.79709076749464,4.89654274128786,4.72699109598831,4.92751071505271,5.47510738838748,7.14558986381694,7.35966574668796,7.39787482132737,7.07618609421975,7.10944148246586,8.90844970460112,8.48541099755881,7.81866209068282,8.04921724299962,8.90707224687667,8.48861606791016,7.11468288992851,7.0147064287159,6.45454937508032,6.21090910336742,6.84977835755612,7.0026245145164,6.67300880095722,6.45004607956943,6.54658204739907,7.40802235421361,6.79525559968683,6.61786221918764,5.06399258378461],"TIOS-FDS^FG_PRICE_CHANGE(0,-1AM)":8.06362633321074,"EPHE^FG_PRICE_MAVG(0,,,,30)":25.572666,"QAT^P_PRICE(0)/P_PRICE_LOW_PR(0,,,,,,\"PRICE\",\"INTRA\",\"52W\")-1":0.08237553,"CNYA^FMA_PCT_ABOVE_MAVG(200,0,,,,\"PORTAGG\")":55.4913294797688,"EWZ^FMA_COS_DOWN(\"EPS\",\"1M\",+1,NOW,,,\"PORTAGG\",\"MEANR\")":25.0,"MCHI^FMA_RBICS_REV_CURRENT(30, LOC, \"PORTAGG\")":24.0189202058004,"REFPL7D-FDS^FG_YIELD(NOW,,,0)":5.75,"TRYUS10Y-FDS^FG_YIELD_NAME":"US Benchmark Bond - 10 Year","CC_MY^IMF_IFS_RCPI_Q(0)":1.6700923,"KSA^FG_FCF_YIELD_NTM(0)":3.95162226603961,"TUR^FG_COMPANY_NAME":"iShares MSCI Turkey ETF","VGK^FMA_COS_UP(\"EPS\",\"1M\",+1,NOW,,,\"PORTAGG\",\"MEANR\")":428.0,"KSA^JULIAN(FMA_DIV_YLD(NTMA,NOW,NOW,M,\"PORTAGG\",\"MEANR\").DATES)":45412,"EWY^P_PRICE(0)/P_PRICE_LOW_PR(0,,,,,,\"PRICE\",\"INTRA\",\"52W\")-1":0.17232513,"EPOL^P_PRICE(0)/P_PRICE_HIGH_PR(0,,,,,,\"PRICE\",\"INTRA\",\"52W\")":0.96895367,"EWY^FMA_PE(NTMA,-10AY,0,AM,\"PORTAGG\",\"MEANR\")":[9.64573992660277,9.48185390270078,9.89530217743956,10.2735922306651,10.1844330367762,9.35829628231544,9.69482197699266,9.65943616407598,9.74159098737116,9.80784906075623,10.0802935954432,10.466592872831,10.0334204323066,9.65820107345064,9.50455038815407,9.09586152711104,9.46395548122464,10.29687988448,10.2066654862903,10.1959084267102,9.80849772800434,10.2964382422732,10.7326332533818,10.5239017886631,9.83605787300693,10.0113725925478,10.0461030027116,10.1751531304363,10.1238426262687,10.0038205793395,9.72960643915009,9.77729613087838,9.75585663542046,9.53873346273208,9.6637735061245,9.17153565775338,9.48879751064839,9.5503397911673,9.63275536671953,9.14694371097478,9.22483032488304,9.44314284871144,9.40554700798439,8.98906709451017,9.33575011914151,9.0658699329994,8.88772784902589,9.0129831995362,8.84159479604876,8.56173983616349,8.29359593758969,8.22182426728776,8.41507870082954,7.6568815220234,7.78132239085026,8.31731655202974,9.13653577508288,10.4123657102407,10.7474253485809,11.217496509136,10.5895010586906,11.1067615289091,11.3019215425827,10.5623723306441,11.182999573125,11.0731021784941,11.2138060956522,11.4550985690758,11.5119081075652,11.1227209275678,7.77085523088958,10.9458299401047,11.8023068839165,12.6302873129812,12.5275411916347,12.7409048072215,12.4562193872093,12.0541120946283,12.737110358452,13.1088843669584,14.5245398157449,13.6220809347728,12.9707751779111,12.8546640688718,11.0945928471748,11.3014435813349,10.8482100792677,10.0668872403178,10.3004859406043,10.0352124520935,10.2122222191682,10.3032740526114,9.64277001864266,9.50797189460201,9.36262138575381,9.14320342257068,8.9371625635798,7.94339339857114,8.34948470255136,8.56330913236257,8.35394024723455,8.89513020731767,10.5561066175017,10.6706752560083,11.5940223725942,12.8002022481473,13.1428508835772,14.0153281199495,13.1737894426925,12.2788371876906,12.0867857461688,11.012476765117,10.8531016126986,9.89339029240772,10.2695697520647,10.2044133471889,9.58687736067483,10.4758086677995,10.7542669908101,9.98545067197312,9.92871771336959],"SET-BKK^JULIAN(FMA_DIV_YLD(NTMA,NOW,NOW,M,\"PORTAGG\",\"MEANR\").DATES)":45412,"EZA^FMA_EVAL_EBIT(LTMA,NOW,NOW,M,\"PORTAGG\",\"MEANR\")":12.1586802293763,"KSA^FG_PRICE_MAVG(0,,,,60)":43.684,"EIDO^FG_PRICE_MAVG(0,,,,200)":21.9547,"QAT^P_PRICE(0)/P_PRICE_HIGH_PR(0,,,,,,\"PRICE\",\"INTRA\",\"52W\")":0.87687534,"EWY^P_PRICE(0)/P_PRICE_HIGH_PR(0,,,,,,\"PRICE\",\"INTRA\",\"52W\")":0.93665695,"EPOL^FG_TOTAL_RETURNC(0,-1AM)":5.1143527,"URTH^FMA_COS_DOWN(\"EPS\",\"1M\",+1,NOW,,,\"PORTAGG\",\"MEANR\")":537.0,"EWY^FMA_COS_DOWN(\"EPS\",\"1M\",+1,NOW,,,\"PORTAGG\",\"MEANR\")":39.0,"INDA^FMA_RBICS_REV_CURRENT(30, LOC, \"PORTAGG\")":30.3196101720207,"TRYTR7Y-FDS^FG_YIELD_NAME":"Treasury - Turkey Benchmark Bond 7Y","TRYZA10Y-FDS^PCTCHG(FG_YIELD(0,,,,\"YTM\"),FG_YIELD(-1AM,,,,\"YTM\"))":-2.7038107,"CC_PL^IMF_IFS_RCPI_Q(0)":3.0719981,"KSA^FMA_DIV_YLD(NTMA,NOW,NOW,M,\"PORTAGG\",\"MEANR\")":3.47336456893002,"SET-BKK^FG_FCF_YIELD_NTM(0)":4.58237213837505,"INDA^FMA_PE(LTM,0,,,\"PORTAGG\",\"MEANR\")":25.9489409510359,"EWY^FMA_DIV_YLD(NTMA,NOW,NOW,M,\"PORTAGG\",\"MEANR\")":2.22722392532422,"EWM^JULIAN(FMA_DIV_YLD(NTMA,NOW,NOW,M,\"PORTAGG\",\"MEANR\").DATES)":45412,"EIDO^FMA_EVAL_EBIT(LTMA,NOW,NOW,M,\"PORTAGG\",\"MEANR\")":9.39402750787132,"SET-BKK^FG_COMPANY_NAME":"Thailand SET","SET-BKK^FMA_PE(NTMA,0,,,\"PORTAGG\",\"MEANR\")":14.1708131639666,"MCHI^FG_COMPANY_NAME":"iShares MSCI China ETF","QAT^FMA_EVAL_EBITDA(NTMA,0,,,\"PORTAGG\",\"MEANR\")":9.66622985838073,"EZA^FG_COMPANY_NAME":"iShares MSCI South Africa ETF","SPY^P_PRICE(0)/P_PRICE_HIGH_PR(0,,,,,,\"PRICE\",\"INTRA\",\"52W\")":0.9866622,"GREK^FMA_RBICS_REV_CURRENT(30, LOC, \"PORTAGG\")":43.9900799001437,"REFPHRREPO-FDS^(SUBARRAY(NOT_NA(NO_REPEAT_F(FG_YIELD(NOW,-10AY,D))),0,1)-SUBARRAY(NOT_NA(NO_REPEAT_F(FG_YIELD(NOW,-10AY,D))),1,1))*100":25.0,"TRYPE10Y-FDS^FG_YIELD(0,,,,\"YTM\")":7.088893,"KSA^FMA_PE(NTMA,0,,,\"PORTAGG\",\"MEANR\")":17.0151851720894,"EIDO^FMA_EVAL_EBITDA(NTMA,0,,,\"PORTAGG\",\"MEANR\")":5.94804818205362,"KSA^FMA_PE(LTM,0,,,\"PORTAGG\",\"MEANR\")":21.3083950662737,"EIDO^FMA_PE(NTMA,-10AY,0,AM,\"PORTAGG\",\"MEANR\")":[14.6587817905603,13.7777228099255,14.6242530941834,15.0150349891546,14.7498092627032,14.5362827977663,14.8105687859832,14.8263209506736,15.401448246752,15.9383001318367,15.9364147718644,15.8925689926228,15.6220831445496,14.5726347537961,14.4794092345881,12.6012869086806,12.8777827537861,14.7202974858912,14.3074438860116,14.1811708061319,14.0923073791891,14.5422108185639,15.2414248885266,15.2199715807827,14.3439105917086,15.0673742634231,16.2107622587371,16.6922869278196,16.6706002086881,16.4031986066312,15.0775305093517,14.1759027007794,14.9638900673577,15.2662516882573,15.525022886799,15.518425006915,15.6937396766382,15.7603322564507,15.4395008989571,15.7488974027745,15.4819276158016,15.4177008325959,15.4952668174027,15.5498976472511,16.3273332243571,15.5693392110908,14.5067380550781,14.7897816181365,13.1404310956011,12.8450285444042,12.9759807906202,13.7321643783638,13.4511082239284,12.9645680294326,13.7529920432897,14.0311885215851,14.6805079252264,14.4861721470759,14.7673606325339,14.2570524091643,13.0388451817386,14.0493057857616,14.9633590072908,14.5847550549226,14.4573164055617,14.7956659535405,14.7095057593934,15.1293060486022,15.6027915494022,14.4616915331262,8.93638202744062,10.9550754416443,12.4799929929946,15.8189040818526,16.6185576200796,16.9458888666825,15.1047220305437,15.9020617773442,17.6224718776804,18.0284585096202,18.0096114267094,17.4740797781424,16.5752068853271,16.1787894007713,15.1097984665717,15.0991734874866,14.7249865311438,15.0959819118406,14.8307479203939,15.8365998411059,15.2157340061892,14.4999396326669,14.9494892687057,15.3604976164138,14.8779779039232,14.5033659851982,13.1729434220891,12.7544624688546,12.5487222108887,12.9396552785115,13.0428293949601,12.5737530895028,12.6605220643686,12.2152752806565,12.1694821146354,12.2378423419367,11.6498665188684,12.1518242395953,12.0088211752392,13.2751615122856,13.6558353739203,13.6846621131174,13.3804438984761,12.3343161870019,12.3487444133853,12.7301198929261,12.7022610418642,13.0518388286209,13.0223135653922,12.0631370497006,11.9398710714717],"KSA^FG_PRICE_MAVG(0,,,,30)":42.923,"EIDO^FG_PRICE_MAVG(0,,,,30)":20.792,"QAT^FMA_PCT_ABOVE_MAVG(200,0,,,,\"PORTAGG\")":32.3529411764706,"EPOL^PERCENT_CHANGE(FMA_EPS(+1,0,,,,\"PORTAGG\",\"MEAN\"),FMA_EPS(+1,-3AM,,,,\"PORTAGG\",\"MEAN\"))":8.8731317004998,"VWO^FMA_COS_UP(\"EPS\",\"1M\",+1,NOW,,,\"PORTAGG\",\"MEANR\")":857.0,"EWY^FMA_COS_UP(\"EPS\",\"1M\",+1,NOW,,,\"PORTAGG\",\"MEANR\")":52.0,"TRYBR10Y-FDS^PCTCHG(FG_YIELD(0,,,,\"YTM\"),FG_YIELD(-3AM,,,,\"YTM\"))":7.6993723,"CC_PH^IMF_IFS_RCPI_Q(0)":3.2976058,"EPU^FMA_EVAL_EBIT(LTMA,NOW,NOW,M,\"PORTAGG\",\"MEANR\")":13.1326831434711,"EWZ^FMA_RBICS_REV_CURRENT(30, LOC, \"PORTAGG\")":26.4118043486124,"CC_ID^IMF_IFS_RCPI_Q(0)":null,"GREK^FMA_EVAL_EBITDA(NTMA,0,,,\"PORTAGG\",\"MEANR\")":5.32293529371499,"VWO^FMA_EVAL_EBIT(LTMA,NOW,NOW,M,\"PORTAGG\",\"MEANR\")":14.3824455064173,"MCHI^P_PRICE(0)/P_PRICE_LOW_PR(0,,,,,,\"PRICE\",\"INTRA\",\"52W\")-1":0.26616073,"EWW^P_PRICE(0)/P_PRICE_LOW_PR(0,,,,,,\"PRICE\",\"INTRA\",\"52W\")-1":0.26796913,"EPOL^PERCENT_CHANGE(FMA_EPS(+1,0,,,,\"PORTAGG\",\"MEAN\"),FMA_EPS(+1,-1AM,,,,\"PORTAGG\",\"MEAN\"))":0.827426330773371,"SPY^FG_TOTAL_RETURNC(0,-3AM)":3.8900018,"VGK^FMA_COS_DOWN(\"EPS\",\"1M\",+1,NOW,,,\"PORTAGG\",\"MEANR\")":545.0,"EWW^SIZE(FG_CONSTITUENTS)":44,"EZA^FMA_RBICS_REV_CURRENT(30, LOC, \"PORTAGG\")":41.0944102967707,"EIDO^JULIAN(FMA_DIV_YLD(NTMA,NOW,NOW,M,\"PORTAGG\",\"MEANR\").DATES)":45412,"EWW^FG_TOTAL_RETURNC(0,-6AM)":8.40857,"EWY^FMA_PE(LTMA,-10AY,0,AM,\"PORTAGG\",\"MEANR\")":[11.4323244523145,11.2208496475313,11.3289465098191,11.6131845831215,11.5442431627331,11.029526003473,11.5670136171037,11.5645662935575,11.6957367763324,12.2155653486681,12.170880465259,12.0931556098668,11.7708800929884,11.4109424551402,11.0741780612246,10.6742649793647,10.6675686964063,11.3133652304709,11.1922293831438,10.6954536425023,9.66492297566045,10.5771640957881,10.676107113791,10.6617967420646,10.4147041229677,10.4887675547915,10.5403675490393,10.6444282563212,10.7458403117181,10.786902103166,10.7923626499981,11.0863316725424,11.2383686013634,11.8069094670548,11.5599322705425,11.2327380913654,11.1425898324784,11.0097861536506,10.9351462088895,10.4586773438576,10.4392803605581,10.6252609312205,10.4566234359367,10.0124764369867,10.473958208641,10.6701120670116,10.4442730298808,10.3482796714583,10.1674172637808,9.9054376036602,9.60725447804101,9.4202715247125,9.42418020015096,8.61125557888536,8.33605225152751,8.30342091747262,8.78813288970034,10.0523664850752,10.1546876468394,10.4816629731853,10.4525091447728,10.9247223892902,11.3831078865605,11.2358547968836,12.088257489026,12.546422544918,13.4760254693376,14.5462663514545,14.9367682455083,16.3390510696514,14.2703250769624,14.7605282262787,15.0000391224242,15.3831278828921,15.4685884734312,15.9542406733176,16.0282369512633,15.9114803649392,17.3665331589087,18.8307792354149,21.5754640527891,20.9180815150622,19.9065630816584,19.2151481808363,17.7051799911627,16.8476328972201,15.714541073275,14.2654467411038,13.3324822017731,12.0985943617645,10.8788840994857,9.87580798280835,9.23784120854598,9.37017272100465,9.33239120151927,9.32511624975684,9.25637899551944,8.78083557077551,8.89693716810581,8.89800540857884,8.57015677167391,8.67329179782103,9.8129365693294,9.62622990934882,10.3639644688366,11.0269589031394,11.3437555722374,12.1133249153253,12.3837109201273,12.5018724800973,12.9914173919318,12.9163369518216,13.5488915486282,13.2284020919041,14.3375733117503,15.0703945140279,14.5685819814253,16.5581103108833,16.0321831815723,15.3025342931399,14.8113334236493],"EIDO^FG_PRICE(0)":20.4,"MCHI^PERCENT_CHANGE(FMA_EPS(+1,0,,,,\"PORTAGG\",\"MEAN\"),FMA_EPS(+1,-3AM,,,,\"PORTAGG\",\"MEAN\"))":-1.63165475188492,"SET-BKK^FG_PRICE_MAVG(0,,,,200)":1423.8057,"ECH^FG_PRICE_MAVG(0,,,,60)":27.044333,"EWW^FG_TOTAL_RETURNC(0,-1AM)":-0.015032291,"EPHE^P_PRICE(0)/P_PRICE_LOW_PR(0,,,,,,\"PRICE\",\"INTRA\",\"52W\")-1":0.09892011,"EWW^FMA_COS_DOWN(\"EPS\",\"1M\",+1,NOW,,,\"PORTAGG\",\"MEANR\")":15.0,"EWY^FMA_RBICS_REV_CURRENT(30, LOC, \"PORTAGG\")":14.7627270982914,"REFINREPO-FDS^(SUBARRAY(NOT_NA(NO_REPEAT_F(FG_YIELD(NOW,-10AY,D))),0,1)-SUBARRAY(NOT_NA(NO_REPEAT_F(FG_YIELD(NOW,-10AY,D))),1,1))*100":25.0,"TRYKR10Y-FDS^PCTCHG(FG_YIELD(0,,,,\"YTM\"),FG_YIELD(-3AM,,,,\"YTM\"))":-0.38212734,"TRYPL10Y-FDS^FG_YIELD(0,,,,\"YTM\")":5.7249,"EPU^FMA_DIV_YLD(NTMA,NOW,NOW,M,\"PORTAGG\",\"MEANR\")":3.5133608109984,"ECH^FMA_DIV_YLD(NTMA,NOW,NOW,M,\"PORTAGG\",\"MEANR\")":6.63016135632987,"EPU^FMA_PE(LTMA,-10AY,0,AM,\"PORTAGG\",\"MEANR\")":[14.8057561976328,15.3302036311845,15.949222758157,15.7644635524909,15.3467446786466,14.1376128907158,14.3870550020409,14.0432347117328,14.843877357398,16.144254897918,16.0865451427696,15.6261029278753,15.4750499070435,16.291063402959,15.4194758189276,14.6030641518675,14.246819384938,12.1271254433115,11.2377050766872,10.5599248468148,14.2468109395904,18.0656854782946,22.2708057774667,21.6611125578794,20.8986964131559,20.0662481386587,19.8453369556178,18.9324910057719,17.7811039549299,16.5115308077955,15.6914038837297,15.0663083351263,15.8935818454787,16.8290505938694,16.1344941465551,15.4306416231914,15.1635547883237,14.7785311569516,14.927529707179,14.7633482527741,16.3558307758121,16.3828804514348,16.9958529775501,16.9225192862066,17.4876774869071,18.6503510471791,19.3878633267094,18.9969453976601,18.3154951635964,17.9370211979372,17.4696357678502,17.1059171370566,16.5598629025339,15.9691675040197,16.3588326016207,16.91254835492,17.7853091258477,20.8056621889577,19.9778040307452,19.2962438420927,18.1084583770675,17.854597930026,18.3490577596935,17.7209862854316,17.3317230068511,16.9970156829182,16.8590038422443,17.4806807087991,16.8818908872205,18.2381779306905,15.5657211968536,16.0637145829021,17.781623157181,20.9496878602144,23.106567321472,30.6142757578699,35.3010590501348,38.6820081988467,47.7163549558967,53.7111554904867,48.3363154857427,61.0234875356532,63.6129583320463,57.3804564325373,52.3561021516947,45.2223195483107,39.3936906596388,33.902373324773,28.2472624836489,24.0775341076055,17.7194385400469,12.7299138425837,12.6224004632053,12.2362093800878,13.5254906091936,12.6332871235667,11.7980823448377,10.8872121263759,10.1910332979929,9.9091818062261,9.12401986535923,9.32533508841657,10.0341262029141,9.1820314728698,10.466305353856,9.57541022492786,9.40907165199741,9.58438202172198,9.55113560476065,10.0006325131294,10.632727319257,11.0294539751778,10.8704790124252,10.641806815889,11.9531687840703,14.6924677282089,14.6936798253275,15.2835455549455,15.2536043817019,15.0608541026415,15.5722056393121],"CNYA^FG_PRICE(0)":26.65,"MCHI^FMA_PCT_ABOVE_MAVG(200,0,,,,\"PORTAGG\")":59.8784194528875,"EWW^PERCENT_CHANGE(FMA_EPS(+1,0,,,,\"PORTAGG\",\"MEAN\"),FMA_EPS(+1,-3AM,,,,\"PORTAGG\",\"MEAN\"))":1.63834597521325,"EPHE^P_PRICE(0)/P_PRICE_HIGH_PR(0,,,,,,\"PRICE\",\"INTRA\",\"52W\")":0.9063057,"KSA^SIZE(FG_CONSTITUENTS)":122,"EWW^FMA_COS_UP(\"EPS\",\"1M\",+1,NOW,,,\"PORTAGG\",\"MEANR\")":21.0,"EWW^FMA_RBICS_REV_CURRENT(30, LOC, \"PORTAGG\")":28.2940362049637,"REFEUREFI-FDS^FG_YIELD(NOW,,,0)":4.5,"REFIDRREPO-FDS^(SUBARRAY(NOT_NA(NO_REPEAT_F(FG_YIELD(NOW,-10AY,D))),0,1)-SUBARRAY(NOT_NA(NO_REPEAT_F(FG_YIELD(NOW,-10AY,D))),1,1))*100":25.0,"TRYPH10Y-FDS^FG_YIELD(0,,,,\"YTM\")":6.6642675,"CC_CL^IMF_IFS_RCPI_Q(0)":4.041295,"EWW^FMA_EVAL_EBITDA(NTMA,0,,,\"PORTAGG\",\"MEANR\")":6.23996224922627,"EWW^FMA_DIV_YLD(NTMA,NOW,NOW,M,\"PORTAGG\",\"MEANR\")":4.17985143666063,"SET-BKK^FG_PRICE_MAVG(0,,,,30)":1371.147,"KSA^FG_TOTAL_RETURNC(0,-3AM)":-7.987499,"VWO^P_PRICE(0)/P_PRICE_LOW_PR(0,,,,,,\"PRICE\",\"INTRA\",\"52W\")-1":0.17634487,"KSA^FMA_COS_DOWN(\"EPS\",\"1M\",+1,NOW,,,\"PORTAGG\",\"MEANR\")":38.0,"EWM^FMA_RBICS_REV_CURRENT(30, LOC, \"PORTAGG\")":39.8542432570128,"REFIDRREPO-FDS^FG_YIELD(NOW,,,0)":6.25,"TIPSCL10Y-FDS^FG_YIELD(0,,,,\"YTM\")":2.5896885,"VNM^FMA_EVAL_EBITDA(NTMA,0,,,\"PORTAGG\",\"MEANR\")":9.89063833156899,"ECH^FG_FCF_YIELD_NTM(0)":8.96654675043497,"EWW^FG_FCF_YIELD_NTM(0)":7.94409606222481,"WL-FDS^MAX(FG_PRICE(0,-5AY))":763.4,"INDA^P_PRICE(0)/P_PRICE_LOW_PR(0,,,,,,\"PRICE\",\"INTRA\",\"52W\")-1":0.30749607,"EWW^PERCENT_CHANGE(FMA_EPS(+1,0,,,,\"PORTAGG\",\"MEAN\"),FMA_EPS(+1,-1AM,,,,\"PORTAGG\",\"MEAN\"))":2.33846876972599,"EPHE^FG_TOTAL_RETURNC(0,-3AM)":-8.620686,"VWO^FG_TOTAL_RETURNC(0,-6AM)":11.31605,"EWT^SIZE(FG_CONSTITUENTS)":91,"EIDO^FMA_RBICS_REV_CURRENT(30, LOC, \"PORTAGG\")":53.5759954914931,"REFZAREPO-FDS^FG_YIELD(NOW,,,0)":8.25,"REFCLMPR-FDS^PROPER_NAME(0,,,\"SECURITY\",\"NAME\")":"Chile Monetary Policy Rate","TRYMX10Y-FDS^PCTCHG(FG_YIELD(0,,,,\"YTM\"),FG_YIELD(-3AM,,,,\"YTM\"))":5.9973054,"TRYQA10Y-FDS^FG_YIELD(0,,,,\"YTM\")":null,"VNM^FMA_PE(LTM,0,,,\"PORTAGG\",\"MEANR\")":17.6387785225212,"QAT^FMA_EVAL_EBIT(LTMA,NOW,NOW,M,\"PORTAGG\",\"MEANR\")":15.4986568117973,"GREK^FG_FCF_YIELD_NTM(0)":null,"WL-FDS^FG_PRICE_CHANGE(0,-6AM)":-27.1561614252936,"QAT^FG_PRICE_MAVG(0,,,,200)":17.505398,"KSA^PERCENT_CHANGE(FMA_EPS(+1,0,,,,\"PORTAGG\",\"MEAN\"),FMA_EPS(+1,-3AM,,,,\"PORTAGG\",\"MEAN\"))":2.46990619269827,"EWW^FMA_PCT_ABOVE_MAVG(200,0,,,,\"PORTAGG\")":68.1818181818182,"EPHE^FMA_PCT_ABOVE_MAVG(200,0,,,,\"PORTAGG\")":42.8571428571429,"KSA^FMA_COS_UP(\"EPS\",\"1M\",+1,NOW,,,\"PORTAGG\",\"MEANR\")":30.0,"TIPSCL10Y-FDS^FG_YIELD_NAME":"Treasury - Chile Inflation-Indexed (TIPS) Bond 10Y","GREK^FMA_DIV_YLD(NTMA,NOW,NOW,M,\"PORTAGG\",\"MEANR\")":5.33233474351436,"INDA^P_PRICE(0)/P_PRICE_HIGH_PR(0,,,,,,\"PRICE\",\"INTRA\",\"52W\")":0.99519145,"VWO^FG_TOTAL_RETURNC(0,-3AM)":6.062472,"VNM^SIZE(FG_CONSTITUENTS)":47,"EPU^FMA_COS_DOWN(\"EPS\",\"1M\",+1,NOW,,,\"PORTAGG\",\"MEANR\")":5.0,"TRYMX10Y-FDS^PCTCHG(FG_YIELD(0,,,,\"YTM\"),FG_YIELD(-1AM,,,,\"YTM\"))":-1.4783264,"KSA^FMA_PCT_ABOVE_MAVG(200,0,,,,\"PORTAGG\")":54.1666666666667,"EWT^P_PRICE(0)/P_PRICE_LOW_PR(0,,,,,,\"PRICE\",\"INTRA\",\"52W\")-1":0.21163201,"VGK^P_PRICE(0)/P_PRICE_LOW_PR(0,,,,,,\"PRICE\",\"INTRA\",\"52W\")-1":0.25644743,"TRYSA10Y-FDS^PCTCHG(FG_YIELD(0,,,,\"YTM\"),FG_YIELD(-3AM,,,,\"YTM\"))":0.7337621,"TRYTW10Y-FDS^PCTCHG(FG_YIELD(0,,,,\"YTM\"),FG_YIELD(-3AM,,,,\"YTM\"))":30.879353,"EPU^FMA_PE(LTM,0,,,\"PORTAGG\",\"MEANR\")":21.2100352867968,"ECH^FMA_PE(NTMA,0,,,\"PORTAGG\",\"MEANR\")":7.91739437820043,"REFBRSELIC-FDS^PROPER_NAME(0,,,\"SECURITY\",\"NAME\")":"Brazil Target Selic Rate","TRYPE10Y-FDS^PCTCHG(FG_YIELD(0,,,,\"YTM\"),FG_YIELD(-1AM,,,,\"YTM\"))":-2.543086,"VWO^FMA_EVAL_EBITDA(NTMA,0,,,\"PORTAGG\",\"MEANR\")":8.90865552620499,"QAT^FMA_DIV_YLD(NTMA,NOW,NOW,M,\"PORTAGG\",\"MEANR\")":5.74508072590075,"NI-FDS^FG_PRICE(0)/MAX(FG_PRICE(0,-1AY))":0.855661192739844,"MCHI^FG_PRICE(0)":45.05,"VNM^FG_TOTAL_RETURNC(0,-12AM)":9.712374,"VNM^FMA_COS_DOWN(\"EPS\",\"1M\",+1,NOW,,,\"PORTAGG\",\"MEANR\")":13.0,"UAE^FMA_EVAL_EBITDA(NTMA,0,,,\"PORTAGG\",\"MEANR\")":6.01507665824573,"EZA^FMA_EVAL_EBITDA(NTMA,0,,,\"PORTAGG\",\"MEANR\")":7.96921472378164,"EWW^FMA_PE(NTMA,0,,,\"PORTAGG\",\"MEANR\")":12.5510819051596,"EPOL^FG_FCF_YIELD_NTM(0)":1.51194368848166,"EWZ^FG_COMPANY_NAME":"iShares MSCI Brazil ETF","NI-FDS^FG_PRICE_CHANGE(0,-6AM)":20.5112598904443,"VNM^P_PRICE(0)/P_PRICE_LOW_PR(0,,,,,,\"PRICE\",\"INTRA\",\"52W\")-1":0.11555171,"INDA^FMA_PCT_ABOVE_MAVG(200,0,,,,\"PORTAGG\")":79.4117647058823,"EWT^P_PRICE(0)/P_PRICE_HIGH_PR(0,,,,,,\"PRICE\",\"INTRA\",\"52W\")":0.9853282,"VGK^P_PRICE(0)/P_PRICE_HIGH_PR(0,,,,,,\"PRICE\",\"INTRA\",\"52W\")":0.9839284,"VWO^FG_FCF_YIELD_NTM(0)":5.35828969132921,"ECH^FMA_PE(LTM,0,,,\"PORTAGG\",\"MEANR\")":12.041949241842,"GREK^FMA_EVAL_EBIT(LTMA,NOW,NOW,M,\"PORTAGG\",\"MEANR\")":7.43503361565321,"EPU^FMA_EVAL_EBITDA(NTMA,0,,,\"PORTAGG\",\"MEANR\")":7.19320666464351,"VNM^FMA_EVAL_EBIT(LTMA,NOW,NOW,M,\"PORTAGG\",\"MEANR\")":18.4348079438217,"VNM^JULIAN(FMA_DIV_YLD(NTMA,NOW,NOW,M,\"PORTAGG\",\"MEANR\").DATES)":45412,"DUMMY^ECON_DATE(45315,,, 'MM/YYYY')":"01/2024","DUMMY^ECON_DATE(45406,,, 'MM/YYYY')":"04/2024","CC_SA^IMF_IFS_RCPI_Q(-1AM)":null,"CC_TR^IMF_IFS_RCPI_Q(-1AM)":null,"CC_AE^IMF_IFS_RCPI_Q(-1AM)":null,"CC_QA^IMF_IFS_RCPI_Q(-1AM)":null,"CC_TW^IMF_IFS_RCPI_Q(-1AM)":null,"CC_MX^IMF_IFS_RCPI_Q(-1AM)":null,"CC_ZA^IMF_IFS_RCPI_Q(-1AM)":null,"CC_ID^IMF_IFS_RCPI_Q(-1AM)":null,"DUMMY^ECON_EXPR_DATA('FDS_ECON[NTCPMIMFGSA@CN]',04/2024,,Q)":50.938282,"DUMMY^ECON_EXPR_DATA('FDS_ECON[NTCPMIMFGSA@CN]',01/2024,,Q)":50.34384,"DUMMY^ECON_EXPR_DATA('FDS_ECON[NTCPMIMFGSA@CL]',04/2024,,Q)":null,"DUMMY^ECON_EXPR_DATA('FDS_ECON[NTCPMIMFGSA@CL]',01/2024,,Q)":null,"DUMMY^ECON_EXPR_DATA('FDS_ECON[NTCPMIMFGSA@ID]',04/2024,,Q)":53.247562,"DUMMY^ECON_EXPR_DATA('FDS_ECON[NTCPMIMFGSA@ID]',01/2024,,Q)":51.828487,"DUMMY^ECON_EXPR_DATA('FDS_ECON[NTCPMIPHMANHE]',04/2024,,Q)":50.931423,"DUMMY^ECON_EXPR_DATA('FDS_ECON[NTCPMIPHMANHE]',01/2024,,Q)":52.222515,"DUMMY^ECON_EXPR_DATA('FDS_ECON[NTCPMIMFGSA@PL]',04/2024,,Q)":47.64948,"DUMMY^ECON_EXPR_DATA('FDS_ECON[NTCPMIMFGSA@PL]',01/2024,,Q)":46.884846,"DUMMY^ECON_EXPR_DATA('FDS_ECON[NTCPMIMFGSA@PE]',04/2024,,Q)":null,"DUMMY^ECON_EXPR_DATA('FDS_ECON[NTCPMIMFGSA@PE]',01/2024,,Q)":null,"DUMMY^ECON_EXPR_DATA('FDS_ECON[PMIMYMANHE]',04/2024,,Q)":48.94971,"DUMMY^ECON_EXPR_DATA('FDS_ECON[PMIMYMANHE]',01/2024,,Q)":47.499214,"DUMMY^ECON_EXPR_DATA('FDS_ECON[NTCPMIMFGSA@TW]',04/2024,,Q)":48.895138,"DUMMY^ECON_EXPR_DATA('FDS_ECON[NTCPMIMFGSA@TW]',01/2024,,Q)":47.63588,"DUMMY^ECON_EXPR_DATA('FDS_ECON[NTCPMIMFGSA@MX]',04/2024,,Q)":51.565502,"DUMMY^ECON_EXPR_DATA('FDS_ECON[NTCPMIMFGSA@MX]',01/2024,,Q)":52.180695,"DUMMY^ECON_EXPR_DATA('FDS_ECON[NTCPMIMFGSA@KR]',04/2024,,Q)":50.57622,"DUMMY^ECON_EXPR_DATA('FDS_ECON[NTCPMIMFGSA@KR]',01/2024,,Q)":49.900604,"DUMMY^ECON_EXPR_DATA('FDS_ECON[NTCPMIMFGSA@BR]',04/2024,,Q)":53.509575,"DUMMY^ECON_EXPR_DATA('FDS_ECON[NTCPMIMFGSA@BR]',01/2024,,Q)":48.798813,"DUMMY^ECON_EXPR_DATA('FDS_ECON[PMIMFGSA@ZA]',04/2024,,Q)":49.458923,"DUMMY^ECON_EXPR_DATA('FDS_ECON[PMIMFGSA@ZA]',01/2024,,Q)":49.293606,"DUMMY^ECON_EXPR_DATA('FDS_ECON[NTCPMIMFGSA@GR]',04/2024,,Q)":55.77546,"DUMMY^ECON_EXPR_DATA('FDS_ECON[NTCPMIMFGSA@GR]',01/2024,,Q)":50.99575,"DUMMY^ECON_EXPR_DATA('FDS_ECON[NTCPMIMFGSA@IN]',04/2024,,Q)":57.516636,"DUMMY^ECON_EXPR_DATA('FDS_ECON[NTCPMIMFGSA@IN]',01/2024,,Q)":55.461708,"DUMMY^ECON_EXPR_DATA('FDS_ECON[PMIQAWHEHE]',04/2024,,Q)":50.683044,"DUMMY^ECON_EXPR_DATA('FDS_ECON[PMIQAWHEHE]',01/2024,,Q)":50.688427,"DUMMY^ECON_EXPR_DATA('FDS_ECON[NTCPMITHMANHE]',04/2024,,Q)":47.04389,"DUMMY^ECON_EXPR_DATA('FDS_ECON[NTCPMITHMANHE]',01/2024,,Q)":46.69516,"DUMMY^ECON_EXPR_DATA('FDS_ECON[NTCPMIMFGSA@TR]',04/2024,,Q)":49.822453,"DUMMY^ECON_EXPR_DATA('FDS_ECON[NTCPMIMFGSA@TR]',01/2024,,Q)":47.664864,"DUMMY^ECON_EXPR_DATA('FDS_ECON[NTCPMIMFGSA@AE]',04/2024,,Q)":null,"DUMMY^ECON_EXPR_DATA('FDS_ECON[NTCPMIMFGSA@AE]',01/2024,,Q)":null,"DUMMY^ECON_EXPR_DATA('FDS_ECON[NTCPMIMFGSA@VN]',04/2024,,Q)":50.18627,"DUMMY^ECON_EXPR_DATA('FDS_ECON[NTCPMIMFGSA@VN]',01/2024,,Q)":48.59743,"DUMMY^ECON_EXPR_DATA('FDS_ECON[NTCPMIINDEXSA@SA]',04/2024,,Q)":56.53707,"DUMMY^ECON_EXPR_DATA('FDS_ECON[NTCPMIINDEXSA@SA]',01/2024,,Q)":57.793106,"DUMMY^ECON_EXPR_DATA('FDS_ECON[PMIDMMANHE]',04/2024,,Q)":49.13533,"DUMMY^ECON_EXPR_DATA('FDS_ECON[PMIDMMANHE]',01/2024,,Q)":47.377975,"DUMMY^ECON_EXPR_DATA('FDS_ECON[NTCPMIMFGSA@EME]',04/2024,,Q)":51.51058,"DUMMY^ECON_EXPR_DATA('FDS_ECON[NTCPMIMFGSA@EME]',01/2024,,Q)":50.624123,"CC_ID^IMF_IFS_RCPI_Q(-2AM)":2.681245,"CC_ZA^IMF_IFS_RCPI_Q(-2AM)":5.633361,"CC_TW^IMF_IFS_RCPI_Q(-2AM)":null,"CC_MX^IMF_IFS_RCPI_Q(-2AM)":4.4145546,"CC_QA^IMF_IFS_RCPI_Q(-2AM)":null,"CC_TR^IMF_IFS_RCPI_Q(-2AM)":62.72422,"CC_AE^IMF_IFS_RCPI_Q(-2AM)":null,"CC_SA^IMF_IFS_RCPI_Q(-2AM)":1.5943921,"CC_AE^IMF_IFS_RCPI_Q(-3AM)":null,"CC_QA^IMF_IFS_RCPI_Q(-3AM)":null,"CC_TW^IMF_IFS_RCPI_Q(-3AM)":null}]]></FdsFormulaCache>
</file>

<file path=customXml/itemProps1.xml><?xml version="1.0" encoding="utf-8"?>
<ds:datastoreItem xmlns:ds="http://schemas.openxmlformats.org/officeDocument/2006/customXml" ds:itemID="{C3E84FFD-FD6B-465D-BD3C-D7CED83D6E29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Charts</vt:lpstr>
      </vt:variant>
      <vt:variant>
        <vt:i4>1</vt:i4>
      </vt:variant>
    </vt:vector>
  </HeadingPairs>
  <TitlesOfParts>
    <vt:vector size="27" baseType="lpstr">
      <vt:lpstr>Assumption</vt:lpstr>
      <vt:lpstr>Technical Strength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2024-05-24T09:28:56Z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