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A736B3B3-480C-442A-882F-62F8A1E1B201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 a="1"/>
  <c r="O15" i="1" l="1"/>
  <c r="O14" i="1" a="1"/>
  <c r="O14" i="1" l="1"/>
  <c r="O13" i="1" a="1"/>
  <c r="O13" i="1" l="1"/>
  <c r="O12" i="1" a="1"/>
  <c r="O12" i="1" l="1"/>
  <c r="O11" i="1" a="1"/>
  <c r="O11" i="1" l="1"/>
  <c r="O10" i="1" a="1"/>
  <c r="O10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O3" i="1" l="1"/>
  <c r="D23" i="1" a="1"/>
  <c r="D13" i="57" a="1"/>
  <c r="G10" i="57" a="1"/>
  <c r="G8" i="57" a="1"/>
  <c r="G7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G17" i="57" a="1"/>
  <c r="D14" i="57" a="1"/>
  <c r="G14" i="57" a="1"/>
  <c r="G13" i="57" a="1"/>
  <c r="D12" i="57" a="1"/>
  <c r="G12" i="57" a="1"/>
  <c r="D11" i="57" a="1"/>
  <c r="G11" i="57" a="1"/>
  <c r="G9" i="57" a="1"/>
  <c r="D7" i="57" a="1"/>
  <c r="D6" i="57" a="1"/>
  <c r="D17" i="57" a="1"/>
  <c r="D10" i="57" a="1"/>
  <c r="D9" i="57" a="1"/>
  <c r="D8" i="57" a="1"/>
  <c r="D23" i="1" l="1"/>
  <c r="D8" i="57"/>
  <c r="D9" i="57"/>
  <c r="D10" i="57"/>
  <c r="D17" i="57"/>
  <c r="D6" i="57"/>
  <c r="D7" i="57"/>
  <c r="G9" i="57"/>
  <c r="G11" i="57"/>
  <c r="D11" i="57"/>
  <c r="G12" i="57"/>
  <c r="D12" i="57"/>
  <c r="G13" i="57"/>
  <c r="G14" i="57"/>
  <c r="D14" i="57"/>
  <c r="G17" i="57"/>
  <c r="E17" i="57"/>
  <c r="B17" i="57"/>
  <c r="G2" i="57"/>
  <c r="D2" i="57"/>
  <c r="G3" i="57"/>
  <c r="D3" i="57"/>
  <c r="G4" i="57"/>
  <c r="D4" i="57"/>
  <c r="G5" i="57"/>
  <c r="D5" i="57"/>
  <c r="G6" i="57"/>
  <c r="G7" i="57"/>
  <c r="G8" i="57"/>
  <c r="G10" i="57"/>
  <c r="D13" i="57"/>
  <c r="M16" i="48" a="1"/>
  <c r="M13" i="48" a="1"/>
  <c r="M12" i="48" a="1"/>
  <c r="M9" i="48" a="1"/>
  <c r="M8" i="48" a="1"/>
  <c r="M5" i="48" a="1"/>
  <c r="M14" i="48" a="1"/>
  <c r="M11" i="48" a="1"/>
  <c r="M10" i="48" a="1"/>
  <c r="M6" i="48" a="1"/>
  <c r="M4" i="48" a="1"/>
  <c r="M7" i="48" a="1"/>
  <c r="M7" i="48" l="1"/>
  <c r="M4" i="48"/>
  <c r="M6" i="48"/>
  <c r="M10" i="48"/>
  <c r="M11" i="48"/>
  <c r="M14" i="48"/>
  <c r="M5" i="48"/>
  <c r="M8" i="48"/>
  <c r="M9" i="48"/>
  <c r="M12" i="48"/>
  <c r="M13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H11" i="39" a="1"/>
  <c r="F8" i="39" a="1"/>
  <c r="C5" i="39" a="1"/>
  <c r="M11" i="28" a="1"/>
  <c r="L6" i="28" a="1"/>
  <c r="G13" i="28" a="1"/>
  <c r="G5" i="28" a="1"/>
  <c r="D11" i="28" a="1"/>
  <c r="D3" i="28" a="1"/>
  <c r="J20" i="1" a="1"/>
  <c r="H15" i="1" a="1"/>
  <c r="F13" i="1" a="1"/>
  <c r="K10" i="1" a="1"/>
  <c r="I8" i="1" a="1"/>
  <c r="G6" i="1" a="1"/>
  <c r="L3" i="1" a="1"/>
  <c r="C7" i="1" a="1"/>
  <c r="D5" i="49" a="1"/>
  <c r="C17" i="40" a="1"/>
  <c r="H11" i="60" a="1"/>
  <c r="H7" i="60" a="1"/>
  <c r="H3" i="60" a="1"/>
  <c r="G4" i="43" a="1"/>
  <c r="F15" i="42" a="1"/>
  <c r="F11" i="42" a="1"/>
  <c r="F3" i="42" a="1"/>
  <c r="N2" i="5" a="1"/>
  <c r="J2" i="47" a="1"/>
  <c r="J11" i="52" a="1"/>
  <c r="J9" i="52" a="1"/>
  <c r="J5" i="52" a="1"/>
  <c r="V15" i="56" a="1"/>
  <c r="V11" i="56" a="1"/>
  <c r="J16" i="56" a="1"/>
  <c r="J8" i="56" a="1"/>
  <c r="Q23" i="12" a="1"/>
  <c r="N18" i="12" a="1"/>
  <c r="J20" i="48" a="1"/>
  <c r="M2" i="38" a="1"/>
  <c r="AK4" i="9" a="1"/>
  <c r="U4" i="9" a="1"/>
  <c r="E4" i="9" a="1"/>
  <c r="G12" i="43" a="1"/>
  <c r="F13" i="42" a="1"/>
  <c r="F9" i="42" a="1"/>
  <c r="F7" i="42" a="1"/>
  <c r="F5" i="42" a="1"/>
  <c r="B2" i="18" a="1"/>
  <c r="L2" i="7" a="1"/>
  <c r="H2" i="46" a="1"/>
  <c r="J7" i="52" a="1"/>
  <c r="J3" i="52" a="1"/>
  <c r="V7" i="56" a="1"/>
  <c r="J12" i="56" a="1"/>
  <c r="C26" i="56" a="1"/>
  <c r="B5" i="56" a="1"/>
  <c r="S21" i="12" a="1"/>
  <c r="L20" i="12" a="1"/>
  <c r="P14" i="12" a="1"/>
  <c r="J9" i="48" a="1"/>
  <c r="D2" i="38" a="1"/>
  <c r="AB4" i="9" a="1"/>
  <c r="L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J19" i="48" a="1"/>
  <c r="AE4" i="9" a="1"/>
  <c r="G5" i="43" a="1"/>
  <c r="D15" i="42" a="1"/>
  <c r="G10" i="42" a="1"/>
  <c r="I5" i="42" a="1"/>
  <c r="E3" i="42" a="1"/>
  <c r="H2" i="5" a="1"/>
  <c r="L2" i="46" a="1"/>
  <c r="E7" i="52" a="1"/>
  <c r="S17" i="56" a="1"/>
  <c r="U12" i="56" a="1"/>
  <c r="B12" i="56" a="1"/>
  <c r="C6" i="13" a="1"/>
  <c r="M22" i="12" a="1"/>
  <c r="L12" i="12" a="1"/>
  <c r="M6" i="12" a="1"/>
  <c r="E22" i="12" a="1"/>
  <c r="I2" i="38" a="1"/>
  <c r="K4" i="9" a="1"/>
  <c r="G14" i="43" a="1"/>
  <c r="I12" i="42" a="1"/>
  <c r="C8" i="42" a="1"/>
  <c r="L2" i="15" a="1"/>
  <c r="B2" i="7" a="1"/>
  <c r="G9" i="52" a="1"/>
  <c r="J4" i="52" a="1"/>
  <c r="U7" i="56" a="1"/>
  <c r="G16" i="56" a="1"/>
  <c r="I11" i="56" a="1"/>
  <c r="G7" i="56" a="1"/>
  <c r="K20" i="12" a="1"/>
  <c r="K18" i="12" a="1"/>
  <c r="K14" i="12" a="1"/>
  <c r="L10" i="12" a="1"/>
  <c r="L8" i="12" a="1"/>
  <c r="M4" i="12" a="1"/>
  <c r="G13" i="12" a="1"/>
  <c r="B13" i="12" a="1"/>
  <c r="H3" i="39" a="1"/>
  <c r="C11" i="39" a="1"/>
  <c r="L7" i="28" a="1"/>
  <c r="H4" i="28" a="1"/>
  <c r="H14" i="1" a="1"/>
  <c r="K6" i="1" a="1"/>
  <c r="C8" i="1" a="1"/>
  <c r="C14" i="40" a="1"/>
  <c r="F6" i="60" a="1"/>
  <c r="J16" i="48" a="1"/>
  <c r="AD4" i="9" a="1"/>
  <c r="C15" i="42" a="1"/>
  <c r="F10" i="42" a="1"/>
  <c r="H5" i="42" a="1"/>
  <c r="D3" i="42" a="1"/>
  <c r="G2" i="5" a="1"/>
  <c r="K2" i="46" a="1"/>
  <c r="I11" i="52" a="1"/>
  <c r="D7" i="52" a="1"/>
  <c r="V16" i="56" a="1"/>
  <c r="T12" i="56" a="1"/>
  <c r="B11" i="56" a="1"/>
  <c r="C5" i="13" a="1"/>
  <c r="L22" i="12" a="1"/>
  <c r="K12" i="12" a="1"/>
  <c r="K10" i="12" a="1"/>
  <c r="L6" i="12" a="1"/>
  <c r="F21" i="12" a="1"/>
  <c r="G7" i="12" a="1"/>
  <c r="AM4" i="9" a="1"/>
  <c r="S4" i="9" a="1"/>
  <c r="C4" i="43" a="1"/>
  <c r="C9" i="42" a="1"/>
  <c r="F4" i="42" a="1"/>
  <c r="B2" i="15" a="1"/>
  <c r="J2" i="7" a="1"/>
  <c r="A2" i="46" a="1"/>
  <c r="E8" i="52" a="1"/>
  <c r="I5" i="52" a="1"/>
  <c r="T14" i="56" a="1"/>
  <c r="V9" i="56" a="1"/>
  <c r="C24" i="56" a="1"/>
  <c r="C13" i="13" a="1"/>
  <c r="K23" i="12" a="1"/>
  <c r="K21" i="12" a="1"/>
  <c r="S10" i="12" a="1"/>
  <c r="K7" i="12" a="1"/>
  <c r="L3" i="12" a="1"/>
  <c r="F18" i="12" a="1"/>
  <c r="G4" i="12" a="1"/>
  <c r="H10" i="39" a="1"/>
  <c r="M15" i="28" a="1"/>
  <c r="K4" i="28" a="1"/>
  <c r="D5" i="28" a="1"/>
  <c r="I15" i="1" a="1"/>
  <c r="H10" i="1" a="1"/>
  <c r="H5" i="1" a="1"/>
  <c r="D12" i="49" a="1"/>
  <c r="C12" i="55" a="1"/>
  <c r="F8" i="60" a="1"/>
  <c r="J6" i="48" a="1"/>
  <c r="H8" i="43" a="1"/>
  <c r="I13" i="42" a="1"/>
  <c r="E11" i="42" a="1"/>
  <c r="H6" i="42" a="1"/>
  <c r="F2" i="18" a="1"/>
  <c r="E2" i="47" a="1"/>
  <c r="G10" i="52" a="1"/>
  <c r="F3" i="52" a="1"/>
  <c r="U9" i="56" a="1"/>
  <c r="S5" i="56" a="1"/>
  <c r="I13" i="56" a="1"/>
  <c r="S20" i="12" a="1"/>
  <c r="S18" i="12" a="1"/>
  <c r="S14" i="12" a="1"/>
  <c r="R12" i="12" a="1"/>
  <c r="S8" i="12" a="1"/>
  <c r="K5" i="12" a="1"/>
  <c r="F10" i="12" a="1"/>
  <c r="B3" i="12" a="1"/>
  <c r="F5" i="39" a="1"/>
  <c r="M9" i="28" a="1"/>
  <c r="H8" i="28" a="1"/>
  <c r="E13" i="28" a="1"/>
  <c r="L20" i="1" a="1"/>
  <c r="K12" i="1" a="1"/>
  <c r="K7" i="1" a="1"/>
  <c r="C15" i="1" a="1"/>
  <c r="D11" i="49" a="1"/>
  <c r="G12" i="60" a="1"/>
  <c r="E15" i="42" a="1"/>
  <c r="J6" i="42" a="1"/>
  <c r="C4" i="42" a="1"/>
  <c r="F2" i="5" a="1"/>
  <c r="L2" i="47" a="1"/>
  <c r="H7" i="52" a="1"/>
  <c r="C5" i="52" a="1"/>
  <c r="I7" i="56" a="1"/>
  <c r="M21" i="12" a="1"/>
  <c r="R18" i="12" a="1"/>
  <c r="N14" i="12" a="1"/>
  <c r="Q9" i="12" a="1"/>
  <c r="N7" i="12" a="1"/>
  <c r="L5" i="12" a="1"/>
  <c r="B9" i="12" a="1"/>
  <c r="H15" i="28" a="1"/>
  <c r="G6" i="28" a="1"/>
  <c r="D10" i="28" a="1"/>
  <c r="J13" i="1" a="1"/>
  <c r="L10" i="1" a="1"/>
  <c r="F8" i="1" a="1"/>
  <c r="G5" i="1" a="1"/>
  <c r="G10" i="60" a="1"/>
  <c r="G6" i="43" a="1"/>
  <c r="J14" i="42" a="1"/>
  <c r="D12" i="42" a="1"/>
  <c r="M2" i="15" a="1"/>
  <c r="I2" i="47" a="1"/>
  <c r="B2" i="46" a="1"/>
  <c r="E10" i="52" a="1"/>
  <c r="G4" i="52" a="1"/>
  <c r="T10" i="56" a="1"/>
  <c r="J17" i="56" a="1"/>
  <c r="H12" i="56" a="1"/>
  <c r="J6" i="56" a="1"/>
  <c r="B8" i="56" a="1"/>
  <c r="N23" i="12" a="1"/>
  <c r="G22" i="12" a="1"/>
  <c r="G6" i="12" a="1"/>
  <c r="B7" i="12" a="1"/>
  <c r="H13" i="39" a="1"/>
  <c r="F6" i="39" a="1"/>
  <c r="K15" i="28" a="1"/>
  <c r="M8" i="28" a="1"/>
  <c r="D9" i="28" a="1"/>
  <c r="C11" i="1" a="1"/>
  <c r="D6" i="49" a="1"/>
  <c r="J15" i="48" a="1"/>
  <c r="E2" i="38" a="1"/>
  <c r="W4" i="9" a="1"/>
  <c r="H6" i="43" a="1"/>
  <c r="F12" i="42" a="1"/>
  <c r="H9" i="42" a="1"/>
  <c r="N2" i="15" a="1"/>
  <c r="C2" i="46" a="1"/>
  <c r="F10" i="52" a="1"/>
  <c r="H4" i="52" a="1"/>
  <c r="U10" i="56" a="1"/>
  <c r="T5" i="56" a="1"/>
  <c r="I12" i="56" a="1"/>
  <c r="B9" i="56" a="1"/>
  <c r="O23" i="12" a="1"/>
  <c r="S11" i="12" a="1"/>
  <c r="E23" i="12" a="1"/>
  <c r="E14" i="12" a="1"/>
  <c r="E7" i="12" a="1"/>
  <c r="B8" i="12" a="1"/>
  <c r="H14" i="39" a="1"/>
  <c r="F7" i="39" a="1"/>
  <c r="L15" i="28" a="1"/>
  <c r="K9" i="28" a="1"/>
  <c r="E9" i="28" a="1"/>
  <c r="H19" i="1" a="1"/>
  <c r="C12" i="1" a="1"/>
  <c r="D7" i="49" a="1"/>
  <c r="C15" i="40" a="1"/>
  <c r="H5" i="60" a="1"/>
  <c r="I6" i="42" a="1"/>
  <c r="J3" i="42" a="1"/>
  <c r="D2" i="5" a="1"/>
  <c r="G7" i="52" a="1"/>
  <c r="U15" i="56" a="1"/>
  <c r="H7" i="56" a="1"/>
  <c r="L21" i="12" a="1"/>
  <c r="Q18" i="12" a="1"/>
  <c r="M14" i="12" a="1"/>
  <c r="R11" i="12" a="1"/>
  <c r="P9" i="12" a="1"/>
  <c r="M7" i="12" a="1"/>
  <c r="S4" i="12" a="1"/>
  <c r="F13" i="12" a="1"/>
  <c r="G15" i="28" a="1"/>
  <c r="H5" i="28" a="1"/>
  <c r="G19" i="1" a="1"/>
  <c r="I13" i="1" a="1"/>
  <c r="J10" i="1" a="1"/>
  <c r="L7" i="1" a="1"/>
  <c r="F5" i="1" a="1"/>
  <c r="F10" i="60" a="1"/>
  <c r="J14" i="48" a="1"/>
  <c r="C2" i="38" a="1"/>
  <c r="J4" i="48" a="1"/>
  <c r="I4" i="9" a="1"/>
  <c r="G11" i="43" a="1"/>
  <c r="C7" i="43" a="1"/>
  <c r="H13" i="42" a="1"/>
  <c r="J7" i="42" a="1"/>
  <c r="G2" i="7" a="1"/>
  <c r="M2" i="46" a="1"/>
  <c r="G11" i="52" a="1"/>
  <c r="J8" i="52" a="1"/>
  <c r="D6" i="52" a="1"/>
  <c r="S13" i="56" a="1"/>
  <c r="G15" i="56" a="1"/>
  <c r="J9" i="56" a="1"/>
  <c r="C23" i="56" a="1"/>
  <c r="Q19" i="12" a="1"/>
  <c r="N15" i="12" a="1"/>
  <c r="E10" i="12" a="1"/>
  <c r="J9" i="39" a="1"/>
  <c r="C9" i="39" a="1"/>
  <c r="K12" i="28" a="1"/>
  <c r="L5" i="28" a="1"/>
  <c r="G10" i="28" a="1"/>
  <c r="E14" i="28" a="1"/>
  <c r="AN4" i="9" a="1"/>
  <c r="H12" i="42" a="1"/>
  <c r="D9" i="42" a="1"/>
  <c r="L2" i="18" a="1"/>
  <c r="D3" i="52" a="1"/>
  <c r="U11" i="56" a="1"/>
  <c r="V5" i="56" a="1"/>
  <c r="J11" i="56" a="1"/>
  <c r="I5" i="56" a="1"/>
  <c r="L19" i="12" a="1"/>
  <c r="S13" i="12" a="1"/>
  <c r="N11" i="12" a="1"/>
  <c r="M3" i="12" a="1"/>
  <c r="G14" i="12" a="1"/>
  <c r="G5" i="12" a="1"/>
  <c r="J12" i="39" a="1"/>
  <c r="K10" i="28" a="1"/>
  <c r="G14" i="28" a="1"/>
  <c r="E18" i="28" a="1"/>
  <c r="E5" i="28" a="1"/>
  <c r="G20" i="1" a="1"/>
  <c r="F11" i="1" a="1"/>
  <c r="I7" i="1" a="1"/>
  <c r="C4" i="1" a="1"/>
  <c r="C15" i="55" a="1"/>
  <c r="J13" i="48" a="1"/>
  <c r="N4" i="9" a="1"/>
  <c r="J15" i="42" a="1"/>
  <c r="J5" i="42" a="1"/>
  <c r="L2" i="5" a="1"/>
  <c r="N2" i="47" a="1"/>
  <c r="J12" i="52" a="1"/>
  <c r="H9" i="52" a="1"/>
  <c r="F6" i="52" a="1"/>
  <c r="U5" i="56" a="1"/>
  <c r="H11" i="56" a="1"/>
  <c r="C10" i="13" a="1"/>
  <c r="Q21" i="12" a="1"/>
  <c r="P8" i="12" a="1"/>
  <c r="Q5" i="12" a="1"/>
  <c r="E13" i="12" a="1"/>
  <c r="H2" i="39" a="1"/>
  <c r="C6" i="39" a="1"/>
  <c r="H13" i="28" a="1"/>
  <c r="F14" i="1" a="1"/>
  <c r="H4" i="1" a="1"/>
  <c r="E12" i="60" a="1"/>
  <c r="H6" i="60" a="1"/>
  <c r="AL4" i="9" a="1"/>
  <c r="H10" i="43" a="1"/>
  <c r="G12" i="42" a="1"/>
  <c r="J8" i="42" a="1"/>
  <c r="K2" i="18" a="1"/>
  <c r="F9" i="52" a="1"/>
  <c r="C3" i="52" a="1"/>
  <c r="T11" i="56" a="1"/>
  <c r="H5" i="56" a="1"/>
  <c r="C9" i="13" a="1"/>
  <c r="K19" i="12" a="1"/>
  <c r="R13" i="12" a="1"/>
  <c r="M11" i="12" a="1"/>
  <c r="K3" i="12" a="1"/>
  <c r="F5" i="12" a="1"/>
  <c r="J11" i="39" a="1"/>
  <c r="F14" i="39" a="1"/>
  <c r="L9" i="28" a="1"/>
  <c r="D18" i="28" a="1"/>
  <c r="E4" i="28" a="1"/>
  <c r="F20" i="1" a="1"/>
  <c r="L13" i="1" a="1"/>
  <c r="I10" i="1" a="1"/>
  <c r="H7" i="1" a="1"/>
  <c r="G4" i="1" a="1"/>
  <c r="C3" i="1" a="1"/>
  <c r="C14" i="55" a="1"/>
  <c r="J12" i="48" a="1"/>
  <c r="AJ4" i="9" a="1"/>
  <c r="M4" i="9" a="1"/>
  <c r="I15" i="42" a="1"/>
  <c r="J2" i="18" a="1"/>
  <c r="K2" i="5" a="1"/>
  <c r="M2" i="47" a="1"/>
  <c r="H12" i="52" a="1"/>
  <c r="E6" i="52" a="1"/>
  <c r="I17" i="56" a="1"/>
  <c r="G11" i="56" a="1"/>
  <c r="C8" i="13" a="1"/>
  <c r="P21" i="12" a="1"/>
  <c r="O8" i="12" a="1"/>
  <c r="P5" i="12" a="1"/>
  <c r="G23" i="12" a="1"/>
  <c r="G12" i="12" a="1"/>
  <c r="C4" i="39" a="1"/>
  <c r="L8" i="28" a="1"/>
  <c r="H12" i="28" a="1"/>
  <c r="D4" i="28" a="1"/>
  <c r="C13" i="55" a="1"/>
  <c r="G11" i="60" a="1"/>
  <c r="G6" i="60" a="1"/>
  <c r="J4" i="9" a="1"/>
  <c r="G10" i="43" a="1"/>
  <c r="C12" i="42" a="1"/>
  <c r="I8" i="42" a="1"/>
  <c r="E9" i="52" a="1"/>
  <c r="V17" i="56" a="1"/>
  <c r="S11" i="56" a="1"/>
  <c r="P18" i="12" a="1"/>
  <c r="Q13" i="12" a="1"/>
  <c r="K11" i="12" a="1"/>
  <c r="N8" i="12" a="1"/>
  <c r="K2" i="38" a="1"/>
  <c r="Y4" i="9" a="1"/>
  <c r="C14" i="42" a="1"/>
  <c r="E7" i="42" a="1"/>
  <c r="I2" i="15" a="1"/>
  <c r="K2" i="7" a="1"/>
  <c r="T8" i="56" a="1"/>
  <c r="I14" i="56" a="1"/>
  <c r="S22" i="12" a="1"/>
  <c r="R9" i="12" a="1"/>
  <c r="L4" i="12" a="1"/>
  <c r="F9" i="12" a="1"/>
  <c r="B11" i="12" a="1"/>
  <c r="H12" i="39" a="1"/>
  <c r="M12" i="28" a="1"/>
  <c r="K5" i="28" a="1"/>
  <c r="H7" i="28" a="1"/>
  <c r="D4" i="49" a="1"/>
  <c r="G3" i="60" a="1"/>
  <c r="C11" i="43" a="1"/>
  <c r="H10" i="42" a="1"/>
  <c r="I3" i="42" a="1"/>
  <c r="D11" i="52" a="1"/>
  <c r="I7" i="52" a="1"/>
  <c r="E4" i="52" a="1"/>
  <c r="S14" i="56" a="1"/>
  <c r="G8" i="56" a="1"/>
  <c r="B7" i="56" a="1"/>
  <c r="S19" i="12" a="1"/>
  <c r="M15" i="12" a="1"/>
  <c r="O12" i="12" a="1"/>
  <c r="R6" i="12" a="1"/>
  <c r="F19" i="12" a="1"/>
  <c r="C14" i="39" a="1"/>
  <c r="F15" i="1" a="1"/>
  <c r="F12" i="1" a="1"/>
  <c r="L8" i="1" a="1"/>
  <c r="K5" i="1" a="1"/>
  <c r="C14" i="1" a="1"/>
  <c r="C21" i="55" a="1"/>
  <c r="C10" i="40" a="1"/>
  <c r="H8" i="60" a="1"/>
  <c r="J2" i="38" a="1"/>
  <c r="X4" i="9" a="1"/>
  <c r="A4" i="9" a="1"/>
  <c r="J13" i="42" a="1"/>
  <c r="D7" i="42" a="1"/>
  <c r="H2" i="15" a="1"/>
  <c r="I2" i="7" a="1"/>
  <c r="T7" i="56" a="1"/>
  <c r="H14" i="56" a="1"/>
  <c r="R22" i="12" a="1"/>
  <c r="O9" i="12" a="1"/>
  <c r="S3" i="12" a="1"/>
  <c r="E19" i="12" a="1"/>
  <c r="G8" i="12" a="1"/>
  <c r="B10" i="12" a="1"/>
  <c r="H9" i="39" a="1"/>
  <c r="L12" i="28" a="1"/>
  <c r="M4" i="28" a="1"/>
  <c r="G7" i="28" a="1"/>
  <c r="E8" i="28" a="1"/>
  <c r="C13" i="1" a="1"/>
  <c r="F3" i="60" a="1"/>
  <c r="H2" i="38" a="1"/>
  <c r="V4" i="9" a="1"/>
  <c r="C10" i="43" a="1"/>
  <c r="H3" i="42" a="1"/>
  <c r="J2" i="46" a="1"/>
  <c r="C11" i="52" a="1"/>
  <c r="F7" i="52" a="1"/>
  <c r="D4" i="52" a="1"/>
  <c r="V13" i="56" a="1"/>
  <c r="S7" i="56" a="1"/>
  <c r="J7" i="56" a="1"/>
  <c r="Q22" i="12" a="1"/>
  <c r="R19" i="12" a="1"/>
  <c r="L15" i="12" a="1"/>
  <c r="N12" i="12" a="1"/>
  <c r="Q6" i="12" a="1"/>
  <c r="C13" i="39" a="1"/>
  <c r="L14" i="1" a="1"/>
  <c r="L11" i="1" a="1"/>
  <c r="K8" i="1" a="1"/>
  <c r="J5" i="1" a="1"/>
  <c r="C20" i="55" a="1"/>
  <c r="G8" i="60" a="1"/>
  <c r="C9" i="40" a="1"/>
  <c r="J11" i="48" a="1"/>
  <c r="I14" i="42" a="1"/>
  <c r="I10" i="42" a="1"/>
  <c r="C6" i="42" a="1"/>
  <c r="F2" i="7" a="1"/>
  <c r="D8" i="52" a="1"/>
  <c r="J13" i="56" a="1"/>
  <c r="N19" i="12" a="1"/>
  <c r="M13" i="12" a="1"/>
  <c r="F7" i="12" a="1"/>
  <c r="J8" i="39" a="1"/>
  <c r="H11" i="28" a="1"/>
  <c r="K20" i="1" a="1"/>
  <c r="H9" i="1" a="1"/>
  <c r="K4" i="1" a="1"/>
  <c r="G7" i="60" a="1"/>
  <c r="F6" i="12" a="1"/>
  <c r="G11" i="28" a="1"/>
  <c r="J4" i="1" a="1"/>
  <c r="Z4" i="9" a="1"/>
  <c r="C10" i="42" a="1"/>
  <c r="D12" i="52" a="1"/>
  <c r="K13" i="12" a="1"/>
  <c r="M5" i="12" a="1"/>
  <c r="J6" i="39" a="1"/>
  <c r="L10" i="28" a="1"/>
  <c r="E10" i="28" a="1"/>
  <c r="H11" i="43" a="1"/>
  <c r="J2" i="15" a="1"/>
  <c r="P22" i="12" a="1"/>
  <c r="G18" i="12" a="1"/>
  <c r="H10" i="28" a="1"/>
  <c r="I4" i="1" a="1"/>
  <c r="E7" i="60" a="1"/>
  <c r="T4" i="9" a="1"/>
  <c r="J9" i="42" a="1"/>
  <c r="U8" i="56" a="1"/>
  <c r="B15" i="56" a="1"/>
  <c r="M18" i="12" a="1"/>
  <c r="R8" i="12" a="1"/>
  <c r="E18" i="12" a="1"/>
  <c r="E5" i="12" a="1"/>
  <c r="L19" i="1" a="1"/>
  <c r="J12" i="1" a="1"/>
  <c r="J8" i="1" a="1"/>
  <c r="F4" i="1" a="1"/>
  <c r="C8" i="40" a="1"/>
  <c r="J7" i="48" a="1"/>
  <c r="H9" i="43" a="1"/>
  <c r="J4" i="42" a="1"/>
  <c r="J6" i="52" a="1"/>
  <c r="U16" i="56" a="1"/>
  <c r="O22" i="12" a="1"/>
  <c r="Q4" i="12" a="1"/>
  <c r="J4" i="39" a="1"/>
  <c r="K8" i="28" a="1"/>
  <c r="E7" i="28" a="1"/>
  <c r="K19" i="1" a="1"/>
  <c r="D10" i="49" a="1"/>
  <c r="C7" i="40" a="1"/>
  <c r="I9" i="42" a="1"/>
  <c r="H2" i="47" a="1"/>
  <c r="J10" i="56" a="1"/>
  <c r="B14" i="56" a="1"/>
  <c r="L18" i="12" a="1"/>
  <c r="G15" i="12" a="1"/>
  <c r="F4" i="12" a="1"/>
  <c r="C10" i="39" a="1"/>
  <c r="H9" i="28" a="1"/>
  <c r="H8" i="1" a="1"/>
  <c r="E6" i="60" a="1"/>
  <c r="J5" i="48" a="1"/>
  <c r="G9" i="43" a="1"/>
  <c r="E2" i="15" a="1"/>
  <c r="S15" i="12" a="1"/>
  <c r="J19" i="1" a="1"/>
  <c r="D9" i="49" a="1"/>
  <c r="G5" i="60" a="1"/>
  <c r="AA4" i="9" a="1"/>
  <c r="G13" i="43" a="1"/>
  <c r="D10" i="42" a="1"/>
  <c r="E5" i="42" a="1"/>
  <c r="A2" i="18" a="1"/>
  <c r="E12" i="52" a="1"/>
  <c r="E3" i="52" a="1"/>
  <c r="S9" i="56" a="1"/>
  <c r="B17" i="56" a="1"/>
  <c r="L23" i="12" a="1"/>
  <c r="L9" i="12" a="1"/>
  <c r="N5" i="12" a="1"/>
  <c r="E20" i="12" a="1"/>
  <c r="J7" i="39" a="1"/>
  <c r="F3" i="39" a="1"/>
  <c r="M10" i="28" a="1"/>
  <c r="E11" i="28" a="1"/>
  <c r="G13" i="1" a="1"/>
  <c r="G9" i="1" a="1"/>
  <c r="D14" i="49" a="1"/>
  <c r="C12" i="40" a="1"/>
  <c r="J10" i="48" a="1"/>
  <c r="H14" i="42" a="1"/>
  <c r="K2" i="15" a="1"/>
  <c r="E2" i="7" a="1"/>
  <c r="H13" i="56" a="1"/>
  <c r="M19" i="12" a="1"/>
  <c r="L13" i="12" a="1"/>
  <c r="I20" i="1" a="1"/>
  <c r="F7" i="60" a="1"/>
  <c r="D5" i="42" a="1"/>
  <c r="T17" i="56" a="1"/>
  <c r="V8" i="56" a="1"/>
  <c r="B16" i="56" a="1"/>
  <c r="K9" i="12" a="1"/>
  <c r="G19" i="12" a="1"/>
  <c r="F2" i="39" a="1"/>
  <c r="H20" i="1" a="1"/>
  <c r="L12" i="1" a="1"/>
  <c r="F9" i="1" a="1"/>
  <c r="D13" i="49" a="1"/>
  <c r="C11" i="40" a="1"/>
  <c r="J8" i="48" a="1"/>
  <c r="G14" i="42" a="1"/>
  <c r="C5" i="42" a="1"/>
  <c r="D2" i="7" a="1"/>
  <c r="C7" i="52" a="1"/>
  <c r="E6" i="12" a="1"/>
  <c r="D8" i="28" a="1"/>
  <c r="A2" i="7" a="1"/>
  <c r="H11" i="52" a="1"/>
  <c r="G12" i="56" a="1"/>
  <c r="Q12" i="12" a="1"/>
  <c r="R4" i="12" a="1"/>
  <c r="J5" i="39" a="1"/>
  <c r="C12" i="39" a="1"/>
  <c r="F14" i="42" a="1"/>
  <c r="F2" i="15" a="1"/>
  <c r="R4" i="9" a="1"/>
  <c r="P12" i="12" a="1"/>
  <c r="Q8" i="12" a="1"/>
  <c r="I12" i="1" a="1"/>
  <c r="K3" i="1" a="1"/>
  <c r="D14" i="42" a="1"/>
  <c r="E9" i="42" a="1"/>
  <c r="I4" i="42" a="1"/>
  <c r="F11" i="52" a="1"/>
  <c r="H6" i="52" a="1"/>
  <c r="T16" i="56" a="1"/>
  <c r="V6" i="56" a="1"/>
  <c r="I10" i="56" a="1"/>
  <c r="N22" i="12" a="1"/>
  <c r="M8" i="12" a="1"/>
  <c r="P4" i="12" a="1"/>
  <c r="J3" i="39" a="1"/>
  <c r="M7" i="28" a="1"/>
  <c r="D7" i="28" a="1"/>
  <c r="C6" i="40" a="1"/>
  <c r="B2" i="38" a="1"/>
  <c r="I7" i="42" a="1"/>
  <c r="N2" i="46" a="1"/>
  <c r="I9" i="52" a="1"/>
  <c r="E5" i="52" a="1"/>
  <c r="I16" i="56" a="1"/>
  <c r="Q20" i="12" a="1"/>
  <c r="L7" i="12" a="1"/>
  <c r="G3" i="28" a="1"/>
  <c r="G15" i="1" a="1"/>
  <c r="G11" i="1" a="1"/>
  <c r="J6" i="1" a="1"/>
  <c r="C16" i="55" a="1"/>
  <c r="E4" i="60" a="1"/>
  <c r="F4" i="9" a="1"/>
  <c r="C9" i="43" a="1"/>
  <c r="J11" i="42" a="1"/>
  <c r="N2" i="18" a="1"/>
  <c r="C2" i="5" a="1"/>
  <c r="H8" i="56" a="1"/>
  <c r="C11" i="13" a="1"/>
  <c r="R14" i="12" a="1"/>
  <c r="Q10" i="12" a="1"/>
  <c r="N3" i="12" a="1"/>
  <c r="F11" i="12" a="1"/>
  <c r="H4" i="39" a="1"/>
  <c r="L14" i="28" a="1"/>
  <c r="L4" i="28" a="1"/>
  <c r="C10" i="1" a="1"/>
  <c r="E10" i="60" a="1"/>
  <c r="E3" i="60" a="1"/>
  <c r="A2" i="38" a="1"/>
  <c r="D4" i="9" a="1"/>
  <c r="H7" i="42" a="1"/>
  <c r="D9" i="52" a="1"/>
  <c r="D5" i="52" a="1"/>
  <c r="V12" i="56" a="1"/>
  <c r="H16" i="56" a="1"/>
  <c r="C7" i="13" a="1"/>
  <c r="P20" i="12" a="1"/>
  <c r="P10" i="12" a="1"/>
  <c r="S6" i="12" a="1"/>
  <c r="E11" i="12" a="1"/>
  <c r="B6" i="12" a="1"/>
  <c r="F13" i="39" a="1"/>
  <c r="E15" i="28" a="1"/>
  <c r="K14" i="1" a="1"/>
  <c r="G10" i="1" a="1"/>
  <c r="I6" i="1" a="1"/>
  <c r="C8" i="43" a="1"/>
  <c r="I11" i="42" a="1"/>
  <c r="M2" i="18" a="1"/>
  <c r="B2" i="5" a="1"/>
  <c r="G2" i="46" a="1"/>
  <c r="J15" i="56" a="1"/>
  <c r="I6" i="56" a="1"/>
  <c r="F23" i="12" a="1"/>
  <c r="K14" i="28" a="1"/>
  <c r="M3" i="28" a="1"/>
  <c r="C9" i="1" a="1"/>
  <c r="C11" i="55" a="1"/>
  <c r="H9" i="60" a="1"/>
  <c r="AI4" i="9" a="1"/>
  <c r="C4" i="9" a="1"/>
  <c r="C9" i="52" a="1"/>
  <c r="O20" i="12" a="1"/>
  <c r="O14" i="12" a="1"/>
  <c r="O10" i="12" a="1"/>
  <c r="P6" i="12" a="1"/>
  <c r="G10" i="12" a="1"/>
  <c r="B5" i="12" a="1"/>
  <c r="F12" i="39" a="1"/>
  <c r="M13" i="28" a="1"/>
  <c r="D15" i="28" a="1"/>
  <c r="J14" i="1" a="1"/>
  <c r="F10" i="1" a="1"/>
  <c r="H6" i="1" a="1"/>
  <c r="H11" i="42" a="1"/>
  <c r="C7" i="42" a="1"/>
  <c r="H2" i="18" a="1"/>
  <c r="A2" i="5" a="1"/>
  <c r="F2" i="46" a="1"/>
  <c r="F4" i="52" a="1"/>
  <c r="I15" i="56" a="1"/>
  <c r="H6" i="56" a="1"/>
  <c r="C4" i="13" a="1"/>
  <c r="O6" i="12" a="1"/>
  <c r="F22" i="12" a="1"/>
  <c r="L3" i="28" a="1"/>
  <c r="C10" i="55" a="1"/>
  <c r="G9" i="60" a="1"/>
  <c r="AH4" i="9" a="1"/>
  <c r="B4" i="9" a="1"/>
  <c r="C6" i="43" a="1"/>
  <c r="G3" i="52" a="1"/>
  <c r="J14" i="56" a="1"/>
  <c r="L14" i="12" a="1"/>
  <c r="O7" i="12" a="1"/>
  <c r="K7" i="28" a="1"/>
  <c r="C9" i="55" a="1"/>
  <c r="G8" i="43" a="1"/>
  <c r="D2" i="15" a="1"/>
  <c r="E11" i="52" a="1"/>
  <c r="T15" i="56" a="1"/>
  <c r="G14" i="56" a="1"/>
  <c r="P13" i="12" a="1"/>
  <c r="E12" i="12" a="1"/>
  <c r="H7" i="39" a="1"/>
  <c r="E6" i="28" a="1"/>
  <c r="H13" i="1" a="1"/>
  <c r="I5" i="1" a="1"/>
  <c r="N2" i="38" a="1"/>
  <c r="H8" i="42" a="1"/>
  <c r="P23" i="12" a="1"/>
  <c r="M6" i="28" a="1"/>
  <c r="D6" i="28" a="1"/>
  <c r="H12" i="1" a="1"/>
  <c r="C18" i="40" a="1"/>
  <c r="L2" i="38" a="1"/>
  <c r="G7" i="43" a="1"/>
  <c r="C2" i="15" a="1"/>
  <c r="J10" i="52" a="1"/>
  <c r="S15" i="56" a="1"/>
  <c r="O13" i="12" a="1"/>
  <c r="N6" i="12" a="1"/>
  <c r="G11" i="12" a="1"/>
  <c r="H6" i="39" a="1"/>
  <c r="L4" i="1" a="1"/>
  <c r="G8" i="42" a="1"/>
  <c r="H10" i="56" a="1"/>
  <c r="M23" i="12" a="1"/>
  <c r="K6" i="28" a="1"/>
  <c r="J3" i="1" a="1"/>
  <c r="M2" i="5" a="1"/>
  <c r="H10" i="52" a="1"/>
  <c r="K11" i="1" a="1"/>
  <c r="C13" i="40" a="1"/>
  <c r="G2" i="38" a="1"/>
  <c r="F8" i="42" a="1"/>
  <c r="G10" i="56" a="1"/>
  <c r="F11" i="39" a="1"/>
  <c r="J11" i="1" a="1"/>
  <c r="H3" i="43" a="1"/>
  <c r="R21" i="12" a="1"/>
  <c r="M12" i="12" a="1"/>
  <c r="S5" i="12" a="1"/>
  <c r="F8" i="12" a="1"/>
  <c r="H12" i="60" a="1"/>
  <c r="F2" i="38" a="1"/>
  <c r="D8" i="42" a="1"/>
  <c r="I2" i="5" a="1"/>
  <c r="U13" i="56" a="1"/>
  <c r="O21" i="12" a="1"/>
  <c r="O5" i="12" a="1"/>
  <c r="F10" i="39" a="1"/>
  <c r="H3" i="1" a="1"/>
  <c r="G3" i="43" a="1"/>
  <c r="Q11" i="12" a="1"/>
  <c r="G6" i="42" a="1"/>
  <c r="H14" i="28" a="1"/>
  <c r="C3" i="43" a="1"/>
  <c r="H9" i="56" a="1"/>
  <c r="H15" i="42" a="1"/>
  <c r="V10" i="56" a="1"/>
  <c r="I8" i="56" a="1"/>
  <c r="L9" i="1" a="1"/>
  <c r="F3" i="1" a="1"/>
  <c r="R20" i="12" a="1"/>
  <c r="O11" i="12" a="1"/>
  <c r="R3" i="12" a="1"/>
  <c r="F3" i="12" a="1"/>
  <c r="G12" i="28" a="1"/>
  <c r="E11" i="60" a="1"/>
  <c r="D6" i="42" a="1"/>
  <c r="F8" i="52" a="1"/>
  <c r="G6" i="56" a="1"/>
  <c r="E3" i="12" a="1"/>
  <c r="C8" i="39" a="1"/>
  <c r="K9" i="1" a="1"/>
  <c r="C6" i="1" a="1"/>
  <c r="Q4" i="9" a="1"/>
  <c r="G2" i="47" a="1"/>
  <c r="P3" i="12" a="1"/>
  <c r="G8" i="28" a="1"/>
  <c r="C5" i="1" a="1"/>
  <c r="B14" i="12" a="1"/>
  <c r="E9" i="60" a="1"/>
  <c r="G12" i="1" a="1"/>
  <c r="C16" i="40" a="1"/>
  <c r="H5" i="43" a="1"/>
  <c r="V14" i="56" a="1"/>
  <c r="N13" i="12" a="1"/>
  <c r="G9" i="12" a="1"/>
  <c r="H5" i="39" a="1"/>
  <c r="E3" i="28" a="1"/>
  <c r="J2" i="5" a="1"/>
  <c r="K6" i="12" a="1"/>
  <c r="M5" i="28" a="1"/>
  <c r="I3" i="1" a="1"/>
  <c r="D10" i="52" a="1"/>
  <c r="U14" i="56" a="1"/>
  <c r="K3" i="28" a="1"/>
  <c r="I11" i="1" a="1"/>
  <c r="I9" i="56" a="1"/>
  <c r="E8" i="12" a="1"/>
  <c r="F12" i="60" a="1"/>
  <c r="N2" i="7" a="1"/>
  <c r="H8" i="52" a="1"/>
  <c r="T13" i="56" a="1"/>
  <c r="N21" i="12" a="1"/>
  <c r="O4" i="12" a="1"/>
  <c r="F9" i="39" a="1"/>
  <c r="H11" i="1" a="1"/>
  <c r="G3" i="1" a="1"/>
  <c r="AG4" i="9" a="1"/>
  <c r="P11" i="12" a="1"/>
  <c r="E4" i="12" a="1"/>
  <c r="F11" i="60" a="1"/>
  <c r="AF4" i="9" a="1"/>
  <c r="F6" i="42" a="1"/>
  <c r="G8" i="52" a="1"/>
  <c r="N4" i="12" a="1"/>
  <c r="F4" i="39" a="1"/>
  <c r="H2" i="7" a="1"/>
  <c r="S10" i="56" a="1"/>
  <c r="AC4" i="9" a="1"/>
  <c r="G9" i="28" a="1"/>
  <c r="H10" i="60" a="1"/>
  <c r="J5" i="56" a="1"/>
  <c r="R10" i="12" a="1"/>
  <c r="J9" i="1" a="1"/>
  <c r="F9" i="60" a="1"/>
  <c r="G6" i="52" a="1"/>
  <c r="F2" i="47" a="1"/>
  <c r="C25" i="56" a="1"/>
  <c r="P19" i="12" a="1"/>
  <c r="O3" i="12" a="1"/>
  <c r="C3" i="39" a="1"/>
  <c r="H6" i="28" a="1"/>
  <c r="I19" i="1" a="1"/>
  <c r="D16" i="49" a="1"/>
  <c r="E13" i="42" a="1"/>
  <c r="G4" i="42" a="1"/>
  <c r="U6" i="56" a="1"/>
  <c r="M10" i="12" a="1"/>
  <c r="F19" i="1" a="1"/>
  <c r="G8" i="1" a="1"/>
  <c r="O4" i="9" a="1"/>
  <c r="D2" i="47" a="1"/>
  <c r="H5" i="52" a="1"/>
  <c r="B13" i="56" a="1"/>
  <c r="O19" i="12" a="1"/>
  <c r="B12" i="12" a="1"/>
  <c r="C2" i="39" a="1"/>
  <c r="D15" i="49" a="1"/>
  <c r="D13" i="42" a="1"/>
  <c r="D4" i="42" a="1"/>
  <c r="T6" i="56" a="1"/>
  <c r="S9" i="12" a="1"/>
  <c r="E21" i="12" a="1"/>
  <c r="B4" i="12" a="1"/>
  <c r="G4" i="28" a="1"/>
  <c r="L15" i="1" a="1"/>
  <c r="J7" i="1" a="1"/>
  <c r="E8" i="60" a="1"/>
  <c r="C2" i="47" a="1"/>
  <c r="G5" i="52" a="1"/>
  <c r="B10" i="56" a="1"/>
  <c r="M14" i="28" a="1"/>
  <c r="D8" i="49" a="1"/>
  <c r="H4" i="9" a="1"/>
  <c r="C13" i="42" a="1"/>
  <c r="S6" i="56" a="1"/>
  <c r="C16" i="13" a="1"/>
  <c r="R15" i="12" a="1"/>
  <c r="M9" i="12" a="1"/>
  <c r="G20" i="12" a="1"/>
  <c r="J13" i="39" a="1"/>
  <c r="L13" i="28" a="1"/>
  <c r="H3" i="28" a="1"/>
  <c r="K15" i="1" a="1"/>
  <c r="G7" i="1" a="1"/>
  <c r="F5" i="60" a="1"/>
  <c r="B2" i="47" a="1"/>
  <c r="F5" i="52" a="1"/>
  <c r="K8" i="12" a="1"/>
  <c r="K13" i="28" a="1"/>
  <c r="F7" i="1" a="1"/>
  <c r="G4" i="9" a="1"/>
  <c r="J12" i="42" a="1"/>
  <c r="C3" i="42" a="1"/>
  <c r="H17" i="56" a="1"/>
  <c r="C15" i="13" a="1"/>
  <c r="Q15" i="12" a="1"/>
  <c r="F20" i="12" a="1"/>
  <c r="J10" i="39" a="1"/>
  <c r="D14" i="28" a="1"/>
  <c r="J15" i="1" a="1"/>
  <c r="C19" i="55" a="1"/>
  <c r="E5" i="60" a="1"/>
  <c r="G2" i="18" a="1"/>
  <c r="E2" i="46" a="1"/>
  <c r="S7" i="12" a="1"/>
  <c r="F15" i="12" a="1"/>
  <c r="L6" i="1" a="1"/>
  <c r="D11" i="42" a="1"/>
  <c r="C14" i="13" a="1"/>
  <c r="P15" i="12" a="1"/>
  <c r="L11" i="28" a="1"/>
  <c r="D13" i="28" a="1"/>
  <c r="I14" i="1" a="1"/>
  <c r="C18" i="55" a="1"/>
  <c r="H4" i="60" a="1"/>
  <c r="G15" i="43" a="1"/>
  <c r="E2" i="18" a="1"/>
  <c r="D2" i="46" a="1"/>
  <c r="I3" i="52" a="1"/>
  <c r="R7" i="12" a="1"/>
  <c r="E15" i="12" a="1"/>
  <c r="C11" i="42" a="1"/>
  <c r="G12" i="52" a="1"/>
  <c r="H15" i="56" a="1"/>
  <c r="C12" i="13" a="1"/>
  <c r="O15" i="12" a="1"/>
  <c r="J2" i="39" a="1"/>
  <c r="K11" i="28" a="1"/>
  <c r="E12" i="28" a="1"/>
  <c r="F6" i="1" a="1"/>
  <c r="C17" i="55" a="1"/>
  <c r="G4" i="60" a="1"/>
  <c r="H14" i="43" a="1"/>
  <c r="D2" i="18" a="1"/>
  <c r="H3" i="52" a="1"/>
  <c r="Q7" i="12" a="1"/>
  <c r="G14" i="1" a="1"/>
  <c r="H13" i="43" a="1"/>
  <c r="J10" i="42" a="1"/>
  <c r="F12" i="52" a="1"/>
  <c r="S23" i="12" a="1"/>
  <c r="K15" i="12" a="1"/>
  <c r="F12" i="12" a="1"/>
  <c r="H8" i="39" a="1"/>
  <c r="D12" i="28" a="1"/>
  <c r="K13" i="1" a="1"/>
  <c r="L5" i="1" a="1"/>
  <c r="F4" i="60" a="1"/>
  <c r="N20" i="12" a="1"/>
  <c r="Q3" i="12" a="1"/>
  <c r="B15" i="12" a="1"/>
  <c r="C7" i="39" a="1"/>
  <c r="H4" i="42" a="1"/>
  <c r="T9" i="56" a="1"/>
  <c r="N10" i="12" a="1"/>
  <c r="P4" i="9" a="1"/>
  <c r="I9" i="1" a="1"/>
  <c r="I9" i="1" l="1"/>
  <c r="P4" i="9"/>
  <c r="N10" i="12"/>
  <c r="T9" i="56"/>
  <c r="H4" i="42"/>
  <c r="C7" i="39"/>
  <c r="B15" i="12"/>
  <c r="Q3" i="12"/>
  <c r="N20" i="12"/>
  <c r="F4" i="60"/>
  <c r="L5" i="1"/>
  <c r="K13" i="1"/>
  <c r="D12" i="28"/>
  <c r="H8" i="39"/>
  <c r="F12" i="12"/>
  <c r="K15" i="12"/>
  <c r="S23" i="12"/>
  <c r="F12" i="52"/>
  <c r="J10" i="42"/>
  <c r="H13" i="43"/>
  <c r="G14" i="1"/>
  <c r="Q7" i="12"/>
  <c r="H3" i="52"/>
  <c r="D2" i="18"/>
  <c r="H14" i="43"/>
  <c r="G4" i="60"/>
  <c r="C17" i="55"/>
  <c r="F6" i="1"/>
  <c r="E12" i="28"/>
  <c r="K11" i="28"/>
  <c r="J2" i="39"/>
  <c r="O15" i="12"/>
  <c r="C12" i="13"/>
  <c r="H15" i="56"/>
  <c r="G12" i="52"/>
  <c r="C11" i="42"/>
  <c r="E15" i="12"/>
  <c r="R7" i="12"/>
  <c r="I3" i="52"/>
  <c r="D2" i="46"/>
  <c r="E2" i="18"/>
  <c r="G15" i="43"/>
  <c r="H4" i="60"/>
  <c r="C18" i="55"/>
  <c r="I14" i="1"/>
  <c r="D13" i="28"/>
  <c r="L11" i="28"/>
  <c r="P15" i="12"/>
  <c r="C14" i="13"/>
  <c r="D11" i="42"/>
  <c r="L6" i="1"/>
  <c r="F15" i="12"/>
  <c r="S7" i="12"/>
  <c r="E2" i="46"/>
  <c r="G2" i="18"/>
  <c r="E5" i="60"/>
  <c r="C19" i="55"/>
  <c r="J15" i="1"/>
  <c r="D14" i="28"/>
  <c r="J10" i="39"/>
  <c r="F20" i="12"/>
  <c r="Q15" i="12"/>
  <c r="C15" i="13"/>
  <c r="H17" i="56"/>
  <c r="C3" i="42"/>
  <c r="J12" i="42"/>
  <c r="G4" i="9"/>
  <c r="F7" i="1"/>
  <c r="K13" i="28"/>
  <c r="K8" i="12"/>
  <c r="F5" i="52"/>
  <c r="B2" i="47"/>
  <c r="F5" i="60"/>
  <c r="G7" i="1"/>
  <c r="K15" i="1"/>
  <c r="H3" i="28"/>
  <c r="L13" i="28"/>
  <c r="J13" i="39"/>
  <c r="G20" i="12"/>
  <c r="M9" i="12"/>
  <c r="R15" i="12"/>
  <c r="C16" i="13"/>
  <c r="S6" i="56"/>
  <c r="C13" i="42"/>
  <c r="H4" i="9"/>
  <c r="D8" i="49"/>
  <c r="M14" i="28"/>
  <c r="B10" i="56"/>
  <c r="G5" i="52"/>
  <c r="C2" i="47"/>
  <c r="E8" i="60"/>
  <c r="J7" i="1"/>
  <c r="L15" i="1"/>
  <c r="G4" i="28"/>
  <c r="B4" i="12"/>
  <c r="E21" i="12"/>
  <c r="S9" i="12"/>
  <c r="T6" i="56"/>
  <c r="D4" i="42"/>
  <c r="D13" i="42"/>
  <c r="D15" i="49"/>
  <c r="C2" i="39"/>
  <c r="B12" i="12"/>
  <c r="O19" i="12"/>
  <c r="B13" i="56"/>
  <c r="H5" i="52"/>
  <c r="D2" i="47"/>
  <c r="O4" i="9"/>
  <c r="G8" i="1"/>
  <c r="F19" i="1"/>
  <c r="M10" i="12"/>
  <c r="U6" i="56"/>
  <c r="G4" i="42"/>
  <c r="E13" i="42"/>
  <c r="D16" i="49"/>
  <c r="I19" i="1"/>
  <c r="H6" i="28"/>
  <c r="C3" i="39"/>
  <c r="O3" i="12"/>
  <c r="P19" i="12"/>
  <c r="C25" i="56"/>
  <c r="F2" i="47"/>
  <c r="G6" i="52"/>
  <c r="F9" i="60"/>
  <c r="J9" i="1"/>
  <c r="R10" i="12"/>
  <c r="J5" i="56"/>
  <c r="H10" i="60"/>
  <c r="G9" i="28"/>
  <c r="AC4" i="9"/>
  <c r="S10" i="56"/>
  <c r="H2" i="7"/>
  <c r="F4" i="39"/>
  <c r="N4" i="12"/>
  <c r="G8" i="52"/>
  <c r="F6" i="42"/>
  <c r="AF4" i="9"/>
  <c r="F11" i="60"/>
  <c r="E4" i="12"/>
  <c r="P11" i="12"/>
  <c r="AG4" i="9"/>
  <c r="G3" i="1"/>
  <c r="H11" i="1"/>
  <c r="F9" i="39"/>
  <c r="O4" i="12"/>
  <c r="N21" i="12"/>
  <c r="T13" i="56"/>
  <c r="H8" i="52"/>
  <c r="N2" i="7"/>
  <c r="F12" i="60"/>
  <c r="E8" i="12"/>
  <c r="I9" i="56"/>
  <c r="I11" i="1"/>
  <c r="K3" i="28"/>
  <c r="U14" i="56"/>
  <c r="D10" i="52"/>
  <c r="I3" i="1"/>
  <c r="M5" i="28"/>
  <c r="K6" i="12"/>
  <c r="J2" i="5"/>
  <c r="E3" i="28"/>
  <c r="H5" i="39"/>
  <c r="G9" i="12"/>
  <c r="N13" i="12"/>
  <c r="V14" i="56"/>
  <c r="H5" i="43"/>
  <c r="C16" i="40"/>
  <c r="G12" i="1"/>
  <c r="E9" i="60"/>
  <c r="B14" i="12"/>
  <c r="C5" i="1"/>
  <c r="G8" i="28"/>
  <c r="P3" i="12"/>
  <c r="G2" i="47"/>
  <c r="Q4" i="9"/>
  <c r="C6" i="1"/>
  <c r="K9" i="1"/>
  <c r="C8" i="39"/>
  <c r="E3" i="12"/>
  <c r="G6" i="56"/>
  <c r="F8" i="52"/>
  <c r="D6" i="42"/>
  <c r="E11" i="60"/>
  <c r="G12" i="28"/>
  <c r="F3" i="12"/>
  <c r="R3" i="12"/>
  <c r="O11" i="12"/>
  <c r="R20" i="12"/>
  <c r="F3" i="1"/>
  <c r="L9" i="1"/>
  <c r="I8" i="56"/>
  <c r="V10" i="56"/>
  <c r="H15" i="42"/>
  <c r="H9" i="56"/>
  <c r="C3" i="43"/>
  <c r="H14" i="28"/>
  <c r="G6" i="42"/>
  <c r="Q11" i="12"/>
  <c r="G3" i="43"/>
  <c r="H3" i="1"/>
  <c r="F10" i="39"/>
  <c r="O5" i="12"/>
  <c r="O21" i="12"/>
  <c r="U13" i="56"/>
  <c r="I2" i="5"/>
  <c r="D8" i="42"/>
  <c r="F2" i="38"/>
  <c r="H12" i="60"/>
  <c r="F8" i="12"/>
  <c r="S5" i="12"/>
  <c r="M12" i="12"/>
  <c r="R21" i="12"/>
  <c r="H3" i="43"/>
  <c r="J11" i="1"/>
  <c r="F11" i="39"/>
  <c r="G10" i="56"/>
  <c r="F8" i="42"/>
  <c r="G2" i="38"/>
  <c r="C13" i="40"/>
  <c r="K11" i="1"/>
  <c r="H10" i="52"/>
  <c r="M2" i="5"/>
  <c r="J3" i="1"/>
  <c r="K6" i="28"/>
  <c r="M23" i="12"/>
  <c r="H10" i="56"/>
  <c r="G8" i="42"/>
  <c r="L4" i="1"/>
  <c r="H6" i="39"/>
  <c r="G11" i="12"/>
  <c r="N6" i="12"/>
  <c r="O13" i="12"/>
  <c r="S15" i="56"/>
  <c r="J10" i="52"/>
  <c r="C2" i="15"/>
  <c r="G7" i="43"/>
  <c r="L2" i="38"/>
  <c r="C18" i="40"/>
  <c r="H12" i="1"/>
  <c r="D6" i="28"/>
  <c r="M6" i="28"/>
  <c r="P23" i="12"/>
  <c r="H8" i="42"/>
  <c r="N2" i="38"/>
  <c r="I5" i="1"/>
  <c r="H13" i="1"/>
  <c r="E6" i="28"/>
  <c r="H7" i="39"/>
  <c r="E12" i="12"/>
  <c r="P13" i="12"/>
  <c r="G14" i="56"/>
  <c r="T15" i="56"/>
  <c r="E11" i="52"/>
  <c r="D2" i="15"/>
  <c r="G8" i="43"/>
  <c r="C9" i="55"/>
  <c r="K7" i="28"/>
  <c r="O7" i="12"/>
  <c r="L14" i="12"/>
  <c r="J14" i="56"/>
  <c r="G3" i="52"/>
  <c r="C6" i="43"/>
  <c r="B4" i="9"/>
  <c r="AH4" i="9"/>
  <c r="G9" i="60"/>
  <c r="C10" i="55"/>
  <c r="L3" i="28"/>
  <c r="F22" i="12"/>
  <c r="O6" i="12"/>
  <c r="C4" i="13"/>
  <c r="H6" i="56"/>
  <c r="I15" i="56"/>
  <c r="F4" i="52"/>
  <c r="F2" i="46"/>
  <c r="A2" i="5"/>
  <c r="H2" i="18"/>
  <c r="C7" i="42"/>
  <c r="H11" i="42"/>
  <c r="H6" i="1"/>
  <c r="F10" i="1"/>
  <c r="J14" i="1"/>
  <c r="D15" i="28"/>
  <c r="M13" i="28"/>
  <c r="F12" i="39"/>
  <c r="B5" i="12"/>
  <c r="G10" i="12"/>
  <c r="P6" i="12"/>
  <c r="O10" i="12"/>
  <c r="O14" i="12"/>
  <c r="O20" i="12"/>
  <c r="C9" i="52"/>
  <c r="C4" i="9"/>
  <c r="AI4" i="9"/>
  <c r="H9" i="60"/>
  <c r="C11" i="55"/>
  <c r="C9" i="1"/>
  <c r="M3" i="28"/>
  <c r="K14" i="28"/>
  <c r="F23" i="12"/>
  <c r="I6" i="56"/>
  <c r="J15" i="56"/>
  <c r="G2" i="46"/>
  <c r="B2" i="5"/>
  <c r="M2" i="18"/>
  <c r="I11" i="42"/>
  <c r="C8" i="43"/>
  <c r="I6" i="1"/>
  <c r="G10" i="1"/>
  <c r="K14" i="1"/>
  <c r="E15" i="28"/>
  <c r="F13" i="39"/>
  <c r="B6" i="12"/>
  <c r="E11" i="12"/>
  <c r="S6" i="12"/>
  <c r="P10" i="12"/>
  <c r="P20" i="12"/>
  <c r="C7" i="13"/>
  <c r="H16" i="56"/>
  <c r="V12" i="56"/>
  <c r="D5" i="52"/>
  <c r="D9" i="52"/>
  <c r="H7" i="42"/>
  <c r="D4" i="9"/>
  <c r="A2" i="38"/>
  <c r="E3" i="60"/>
  <c r="E10" i="60"/>
  <c r="C10" i="1"/>
  <c r="L4" i="28"/>
  <c r="L14" i="28"/>
  <c r="H4" i="39"/>
  <c r="F11" i="12"/>
  <c r="N3" i="12"/>
  <c r="Q10" i="12"/>
  <c r="R14" i="12"/>
  <c r="C11" i="13"/>
  <c r="H8" i="56"/>
  <c r="C2" i="5"/>
  <c r="N2" i="18"/>
  <c r="J11" i="42"/>
  <c r="C9" i="43"/>
  <c r="F4" i="9"/>
  <c r="E4" i="60"/>
  <c r="C16" i="55"/>
  <c r="J6" i="1"/>
  <c r="G11" i="1"/>
  <c r="G15" i="1"/>
  <c r="G3" i="28"/>
  <c r="L7" i="12"/>
  <c r="Q20" i="12"/>
  <c r="I16" i="56"/>
  <c r="E5" i="52"/>
  <c r="I9" i="52"/>
  <c r="N2" i="46"/>
  <c r="I7" i="42"/>
  <c r="B2" i="38"/>
  <c r="C6" i="40"/>
  <c r="D7" i="28"/>
  <c r="M7" i="28"/>
  <c r="J3" i="39"/>
  <c r="P4" i="12"/>
  <c r="M8" i="12"/>
  <c r="N22" i="12"/>
  <c r="I10" i="56"/>
  <c r="V6" i="56"/>
  <c r="T16" i="56"/>
  <c r="H6" i="52"/>
  <c r="F11" i="52"/>
  <c r="I4" i="42"/>
  <c r="E9" i="42"/>
  <c r="D14" i="42"/>
  <c r="K3" i="1"/>
  <c r="I12" i="1"/>
  <c r="Q8" i="12"/>
  <c r="P12" i="12"/>
  <c r="R4" i="9"/>
  <c r="F2" i="15"/>
  <c r="F14" i="42"/>
  <c r="C12" i="39"/>
  <c r="J5" i="39"/>
  <c r="R4" i="12"/>
  <c r="Q12" i="12"/>
  <c r="G12" i="56"/>
  <c r="H11" i="52"/>
  <c r="A2" i="7"/>
  <c r="D8" i="28"/>
  <c r="E6" i="12"/>
  <c r="C7" i="52"/>
  <c r="D2" i="7"/>
  <c r="C5" i="42"/>
  <c r="G14" i="42"/>
  <c r="J8" i="48"/>
  <c r="C11" i="40"/>
  <c r="D13" i="49"/>
  <c r="F9" i="1"/>
  <c r="L12" i="1"/>
  <c r="H20" i="1"/>
  <c r="F2" i="39"/>
  <c r="G19" i="12"/>
  <c r="K9" i="12"/>
  <c r="B16" i="56"/>
  <c r="V8" i="56"/>
  <c r="T17" i="56"/>
  <c r="D5" i="42"/>
  <c r="F7" i="60"/>
  <c r="I20" i="1"/>
  <c r="L13" i="12"/>
  <c r="M19" i="12"/>
  <c r="H13" i="56"/>
  <c r="E2" i="7"/>
  <c r="K2" i="15"/>
  <c r="H14" i="42"/>
  <c r="J10" i="48"/>
  <c r="C12" i="40"/>
  <c r="D14" i="49"/>
  <c r="G9" i="1"/>
  <c r="G13" i="1"/>
  <c r="E11" i="28"/>
  <c r="M10" i="28"/>
  <c r="F3" i="39"/>
  <c r="J7" i="39"/>
  <c r="E20" i="12"/>
  <c r="N5" i="12"/>
  <c r="L9" i="12"/>
  <c r="L23" i="12"/>
  <c r="B17" i="56"/>
  <c r="S9" i="56"/>
  <c r="E3" i="52"/>
  <c r="E12" i="52"/>
  <c r="A2" i="18"/>
  <c r="E5" i="42"/>
  <c r="D10" i="42"/>
  <c r="G13" i="43"/>
  <c r="AA4" i="9"/>
  <c r="G5" i="60"/>
  <c r="D9" i="49"/>
  <c r="J19" i="1"/>
  <c r="S15" i="12"/>
  <c r="E2" i="15"/>
  <c r="G9" i="43"/>
  <c r="J5" i="48"/>
  <c r="E6" i="60"/>
  <c r="H8" i="1"/>
  <c r="H9" i="28"/>
  <c r="C10" i="39"/>
  <c r="F4" i="12"/>
  <c r="G15" i="12"/>
  <c r="L18" i="12"/>
  <c r="B14" i="56"/>
  <c r="J10" i="56"/>
  <c r="H2" i="47"/>
  <c r="I9" i="42"/>
  <c r="C7" i="40"/>
  <c r="D10" i="49"/>
  <c r="K19" i="1"/>
  <c r="E7" i="28"/>
  <c r="K8" i="28"/>
  <c r="J4" i="39"/>
  <c r="Q4" i="12"/>
  <c r="O22" i="12"/>
  <c r="U16" i="56"/>
  <c r="J6" i="52"/>
  <c r="J4" i="42"/>
  <c r="H9" i="43"/>
  <c r="J7" i="48"/>
  <c r="C8" i="40"/>
  <c r="F4" i="1"/>
  <c r="J8" i="1"/>
  <c r="J12" i="1"/>
  <c r="L19" i="1"/>
  <c r="E5" i="12"/>
  <c r="E18" i="12"/>
  <c r="R8" i="12"/>
  <c r="M18" i="12"/>
  <c r="B15" i="56"/>
  <c r="U8" i="56"/>
  <c r="J9" i="42"/>
  <c r="T4" i="9"/>
  <c r="E7" i="60"/>
  <c r="I4" i="1"/>
  <c r="H10" i="28"/>
  <c r="G18" i="12"/>
  <c r="P22" i="12"/>
  <c r="J2" i="15"/>
  <c r="H11" i="43"/>
  <c r="E10" i="28"/>
  <c r="L10" i="28"/>
  <c r="J6" i="39"/>
  <c r="M5" i="12"/>
  <c r="K13" i="12"/>
  <c r="D12" i="52"/>
  <c r="C10" i="42"/>
  <c r="Z4" i="9"/>
  <c r="J4" i="1"/>
  <c r="G11" i="28"/>
  <c r="F6" i="12"/>
  <c r="G7" i="60"/>
  <c r="K4" i="1"/>
  <c r="H9" i="1"/>
  <c r="K20" i="1"/>
  <c r="H11" i="28"/>
  <c r="J8" i="39"/>
  <c r="F7" i="12"/>
  <c r="M13" i="12"/>
  <c r="N19" i="12"/>
  <c r="J13" i="56"/>
  <c r="D8" i="52"/>
  <c r="F2" i="7"/>
  <c r="C6" i="42"/>
  <c r="I10" i="42"/>
  <c r="I14" i="42"/>
  <c r="J11" i="48"/>
  <c r="C9" i="40"/>
  <c r="G8" i="60"/>
  <c r="C20" i="55"/>
  <c r="J5" i="1"/>
  <c r="K8" i="1"/>
  <c r="L11" i="1"/>
  <c r="L14" i="1"/>
  <c r="C13" i="39"/>
  <c r="Q6" i="12"/>
  <c r="N12" i="12"/>
  <c r="L15" i="12"/>
  <c r="R19" i="12"/>
  <c r="Q22" i="12"/>
  <c r="J7" i="56"/>
  <c r="S7" i="56"/>
  <c r="V13" i="56"/>
  <c r="D4" i="52"/>
  <c r="F7" i="52"/>
  <c r="C11" i="52"/>
  <c r="J2" i="46"/>
  <c r="H3" i="42"/>
  <c r="C10" i="43"/>
  <c r="V4" i="9"/>
  <c r="H2" i="38"/>
  <c r="F3" i="60"/>
  <c r="C13" i="1"/>
  <c r="E8" i="28"/>
  <c r="G7" i="28"/>
  <c r="M4" i="28"/>
  <c r="L12" i="28"/>
  <c r="H9" i="39"/>
  <c r="B10" i="12"/>
  <c r="G8" i="12"/>
  <c r="E19" i="12"/>
  <c r="S3" i="12"/>
  <c r="Y13" i="12" s="1" a="1"/>
  <c r="Y13" i="12" s="1"/>
  <c r="O9" i="12"/>
  <c r="R22" i="12"/>
  <c r="H14" i="56"/>
  <c r="T7" i="56"/>
  <c r="I2" i="7"/>
  <c r="H2" i="15"/>
  <c r="D7" i="42"/>
  <c r="J13" i="42"/>
  <c r="A11" i="9"/>
  <c r="A10" i="9"/>
  <c r="A12" i="9"/>
  <c r="A7" i="9"/>
  <c r="A9" i="9"/>
  <c r="A8" i="9"/>
  <c r="A5" i="9"/>
  <c r="A4" i="9"/>
  <c r="A13" i="9"/>
  <c r="A6" i="9"/>
  <c r="X4" i="9"/>
  <c r="J2" i="38"/>
  <c r="H8" i="60"/>
  <c r="C10" i="40"/>
  <c r="C21" i="55"/>
  <c r="C14" i="1"/>
  <c r="K5" i="1"/>
  <c r="L8" i="1"/>
  <c r="F12" i="1"/>
  <c r="F15" i="1"/>
  <c r="C14" i="39"/>
  <c r="F19" i="12"/>
  <c r="R6" i="12"/>
  <c r="O12" i="12"/>
  <c r="M15" i="12"/>
  <c r="S19" i="12"/>
  <c r="B7" i="56"/>
  <c r="G8" i="56"/>
  <c r="S14" i="56"/>
  <c r="E4" i="52"/>
  <c r="I7" i="52"/>
  <c r="D11" i="52"/>
  <c r="I3" i="42"/>
  <c r="H10" i="42"/>
  <c r="C11" i="43"/>
  <c r="G3" i="60"/>
  <c r="D4" i="49"/>
  <c r="H7" i="28"/>
  <c r="K5" i="28"/>
  <c r="M12" i="28"/>
  <c r="H12" i="39"/>
  <c r="B11" i="12"/>
  <c r="F9" i="12"/>
  <c r="L4" i="12"/>
  <c r="R9" i="12"/>
  <c r="S22" i="12"/>
  <c r="I14" i="56"/>
  <c r="T8" i="56"/>
  <c r="K2" i="7"/>
  <c r="I2" i="15"/>
  <c r="E7" i="42"/>
  <c r="C14" i="42"/>
  <c r="Y4" i="9"/>
  <c r="K2" i="38"/>
  <c r="N8" i="12"/>
  <c r="K11" i="12"/>
  <c r="Q13" i="12"/>
  <c r="P18" i="12"/>
  <c r="S11" i="56"/>
  <c r="V17" i="56"/>
  <c r="E9" i="52"/>
  <c r="I8" i="42"/>
  <c r="C12" i="42"/>
  <c r="G10" i="43"/>
  <c r="J4" i="9"/>
  <c r="G6" i="60"/>
  <c r="G11" i="60"/>
  <c r="C13" i="55"/>
  <c r="D4" i="28"/>
  <c r="H12" i="28"/>
  <c r="L8" i="28"/>
  <c r="C4" i="39"/>
  <c r="G12" i="12"/>
  <c r="G23" i="12"/>
  <c r="P5" i="12"/>
  <c r="O8" i="12"/>
  <c r="P21" i="12"/>
  <c r="C8" i="13"/>
  <c r="G11" i="56"/>
  <c r="I17" i="56"/>
  <c r="E6" i="52"/>
  <c r="H12" i="52"/>
  <c r="M2" i="47"/>
  <c r="K2" i="5"/>
  <c r="J2" i="18"/>
  <c r="I15" i="42"/>
  <c r="M4" i="9"/>
  <c r="AJ4" i="9"/>
  <c r="J12" i="48"/>
  <c r="C14" i="55"/>
  <c r="C3" i="1"/>
  <c r="G4" i="1"/>
  <c r="H7" i="1"/>
  <c r="I10" i="1"/>
  <c r="L13" i="1"/>
  <c r="F20" i="1"/>
  <c r="E4" i="28"/>
  <c r="D18" i="28"/>
  <c r="L9" i="28"/>
  <c r="F14" i="39"/>
  <c r="J11" i="39"/>
  <c r="F5" i="12"/>
  <c r="K3" i="12"/>
  <c r="M11" i="12"/>
  <c r="R13" i="12"/>
  <c r="K19" i="12"/>
  <c r="C9" i="13"/>
  <c r="H5" i="56"/>
  <c r="T11" i="56"/>
  <c r="C3" i="52"/>
  <c r="F9" i="52"/>
  <c r="K2" i="18"/>
  <c r="J8" i="42"/>
  <c r="G12" i="42"/>
  <c r="H10" i="43"/>
  <c r="AL4" i="9"/>
  <c r="H6" i="60"/>
  <c r="E12" i="60"/>
  <c r="H4" i="1"/>
  <c r="F14" i="1"/>
  <c r="H13" i="28"/>
  <c r="C6" i="39"/>
  <c r="H2" i="39"/>
  <c r="E13" i="12"/>
  <c r="Q5" i="12"/>
  <c r="P8" i="12"/>
  <c r="Q21" i="12"/>
  <c r="C10" i="13"/>
  <c r="H11" i="56"/>
  <c r="U5" i="56"/>
  <c r="F6" i="52"/>
  <c r="H9" i="52"/>
  <c r="J12" i="52"/>
  <c r="N2" i="47"/>
  <c r="L2" i="5"/>
  <c r="J5" i="42"/>
  <c r="J15" i="42"/>
  <c r="N4" i="9"/>
  <c r="J13" i="48"/>
  <c r="C15" i="55"/>
  <c r="C4" i="1"/>
  <c r="I7" i="1"/>
  <c r="F11" i="1"/>
  <c r="G20" i="1"/>
  <c r="E5" i="28"/>
  <c r="E18" i="28"/>
  <c r="G14" i="28"/>
  <c r="K10" i="28"/>
  <c r="J12" i="39"/>
  <c r="G5" i="12"/>
  <c r="G14" i="12"/>
  <c r="M3" i="12"/>
  <c r="N11" i="12"/>
  <c r="S13" i="12"/>
  <c r="L19" i="12"/>
  <c r="I5" i="56"/>
  <c r="J11" i="56"/>
  <c r="V5" i="56"/>
  <c r="U11" i="56"/>
  <c r="D3" i="52"/>
  <c r="L2" i="18"/>
  <c r="D9" i="42"/>
  <c r="H12" i="42"/>
  <c r="AN4" i="9"/>
  <c r="E14" i="28"/>
  <c r="G10" i="28"/>
  <c r="L5" i="28"/>
  <c r="K12" i="28"/>
  <c r="C9" i="39"/>
  <c r="J9" i="39"/>
  <c r="E10" i="12"/>
  <c r="N15" i="12"/>
  <c r="Q19" i="12"/>
  <c r="C23" i="56"/>
  <c r="J9" i="56"/>
  <c r="G15" i="56"/>
  <c r="S13" i="56"/>
  <c r="D6" i="52"/>
  <c r="J8" i="52"/>
  <c r="G11" i="52"/>
  <c r="M2" i="46"/>
  <c r="G2" i="7"/>
  <c r="J7" i="42"/>
  <c r="H13" i="42"/>
  <c r="C7" i="43"/>
  <c r="G11" i="43"/>
  <c r="I4" i="9"/>
  <c r="J4" i="48"/>
  <c r="C2" i="38"/>
  <c r="J14" i="48"/>
  <c r="F10" i="60"/>
  <c r="F5" i="1"/>
  <c r="L7" i="1"/>
  <c r="J10" i="1"/>
  <c r="I13" i="1"/>
  <c r="G19" i="1"/>
  <c r="H5" i="28"/>
  <c r="G15" i="28"/>
  <c r="F13" i="12"/>
  <c r="S4" i="12"/>
  <c r="M7" i="12"/>
  <c r="P9" i="12"/>
  <c r="R11" i="12"/>
  <c r="M14" i="12"/>
  <c r="Q18" i="12"/>
  <c r="L21" i="12"/>
  <c r="H7" i="56"/>
  <c r="U15" i="56"/>
  <c r="G7" i="52"/>
  <c r="D2" i="5"/>
  <c r="J3" i="42"/>
  <c r="I6" i="42"/>
  <c r="H5" i="60"/>
  <c r="C15" i="40"/>
  <c r="D7" i="49"/>
  <c r="C12" i="1"/>
  <c r="H19" i="1"/>
  <c r="E9" i="28"/>
  <c r="K9" i="28"/>
  <c r="L15" i="28"/>
  <c r="F7" i="39"/>
  <c r="H14" i="39"/>
  <c r="B8" i="12"/>
  <c r="E7" i="12"/>
  <c r="E14" i="12"/>
  <c r="E23" i="12"/>
  <c r="S11" i="12"/>
  <c r="O23" i="12"/>
  <c r="B9" i="56"/>
  <c r="I12" i="56"/>
  <c r="T5" i="56"/>
  <c r="U10" i="56"/>
  <c r="H4" i="52"/>
  <c r="F10" i="52"/>
  <c r="C2" i="46"/>
  <c r="N2" i="15"/>
  <c r="H9" i="42"/>
  <c r="F12" i="42"/>
  <c r="H6" i="43"/>
  <c r="W4" i="9"/>
  <c r="E2" i="38"/>
  <c r="J15" i="48"/>
  <c r="D6" i="49"/>
  <c r="C11" i="1"/>
  <c r="D9" i="28"/>
  <c r="M8" i="28"/>
  <c r="K15" i="28"/>
  <c r="F6" i="39"/>
  <c r="H13" i="39"/>
  <c r="B7" i="12"/>
  <c r="G6" i="12"/>
  <c r="G22" i="12"/>
  <c r="N23" i="12"/>
  <c r="B8" i="56"/>
  <c r="J6" i="56"/>
  <c r="H12" i="56"/>
  <c r="J17" i="56"/>
  <c r="T10" i="56"/>
  <c r="G4" i="52"/>
  <c r="E10" i="52"/>
  <c r="B2" i="46"/>
  <c r="I2" i="47"/>
  <c r="M2" i="15"/>
  <c r="D12" i="42"/>
  <c r="J14" i="42"/>
  <c r="G6" i="43"/>
  <c r="G10" i="60"/>
  <c r="G5" i="1"/>
  <c r="F8" i="1"/>
  <c r="L10" i="1"/>
  <c r="J13" i="1"/>
  <c r="D10" i="28"/>
  <c r="G6" i="28"/>
  <c r="H15" i="28"/>
  <c r="B9" i="12"/>
  <c r="L5" i="12"/>
  <c r="N7" i="12"/>
  <c r="Q9" i="12"/>
  <c r="N14" i="12"/>
  <c r="R18" i="12"/>
  <c r="M21" i="12"/>
  <c r="I7" i="56"/>
  <c r="C5" i="52"/>
  <c r="H7" i="52"/>
  <c r="L2" i="47"/>
  <c r="F2" i="5"/>
  <c r="C4" i="42"/>
  <c r="J6" i="42"/>
  <c r="E15" i="42"/>
  <c r="G12" i="60"/>
  <c r="D11" i="49"/>
  <c r="C15" i="1"/>
  <c r="K7" i="1"/>
  <c r="K12" i="1"/>
  <c r="L20" i="1"/>
  <c r="E13" i="28"/>
  <c r="H8" i="28"/>
  <c r="M9" i="28"/>
  <c r="F5" i="39"/>
  <c r="B3" i="12"/>
  <c r="F10" i="12"/>
  <c r="K5" i="12"/>
  <c r="S8" i="12"/>
  <c r="R12" i="12"/>
  <c r="S14" i="12"/>
  <c r="S18" i="12"/>
  <c r="S20" i="12"/>
  <c r="I13" i="56"/>
  <c r="S5" i="56"/>
  <c r="U9" i="56"/>
  <c r="F3" i="52"/>
  <c r="G10" i="52"/>
  <c r="E2" i="47"/>
  <c r="F2" i="18"/>
  <c r="H6" i="42"/>
  <c r="E11" i="42"/>
  <c r="I13" i="42"/>
  <c r="H8" i="43"/>
  <c r="J6" i="48"/>
  <c r="F8" i="60"/>
  <c r="C12" i="55"/>
  <c r="D12" i="49"/>
  <c r="H5" i="1"/>
  <c r="H10" i="1"/>
  <c r="I15" i="1"/>
  <c r="D5" i="28"/>
  <c r="K4" i="28"/>
  <c r="M15" i="28"/>
  <c r="H10" i="39"/>
  <c r="G4" i="12"/>
  <c r="F18" i="12"/>
  <c r="L3" i="12"/>
  <c r="K7" i="12"/>
  <c r="S10" i="12"/>
  <c r="K21" i="12"/>
  <c r="K23" i="12"/>
  <c r="C13" i="13"/>
  <c r="C24" i="56"/>
  <c r="V9" i="56"/>
  <c r="T14" i="56"/>
  <c r="I5" i="52"/>
  <c r="E8" i="52"/>
  <c r="A2" i="46"/>
  <c r="J2" i="7"/>
  <c r="B2" i="15"/>
  <c r="F4" i="42"/>
  <c r="C9" i="42"/>
  <c r="C4" i="43"/>
  <c r="S4" i="9"/>
  <c r="AM4" i="9"/>
  <c r="G7" i="12"/>
  <c r="F21" i="12"/>
  <c r="L6" i="12"/>
  <c r="K10" i="12"/>
  <c r="K12" i="12"/>
  <c r="L22" i="12"/>
  <c r="C5" i="13"/>
  <c r="B11" i="56"/>
  <c r="T12" i="56"/>
  <c r="V16" i="56"/>
  <c r="D7" i="52"/>
  <c r="I11" i="52"/>
  <c r="K2" i="46"/>
  <c r="G2" i="5"/>
  <c r="D3" i="42"/>
  <c r="H5" i="42"/>
  <c r="F10" i="42"/>
  <c r="C15" i="42"/>
  <c r="AD4" i="9"/>
  <c r="J16" i="48"/>
  <c r="F6" i="60"/>
  <c r="C14" i="40"/>
  <c r="C8" i="1"/>
  <c r="K6" i="1"/>
  <c r="H14" i="1"/>
  <c r="H4" i="28"/>
  <c r="L7" i="28"/>
  <c r="C11" i="39"/>
  <c r="H3" i="39"/>
  <c r="B13" i="12"/>
  <c r="G13" i="12"/>
  <c r="M4" i="12"/>
  <c r="L8" i="12"/>
  <c r="L10" i="12"/>
  <c r="K14" i="12"/>
  <c r="K18" i="12"/>
  <c r="K20" i="12"/>
  <c r="G7" i="56"/>
  <c r="I11" i="56"/>
  <c r="G16" i="56"/>
  <c r="U7" i="56"/>
  <c r="J4" i="52"/>
  <c r="G9" i="52"/>
  <c r="B2" i="7"/>
  <c r="L2" i="15"/>
  <c r="C8" i="42"/>
  <c r="I12" i="42"/>
  <c r="G14" i="43"/>
  <c r="K4" i="9"/>
  <c r="I2" i="38"/>
  <c r="E22" i="12"/>
  <c r="M6" i="12"/>
  <c r="L12" i="12"/>
  <c r="M22" i="12"/>
  <c r="C6" i="13"/>
  <c r="B12" i="56"/>
  <c r="U12" i="56"/>
  <c r="S17" i="56"/>
  <c r="E7" i="52"/>
  <c r="L2" i="46"/>
  <c r="H2" i="5"/>
  <c r="E3" i="42"/>
  <c r="I5" i="42"/>
  <c r="G10" i="42"/>
  <c r="D15" i="42"/>
  <c r="G5" i="43"/>
  <c r="AE4" i="9"/>
  <c r="J19" i="48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L4" i="9"/>
  <c r="AB4" i="9"/>
  <c r="D2" i="38"/>
  <c r="J9" i="48"/>
  <c r="P14" i="12"/>
  <c r="L20" i="12"/>
  <c r="S21" i="12"/>
  <c r="B5" i="56"/>
  <c r="C26" i="56"/>
  <c r="J12" i="56"/>
  <c r="V7" i="56"/>
  <c r="J3" i="52"/>
  <c r="J7" i="52"/>
  <c r="H2" i="46"/>
  <c r="L2" i="7"/>
  <c r="B2" i="18"/>
  <c r="F5" i="42"/>
  <c r="F7" i="42"/>
  <c r="F9" i="42"/>
  <c r="F13" i="42"/>
  <c r="G12" i="43"/>
  <c r="E4" i="9"/>
  <c r="U4" i="9"/>
  <c r="AK4" i="9"/>
  <c r="M2" i="38"/>
  <c r="J20" i="48"/>
  <c r="N18" i="12"/>
  <c r="Q23" i="12"/>
  <c r="J8" i="56"/>
  <c r="J16" i="56"/>
  <c r="V11" i="56"/>
  <c r="V15" i="56"/>
  <c r="J5" i="52"/>
  <c r="J9" i="52"/>
  <c r="J11" i="52"/>
  <c r="J2" i="47"/>
  <c r="N2" i="5"/>
  <c r="F3" i="42"/>
  <c r="F11" i="42"/>
  <c r="F15" i="42"/>
  <c r="G4" i="43"/>
  <c r="H3" i="60"/>
  <c r="H7" i="60"/>
  <c r="H11" i="60"/>
  <c r="C17" i="40"/>
  <c r="D5" i="49"/>
  <c r="C7" i="1"/>
  <c r="L3" i="1"/>
  <c r="G6" i="1"/>
  <c r="I8" i="1"/>
  <c r="K10" i="1"/>
  <c r="F13" i="1"/>
  <c r="H15" i="1"/>
  <c r="J20" i="1"/>
  <c r="D3" i="28"/>
  <c r="D11" i="28"/>
  <c r="G5" i="28"/>
  <c r="G13" i="28"/>
  <c r="L6" i="28"/>
  <c r="M11" i="28"/>
  <c r="C5" i="39"/>
  <c r="F8" i="39"/>
  <c r="H11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K18" i="48" a="1"/>
  <c r="N3" i="48" a="1"/>
  <c r="L18" i="48" a="1"/>
  <c r="O3" i="48" a="1"/>
  <c r="O3" i="48" l="1"/>
  <c r="L18" i="48"/>
  <c r="N3" i="48"/>
  <c r="K18" i="48"/>
  <c r="C2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K20" i="48" l="1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6" i="13" l="1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16" i="40" l="1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69E3C46-03E3-45F8-8820-6854C233AA3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Timestamp="1720783917"&gt;&lt;FQL&gt;&lt;Q&gt;EWD^FREF_MARKET_VALUE_COMPANY(0,,,USD,,0,,"LEGACY")&lt;/Q&gt;&lt;R&gt;1&lt;/R&gt;&lt;C&gt;1&lt;/C&gt;&lt;D xsi:type="xsd:double"&gt;392.064&lt;/D&gt;&lt;/FQL&gt;&lt;FQL&gt;&lt;Q&gt;FC0000US^FMA_MCAP(0,,,USD,"PORTAGG")&lt;/Q&gt;&lt;R&gt;1&lt;/R&gt;&lt;C&gt;1&lt;/C&gt;&lt;D xsi:type="xsd:double"&gt;57806324&lt;/D&gt;&lt;/FQL&gt;&lt;FQL&gt;&lt;Q&gt;FC0000GB^FMA_MCAP(0,,,USD,"PORTAGG")&lt;/Q&gt;&lt;R&gt;1&lt;/R&gt;&lt;C&gt;1&lt;/C&gt;&lt;D xsi:type="xsd:double"&gt;3303913.8&lt;/D&gt;&lt;/FQL&gt;&lt;FQL&gt;&lt;Q&gt;FC0000CH^FMA_MCAP(0,,,USD,"PORTAGG")&lt;/Q&gt;&lt;R&gt;1&lt;/R&gt;&lt;C&gt;1&lt;/C&gt;&lt;D xsi:type="xsd:double"&gt;2226699&lt;/D&gt;&lt;/FQL&gt;&lt;FQL&gt;&lt;Q&gt;FC0000JP^FMA_MCAP(0,,,USD,"PORTAGG")&lt;/Q&gt;&lt;R&gt;1&lt;/R&gt;&lt;C&gt;1&lt;/C&gt;&lt;D xsi:type="xsd:double"&gt;6689818&lt;/D&gt;&lt;/FQL&gt;&lt;FQL&gt;&lt;Q&gt;EWG^FREF_MARKET_VALUE_COMPANY(0,,,USD,,0,,"LEGACY")&lt;/Q&gt;&lt;R&gt;1&lt;/R&gt;&lt;C&gt;1&lt;/C&gt;&lt;D xsi:type="xsd:double"&gt;933.471&lt;/D&gt;&lt;/FQL&gt;&lt;FQL&gt;&lt;Q&gt;FC0000DE^FMA_MCAP(0,,,USD,"PORTAGG")&lt;/Q&gt;&lt;R&gt;1&lt;/R&gt;&lt;C&gt;1&lt;/C&gt;&lt;D xsi:type="xsd:double"&gt;2294066.8&lt;/D&gt;&lt;/FQL&gt;&lt;FQL&gt;&lt;Q&gt;EWC^FREF_MARKET_VALUE_COMPANY(0,,,USD,,0,,"LEGACY")&lt;/Q&gt;&lt;R&gt;1&lt;/R&gt;&lt;C&gt;1&lt;/C&gt;&lt;D xsi:type="xsd:double"&gt;2487.024&lt;/D&gt;&lt;/FQL&gt;&lt;FQL&gt;&lt;Q&gt;FC0000CA^FMA_MCAP(0,,,USD,"PORTAGG")&lt;/Q&gt;&lt;R&gt;1&lt;/R&gt;&lt;C&gt;1&lt;/C&gt;&lt;D xsi:type="xsd:double"&gt;2789844.5&lt;/D&gt;&lt;/FQL&gt;&lt;FQL&gt;&lt;Q&gt;EWA^FREF_MARKET_VALUE_COMPANY(0,,,USD,,0,,"LEGACY")&lt;/Q&gt;&lt;R&gt;1&lt;/R&gt;&lt;C&gt;1&lt;/C&gt;&lt;D xsi:type="xsd:double"&gt;1566.12&lt;/D&gt;&lt;/FQL&gt;&lt;FQL&gt;&lt;Q&gt;FC0000AU^FMA_MCAP(0,,,USD,"PORTAGG")&lt;/Q&gt;&lt;R&gt;1&lt;/R&gt;&lt;C&gt;1&lt;/C&gt;&lt;D xsi:type="xsd:double"&gt;1759662.8&lt;/D&gt;&lt;/FQL&gt;&lt;FQL&gt;&lt;Q&gt;ENZL^FREF_MARKET_VALUE_COMPANY(0,,,USD,,0,,"LEGACY")&lt;/Q&gt;&lt;R&gt;1&lt;/R&gt;&lt;C&gt;1&lt;/C&gt;&lt;D xsi:type="xsd:double"&gt;85.507&lt;/D&gt;&lt;/FQL&gt;&lt;FQL&gt;&lt;Q&gt;FC0000NZ^FMA_MCAP(0,,,USD,"PORTAGG")&lt;/Q&gt;&lt;R&gt;1&lt;/R&gt;&lt;C&gt;1&lt;/C&gt;&lt;D xsi:type="xsd:double"&gt;94353.484&lt;/D&gt;&lt;/FQL&gt;&lt;FQL&gt;&lt;Q&gt;NQG00809^FG_COMPANY_NAME&lt;/Q&gt;&lt;R&gt;1&lt;/R&gt;&lt;C&gt;1&lt;/C&gt;&lt;D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Africa&lt;/D&gt;&lt;/FQL&gt;&lt;FQL&gt;&lt;Q&gt;FC0000ZA^FG_MCAP_IDX(0,,,USD)&lt;/Q&gt;&lt;R&gt;1&lt;/R&gt;&lt;C&gt;1&lt;/C&gt;&lt;D xsi:type="xsd:double"&gt;336657.7&lt;/D&gt;&lt;/FQL&gt;&lt;FQL&gt;&lt;Q&gt;EWI^FREF_MARKET_VALUE_COMPANY(0,,,USD,,0,,"LEGACY")&lt;/Q&gt;&lt;R&gt;1&lt;/R&gt;&lt;C&gt;1&lt;/C&gt;&lt;D xsi:type="xsd:double"&gt;460.635&lt;/D&gt;&lt;/FQL&gt;&lt;FQL&gt;&lt;Q&gt;FC0000IT^FMA_MCAP(0,,,USD,"PORTAGG")&lt;/Q&gt;&lt;R&gt;1&lt;/R&gt;&lt;C&gt;1&lt;/C&gt;&lt;D xsi:type="xsd:double"&gt;880794.5&lt;/D&gt;&lt;/FQL&gt;&lt;FQL&gt;&lt;Q&gt;FC0000SE^FMA_MCAP(0,,,USD,"PORTAGG")&lt;/Q&gt;&lt;R&gt;1&lt;/R&gt;&lt;C&gt;1&lt;/C&gt;&lt;D xsi:type="xsd:double"&gt;1039511&lt;/D&gt;&lt;/FQL&gt;&lt;FQL&gt;&lt;Q&gt;EWN^FREF_MARKET_VALUE_COMPANY(0,,,USD,,0,,"LEGACY")&lt;/Q&gt;&lt;R&gt;1&lt;/R&gt;&lt;C&gt;1&lt;/C&gt;&lt;D xsi:type="xsd:double"&gt;296.115&lt;/D&gt;&lt;/FQL&gt;&lt;FQL&gt;&lt;Q&gt;FC0000NL^FMA_MCAP(0,,,USD,"PORTAGG")&lt;/Q&gt;&lt;R&gt;1&lt;/R&gt;&lt;C&gt;1&lt;/C&gt;&lt;D xsi:type="xsd:double"&gt;1200638.3&lt;/D&gt;&lt;/FQL&gt;&lt;FQL&gt;&lt;Q&gt;EWQ^FREF_MARKET_VALUE_COMPANY(0,,,USD,,0,,"LEGACY")&lt;/Q&gt;&lt;R&gt;1&lt;/R&gt;&lt;C&gt;1&lt;/C&gt;&lt;D xsi:type="xsd:double"&gt;654.864&lt;/D&gt;&lt;/FQL&gt;&lt;FQL&gt;&lt;Q&gt;FC0000FR^FMA_MCAP(0,,,USD,"PORTAGG")&lt;/Q&gt;&lt;R&gt;1&lt;/R&gt;&lt;C&gt;1&lt;/C&gt;&lt;D xsi:type="xsd:double"&gt;3201614&lt;/D&gt;&lt;/FQL&gt;&lt;FQL&gt;&lt;Q&gt;EWL^FREF_MARKET_VALUE_COMPANY(0,,,USD,,0,,"LEGACY")&lt;/Q&gt;&lt;R&gt;1&lt;/R&gt;&lt;C&gt;1&lt;/C&gt;&lt;D xsi:type="xsd:double"&gt;1177.0375&lt;/D&gt;&lt;/FQL&gt;&lt;FQL&gt;&lt;Q&gt;EWJ^FREF_MARKET_VALUE_COMPANY(0,,,USD,,0,,"LEGACY")&lt;/Q&gt;&lt;R&gt;1&lt;/R&gt;&lt;C&gt;1&lt;/C&gt;&lt;D xsi:type="xsd:double"&gt;16232.886&lt;/D&gt;&lt;/FQL&gt;&lt;FQL&gt;&lt;Q&gt;NQG00809^FMA_MCAP(0,,,USD,"PORTAGG")&lt;/Q&gt;&lt;R&gt;0&lt;/R&gt;&lt;C&gt;0&lt;/C&gt;&lt;/FQL&gt;&lt;FQL&gt;&lt;Q&gt;SPY^FREF_MARKET_VALUE_COMPANY(0,,,USD,,0,,"LEGACY")&lt;/Q&gt;&lt;R&gt;1&lt;/R&gt;&lt;C&gt;1&lt;/C&gt;&lt;D xsi:type="xsd:double"&gt;551767.783008&lt;/D&gt;&lt;/FQL&gt;&lt;FQL&gt;&lt;Q&gt;QQQ^FREF_MARKET_VALUE_COMPANY(0,,,USD,,0,,"LEGACY")&lt;/Q&gt;&lt;R&gt;1&lt;/R&gt;&lt;C&gt;1&lt;/C&gt;&lt;D xsi:type="xsd:double"&gt;298109.58&lt;/D&gt;&lt;/FQL&gt;&lt;FQL&gt;&lt;Q&gt;EWU^FREF_MARKET_VALUE_COMPANY(0,,,USD,,0,,"LEGACY")&lt;/Q&gt;&lt;R&gt;1&lt;/R&gt;&lt;C&gt;1&lt;/C&gt;&lt;D xsi:type="xsd:double"&gt;2901.758&lt;/D&gt;&lt;/FQL&gt;&lt;FQL&gt;&lt;Q&gt;DUMMY^ECON_EXPR_DATA('FDS_ECON[NTCPMIMFGSA@IT]',,,M)&lt;/Q&gt;&lt;R&gt;1&lt;/R&gt;&lt;C&gt;1&lt;/C&gt;&lt;D xsi:type="xsd:double"&gt;45.728035&lt;/D&gt;&lt;/FQL&gt;&lt;FQL&gt;&lt;Q&gt;DUMMY^ECON_EXPR_DATA('FDS_ECON[NTCPMIMFGSA@FR]',,,M)&lt;/Q&gt;&lt;R&gt;1&lt;/R&gt;&lt;C&gt;1&lt;/C&gt;&lt;D xsi:type="xsd:double"&gt;45.352627&lt;/D&gt;&lt;/FQL&gt;&lt;FQL&gt;&lt;Q&gt;DUMMY^ECON_EXPR_DATA('FDS_ECON[NTCPMIMFGMESA@US]',,,M)&lt;/Q&gt;&lt;R&gt;1&lt;/R&gt;&lt;C&gt;1&lt;/C&gt;&lt;D xsi:type="xsd:double"&gt;51.57308&lt;/D&gt;&lt;/FQL&gt;&lt;FQL&gt;&lt;Q&gt;DUMMY^ECON_EXPR_DATA('FDS_ECON[NTCPMIMFGSA@CH]',,,M)&lt;/Q&gt;&lt;R&gt;1&lt;/R&gt;&lt;C&gt;1&lt;/C&gt;&lt;D xsi:type="xsd:double"&gt;43.87095&lt;/D&gt;&lt;/FQL&gt;&lt;FQL&gt;&lt;Q&gt;DUMMY^ECON_EXPR_DATA('FDS_ECON[NTCPMIMFGSA@JP]',,,M)&lt;/Q&gt;&lt;R&gt;1&lt;/R&gt;&lt;C&gt;1&lt;/C&gt;&lt;D xsi:type="xsd:double"&gt;50.046066&lt;/D&gt;&lt;/FQL&gt;&lt;FQL&gt;&lt;Q&gt;DUMMY^ECON_EXPR_DATA('FDS_ECON[NTCPMIMFGSA@AU]',,,M)&lt;/Q&gt;&lt;R&gt;1&lt;/R&gt;&lt;C&gt;1&lt;/C&gt;&lt;D xsi:type="xsd:double"&gt;47.17306&lt;/D&gt;&lt;/FQL&gt;&lt;FQL&gt;&lt;Q&gt;DUMMY^ECON_EXPR_DATA('FDS_ECON[]',,,M)&lt;/Q&gt;&lt;R&gt;0&lt;/R&gt;&lt;C&gt;0&lt;/C&gt;&lt;/FQL&gt;&lt;FQL&gt;&lt;Q&gt;DUMMY^ECON_EXPR_DATA('FDS_ECON[NTCPMIMFGSA@NL]',,,M)&lt;/Q&gt;&lt;R&gt;1&lt;/R&gt;&lt;C&gt;1&lt;/C&gt;&lt;D xsi:type="xsd:double"&gt;50.6796&lt;/D&gt;&lt;/FQL&gt;&lt;FQL&gt;&lt;Q&gt;DUMMY^ECON_EXPR_DATA('FDS_ECON[NTCPMIMFGSA@GB]',,,M)&lt;/Q&gt;&lt;R&gt;1&lt;/R&gt;&lt;C&gt;1&lt;/C&gt;&lt;D xsi:type="xsd:double"&gt;50.900154&lt;/D&gt;&lt;/FQL&gt;&lt;FQL&gt;&lt;Q&gt;DUMMY^ECON_EXPR_DATA('FDS_ECON[NTCPMIMFGSA@CA]',,,M)&lt;/Q&gt;&lt;R&gt;1&lt;/R&gt;&lt;C&gt;1&lt;/C&gt;&lt;D xsi:type="xsd:double"&gt;49.28048&lt;/D&gt;&lt;/FQL&gt;&lt;FQL&gt;&lt;Q&gt;DUMMY^ECON_EXPR_DATA('FDS_ECON[NTCPMIMFGSA@NZ]',,,M)&lt;/Q&gt;&lt;R&gt;1&lt;/R&gt;&lt;C&gt;1&lt;/C&gt;&lt;D xsi:type="xsd:double"&gt;41.100586&lt;/D&gt;&lt;/FQL&gt;&lt;FQL&gt;&lt;Q&gt;DUMMY^ECON_EXPR_DATA('FDS_ECON[NTCPMIMFGSA@DE]',,,M)&lt;/Q&gt;&lt;R&gt;1&lt;/R&gt;&lt;C&gt;1&lt;/C&gt;&lt;D xsi:type="xsd:double"&gt;43.50151&lt;/D&gt;&lt;/FQL&gt;&lt;FQL&gt;&lt;Q&gt;CAGDPY@FR^EE_ACTUAL_ANNUAL(MED,+1)&lt;/Q&gt;&lt;R&gt;1&lt;/R&gt;&lt;C&gt;1&lt;/C&gt;&lt;D xsi:type="xsd:double"&gt;-0.4&lt;/D&gt;&lt;/FQL&gt;&lt;FQL&gt;&lt;Q&gt;CAGDPY@AU^EE_ACTUAL_ANNUAL(MED,+1)&lt;/Q&gt;&lt;R&gt;1&lt;/R&gt;&lt;C&gt;1&lt;/C&gt;&lt;D xsi:type="xsd:double"&gt;-0.5&lt;/D&gt;&lt;/FQL&gt;&lt;FQL&gt;&lt;Q&gt;USDITL^FG_PRICE_CHANGE(0,-3AM)&lt;/Q&gt;&lt;R&gt;1&lt;/R&gt;&lt;C&gt;1&lt;/C&gt;&lt;D xsi:type="xsd:double"&gt;-1.5948176&lt;/D&gt;&lt;/FQL&gt;&lt;FQL&gt;&lt;Q&gt;USDANG^FG_PRICE_CHANGE(0,-3AM)&lt;/Q&gt;&lt;R&gt;1&lt;/R&gt;&lt;C&gt;1&lt;/C&gt;&lt;D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xsi:type="xsd:double"&gt;-3.133583&lt;/D&gt;&lt;/FQL&gt;&lt;FQL&gt;&lt;Q&gt;USDJPY^FG_PRICE_CHANGE(0,-3AM)&lt;/Q&gt;&lt;R&gt;1&lt;/R&gt;&lt;C&gt;1&lt;/C&gt;&lt;D xsi:type="xsd:double"&gt;3.4347773&lt;/D&gt;&lt;/FQL&gt;&lt;FQL&gt;&lt;Q&gt;USDCAD^FG_PRICE_CHANGE(0,-3AM)&lt;/Q&gt;&lt;R&gt;1&lt;/R&gt;&lt;C&gt;1&lt;/C&gt;&lt;D xsi:type="xsd:double"&gt;-0.76544285&lt;/D&gt;&lt;/FQL&gt;&lt;FQL&gt;&lt;Q&gt;USDNZD^FG_PRICE_CHANGE(0,-3AM)&lt;/Q&gt;&lt;R&gt;1&lt;/R&gt;&lt;C&gt;1&lt;/C&gt;&lt;D xsi:type="xsd:double"&gt;-2.337557&lt;/D&gt;&lt;/FQL&gt;&lt;FQL&gt;&lt;Q&gt;EWA^FMA_EPS(NTMA,-20AY,0,CY,,"PORTAGG","MEANR")&lt;/Q&gt;&lt;R&gt;20&lt;/R&gt;&lt;C&gt;1&lt;/C&gt;&lt;D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xsi:type="xsd:long"&gt;45393&lt;/D&gt;&lt;D xsi:type="xsd:long"&gt;45422&lt;/D&gt;&lt;D xsi:type="xsd:long"&gt;45454&lt;/D&gt;&lt;D xsi:type="xsd:long"&gt;45484&lt;/D&gt;&lt;/FQL&gt;&lt;FQL&gt;&lt;Q&gt;EWD^FMA_DIV_YLD(NTMA,-10AY,0,AM,"PORTAGG","MEANR")&lt;/Q&gt;&lt;R&gt;121&lt;/R&gt;&lt;C&gt;1&lt;/C&gt;&lt;D xsi:type="xsd:double"&gt;4.22063823734161&lt;/D&gt;&lt;D xsi:type="xsd:double"&gt;4.29636471501369&lt;/D&gt;&lt;D xsi:type="xsd:double"&gt;4.23585171681156&lt;/D&gt;&lt;D xsi:type="xsd:double"&gt;4.53040002480111&lt;/D&gt;&lt;D xsi:type="xsd:double"&gt;4.14145904389456&lt;/D&gt;&lt;D xsi:type="xsd:double"&gt;4.10434101915421&lt;/D&gt;&lt;D xsi:type="xsd:double"&gt;4.1537943816742&lt;/D&gt;&lt;D xsi:type="xsd:double"&gt;3.79542817607592&lt;/D&gt;&lt;D xsi:type="xsd:double"&gt;3.67254454233968&lt;/D&gt;&lt;D xsi:type="xsd:double"&gt;3.6075712904039&lt;/D&gt;&lt;D xsi:type="xsd:double"&gt;3.84169213914366&lt;/D&gt;&lt;D xsi:type="xsd:double"&gt;3.9041324576169&lt;/D&gt;&lt;D xsi:type="xsd:double"&gt;3.96182290230141&lt;/D&gt;&lt;D xsi:type="xsd:double"&gt;3.97529482099362&lt;/D&gt;&lt;D xsi:type="xsd:double"&gt;4.33107058101237&lt;/D&gt;&lt;D xsi:type="xsd:double"&gt;4.31015168727001&lt;/D&gt;&lt;D xsi:type="xsd:double"&gt;4.17303512871211&lt;/D&gt;&lt;D xsi:type="xsd:double"&gt;4.4659113915458&lt;/D&gt;&lt;D xsi:type="xsd:double"&gt;4.59350197399449&lt;/D&gt;&lt;D xsi:type="xsd:double"&gt;4.80644281212678&lt;/D&gt;&lt;D xsi:type="xsd:double"&gt;4.24082423501161&lt;/D&gt;&lt;D xsi:type="xsd:double"&gt;4.38461017202569&lt;/D&gt;&lt;D xsi:type="xsd:double"&gt;4.4343962082716&lt;/D&gt;&lt;D xsi:type="xsd:double"&gt;4.55788981641595&lt;/D&gt;&lt;D xsi:type="xsd:double"&gt;4.42365633023973&lt;/D&gt;&lt;D xsi:type="xsd:double"&gt;4.21088117688118&lt;/D&gt;&lt;D xsi:type="xsd:double"&gt;4.22129046246409&lt;/D&gt;&lt;D xsi:type="xsd:double"&gt;4.14728061980778&lt;/D&gt;&lt;D xsi:type="xsd:double"&gt;4.10678132346761&lt;/D&gt;&lt;D xsi:type="xsd:double"&gt;3.8795934791461&lt;/D&gt;&lt;D xsi:type="xsd:double"&gt;3.91475710691793&lt;/D&gt;&lt;D xsi:type="xsd:double"&gt;3.66795642893299&lt;/D&gt;&lt;D xsi:type="xsd:double"&gt;3.63027584186662&lt;/D&gt;&lt;D xsi:type="xsd:double"&gt;3.66357608593722&lt;/D&gt;&lt;D xsi:type="xsd:double"&gt;3.51774103840985&lt;/D&gt;&lt;D xsi:type="xsd:double"&gt;3.53038431692621&lt;/D&gt;&lt;D xsi:type="xsd:double"&gt;3.57477562858838&lt;/D&gt;&lt;D xsi:type="xsd:double"&gt;3.77350324160059&lt;/D&gt;&lt;D xsi:type="xsd:double"&gt;3.71929424545831&lt;/D&gt;&lt;D xsi:type="xsd:double"&gt;3.54991286882342&lt;/D&gt;&lt;D xsi:type="xsd:double"&gt;3.60234192890126&lt;/D&gt;&lt;D xsi:type="xsd:double"&gt;3.67158009275519&lt;/D&gt;&lt;D xsi:type="xsd:double"&gt;3.6342814038828&lt;/D&gt;&lt;D xsi:type="xsd:double"&gt;4.02556926118666&lt;/D&gt;&lt;D xsi:type="xsd:double"&gt;3.83733383035062&lt;/D&gt;&lt;D xsi:type="xsd:double"&gt;4.16213433620744&lt;/D&gt;&lt;D xsi:type="xsd:double"&gt;3.97680499455087&lt;/D&gt;&lt;D xsi:type="xsd:double"&gt;4.08316433790632&lt;/D&gt;&lt;D xsi:type="xsd:double"&gt;4.22063686313829&lt;/D&gt;&lt;D xsi:type="xsd:double"&gt;4.10030847819855&lt;/D&gt;&lt;D xsi:type="xsd:double"&gt;4.11379904192968&lt;/D&gt;&lt;D xsi:type="xsd:double"&gt;4.28836907685663&lt;/D&gt;&lt;D xsi:type="xsd:double"&gt;4.38320485486567&lt;/D&gt;&lt;D xsi:type="xsd:double"&gt;4.58734764140413&lt;/D&gt;&lt;D xsi:type="xsd:double"&gt;4.51309182651059&lt;/D&gt;&lt;D xsi:type="xsd:double"&gt;4.25963151800475&lt;/D&gt;&lt;D xsi:type="xsd:double"&gt;4.17905092054548&lt;/D&gt;&lt;D xsi:type="xsd:double"&gt;4.0588476620183&lt;/D&gt;&lt;D xsi:type="xsd:double"&gt;4.20659666126445&lt;/D&gt;&lt;D xsi:type="xsd:double"&gt;4.22004400442108&lt;/D&gt;&lt;D xsi:type="xsd:double"&gt;4.17488695138818&lt;/D&gt;&lt;D xsi:type="xsd:double"&gt;4.27445585710311&lt;/D&gt;&lt;D xsi:type="xsd:double"&gt;3.99727984411427&lt;/D&gt;&lt;D xsi:type="xsd:double"&gt;3.88490209260264&lt;/D&gt;&lt;D xsi:type="xsd:double"&gt;3.67574080900543&lt;/D&gt;&lt;D xsi:type="xsd:double"&gt;3.69397466283514&lt;/D&gt;&lt;D xsi:type="xsd:double"&gt;3.58278924176226&lt;/D&gt;&lt;D xsi:type="xsd:double"&gt;3.41268769816775&lt;/D&gt;&lt;D xsi:type="xsd:double"&gt;4.24868290789052&lt;/D&gt;&lt;D xsi:type="xsd:double"&gt;3.61668053943421&lt;/D&gt;&lt;D xsi:type="xsd:double"&gt;3.32343158228887&lt;/D&gt;&lt;D xsi:type="xsd:double"&gt;3.12398981529503&lt;/D&gt;&lt;D xsi:type="xsd:double"&gt;2.98890258385145&lt;/D&gt;&lt;D xsi:type="xsd:double"&gt;2.96375017887383&lt;/D&gt;&lt;D xsi:type="xsd:double"&gt;2.97474236153536&lt;/D&gt;&lt;D xsi:type="xsd:double"&gt;2.982772332735&lt;/D&gt;&lt;D xsi:type="xsd:double"&gt;3.03015874472381&lt;/D&gt;&lt;D xsi:type="xsd:double"&gt;3.06531591665767&lt;/D&gt;&lt;D xsi:type="xsd:double"&gt;3.01722626225012&lt;/D&gt;&lt;D xsi:type="xsd:double"&gt;3.00317712733125&lt;/D&gt;&lt;D xsi:type="xsd:double"&gt;2.77806916853721&lt;/D&gt;&lt;D xsi:type="xsd:double"&gt;2.70146301846704&lt;/D&gt;&lt;D xsi:type="xsd:double"&gt;2.88062276308154&lt;/D&gt;&lt;D xsi:type="xsd:double"&gt;2.67979345871395&lt;/D&gt;&lt;D xsi:type="xsd:double"&gt;2.67209223714433&lt;/D&gt;&lt;D xsi:type="xsd:double"&gt;2.69758779081311&lt;/D&gt;&lt;D xsi:type="xsd:double"&gt;2.75867244469713&lt;/D&gt;&lt;D xsi:type="xsd:double"&gt;2.93144454159224&lt;/D&gt;&lt;D xsi:type="xsd:double"&gt;2.96685219095712&lt;/D&gt;&lt;D xsi:type="xsd:double"&gt;2.92537469820634&lt;/D&gt;&lt;D xsi:type="xsd:double"&gt;2.92211595692459&lt;/D&gt;&lt;D xsi:type="xsd:double"&gt;2.91111913172772&lt;/D&gt;&lt;D xsi:type="xsd:double"&gt;3.21557112211881&lt;/D&gt;&lt;D xsi:type="xsd:double"&gt;3.16462036941823&lt;/D&gt;&lt;D xsi:type="xsd:double"&gt;3.47533537301953&lt;/D&gt;&lt;D xsi:type="xsd:double"&gt;3.39292529757509&lt;/D&gt;&lt;D xsi:type="xsd:double"&gt;3.69995723450543&lt;/D&gt;&lt;D xsi:type="xsd:double"&gt;3.47243802989893&lt;/D&gt;&lt;D xsi:type="xsd:double"&gt;3.66011656520569&lt;/D&gt;&lt;D xsi:type="xsd:double"&gt;3.83116267620484&lt;/D&gt;&lt;D xsi:type="xsd:double"&gt;3.52731068899338&lt;/D&gt;&lt;D xsi:type="xsd:double"&gt;3.59821767708128&lt;/D&gt;&lt;D xsi:type="xsd:double"&gt;3.50057284095468&lt;/D&gt;&lt;D xsi:type="xsd:double"&gt;3.56694476812716&lt;/D&gt;&lt;D xsi:type="xsd:double"&gt;3.64822333509868&lt;/D&gt;&lt;D xsi:type="xsd:double"&gt;3.68473531341167&lt;/D&gt;&lt;D xsi:type="xsd:double"&gt;3.73547097167045&lt;/D&gt;&lt;D xsi:type="xsd:double"&gt;3.70548310075621&lt;/D&gt;&lt;D xsi:type="xsd:double"&gt;3.80268437593414&lt;/D&gt;&lt;D xsi:type="xsd:double"&gt;3.88842617300702&lt;/D&gt;&lt;D xsi:type="xsd:double"&gt;3.95459387897333&lt;/D&gt;&lt;D xsi:type="xsd:double"&gt;3.74412663701007&lt;/D&gt;&lt;D xsi:type="xsd:double"&gt;3.87324110349945&lt;/D&gt;&lt;D xsi:type="xsd:double"&gt;3.01584407128311&lt;/D&gt;&lt;D xsi:type="xsd:double"&gt;3.01690028906795&lt;/D&gt;&lt;D xsi:type="xsd:double"&gt;3.37988393501868&lt;/D&gt;&lt;D xsi:type="xsd:double"&gt;3.24214143258028&lt;/D&gt;&lt;D xsi:type="xsd:double"&gt;3.29189789094886&lt;/D&gt;&lt;D xsi:type="xsd:double"&gt;3.16917448826822&lt;/D&gt;&lt;D xsi:type="xsd:double"&gt;3.21330277117389&lt;/D&gt;&lt;D xsi:type="xsd:double"&gt;3.23631568427518&lt;/D&gt;&lt;/FQL&gt;&lt;FQL&gt;&lt;Q&gt;EWQ^FMA_PE(NTMA,-10AY,0,AM,"PORTAGG","MEANR")&lt;/Q&gt;&lt;R&gt;121&lt;/R&gt;&lt;C&gt;1&lt;/C&gt;&lt;D xsi:type="xsd:double"&gt;13.5881141677996&lt;/D&gt;&lt;D xsi:type="xsd:double"&gt;13.2034701599297&lt;/D&gt;&lt;D xsi:type="xsd:double"&gt;13.7605765986515&lt;/D&gt;&lt;D xsi:type="xsd:double"&gt;12.6193460181865&lt;/D&gt;&lt;D xsi:type="xsd:double"&gt;13.2773254318945&lt;/D&gt;&lt;D xsi:type="xsd:double"&gt;13.5775812964051&lt;/D&gt;&lt;D xsi:type="xsd:double"&gt;13.5183553642329&lt;/D&gt;&lt;D xsi:type="xsd:double"&gt;15.5465980907725&lt;/D&gt;&lt;D xsi:type="xsd:double"&gt;16.4012653524154&lt;/D&gt;&lt;D xsi:type="xsd:double"&gt;17.1212684363433&lt;/D&gt;&lt;D xsi:type="xsd:double"&gt;16.2523628956523&lt;/D&gt;&lt;D xsi:type="xsd:double"&gt;15.939695531496&lt;/D&gt;&lt;D xsi:type="xsd:double"&gt;15.5027022901504&lt;/D&gt;&lt;D xsi:type="xsd:double"&gt;15.7060546366522&lt;/D&gt;&lt;D xsi:type="xsd:double"&gt;14.1123860445249&lt;/D&gt;&lt;D xsi:type="xsd:double"&gt;14.6264557862971&lt;/D&gt;&lt;D xsi:type="xsd:double"&gt;15.3558216511101&lt;/D&gt;&lt;D xsi:type="xsd:double"&gt;14.2868704415095&lt;/D&gt;&lt;D xsi:type="xsd:double"&gt;13.6063345345065&lt;/D&gt;&lt;D xsi:type="xsd:double"&gt;12.7578157920034&lt;/D&gt;&lt;D xsi:type="xsd:double"&gt;14.6751205161635&lt;/D&gt;&lt;D xsi:type="xsd:double"&gt;14.1454799319496&lt;/D&gt;&lt;D xsi:type="xsd:double"&gt;14.1592695070849&lt;/D&gt;&lt;D xsi:type="xsd:double"&gt;13.8916468252149&lt;/D&gt;&lt;D xsi:type="xsd:double"&gt;13.6675695651591&lt;/D&gt;&lt;D xsi:type="xsd:double"&gt;14.2262639764753&lt;/D&gt;&lt;D xsi:type="xsd:double"&gt;14.0818527749777&lt;/D&gt;&lt;D xsi:type="xsd:double"&gt;13.8509123610012&lt;/D&gt;&lt;D xsi:type="xsd:double"&gt;13.6999609196774&lt;/D&gt;&lt;D xsi:type="xsd:double"&gt;14.3963557909099&lt;/D&gt;&lt;D xsi:type="xsd:double"&gt;14.5879543865023&lt;/D&gt;&lt;D xsi:type="xsd:double"&gt;14.2086830911331&lt;/D&gt;&lt;D xsi:type="xsd:double"&gt;14.5204791092236&lt;/D&gt;&lt;D xsi:type="xsd:double"&gt;14.8031882976187&lt;/D&gt;&lt;D xsi:type="xsd:double"&gt;15.3663404721992&lt;/D&gt;&lt;D xsi:type="xsd:double"&gt;15.0857833266054&lt;/D&gt;&lt;D xsi:type="xsd:double"&gt;14.6040341489278&lt;/D&gt;&lt;D xsi:type="xsd:double"&gt;14.3750450674355&lt;/D&gt;&lt;D xsi:type="xsd:double"&gt;14.7563592044011&lt;/D&gt;&lt;D xsi:type="xsd:double"&gt;15.1907856279079&lt;/D&gt;&lt;D xsi:type="xsd:double"&gt;15.0117688428659&lt;/D&gt;&lt;D xsi:type="xsd:double"&gt;15.0449558953683&lt;/D&gt;&lt;D xsi:type="xsd:double"&gt;15.1754615893931&lt;/D&gt;&lt;D xsi:type="xsd:double"&gt;14.0302646214365&lt;/D&gt;&lt;D xsi:type="xsd:double"&gt;14.5561082665678&lt;/D&gt;&lt;D xsi:type="xsd:double"&gt;14.439874412685&lt;/D&gt;&lt;D xsi:type="xsd:double"&gt;14.8437202251711&lt;/D&gt;&lt;D xsi:type="xsd:double"&gt;14.4140285714724&lt;/D&gt;&lt;D xsi:type="xsd:double"&gt;13.9761408451209&lt;/D&gt;&lt;D xsi:type="xsd:double"&gt;13.8598306658398&lt;/D&gt;&lt;D xsi:type="xsd:double"&gt;13.4380188300971&lt;/D&gt;&lt;D xsi:type="xsd:double"&gt;12.7899614109453&lt;/D&gt;&lt;D xsi:type="xsd:double"&gt;12.8255122560701&lt;/D&gt;&lt;D xsi:type="xsd:double"&gt;12.0963683408196&lt;/D&gt;&lt;D xsi:type="xsd:double"&gt;12.2246420766778&lt;/D&gt;&lt;D xsi:type="xsd:double"&gt;12.8642103795756&lt;/D&gt;&lt;D xsi:type="xsd:double"&gt;13.4573991283777&lt;/D&gt;&lt;D xsi:type="xsd:double"&gt;13.9291600121577&lt;/D&gt;&lt;D xsi:type="xsd:double"&gt;13.4933522370889&lt;/D&gt;&lt;D xsi:type="xsd:double"&gt;13.6376120130927&lt;/D&gt;&lt;D xsi:type="xsd:double"&gt;13.9382808562414&lt;/D&gt;&lt;D xsi:type="xsd:double"&gt;13.5032006484124&lt;/D&gt;&lt;D xsi:type="xsd:double"&gt;14.0937709795151&lt;/D&gt;&lt;D xsi:type="xsd:double"&gt;14.2294375836525&lt;/D&gt;&lt;D xsi:type="xsd:double"&gt;14.7417129310261&lt;/D&gt;&lt;D xsi:type="xsd:double"&gt;14.6314610490213&lt;/D&gt;&lt;D xsi:type="xsd:double"&gt;14.9987342102657&lt;/D&gt;&lt;D xsi:type="xsd:double"&gt;15.0753556398519&lt;/D&gt;&lt;D xsi:type="xsd:double"&gt;12.155940089491&lt;/D&gt;&lt;D xsi:type="xsd:double"&gt;14.4908623986769&lt;/D&gt;&lt;D xsi:type="xsd:double"&gt;16.5512753273288&lt;/D&gt;&lt;D xsi:type="xsd:double"&gt;18.2323290411417&lt;/D&gt;&lt;D xsi:type="xsd:double"&gt;19.1810581870438&lt;/D&gt;&lt;D xsi:type="xsd:double"&gt;20.0450490730277&lt;/D&gt;&lt;D xsi:type="xsd:double"&gt;19.2720557255435&lt;/D&gt;&lt;D xsi:type="xsd:double"&gt;18.4475063791481&lt;/D&gt;&lt;D xsi:type="xsd:double"&gt;19.171428787142&lt;/D&gt;&lt;D xsi:type="xsd:double"&gt;18.4822609974128&lt;/D&gt;&lt;D xsi:type="xsd:double"&gt;18.1056062110172&lt;/D&gt;&lt;D xsi:type="xsd:double"&gt;17.8470925894773&lt;/D&gt;&lt;D xsi:type="xsd:double"&gt;18.4374405376889&lt;/D&gt;&lt;D xsi:type="xsd:double"&gt;18.3359406591169&lt;/D&gt;&lt;D xsi:type="xsd:double"&gt;17.5852255152912&lt;/D&gt;&lt;D xsi:type="xsd:double"&gt;17.9957746893773&lt;/D&gt;&lt;D xsi:type="xsd:double"&gt;17.2489959401304&lt;/D&gt;&lt;D xsi:type="xsd:double"&gt;16.8730015898582&lt;/D&gt;&lt;D xsi:type="xsd:double"&gt;16.2113077780878&lt;/D&gt;&lt;D xsi:type="xsd:double"&gt;15.5196262508967&lt;/D&gt;&lt;D xsi:type="xsd:double"&gt;15.9164898207513&lt;/D&gt;&lt;D xsi:type="xsd:double"&gt;15.5560726416738&lt;/D&gt;&lt;D xsi:type="xsd:double"&gt;15.6790807182864&lt;/D&gt;&lt;D xsi:type="xsd:double"&gt;14.643549542867&lt;/D&gt;&lt;D xsi:type="xsd:double"&gt;13.0027329203982&lt;/D&gt;&lt;D xsi:type="xsd:double"&gt;13.2066462748093&lt;/D&gt;&lt;D xsi:type="xsd:double"&gt;12.1129146282885&lt;/D&gt;&lt;D xsi:type="xsd:double"&gt;11.7505288145553&lt;/D&gt;&lt;D xsi:type="xsd:double"&gt;11.1085635980339&lt;/D&gt;&lt;D xsi:type="xsd:double"&gt;11.8713152631249&lt;/D&gt;&lt;D xsi:type="xsd:double"&gt;11.2171228609913&lt;/D&gt;&lt;D xsi:type="xsd:double"&gt;10.3520759711799&lt;/D&gt;&lt;D xsi:type="xsd:double"&gt;11.8858695894584&lt;/D&gt;&lt;D xsi:type="xsd:double"&gt;12.1441439336223&lt;/D&gt;&lt;D xsi:type="xsd:double"&gt;12.7091346565971&lt;/D&gt;&lt;D xsi:type="xsd:double"&gt;13.1139805184522&lt;/D&gt;&lt;D xsi:type="xsd:double"&gt;13.1455568014231&lt;/D&gt;&lt;D xsi:type="xsd:double"&gt;13.4362302838078&lt;/D&gt;&lt;D xsi:type="xsd:double"&gt;13.3372695929185&lt;/D&gt;&lt;D xsi:type="xsd:double"&gt;13.0086664486207&lt;/D&gt;&lt;D xsi:type="xsd:double"&gt;12.9520131532875&lt;/D&gt;&lt;D xsi:type="xsd:double"&gt;13.0827653277683&lt;/D&gt;&lt;D xsi:type="xsd:double"&gt;12.8635689076158&lt;/D&gt;&lt;D xsi:type="xsd:double"&gt;12.4841629319069&lt;/D&gt;&lt;D xsi:type="xsd:double"&gt;12.4353552357616&lt;/D&gt;&lt;D xsi:type="xsd:double"&gt;13.3305022775708&lt;/D&gt;&lt;D xsi:type="xsd:double"&gt;13.1847125831865&lt;/D&gt;&lt;D xsi:type="xsd:double"&gt;13.7989093968107&lt;/D&gt;&lt;D xsi:type="xsd:double"&gt;14.442741638294&lt;/D&gt;&lt;D xsi:type="xsd:double"&gt;14.3495141344497&lt;/D&gt;&lt;D xsi:type="xsd:double"&gt;14.7600939168162&lt;/D&gt;&lt;D xsi:type="xsd:double"&gt;13.9209824627701&lt;/D&gt;&lt;D xsi:type="xsd:double"&gt;13.5655338316322&lt;/D&gt;&lt;/FQL&gt;&lt;FQL&gt;&lt;Q&gt;QQQ^FMA_PE(LTMA,-10AY,0,AM,"PORTAGG","MEANR")&lt;/Q&gt;&lt;R&gt;121&lt;/R&gt;&lt;C&gt;1&lt;/C&gt;&lt;D xsi:type="xsd:double"&gt;19.1398682903092&lt;/D&gt;&lt;D xsi:type="xsd:double"&gt;18.9711688432669&lt;/D&gt;&lt;D xsi:type="xsd:double"&gt;19.4777752358246&lt;/D&gt;&lt;D xsi:type="xsd:double"&gt;18.6598352652074&lt;/D&gt;&lt;D xsi:type="xsd:double"&gt;19.8650901283137&lt;/D&gt;&lt;D xsi:type="xsd:double"&gt;20.1519724203827&lt;/D&gt;&lt;D xsi:type="xsd:double"&gt;19.9467153214544&lt;/D&gt;&lt;D xsi:type="xsd:double"&gt;20.0320867441236&lt;/D&gt;&lt;D xsi:type="xsd:double"&gt;20.593357100168&lt;/D&gt;&lt;D xsi:type="xsd:double"&gt;20.5165934784295&lt;/D&gt;&lt;D xsi:type="xsd:double"&gt;20.277630928227&lt;/D&gt;&lt;D xsi:type="xsd:double"&gt;20.1702038867671&lt;/D&gt;&lt;D xsi:type="xsd:double"&gt;19.8486398494081&lt;/D&gt;&lt;D xsi:type="xsd:double"&gt;20.2089572546867&lt;/D&gt;&lt;D xsi:type="xsd:double"&gt;19.5311811452464&lt;/D&gt;&lt;D xsi:type="xsd:double"&gt;19.5756943326247&lt;/D&gt;&lt;D xsi:type="xsd:double"&gt;20.296116740276&lt;/D&gt;&lt;D xsi:type="xsd:double"&gt;19.8636286828396&lt;/D&gt;&lt;D xsi:type="xsd:double"&gt;18.9341119507379&lt;/D&gt;&lt;D xsi:type="xsd:double"&gt;17.3600619954414&lt;/D&gt;&lt;D xsi:type="xsd:double"&gt;18.2664480602178&lt;/D&gt;&lt;D xsi:type="xsd:double"&gt;18.368179952457&lt;/D&gt;&lt;D xsi:type="xsd:double"&gt;18.3631886205753&lt;/D&gt;&lt;D xsi:type="xsd:double"&gt;18.5419207711197&lt;/D&gt;&lt;D xsi:type="xsd:double"&gt;18.9290788945446&lt;/D&gt;&lt;D xsi:type="xsd:double"&gt;19.5526428981443&lt;/D&gt;&lt;D xsi:type="xsd:double"&gt;19.3011734708972&lt;/D&gt;&lt;D xsi:type="xsd:double"&gt;19.8529266849893&lt;/D&gt;&lt;D xsi:type="xsd:double"&gt;19.5979289954878&lt;/D&gt;&lt;D xsi:type="xsd:double"&gt;20.2460574627044&lt;/D&gt;&lt;D xsi:type="xsd:double"&gt;21.0125178260205&lt;/D&gt;&lt;D xsi:type="xsd:double"&gt;21.5272966967445&lt;/D&gt;&lt;D xsi:type="xsd:double"&gt;21.7012824691961&lt;/D&gt;&lt;D xsi:type="xsd:double"&gt;21.5870886001693&lt;/D&gt;&lt;D xsi:type="xsd:double"&gt;21.8257019264769&lt;/D&gt;&lt;D xsi:type="xsd:double"&gt;21.8748013587034&lt;/D&gt;&lt;D xsi:type="xsd:double"&gt;21.7524161586236&lt;/D&gt;&lt;D xsi:type="xsd:double"&gt;21.9412261552739&lt;/D&gt;&lt;D xsi:type="xsd:double"&gt;22.2965353703203&lt;/D&gt;&lt;D xsi:type="xsd:double"&gt;22.6075718142814&lt;/D&gt;&lt;D xsi:type="xsd:double"&gt;22.9601709104262&lt;/D&gt;&lt;D xsi:type="xsd:double"&gt;23.2972725377325&lt;/D&gt;&lt;D xsi:type="xsd:double"&gt;24.6255464635472&lt;/D&gt;&lt;D xsi:type="xsd:double"&gt;22.7594555680994&lt;/D&gt;&lt;D xsi:type="xsd:double"&gt;24.1766392763791&lt;/D&gt;&lt;D xsi:type="xsd:double"&gt;23.4913536433679&lt;/D&gt;&lt;D xsi:type="xsd:double"&gt;23.3662295775586&lt;/D&gt;&lt;D xsi:type="xsd:double"&gt;23.3121395017545&lt;/D&gt;&lt;D xsi:type="xsd:double"&gt;23.2061739855578&lt;/D&gt;&lt;D xsi:type="xsd:double"&gt;23.1162351815135&lt;/D&gt;&lt;D xsi:type="xsd:double"&gt;23.0838337317168&lt;/D&gt;&lt;D xsi:type="xsd:double"&gt;21.6692590697214&lt;/D&gt;&lt;D xsi:type="xsd:double"&gt;21.1929705968218&lt;/D&gt;&lt;D xsi:type="xsd:double"&gt;19.9462373993139&lt;/D&gt;&lt;D xsi:type="xsd:double"&gt;19.5479829189366&lt;/D&gt;&lt;D xsi:type="xsd:double"&gt;20.3380034634141&lt;/D&gt;&lt;D xsi:type="xsd:double"&gt;20.9100570061276&lt;/D&gt;&lt;D xsi:type="xsd:double"&gt;21.2089360882425&lt;/D&gt;&lt;D xsi:type="xsd:double"&gt;21.2836194710615&lt;/D&gt;&lt;D xsi:type="xsd:double"&gt;21.2727683323106&lt;/D&gt;&lt;D xsi:type="xsd:double"&gt;21.992575656657&lt;/D&gt;&lt;D xsi:type="xsd:double"&gt;21.6847636709906&lt;/D&gt;&lt;D xsi:type="xsd:double"&gt;22.2731389113555&lt;/D&gt;&lt;D xsi:type="xsd:double"&gt;22.3590161346843&lt;/D&gt;&lt;D xsi:type="xsd:double"&gt;23.4254846946115&lt;/D&gt;&lt;D xsi:type="xsd:double"&gt;24.2628735362468&lt;/D&gt;&lt;D xsi:type="xsd:double"&gt;26.0678813569965&lt;/D&gt;&lt;D xsi:type="xsd:double"&gt;26.899195656642&lt;/D&gt;&lt;D xsi:type="xsd:double"&gt;23.5223291392793&lt;/D&gt;&lt;D xsi:type="xsd:double"&gt;23.9586368725477&lt;/D&gt;&lt;D xsi:type="xsd:double"&gt;25.8036112343314&lt;/D&gt;&lt;D xsi:type="xsd:double"&gt;26.7239485491008&lt;/D&gt;&lt;D xsi:type="xsd:double"&gt;28.9351544144187&lt;/D&gt;&lt;D xsi:type="xsd:double"&gt;28.7263178264808&lt;/D&gt;&lt;D xsi:type="xsd:double"&gt;29.7589489033697&lt;/D&gt;&lt;D xsi:type="xsd:double"&gt;31.7159204043899&lt;/D&gt;&lt;D xsi:type="xsd:double"&gt;31.8691565720835&lt;/D&gt;&lt;D xsi:type="xsd:double"&gt;33.7056634789415&lt;/D&gt;&lt;D xsi:type="xsd:double"&gt;35.0659703051143&lt;/D&gt;&lt;D xsi:type="xsd:double"&gt;35.4035011997361&lt;/D&gt;&lt;D xsi:type="xsd:double"&gt;32.8058153195718&lt;/D&gt;&lt;D xsi:type="xsd:double"&gt;32.885490917016&lt;/D&gt;&lt;D xsi:type="xsd:double"&gt;31.5792958937076&lt;/D&gt;&lt;D xsi:type="xsd:double"&gt;31.558010409969&lt;/D&gt;&lt;D xsi:type="xsd:double"&gt;32.0521816756568&lt;/D&gt;&lt;D xsi:type="xsd:double"&gt;31.2320400098072&lt;/D&gt;&lt;D xsi:type="xsd:double"&gt;31.4491933549565&lt;/D&gt;&lt;D xsi:type="xsd:double"&gt;30.1373271575663&lt;/D&gt;&lt;D xsi:type="xsd:double"&gt;31.6414345797443&lt;/D&gt;&lt;D xsi:type="xsd:double"&gt;31.8912181228452&lt;/D&gt;&lt;D xsi:type="xsd:double"&gt;30.8708483244871&lt;/D&gt;&lt;D xsi:type="xsd:double"&gt;26.9185130821267&lt;/D&gt;&lt;D xsi:type="xsd:double"&gt;26.3272997565905&lt;/D&gt;&lt;D xsi:type="xsd:double"&gt;26.4000195260495&lt;/D&gt;&lt;D xsi:type="xsd:double"&gt;25.106371771274&lt;/D&gt;&lt;D xsi:type="xsd:double"&gt;24.5884922756916&lt;/D&gt;&lt;D xsi:type="xsd:double"&gt;24.311018890695&lt;/D&gt;&lt;D xsi:type="xsd:double"&gt;26.1119222530561&lt;/D&gt;&lt;D xsi:type="xsd:double"&gt;25.0694818392618&lt;/D&gt;&lt;D xsi:type="xsd:double"&gt;22.3183325314573&lt;/D&gt;&lt;D xsi:type="xsd:double"&gt;23.9368884358043&lt;/D&gt;&lt;D xsi:type="xsd:double"&gt;23.1611527564561&lt;/D&gt;&lt;D xsi:type="xsd:double"&gt;23.6283591169155&lt;/D&gt;&lt;D xsi:type="xsd:double"&gt;25.6388270044459&lt;/D&gt;&lt;D xsi:type="xsd:double"&gt;25.1199688813123&lt;/D&gt;&lt;D xsi:type="xsd:double"&gt;25.5893968800514&lt;/D&gt;&lt;D xsi:type="xsd:double"&gt;25.7729640207031&lt;/D&gt;&lt;D xsi:type="xsd:double"&gt;26.64713799471&lt;/D&gt;&lt;D xsi:type="xsd:double"&gt;27.3269386601848&lt;/D&gt;&lt;D xsi:type="xsd:double"&gt;26.3352866018978&lt;/D&gt;&lt;D xsi:type="xsd:double"&gt;26.8042123547548&lt;/D&gt;&lt;D xsi:type="xsd:double"&gt;26.7072163213769&lt;/D&gt;&lt;D xsi:type="xsd:double"&gt;26.9993362105463&lt;/D&gt;&lt;D xsi:type="xsd:double"&gt;28.1609975307829&lt;/D&gt;&lt;D xsi:type="xsd:double"&gt;29.0569887602604&lt;/D&gt;&lt;D xsi:type="xsd:double"&gt;30.4411959071511&lt;/D&gt;&lt;D xsi:type="xsd:double"&gt;30.1665967622763&lt;/D&gt;&lt;D xsi:type="xsd:double"&gt;29.9574015900567&lt;/D&gt;&lt;D xsi:type="xsd:double"&gt;29.6176064125007&lt;/D&gt;&lt;D xsi:type="xsd:double"&gt;29.8819280530301&lt;/D&gt;&lt;D xsi:type="xsd:double"&gt;30.4767774385683&lt;/D&gt;&lt;/FQL&gt;&lt;FQL&gt;&lt;Q&gt;DDR3512M-FDS^FG_PRICE(0)&lt;/Q&gt;&lt;R&gt;1&lt;/R&gt;&lt;C&gt;1&lt;/C&gt;&lt;D xsi:type="xsd:double"&gt;0.9272354&lt;/D&gt;&lt;/FQL&gt;&lt;FQL&gt;&lt;Q&gt;PASP-FDS^FG_PRICE(0)&lt;/Q&gt;&lt;R&gt;1&lt;/R&gt;&lt;C&gt;1&lt;/C&gt;&lt;D xsi:type="xsd:double"&gt;1012&lt;/D&gt;&lt;/FQL&gt;&lt;FQL&gt;&lt;Q&gt;PLATI-FDS^FG_PRICE(0)&lt;/Q&gt;&lt;R&gt;1&lt;/R&gt;&lt;C&gt;1&lt;/C&gt;&lt;D xsi:type="xsd:double"&gt;1011&lt;/D&gt;&lt;/FQL&gt;&lt;FQL&gt;&lt;Q&gt;W-FDS^FG_PRICE(0)&lt;/Q&gt;&lt;R&gt;1&lt;/R&gt;&lt;C&gt;1&lt;/C&gt;&lt;D xsi:type="xsd:double"&gt;5.5425&lt;/D&gt;&lt;/FQL&gt;&lt;FQL&gt;&lt;Q&gt;COPP-FDS^FG_PRICE(0)&lt;/Q&gt;&lt;R&gt;1&lt;/R&gt;&lt;C&gt;1&lt;/C&gt;&lt;D xsi:type="xsd:double"&gt;4.5085&lt;/D&gt;&lt;/FQL&gt;&lt;FQL&gt;&lt;Q&gt;FC0000US^FG_PRICE(0)&lt;/Q&gt;&lt;R&gt;1&lt;/R&gt;&lt;C&gt;1&lt;/C&gt;&lt;D xsi:type="xsd:double"&gt;416.81958&lt;/D&gt;&lt;/FQL&gt;&lt;FQL&gt;&lt;Q&gt;FC0000GR^FG_PRICE(0)&lt;/Q&gt;&lt;R&gt;1&lt;/R&gt;&lt;C&gt;1&lt;/C&gt;&lt;D xsi:type="xsd:double"&gt;9.810748&lt;/D&gt;&lt;/FQL&gt;&lt;FQL&gt;&lt;Q&gt;EWI^FG_PRICE(0)&lt;/Q&gt;&lt;R&gt;1&lt;/R&gt;&lt;C&gt;1&lt;/C&gt;&lt;D xsi:type="xsd:double"&gt;37.45&lt;/D&gt;&lt;/FQL&gt;&lt;FQL&gt;&lt;Q&gt;SPY^FG_PRICE(0)&lt;/Q&gt;&lt;R&gt;1&lt;/R&gt;&lt;C&gt;1&lt;/C&gt;&lt;D xsi:type="xsd:double"&gt;556.48&lt;/D&gt;&lt;/FQL&gt;&lt;FQL&gt;&lt;Q&gt;EWJ^FG_PRICE(0)&lt;/Q&gt;&lt;R&gt;1&lt;/R&gt;&lt;C&gt;1&lt;/C&gt;&lt;D xsi:type="xsd:double"&gt;71.01&lt;/D&gt;&lt;/FQL&gt;&lt;FQL&gt;&lt;Q&gt;ENZL^FG_PRICE(0)&lt;/Q&gt;&lt;R&gt;1&lt;/R&gt;&lt;C&gt;1&lt;/C&gt;&lt;D xsi:type="xsd:double"&gt;46.22&lt;/D&gt;&lt;/FQL&gt;&lt;FQL&gt;&lt;Q&gt;EWA^FG_COMPANY_NAME&lt;/Q&gt;&lt;R&gt;1&lt;/R&gt;&lt;C&gt;1&lt;/C&gt;&lt;D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xsi:type="xsd:double"&gt;0.29146695&lt;/D&gt;&lt;/FQL&gt;&lt;FQL&gt;&lt;Q&gt;SPY^FMA_PCT_ABOVE_MAVG(200,0,,,,"PORTAGG")&lt;/Q&gt;&lt;R&gt;1&lt;/R&gt;&lt;C&gt;1&lt;/C&gt;&lt;D xsi:type="xsd:double"&gt;64.4710578842315&lt;/D&gt;&lt;/FQL&gt;&lt;FQL&gt;&lt;Q&gt;URTH^PERCENT_CHANGE(FMA_EPS(+1,0,,,,"PORTAGG","MEAN"),FMA_EPS(+1,-3AM,,,,"PORTAGG","MEAN"))&lt;/Q&gt;&lt;R&gt;1&lt;/R&gt;&lt;C&gt;1&lt;/C&gt;&lt;D xsi:type="xsd:double"&gt;-0.07652062635234&lt;/D&gt;&lt;/FQL&gt;&lt;FQL&gt;&lt;Q&gt;VGK^FG_TOTAL_RETURNC(0,-3AM)&lt;/Q&gt;&lt;R&gt;1&lt;/R&gt;&lt;C&gt;1&lt;/C&gt;&lt;D xsi:type="xsd:double"&gt;5.326426&lt;/D&gt;&lt;/FQL&gt;&lt;FQL&gt;&lt;Q&gt;EWD^P_PRICE(0)/P_PRICE_HIGH_PR(0,,,,,,"PRICE","INTRA","52W")&lt;/Q&gt;&lt;R&gt;1&lt;/R&gt;&lt;C&gt;1&lt;/C&gt;&lt;D xsi:type="xsd:double"&gt;0.9575615&lt;/D&gt;&lt;/FQL&gt;&lt;FQL&gt;&lt;Q&gt;EWQ^FG_TOTAL_RETURNC(0,-12AM)&lt;/Q&gt;&lt;R&gt;1&lt;/R&gt;&lt;C&gt;1&lt;/C&gt;&lt;D xsi:type="xsd:double"&gt;5.6177735&lt;/D&gt;&lt;/FQL&gt;&lt;FQL&gt;&lt;Q&gt;SPY^PERCENT_CHANGE(FMA_EPS(+1,0,,,,"PORTAGG","MEAN"),FMA_EPS(+1,-1AM,,,,"PORTAGG","MEAN"))&lt;/Q&gt;&lt;R&gt;1&lt;/R&gt;&lt;C&gt;1&lt;/C&gt;&lt;D xsi:type="xsd:double"&gt;-0.60684536266157&lt;/D&gt;&lt;/FQL&gt;&lt;FQL&gt;&lt;Q&gt;EWU^FG_TOTAL_RETURNC(0,-1AM)&lt;/Q&gt;&lt;R&gt;1&lt;/R&gt;&lt;C&gt;1&lt;/C&gt;&lt;D xsi:type="xsd:double"&gt;2.5802732&lt;/D&gt;&lt;/FQL&gt;&lt;FQL&gt;&lt;Q&gt;EWJ^FG_TOTAL_RETURNC(0,-6AM)&lt;/Q&gt;&lt;R&gt;1&lt;/R&gt;&lt;C&gt;1&lt;/C&gt;&lt;D xsi:type="xsd:double"&gt;8.7244625&lt;/D&gt;&lt;/FQL&gt;&lt;FQL&gt;&lt;Q&gt;EWC^P_PRICE(0)/P_PRICE_LOW_PR(0,,,,,,"PRICE","INTRA","52W")-1&lt;/Q&gt;&lt;R&gt;1&lt;/R&gt;&lt;C&gt;1&lt;/C&gt;&lt;D xsi:type="xsd:double"&gt;0.22190392&lt;/D&gt;&lt;/FQL&gt;&lt;FQL&gt;&lt;Q&gt;EWA^FMA_PCT_ABOVE_MAVG(200,0,,,,"PORTAGG")&lt;/Q&gt;&lt;R&gt;1&lt;/R&gt;&lt;C&gt;1&lt;/C&gt;&lt;D xsi:type="xsd:double"&gt;54.2372881355932&lt;/D&gt;&lt;/FQL&gt;&lt;FQL&gt;&lt;Q&gt;EWJ^SIZE(FG_CONSTITUENTS)&lt;/Q&gt;&lt;R&gt;1&lt;/R&gt;&lt;C&gt;1&lt;/C&gt;&lt;D xsi:type="xsd:long"&gt;204&lt;/D&gt;&lt;/FQL&gt;&lt;FQL&gt;&lt;Q&gt;EWD^FMA_COS_DOWN("EPS","1M",+1,0,,,"PORTAGG","MEANR")&lt;/Q&gt;&lt;R&gt;1&lt;/R&gt;&lt;C&gt;1&lt;/C&gt;&lt;D xsi:type="xsd:double"&gt;23&lt;/D&gt;&lt;/FQL&gt;&lt;FQL&gt;&lt;Q&gt;EWU^FMA_COS_UP("EPS","1M",+1,0,,,"PORTAGG","MEANR")&lt;/Q&gt;&lt;R&gt;1&lt;/R&gt;&lt;C&gt;1&lt;/C&gt;&lt;D xsi:type="xsd:double"&gt;32&lt;/D&gt;&lt;/FQL&gt;&lt;FQL&gt;&lt;Q&gt;ENZL^SIZE(FG_CONSTITUENTS)&lt;/Q&gt;&lt;R&gt;1&lt;/R&gt;&lt;C&gt;1&lt;/C&gt;&lt;D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xsi:type="xsd:double"&gt;37.0297073578115&lt;/D&gt;&lt;/FQL&gt;&lt;FQL&gt;&lt;Q&gt;EWQ^FG_ROE(0)&lt;/Q&gt;&lt;R&gt;1&lt;/R&gt;&lt;C&gt;1&lt;/C&gt;&lt;D xsi:type="xsd:double"&gt;12.766692446284&lt;/D&gt;&lt;/FQL&gt;&lt;FQL&gt;&lt;Q&gt;TRYGB10Y-FDS^FG_YIELD_NAME&lt;/Q&gt;&lt;R&gt;1&lt;/R&gt;&lt;C&gt;1&lt;/C&gt;&lt;D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xsi:type="xsd:double"&gt;4.25&lt;/D&gt;&lt;/FQL&gt;&lt;FQL&gt;&lt;Q&gt;TRYNL10Y-FDS^PCTCHG(FG_YIELD(0,,,,"YTM"),FG_YIELD(-1AM,,,,"YTM"))&lt;/Q&gt;&lt;R&gt;1&lt;/R&gt;&lt;C&gt;1&lt;/C&gt;&lt;D xsi:type="xsd:double"&gt;-7.219972&lt;/D&gt;&lt;/FQL&gt;&lt;FQL&gt;&lt;Q&gt;TRYCA10Y-FDS^PCTCHG(FG_YIELD(0,,,,"YTM"),FG_YIELD(-1AM,,,,"YTM"))&lt;/Q&gt;&lt;R&gt;1&lt;/R&gt;&lt;C&gt;1&lt;/C&gt;&lt;D xsi:type="xsd:double"&gt;-1.665712&lt;/D&gt;&lt;/FQL&gt;&lt;FQL&gt;&lt;Q&gt;TRYUS10Y-FDS^FG_YIELD_NAME&lt;/Q&gt;&lt;R&gt;1&lt;/R&gt;&lt;C&gt;1&lt;/C&gt;&lt;D xsi:type="xsd:string"&gt;US Benchmark Bond - 10 Year&lt;/D&gt;&lt;/FQL&gt;&lt;FQL&gt;&lt;Q&gt;TRYNZ10Y-FDS^FG_YIELD_NAME&lt;/Q&gt;&lt;R&gt;1&lt;/R&gt;&lt;C&gt;1&lt;/C&gt;&lt;D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xsi:type="xsd:double"&gt;5.42291804839651&lt;/D&gt;&lt;/FQL&gt;&lt;FQL&gt;&lt;Q&gt;EWI^FMA_PE(NTMA,0,,,"PORTAGG","MEANR")&lt;/Q&gt;&lt;R&gt;1&lt;/R&gt;&lt;C&gt;1&lt;/C&gt;&lt;D xsi:type="xsd:double"&gt;9.6366363711624&lt;/D&gt;&lt;/FQL&gt;&lt;FQL&gt;&lt;Q&gt;EWN^JULIAN(FMA_DIV_YLD(NTMA,NOW,NOW,M,"PORTAGG","MEANR").DATES)&lt;/Q&gt;&lt;R&gt;1&lt;/R&gt;&lt;C&gt;1&lt;/C&gt;&lt;D xsi:type="xsd:long"&gt;45471&lt;/D&gt;&lt;/FQL&gt;&lt;FQL&gt;&lt;Q&gt;QQQ^FMA_EVAL_EBITDA(NTMA,0,,,"PORTAGG","MEANR")&lt;/Q&gt;&lt;R&gt;1&lt;/R&gt;&lt;C&gt;1&lt;/C&gt;&lt;D xsi:type="xsd:double"&gt;17.2647923362536&lt;/D&gt;&lt;/FQL&gt;&lt;FQL&gt;&lt;Q&gt;EWL^FMA_DIV_YLD(NTMA,NOW,NOW,M,"PORTAGG","MEANR")&lt;/Q&gt;&lt;R&gt;1&lt;/R&gt;&lt;C&gt;1&lt;/C&gt;&lt;D xsi:type="xsd:double"&gt;3.23833990452955&lt;/D&gt;&lt;/FQL&gt;&lt;FQL&gt;&lt;Q&gt;EWG^FMA_PE(LTM,0,,,"PORTAGG","MEANR")&lt;/Q&gt;&lt;R&gt;1&lt;/R&gt;&lt;C&gt;1&lt;/C&gt;&lt;D xsi:type="xsd:double"&gt;16.5042875465979&lt;/D&gt;&lt;/FQL&gt;&lt;FQL&gt;&lt;Q&gt;ENZL^FMA_EVAL_EBIT(LTMA,NOW,NOW,M,"PORTAGG","MEANR")&lt;/Q&gt;&lt;R&gt;1&lt;/R&gt;&lt;C&gt;1&lt;/C&gt;&lt;D xsi:type="xsd:double"&gt;20.3806771257827&lt;/D&gt;&lt;/FQL&gt;&lt;FQL&gt;&lt;Q&gt;EWJ^FG_COMPANY_NAME&lt;/Q&gt;&lt;R&gt;1&lt;/R&gt;&lt;C&gt;1&lt;/C&gt;&lt;D xsi:type="xsd:string"&gt;iShares MSCI Japan ETF&lt;/D&gt;&lt;/FQL&gt;&lt;FQL&gt;&lt;Q&gt;EWD^FG_COMPANY_NAME&lt;/Q&gt;&lt;R&gt;1&lt;/R&gt;&lt;C&gt;1&lt;/C&gt;&lt;D xsi:type="xsd:string"&gt;iShares MSCI Sweden ETF&lt;/D&gt;&lt;/FQL&gt;&lt;FQL&gt;&lt;Q&gt;VGK^P_PRICE(0)/P_PRICE_HIGH_PR(0,,,USD,,,"PRICE","INTRA","52W")&lt;/Q&gt;&lt;R&gt;1&lt;/R&gt;&lt;C&gt;1&lt;/C&gt;&lt;D xsi:type="xsd:double"&gt;0.97177213&lt;/D&gt;&lt;/FQL&gt;&lt;FQL&gt;&lt;Q&gt;QQQ^P_PRICE(0)/P_PRICE_HIGH_PR(0,,,USD,,,"PRICE","INTRA","52W")&lt;/Q&gt;&lt;R&gt;1&lt;/R&gt;&lt;C&gt;1&lt;/C&gt;&lt;D xsi:type="xsd:double"&gt;0.97698206&lt;/D&gt;&lt;/FQL&gt;&lt;FQL&gt;&lt;Q&gt;VWO^P_PRICE(0)/P_PRICE_HIGH_PR(0,,,USD,,,"PRI</t>
        </r>
      </text>
    </comment>
    <comment ref="A2" authorId="0" shapeId="0" xr:uid="{3BC530C3-1920-44BD-B374-BC5FC41CA2C5}">
      <text>
        <r>
          <rPr>
            <b/>
            <sz val="9"/>
            <color indexed="81"/>
            <rFont val="Tahoma"/>
            <charset val="1"/>
          </rPr>
          <t xml:space="preserve">CE","INTRA","52W")&lt;/Q&gt;&lt;R&gt;1&lt;/R&gt;&lt;C&gt;1&lt;/C&gt;&lt;D xsi:type="xsd:double"&gt;0.99539375&lt;/D&gt;&lt;/FQL&gt;&lt;FQL&gt;&lt;Q&gt;CAGDPY@AU^EE_ACTUAL_ANNUAL(MED,0)&lt;/Q&gt;&lt;R&gt;1&lt;/R&gt;&lt;C&gt;1&lt;/C&gt;&lt;D xsi:type="xsd:double"&gt;0.275776825503169&lt;/D&gt;&lt;/FQL&gt;&lt;FQL&gt;&lt;Q&gt;USDITL^FG_PRICE_CHANGE(0,-1AM)&lt;/Q&gt;&lt;R&gt;1&lt;/R&gt;&lt;C&gt;1&lt;/C&gt;&lt;D xsi:type="xsd:double"&gt;-1.4339626&lt;/D&gt;&lt;/FQL&gt;&lt;FQL&gt;&lt;Q&gt;USDUSD^FG_PRICE_CHANGE(0,-1AM)&lt;/Q&gt;&lt;R&gt;1&lt;/R&gt;&lt;C&gt;1&lt;/C&gt;&lt;D xsi:type="xsd:double"&gt;0&lt;/D&gt;&lt;/FQL&gt;&lt;FQL&gt;&lt;Q&gt;USDNZD^FG_PRICE_CHANGE(0,-1AM)&lt;/Q&gt;&lt;R&gt;1&lt;/R&gt;&lt;C&gt;1&lt;/C&gt;&lt;D xsi:type="xsd:double"&gt;0.14711618&lt;/D&gt;&lt;/FQL&gt;&lt;FQL&gt;&lt;Q&gt;EWI^FG_TOTAL_RETURNC(-10AY,0,AM)&lt;/Q&gt;&lt;R&gt;121&lt;/R&gt;&lt;C&gt;1&lt;/C&gt;&lt;D xsi:type="xsd:double"&gt;-5.1339746&lt;/D&gt;&lt;D xsi:type="xsd:double"&gt;-8.610451&lt;/D&gt;&lt;D xsi:type="xsd:double"&gt;5.458081&lt;/D&gt;&lt;D xsi:type="xsd:double"&gt;-11.275416&lt;/D&gt;&lt;D xsi:type="xsd:double"&gt;0.20834208&lt;/D&gt;&lt;D xsi:type="xsd:double"&gt;-2.4255037&lt;/D&gt;&lt;D xsi:type="xsd:double"&gt;-8.030004&lt;/D&gt;&lt;D xsi:type="xsd:double"&gt;7.776046&lt;/D&gt;&lt;D xsi:type="xsd:double"&gt;3.3910513&lt;/D&gt;&lt;D xsi:type="xsd:double"&gt;5.3035617&lt;/D&gt;&lt;D xsi:type="xsd:double"&gt;2.5182247&lt;/D&gt;&lt;D xsi:type="xsd:double"&gt;2.197802&lt;/D&gt;&lt;D xsi:type="xsd:double"&gt;-1.5208662&lt;/D&gt;&lt;D xsi:type="xsd:double"&gt;2.8758168&lt;/D&gt;&lt;D xsi:type="xsd:double"&gt;-5.463785&lt;/D&gt;&lt;D xsi:type="xsd:double"&gt;2.3521423&lt;/D&gt;&lt;D xsi:type="xsd:double"&gt;-5.581087&lt;/D&gt;&lt;D xsi:type="xsd:double"&gt;-4.520172&lt;/D&gt;&lt;D xsi:type="xsd:double"&gt;-5.980408&lt;/D&gt;&lt;D xsi:type="xsd:double"&gt;-16.394716&lt;/D&gt;&lt;D xsi:type="xsd:double"&gt;17.565048&lt;/D&gt;&lt;D xsi:type="xsd:double"&gt;-5.8498025&lt;/D&gt;&lt;D xsi:type="xsd:double"&gt;1.0075569&lt;/D&gt;&lt;D xsi:type="xsd:double"&gt;-3.158772&lt;/D&gt;&lt;D xsi:type="xsd:double"&gt;-6.0673532&lt;/D&gt;&lt;D xsi:type="xsd:double"&gt;5.639088&lt;/D&gt;&lt;D xsi:type="xsd:double"&gt;1.5124559&lt;/D&gt;&lt;D xsi:type="xsd:double"&gt;-4.5574007&lt;/D&gt;&lt;D xsi:type="xsd:double"&gt;1.4233232&lt;/D&gt;&lt;D xsi:type="xsd:double"&gt;6.3377023&lt;/D&gt;&lt;D xsi:type="xsd:double"&gt;5.648768&lt;/D&gt;&lt;D xsi:type="xsd:double"&gt;-3.7413597&lt;/D&gt;&lt;D xsi:type="xsd:double"&gt;4.267001&lt;/D&gt;&lt;D xsi:type="xsd:double"&gt;2.2285223&lt;/D&gt;&lt;D xsi:type="xsd:double"&gt;9.671032&lt;/D&gt;&lt;D xsi:type="xsd:double"&gt;2.0238519&lt;/D&gt;&lt;D xsi:type="xsd:double"&gt;2.8660536&lt;/D&gt;&lt;D xsi:type="xsd:double"&gt;3.5764337&lt;/D&gt;&lt;D xsi:type="xsd:double"&gt;4.9762964&lt;/D&gt;&lt;D xsi:type="xsd:double"&gt;0.93517303&lt;/D&gt;&lt;D xsi:type="xsd:double"&gt;-1.6613364&lt;/D&gt;&lt;D xsi:type="xsd:double"&gt;1.8193603&lt;/D&gt;&lt;D xsi:type="xsd:double"&gt;4.4659853&lt;/D&gt;&lt;D xsi:type="xsd:double"&gt;-2.6412785&lt;/D&gt;&lt;D xsi:type="xsd:double"&gt;2.7129412&lt;/D&gt;&lt;D xsi:type="xsd:double"&gt;1.4434814&lt;/D&gt;&lt;D xsi:type="xsd:double"&gt;1.5440583&lt;/D&gt;&lt;D xsi:type="xsd:double"&gt;-8.467502&lt;/D&gt;&lt;D xsi:type="xsd:double"&gt;-2.823478&lt;/D&gt;&lt;D xsi:type="xsd:double"&gt;-4.341835&lt;/D&gt;&lt;D xsi:type="xsd:double"&gt;0.576365&lt;/D&gt;&lt;D xsi:type="xsd:double"&gt;-7.4498596&lt;/D&gt;&lt;D xsi:type="xsd:double"&gt;-1.509285&lt;/D&gt;&lt;D xsi:type="xsd:double"&gt;-3.064835&lt;/D&gt;&lt;D xsi:type="xsd:double"&gt;4.438925&lt;/D&gt;&lt;D xsi:type="xsd:double"&gt;0.7075429&lt;/D&gt;&lt;D xsi:type="xsd:double"&gt;5.308342&lt;/D&gt;&lt;D xsi:type="xsd:double"&gt;4.37361&lt;/D&gt;&lt;D xsi:type="xsd:double"&gt;-2.8764188&lt;/D&gt;&lt;D xsi:type="xsd:double"&gt;0.4387498&lt;/D&gt;&lt;D xsi:type="xsd:double"&gt;7.5859547&lt;/D&gt;&lt;D xsi:type="xsd:double"&gt;-9.208679&lt;/D&gt;&lt;D xsi:type="xsd:double"&gt;6.016195&lt;/D&gt;&lt;D xsi:type="xsd:double"&gt;1.2004375&lt;/D&gt;&lt;D xsi:type="xsd:double"&gt;5.859101&lt;/D&gt;&lt;D xsi:type="xsd:double"&gt;-1.5959322&lt;/D&gt;&lt;D xsi:type="xsd:double"&gt;3.0590177&lt;/D&gt;&lt;D xsi:type="xsd:double"&gt;1.2811899&lt;/D&gt;&lt;D xsi:type="xsd:double"&gt;-26.165115&lt;/D&gt;&lt;D xsi:type="xsd:double"&gt;-3.0658245&lt;/D&gt;&lt;D xsi:type="xsd:double"&gt;-3.9069772&lt;/D&gt;&lt;D xsi:type="xsd:double"&gt;12.342691&lt;/D&gt;&lt;D xsi:type="xsd:double"&gt;8.273125&lt;/D&gt;&lt;D xsi:type="xsd:double"&gt;3.940487&lt;/D&gt;&lt;D xsi:type="xsd:double"&gt;-0.7350147&lt;/D&gt;&lt;D xsi:type="xsd:double"&gt;-1.6367912&lt;/D&gt;&lt;D xsi:type="xsd:double"&gt;7.0523024&lt;/D&gt;&lt;D xsi:type="xsd:double"&gt;7.4019194&lt;/D&gt;&lt;D xsi:type="xsd:double"&gt;4.3350577&lt;/D&gt;&lt;D xsi:type="xsd:double"&gt;2.3309946&lt;/D&gt;&lt;D xsi:type="xsd:double"&gt;2.6358604&lt;/D&gt;&lt;D xsi:type="xsd:double"&gt;0.47558546&lt;/D&gt;&lt;D xsi:type="xsd:double"&gt;2.0195723&lt;/D&gt;&lt;D xsi:type="xsd:double"&gt;5.539775&lt;/D&gt;&lt;D xsi:type="xsd:double"&gt;-4.4497194&lt;/D&gt;&lt;D xsi:type="xsd:double"&gt;4.408574&lt;/D&gt;&lt;D xsi:type="xsd:double"&gt;-3.95481&lt;/D&gt;&lt;D xsi:type="xsd:double"&gt;-1.2074292&lt;/D&gt;&lt;D xsi:type="xsd:double"&gt;6.1422706&lt;/D&gt;&lt;D xsi:type="xsd:double"&gt;-3.8086712&lt;/D&gt;&lt;D xsi:type="xsd:double"&gt;3.8832307&lt;/D&gt;&lt;D xsi:type="xsd:double"&gt;-3.7159085&lt;/D&gt;&lt;D xsi:type="xsd:double"&gt;-16.433239&lt;/D&gt;&lt;D xsi:type="xsd:double"&gt;8.156431&lt;/D&gt;&lt;D xsi:type="xsd:double"&gt;-8.4022045&lt;/D&gt;&lt;D xsi:type="xsd:double"&gt;-2.1227717&lt;/D&gt;&lt;D xsi:type="xsd:double"&gt;-7.957244&lt;/D&gt;&lt;D xsi:type="xsd:double"&gt;8.3871&lt;/D&gt;&lt;D xsi:type="xsd:double"&gt;-5.4761944&lt;/D&gt;&lt;D xsi:type="xsd:double"&gt;-9.739715&lt;/D&gt;&lt;D xsi:type="xsd:double"&gt;27.255821&lt;/D&gt;&lt;D xsi:type="xsd:double"&gt;0&lt;/D&gt;&lt;D xsi:type="xsd:double"&gt;8.181572&lt;/D&gt;&lt;D xsi:type="xsd:double"&gt;3.8408756&lt;/D&gt;&lt;D xsi:type="xsd:double"&gt;-2.1136105&lt;/D&gt;&lt;D xsi:type="xsd:double"&gt;5.026984&lt;/D&gt;&lt;D xsi:type="xsd:double"&gt;0.54609776&lt;/D&gt;&lt;D xsi:type="xsd:double"&gt;-1.0159552&lt;/D&gt;&lt;D xsi:type="xsd:double"&gt;5.291009&lt;/D&gt;&lt;D xsi:type="xsd:double"&gt;0.3140688&lt;/D&gt;&lt;D xsi:type="xsd:double"&gt;-1.0644972&lt;/D&gt;&lt;D xsi:type="xsd:double"&gt;-2.8797448&lt;/D&gt;&lt;D xsi:type="xsd:double"&gt;1.4988542&lt;/D&gt;&lt;D xsi:type="xsd:double"&gt;7.1910143&lt;/D&gt;&lt;D xsi:type="xsd:double"&gt;2.3230553&lt;/D&gt;&lt;D xsi:type="xsd:double"&gt;0.5927563&lt;/D&gt;&lt;D xsi:type="xsd:double"&gt;7.896292&lt;/D&gt;&lt;D xsi:type="xsd:double"&gt;-0.3823042&lt;/D&gt;&lt;D xsi:type="xsd:double"&gt;4.6875&lt;/D&gt;&lt;D xsi:type="xsd:double"&gt;-1.7899752&lt;/D&gt;&lt;D xsi:type="xsd:double"&gt;2.3224115&lt;/D&gt;&lt;/FQL&gt;&lt;FQL&gt;&lt;Q&gt;SPY^FMA_PE(NTMA,-10AY,0,AM,"PORTAGG","MEANR")&lt;/Q&gt;&lt;R&gt;121&lt;/R&gt;&lt;C&gt;1&lt;/C&gt;&lt;D xsi:type="xsd:double"&gt;15.3433437721194&lt;/D&gt;&lt;D xsi:type="xsd:double"&gt;14.911178096053&lt;/D&gt;&lt;D xsi:type="xsd:double"&gt;15.2700871372688&lt;/D&gt;&lt;D xsi:type="xsd:double"&gt;14.5264828399597&lt;/D&gt;&lt;D xsi:type="xsd:double"&gt;15.629654253249&lt;/D&gt;&lt;D xsi:type="xsd:double"&gt;15.6943080585517&lt;/D&gt;&lt;D xsi:type="xsd:double"&gt;16.0157856576161&lt;/D&gt;&lt;D xsi:type="xsd:double"&gt;16.6270587988844&lt;/D&gt;&lt;D xsi:type="xsd:double"&gt;16.3545738307633&lt;/D&gt;&lt;D xsi:type="xsd:double"&gt;16.7506179803448&lt;/D&gt;&lt;D xsi:type="xsd:double"&gt;16.6242589328258&lt;/D&gt;&lt;D xsi:type="xsd:double"&gt;16.5063970226408&lt;/D&gt;&lt;D xsi:type="xsd:double"&gt;16.1845842710819&lt;/D&gt;&lt;D xsi:type="xsd:double"&gt;16.2621647863037&lt;/D&gt;&lt;D xsi:type="xsd:double"&gt;15.2817631966567&lt;/D&gt;&lt;D xsi:type="xsd:double"&gt;15.7512636421626&lt;/D&gt;&lt;D xsi:type="xsd:double"&gt;16.2660717939002&lt;/D&gt;&lt;D xsi:type="xsd:double"&gt;15.7300489831403&lt;/D&gt;&lt;D xsi:type="xsd:double"&gt;15.0965716788976&lt;/D&gt;&lt;D xsi:type="xsd:double"&gt;15.5099438140132&lt;/D&gt;&lt;D xsi:type="xsd:double"&gt;15.5167363536305&lt;/D&gt;&lt;D xsi:type="xsd:double"&gt;16.5004635460184&lt;/D&gt;&lt;D xsi:type="xsd:double"&gt;16.5226770167304&lt;/D&gt;&lt;D xsi:type="xsd:double"&gt;16.5332547025517&lt;/D&gt;&lt;D xsi:type="xsd:double"&gt;16.7895077164128&lt;/D&gt;&lt;D xsi:type="xsd:double"&gt;17.0120438063636&lt;/D&gt;&lt;D xsi:type="xsd:double"&gt;16.443516067559&lt;/D&gt;&lt;D xsi:type="xsd:double"&gt;16.3782850308453&lt;/D&gt;&lt;D xsi:type="xsd:double"&gt;16.5261030604819&lt;/D&gt;&lt;D xsi:type="xsd:double"&gt;17.0817729331739&lt;/D&gt;&lt;D xsi:type="xsd:double"&gt;17.0133824231897&lt;/D&gt;&lt;D xsi:type="xsd:double"&gt;17.3573135161618&lt;/D&gt;&lt;D xsi:type="xsd:double"&gt;17.6868555093764&lt;/D&gt;&lt;D xsi:type="xsd:double"&gt;17.3885861861154&lt;/D&gt;&lt;D xsi:type="xsd:double"&gt;17.4609592662087&lt;/D&gt;&lt;D xsi:type="xsd:double"&gt;17.5892922074256&lt;/D&gt;&lt;D xsi:type="xsd:double"&gt;17.3950625401321&lt;/D&gt;&lt;D xsi:type="xsd:double"&gt;17.3716829759511&lt;/D&gt;&lt;D xsi:type="xsd:double"&gt;17.5650529762541&lt;/D&gt;&lt;D xsi:type="xsd:double"&gt;17.9352276023395&lt;/D&gt;&lt;D xsi:type="xsd:double"&gt;17.9158166017304&lt;/D&gt;&lt;D xsi:type="xsd:double"&gt;18.2513691551672&lt;/D&gt;&lt;D xsi:type="xsd:double"&gt;18.3133305053187&lt;/D&gt;&lt;D xsi:type="xsd:double"&gt;16.4319397139113&lt;/D&gt;&lt;D xsi:type="xsd:double"&gt;17.2975432074564&lt;/D&gt;&lt;D xsi:type="xsd:double"&gt;16.2514102222609&lt;/D&gt;&lt;D xsi:type="xsd:double"&gt;16.4505081458464&lt;/D&gt;&lt;D xsi:type="xsd:double"&gt;16.6011132635123&lt;/D&gt;&lt;D xsi:type="xsd:double"&gt;16.3985340136262&lt;/D&gt;&lt;D xsi:type="xsd:double"&gt;16.5026574691152&lt;/D&gt;&lt;D xsi:type="xsd:double"&gt;16.6667764569797&lt;/D&gt;&lt;D xsi:type="xsd:double"&gt;15.6512502728195&lt;/D&gt;&lt;D xsi:type="xsd:double"&gt;15.8933845224029&lt;/D&gt;&lt;D xsi:type="xsd:double"&gt;15.0545656237265&lt;/D&gt;&lt;D xsi:type="xsd:double"&gt;15.0726387797725&lt;/D&gt;&lt;D xsi:type="xsd:double"&gt;15.7828712290394&lt;/D&gt;&lt;D xsi:type="xsd:double"&gt;16.1649153021234&lt;/D&gt;&lt;D xsi:type="xsd:double"&gt;16.735658159891&lt;/D&gt;&lt;D xsi:type="xsd:double"&gt;16.5132645539269&lt;/D&gt;&lt;D xsi:type="xsd:double"&gt;16.4176908126895&lt;/D&gt;&lt;D xsi:type="xsd:double"&gt;17.0590432703296&lt;/D&gt;&lt;D xsi:type="xsd:double"&gt;16.601354700813&lt;/D&gt;&lt;D xsi:type="xsd:double"&gt;16.9491013974875&lt;/D&gt;&lt;D xsi:type="xsd:double"&gt;16.7891810909503&lt;/D&gt;&lt;D xsi:type="xsd:double"&gt;17.4245968796922&lt;/D&gt;&lt;D xsi:type="xsd:double"&gt;17.680669046995&lt;/D&gt;&lt;D xsi:type="xsd:double"&gt;18.3089397600708&lt;/D&gt;&lt;D xsi:type="xsd:double"&gt;18.8279214869709&lt;/D&gt;&lt;D xsi:type="xsd:double"&gt;15.4682637275698&lt;/D&gt;&lt;D xsi:type="xsd:double"&gt;17.9658547629139&lt;/D&gt;&lt;D xsi:type="xsd:double"&gt;20.8316241510724&lt;/D&gt;&lt;D xsi:type="xsd:double"&gt;21.1801395974539&lt;/D&gt;&lt;D xsi:type="xsd:double"&gt;22.1798914107909&lt;/D&gt;&lt;D xsi:type="xsd:double"&gt;22.13961262835&lt;/D&gt;&lt;D xsi:type="xsd:double"&gt;21.6520384602833&lt;/D&gt;&lt;D xsi:type="xsd:double"&gt;22.077193524248&lt;/D&gt;&lt;D xsi:type="xsd:double"&gt;21.8329747586022&lt;/D&gt;&lt;D xsi:type="xsd:double"&gt;21.8321034106042&lt;/D&gt;&lt;D xsi:type="xsd:double"&gt;22.4761158544033&lt;/D&gt;&lt;D xsi:type="xsd:double"&gt;22.1719283868819&lt;/D&gt;&lt;D xsi:type="xsd:double"&gt;21.9033973693184&lt;/D&gt;&lt;D xsi:type="xsd:double"&gt;22.5068850367059&lt;/D&gt;&lt;D xsi:type="xsd:double"&gt;21.2498865807796&lt;/D&gt;&lt;D xsi:type="xsd:double"&gt;21.3215030166419&lt;/D&gt;&lt;D xsi:type="xsd:double"&gt;21.6116833940397&lt;/D&gt;&lt;D xsi:type="xsd:double"&gt;21.0455275679611&lt;/D&gt;&lt;D xsi:type="xsd:double"&gt;20.8570526776756&lt;/D&gt;&lt;D xsi:type="xsd:double"&gt;20.278168093228&lt;/D&gt;&lt;D xsi:type="xsd:double"&gt;21.2282674206659&lt;/D&gt;&lt;D xsi:type="xsd:double"&gt;21.1865411819267&lt;/D&gt;&lt;D xsi:type="xsd:double"&gt;20.9838828526471&lt;/D&gt;&lt;D xsi:type="xsd:double"&gt;19.4146286105941&lt;/D&gt;&lt;D xsi:type="xsd:double"&gt;18.1868428998613&lt;/D&gt;&lt;D xsi:type="xsd:double"&gt;18.8531705600867&lt;/D&gt;&lt;D xsi:type="xsd:double"&gt;16.6253159886256&lt;/D&gt;&lt;D xsi:type="xsd:double"&gt;16.2978509334781&lt;/D&gt;&lt;D xsi:type="xsd:double"&gt;16.0864468299132&lt;/D&gt;&lt;D xsi:type="xsd:double"&gt;17.7585033372064&lt;/D&gt;&lt;D xsi:type="xsd:double"&gt;17.0969696971189&lt;/D&gt;&lt;D xsi:type="xsd:double"&gt;15.1891950320764&lt;/D&gt;&lt;D xsi:type="xsd:double"&gt;17.3034950497693&lt;/D&gt;&lt;D xsi:type="xsd:double"&gt;17.029096111951&lt;/D&gt;&lt;D xsi:type="xsd:double"&gt;17.2490187000189&lt;/D&gt;&lt;D xsi:type="xsd:double"&gt;18.0459977713077&lt;/D&gt;&lt;D xsi:type="xsd:double"&gt;16.9568781643918&lt;/D&gt;&lt;D xsi:type="xsd:double"&gt;18.0696916781829&lt;/D&gt;&lt;D xsi:type="xsd:double"&gt;17.9751551238653&lt;/D&gt;&lt;D xsi:type="xsd:double"&gt;18.5018371287707&lt;/D&gt;&lt;D xsi:type="xsd:double"&gt;19.0726029348547&lt;/D&gt;&lt;D xsi:type="xsd:double"&gt;18.9019037860325&lt;/D&gt;&lt;D xsi:type="xsd:double"&gt;18.7119815886104&lt;/D&gt;&lt;D xsi:type="xsd:double"&gt;18.1778471994387&lt;/D&gt;&lt;D xsi:type="xsd:double"&gt;18.2565964752324&lt;/D&gt;&lt;D xsi:type="xsd:double"&gt;18.8967611413291&lt;/D&gt;&lt;D xsi:type="xsd:double"&gt;19.5334160807986&lt;/D&gt;&lt;D xsi:type="xsd:double"&gt;20.3975199812305&lt;/D&gt;&lt;D xsi:type="xsd:double"&gt;20.4771885753891&lt;/D&gt;&lt;D xsi:type="xsd:double"&gt;20.7275991576667&lt;/D&gt;&lt;D xsi:type="xsd:double"&gt;20.4759526503474&lt;/D&gt;&lt;D xsi:type="xsd:double"&gt;20.7619078953362&lt;/D&gt;&lt;D xsi:type="xsd:double"&gt;21.5904132546223&lt;/D&gt;&lt;/FQL&gt;&lt;FQL&gt;&lt;Q&gt;WL-FDS^MAX(FG_PRICE(0,-5AY))&lt;/Q&gt;&lt;R&gt;1&lt;/R&gt;&lt;C&gt;1&lt;/C&gt;&lt;D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xsi:type="xsd:double"&gt;48241&lt;/D&gt;&lt;/FQL&gt;&lt;FQL&gt;&lt;Q&gt;BRENT-FDS^MAX(FG_PRICE(0,-5AY))&lt;/Q&gt;&lt;R&gt;1&lt;/R&gt;&lt;C&gt;1&lt;/C&gt;&lt;D xsi:type="xsd:double"&gt;140.85&lt;/D&gt;&lt;/FQL&gt;&lt;FQL&gt;&lt;Q&gt;FC0000GB^FG_PRICE(0)&lt;/Q&gt;&lt;R&gt;1&lt;/R&gt;&lt;C&gt;1&lt;/C&gt;&lt;D xsi:type="xsd:double"&gt;130.52388&lt;/D&gt;&lt;/FQL&gt;&lt;FQL&gt;&lt;Q&gt;EWD^FG_PRICE_MAVG(0,,,,200)&lt;/Q&gt;&lt;R&gt;1&lt;/R&gt;&lt;C&gt;1&lt;/C&gt;&lt;D xsi:type="xsd:double"&gt;37.954723&lt;/D&gt;&lt;/FQL&gt;&lt;FQL&gt;&lt;Q&gt;EWG^FG_PRICE_MAVG(0,,,,200)&lt;/Q&gt;&lt;R&gt;1&lt;/R&gt;&lt;C&gt;1&lt;/C&gt;&lt;D xsi:type="xsd:double"&gt;29.47035&lt;/D&gt;&lt;/FQL&gt;&lt;FQL&gt;&lt;Q&gt;FXI^P_PRICE(0)/P_PRICE_HIGH_PR(0,,,,,,"PRICE","INTRA","52W")&lt;/Q&gt;&lt;R&gt;1&lt;/R&gt;&lt;C&gt;1&lt;/C&gt;&lt;D xsi:type="xsd:double"&gt;0.8821218&lt;/D&gt;&lt;/FQL&gt;&lt;FQL&gt;&lt;Q&gt;VGK^FG_TOTAL_RETURNC(0,-1AM)&lt;/Q&gt;&lt;R&gt;1&lt;/R&gt;&lt;C&gt;1&lt;/C&gt;&lt;D xsi:type="xsd:double"&gt;1.5089154&lt;/D&gt;&lt;/FQL&gt;&lt;FQL&gt;&lt;Q&gt;DUMMY^ECON_EXPR_DATA('FDS_ECON[NTCPMIMFGSA@EME]',,,M)&lt;/Q&gt;&lt;R&gt;1&lt;/R&gt;&lt;C&gt;1&lt;/C&gt;&lt;D xsi:type="xsd:double"&gt;52.09547&lt;/D&gt;&lt;/FQL&gt;&lt;FQL&gt;&lt;Q&gt;EWD^FMA_ROE(NTMA,-20AY,NOW,FY,"PORTAGG","MEANR")&lt;/Q&gt;&lt;R&gt;20&lt;/R&gt;&lt;C&gt;1&lt;/C&gt;&lt;D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xsi:type="xsd:double"&gt;2.004&lt;/D&gt;&lt;/FQL&gt;&lt;FQL&gt;&lt;Q&gt;CAGDPY@FR^EE_ACTUAL_ANNUAL(MED,0)&lt;/Q&gt;&lt;R&gt;1&lt;/R&gt;&lt;C&gt;1&lt;/C&gt;&lt;D xsi:type="xsd:double"&gt;-0.756817157305732&lt;/D&gt;&lt;/FQL&gt;&lt;FQL&gt;&lt;Q&gt;USDANG^FG_PRICE_CHANGE(0,-1AM)&lt;/Q&gt;&lt;R&gt;1&lt;/R&gt;&lt;C&gt;1&lt;/C&gt;&lt;D xsi:type="xsd:double"&gt;0&lt;/D&gt;&lt;/FQL&gt;&lt;FQL&gt;&lt;Q&gt;USDGBP^FG_PRICE_CHANGE(0,-1AM)&lt;/Q&gt;&lt;R&gt;1&lt;/R&gt;&lt;C&gt;1&lt;/C&gt;&lt;D xsi:type="xsd:double"&gt;-1.6480327&lt;/D&gt;&lt;/FQL&gt;&lt;FQL&gt;&lt;Q&gt;USDJPY^FG_PRICE_CHANGE(0,-1AM)&lt;/Q&gt;&lt;R&gt;1&lt;/R&gt;&lt;C&gt;1&lt;/C&gt;&lt;D xsi:type="xsd:double"&gt;0.7722378&lt;/D&gt;&lt;/FQL&gt;&lt;FQL&gt;&lt;Q&gt;USDCAD^FG_PRICE_CHANGE(0,-1AM)&lt;/Q&gt;&lt;R&gt;1&lt;/R&gt;&lt;C&gt;1&lt;/C&gt;&lt;D xsi:type="xsd:double"&gt;-1.1689067&lt;/D&gt;&lt;/FQL&gt;&lt;FQL&gt;&lt;Q&gt;ENZL^FMA_EPS(NTMA,-20AY,0,CY,,"PORTAGG","MEANR")&lt;/Q&gt;&lt;R&gt;20&lt;/R&gt;&lt;C&gt;1&lt;/C&gt;&lt;D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xsi:type="xsd:double"&gt;2.11106621771878&lt;/D&gt;&lt;/FQL&gt;&lt;FQL&gt;&lt;Q&gt;EWN^FMA_DIV_YLD(NTMA,-10AY,0,AM,"PORTAGG","MEANR")&lt;/Q&gt;&lt;R&gt;121&lt;/R&gt;&lt;C&gt;1&lt;/C&gt;&lt;D xsi:type="xsd:double"&gt;2.89347782002791&lt;/D&gt;&lt;D xsi:type="xsd:double"&gt;3.06149075772117&lt;/D&gt;&lt;D xsi:type="xsd:double"&gt;3.00104001790359&lt;/D&gt;&lt;D xsi:type="xsd:double"&gt;3.17750860434438&lt;/D&gt;&lt;D xsi:type="xsd:double"&gt;3.08913156082057&lt;/D&gt;&lt;D xsi:type="xsd:double"&gt;3.06095932154212&lt;/D&gt;&lt;D xsi:type="xsd:double"&gt;3.13375663660281&lt;/D&gt;&lt;D xsi:type="xsd:double"&gt;2.8814342100664&lt;/D&gt;&lt;D xsi:type="xsd:double"&gt;2.63863870754586&lt;/D&gt;&lt;D xsi:type="xsd:double"&gt;2.58310347872124&lt;/D&gt;&lt;D xsi:type="xsd:double"&gt;2.73791140690727&lt;/D&gt;&lt;D xsi:type="xsd:double"&gt;2.88431717602198&lt;/D&gt;&lt;D xsi:type="xsd:double"&gt;2.92066189862663&lt;/D&gt;&lt;D xsi:type="xsd:double"&gt;3.05314144297488&lt;/D&gt;&lt;D xsi:type="xsd:double"&gt;3.50502890783083&lt;/D&gt;&lt;D xsi:type="xsd:double"&gt;3.46208639246176&lt;/D&gt;&lt;D xsi:type="xsd:double"&gt;3.14261294474862&lt;/D&gt;&lt;D xsi:type="xsd:double"&gt;3.3703178124924&lt;/D&gt;&lt;D xsi:type="xsd:double"&gt;3.32616144060891&lt;/D&gt;&lt;D xsi:type="xsd:double"&gt;3.73085497356854&lt;/D&gt;&lt;D xsi:type="xsd:double"&gt;3.3070368016115&lt;/D&gt;&lt;D xsi:type="xsd:double"&gt;3.35983063304366&lt;/D&gt;&lt;D xsi:type="xsd:double"&gt;3.40019443182294&lt;/D&gt;&lt;D xsi:type="xsd:double"&gt;3.2714917012433&lt;/D&gt;&lt;D xsi:type="xsd:double"&gt;3.29383909175332&lt;/D&gt;&lt;D xsi:type="xsd:double"&gt;3.13177851941349&lt;/D&gt;&lt;D xsi:type="xsd:double"&gt;3.15535955984215&lt;/D&gt;&lt;D xsi:type="xsd:double"&gt;3.11936472266154&lt;/D&gt;&lt;D xsi:type="xsd:double"&gt;3.18868506839284&lt;/D&gt;&lt;D xsi:type="xsd:double"&gt;3.04139651137152&lt;/D&gt;&lt;D xsi:type="xsd:double"&gt;2.95090430830372&lt;/D&gt;&lt;D xsi:type="xsd:double"&gt;2.915858114188&lt;/D&gt;&lt;D xsi:type="xsd:double"&gt;2.77039631952978&lt;/D&gt;&lt;D xsi:type="xsd:double"&gt;2.76564994465788&lt;/D&gt;&lt;D xsi:type="xsd:double"&gt;2.70276686252854&lt;/D&gt;&lt;D xsi:type="xsd:double"&gt;2.70111645765119&lt;/D&gt;&lt;D xsi:type="xsd:double"&gt;2.81700957183875&lt;/D&gt;&lt;D xsi:type="xsd:double"&gt;2.81879214633753&lt;/D&gt;&lt;D xsi:type="xsd:double"&gt;2.84485154781321&lt;/D&gt;&lt;D xsi:type="xsd:double"&gt;2.77117276080204&lt;/D&gt;&lt;D xsi:type="xsd:double"&gt;2.80115736908361&lt;/D&gt;&lt;D xsi:type="xsd:double"&gt;2.8214146298831&lt;/D&gt;&lt;D xsi:type="xsd:double"&gt;2.79917723071026&lt;/D&gt;&lt;D xsi:type="xsd:double"&gt;2.99428155186221&lt;/D&gt;&lt;D xsi:type="xsd:double"&gt;2.90740052526616&lt;/D&gt;&lt;D xsi:type="xsd:double"&gt;2.94670838213444&lt;/D&gt;&lt;D xsi:type="xsd:double"&gt;2.90794126440471&lt;/D&gt;&lt;D xsi:type="xsd:double"&gt;2.85143148349815&lt;/D&gt;&lt;D xsi:type="xsd:double"&gt;2.9618853000586&lt;/D&gt;&lt;D xsi:type="xsd:double"&gt;2.90400840329892&lt;/D&gt;&lt;D xsi:type="xsd:double"&gt;3.04072632879953&lt;/D&gt;&lt;D xsi:type="xsd:double"&gt;3.21760442026084&lt;/D&gt;&lt;D xsi:type="xsd:double"&gt;3.1656999123636&lt;/D&gt;&lt;D xsi:type="xsd:double"&gt;3.37134496957496&lt;/D&gt;&lt;D xsi:type="xsd:double"&gt;3.38437527772502&lt;/D&gt;&lt;D xsi:type="xsd:double"&gt;3.19634355466189&lt;/D&gt;&lt;D xsi:type="xsd:double"&gt;3.1289980037481&lt;/D&gt;&lt;D xsi:type="xsd:double"&gt;3.01308524281793&lt;/D&gt;&lt;D xsi:type="xsd:double"&gt;3.05710668139763&lt;/D&gt;&lt;D xsi:type="xsd:double"&gt;3.0669532887272&lt;/D&gt;&lt;D xsi:type="xsd:double"&gt;2.9849302174975&lt;/D&gt;&lt;D xsi:type="xsd:double"&gt;3.03754782768631&lt;/D&gt;&lt;D xsi:type="xsd:double"&gt;2.85681179257786&lt;/D&gt;&lt;D xsi:type="xsd:double"&gt;2.74741717089089&lt;/D&gt;&lt;D xsi:type="xsd:double"&gt;2.65745502778279&lt;/D&gt;&lt;D xsi:type="xsd:double"&gt;2.64026991179438&lt;/D&gt;&lt;D xsi:type="xsd:double"&gt;2.57652895081943&lt;/D&gt;&lt;D xsi:type="xsd:double"&gt;2.49450194682201&lt;/D&gt;&lt;D xsi:type="xsd:double"&gt;3.18582779394374&lt;/D&gt;&lt;D xsi:type="xsd:double"&gt;2.8833964806587&lt;/D&gt;&lt;D xsi:type="xsd:double"&gt;2.62688828286798&lt;/D&gt;&lt;D xsi:type="xsd:double"&gt;2.48417485709076&lt;/D&gt;&lt;D xsi:type="xsd:double"&gt;2.32345436308004&lt;/D&gt;&lt;D xsi:type="xsd:double"&gt;2.35251965973252&lt;/D&gt;&lt;D xsi:type="xsd:double"&gt;2.32122518056387&lt;/D&gt;&lt;D xsi:type="xsd:double"&gt;2.27544631956116&lt;/D&gt;&lt;D xsi:type="xsd:double"&gt;2.1846485874798&lt;/D&gt;&lt;D xsi:type="xsd:double"&gt;2.07826912388842&lt;/D&gt;&lt;D xsi:type="xsd:double"&gt;1.94257884352513&lt;/D&gt;&lt;D xsi:type="xsd:double"&gt;1.89038165959937&lt;/D&gt;&lt;D xsi:type="xsd:double"&gt;2.00187877971717&lt;/D&gt;&lt;D xsi:type="xsd:double"&gt;1.90472064936588&lt;/D&gt;&lt;D xsi:type="xsd:double"&gt;2.00607252422662&lt;/D&gt;&lt;D xsi:type="xsd:double"&gt;1.97589729034351&lt;/D&gt;&lt;D xsi:type="xsd:double"&gt;2.02574283996592&lt;/D&gt;&lt;D xsi:type="xsd:double"&gt;1.94040020855219&lt;/D&gt;&lt;D xsi:type="xsd:double"&gt;1.85198660892642&lt;/D&gt;&lt;D xsi:type="xsd:double"&gt;1.98511008605418&lt;/D&gt;&lt;D xsi:type="xsd:double"&gt;1.85156713944838&lt;/D&gt;&lt;D xsi:type="xsd:double"&gt;1.9770197803366&lt;/D&gt;&lt;D xsi:type="xsd:double"&gt;2.01233724635212&lt;/D&gt;&lt;D xsi:type="xsd:double"&gt;2.21584445906126&lt;/D&gt;&lt;D xsi:type="xsd:double"&gt;2.45050247290314&lt;/D&gt;&lt;D xsi:type="xsd:double"&gt;2.32180014301779&lt;/D&gt;&lt;D xsi:type="xsd:double"&gt;2.61275627863966&lt;/D&gt;&lt;D xsi:type="xsd:double"&gt;2.64469720276448&lt;/D&gt;&lt;D xsi:type="xsd:double"&gt;3.39307496051512&lt;/D&gt;&lt;D xsi:type="xsd:double"&gt;3.07293924732522&lt;/D&gt;&lt;D xsi:type="xsd:double"&gt;3.67773049128445&lt;/D&gt;&lt;D xsi:type="xsd:double"&gt;3.12449272678837&lt;/D&gt;&lt;D xsi:type="xsd:double"&gt;2.70869262830335&lt;/D&gt;&lt;D xsi:type="xsd:double"&gt;2.64607514561409&lt;/D&gt;&lt;D xsi:type="xsd:double"&gt;2.58752179758628&lt;/D&gt;&lt;D xsi:type="xsd:double"&gt;2.58519450278685&lt;/D&gt;&lt;D xsi:type="xsd:double"&gt;2.72543759070081&lt;/D&gt;&lt;D xsi:type="xsd:double"&gt;2.66878929063871&lt;/D&gt;&lt;D xsi:type="xsd:double"&gt;2.71862324909544&lt;/D&gt;&lt;D xsi:type="xsd:double"&gt;2.6816749498208&lt;/D&gt;&lt;D xsi:type="xsd:double"&gt;2.7417934056205&lt;/D&gt;&lt;D xsi:type="xsd:double"&gt;2.77621023414872&lt;/D&gt;&lt;D xsi:type="xsd:double"&gt;2.95727147211533&lt;/D&gt;&lt;D xsi:type="xsd:double"&gt;2.98909049311986&lt;/D&gt;&lt;D xsi:type="xsd:double"&gt;2.91257420792312&lt;/D&gt;&lt;D xsi:type="xsd:double"&gt;2.70383808167201&lt;/D&gt;&lt;D xsi:type="xsd:double"&gt;2.72564142048787&lt;/D&gt;&lt;D xsi:type="xsd:double"&gt;2.47229034478904&lt;/D&gt;&lt;D xsi:type="xsd:double"&gt;2.6053271774946&lt;/D&gt;&lt;D xsi:type="xsd:double"&gt;2.52437640289151&lt;/D&gt;&lt;D xsi:type="xsd:double"&gt;2.46559578577109&lt;/D&gt;&lt;D xsi:type="xsd:double"&gt;2.43639548016805&lt;/D&gt;&lt;D xsi:type="xsd:double"&gt;2.44370401467481&lt;/D&gt;&lt;/FQL&gt;&lt;FQL&gt;&lt;Q&gt;EWU^FMA_PE(LTMA,-10AY,0,AM,"PORTAGG","MEANR")&lt;/Q&gt;&lt;R&gt;121&lt;/R&gt;&lt;C&gt;1&lt;/C&gt;&lt;D xsi:type="xsd:double"&gt;14.2744493993483&lt;/D&gt;&lt;D xsi:type="xsd:double"&gt;14.1302479473592&lt;/D&gt;&lt;D xsi:type="xsd:double"&gt;14.1573206623118&lt;/D&gt;&lt;D xsi:type="xsd:double"&gt;13.4268495849335&lt;/D&gt;&lt;D xsi:type="xsd:double"&gt;13.9403205851875&lt;/D&gt;&lt;D xsi:type="xsd:double"&gt;13.5947856219578&lt;/D&gt;&lt;D xsi:type="xsd:double"&gt;13.4770673405133&lt;/D&gt;&lt;D xsi:type="xsd:double"&gt;14.5096383025039&lt;/D&gt;&lt;D xsi:type="xsd:double"&gt;15.1059044391867&lt;/D&gt;&lt;D xsi:type="xsd:double"&gt;15.4653415263547&lt;/D&gt;&lt;D xsi:type="xsd:double"&gt;15.7176650214959&lt;/D&gt;&lt;D xsi:type="xsd:double"&gt;15.698358007868&lt;/D&gt;&lt;D xsi:type="xsd:double"&gt;15.5822147632225&lt;/D&gt;&lt;D xsi:type="xsd:double"&gt;15.7710393146924&lt;/D&gt;&lt;D xsi:type="xsd:double"&gt;15.018967059324&lt;/D&gt;&lt;D xsi:type="xsd:double"&gt;15.7553625559977&lt;/D&gt;&lt;D xsi:type="xsd:double"&gt;15.7677008457074&lt;/D&gt;&lt;D xsi:type="xsd:double"&gt;15.0845130535522&lt;/D&gt;&lt;D xsi:type="xsd:double"&gt;14.7544904257769&lt;/D&gt;&lt;D xsi:type="xsd:double"&gt;13.9936954392155&lt;/D&gt;&lt;D xsi:type="xsd:double"&gt;15.6255820413721&lt;/D&gt;&lt;D xsi:type="xsd:double"&gt;15.8086409901152&lt;/D&gt;&lt;D xsi:type="xsd:double"&gt;15.8689019711773&lt;/D&gt;&lt;D xsi:type="xsd:double"&gt;15.8931277075778&lt;/D&gt;&lt;D xsi:type="xsd:double"&gt;16.4170151633055&lt;/D&gt;&lt;D xsi:type="xsd:double"&gt;16.9626444370876&lt;/D&gt;&lt;D xsi:type="xsd:double"&gt;16.851203979754&lt;/D&gt;&lt;D xsi:type="xsd:double"&gt;17.0469822940956&lt;/D&gt;&lt;D xsi:type="xsd:double"&gt;16.3174182826211&lt;/D&gt;&lt;D xsi:type="xsd:double"&gt;16.8868474178802&lt;/D&gt;&lt;D xsi:type="xsd:double"&gt;17.2688579985609&lt;/D&gt;&lt;D xsi:type="xsd:double"&gt;17.3356477048108&lt;/D&gt;&lt;D xsi:type="xsd:double"&gt;17.2791303258414&lt;/D&gt;&lt;D xsi:type="xsd:double"&gt;17.0539715640928&lt;/D&gt;&lt;D xsi:type="xsd:double"&gt;16.858552691487&lt;/D&gt;&lt;D xsi:type="xsd:double"&gt;16.6940067692947&lt;/D&gt;&lt;D xsi:type="xsd:double"&gt;16.3471164254866&lt;/D&gt;&lt;D xsi:type="xsd:double"&gt;16.1329607142966&lt;/D&gt;&lt;D xsi:type="xsd:double"&gt;16.0235510303927&lt;/D&gt;&lt;D xsi:type="xsd:double"&gt;15.8670953374715&lt;/D&gt;&lt;D xsi:type="xsd:double"&gt;15.4004427733942&lt;/D&gt;&lt;D xsi:type="xsd:double"&gt;15.2274109877955&lt;/D&gt;&lt;D xsi:type="xsd:double"&gt;15.6516379168601&lt;/D&gt;&lt;D xsi:type="xsd:double"&gt;14.2238916401885&lt;/D&gt;&lt;D xsi:type="xsd:double"&gt;13.9813350069092&lt;/D&gt;&lt;D xsi:type="xsd:double"&gt;13.9868660919576&lt;/D&gt;&lt;D xsi:type="xsd:double"&gt;14.1292551417902&lt;/D&gt;&lt;D xsi:type="xsd:double"&gt;13.9953243508908&lt;/D&gt;&lt;D xsi:type="xsd:double"&gt;13.7849751675198&lt;/D&gt;&lt;D xsi:type="xsd:double"&gt;13.7790666178708&lt;/D&gt;&lt;D xsi:type="xsd:double"&gt;13.3168935775809&lt;/D&gt;&lt;D xsi:type="xsd:double"&gt;12.9458173875826&lt;/D&gt;&lt;D xsi:type="xsd:double"&gt;12.8853225820427&lt;/D&gt;&lt;D xsi:type="xsd:double"&gt;12.1150686655359&lt;/D&gt;&lt;D xsi:type="xsd:double"&gt;12.3033933231619&lt;/D&gt;&lt;D xsi:type="xsd:double"&gt;12.6693115046268&lt;/D&gt;&lt;D xsi:type="xsd:double"&gt;12.9142227518401&lt;/D&gt;&lt;D xsi:type="xsd:double"&gt;13.0119420610559&lt;/D&gt;&lt;D xsi:type="xsd:double"&gt;12.8687263753885&lt;/D&gt;&lt;D xsi:type="xsd:double"&gt;13.0018402077936&lt;/D&gt;&lt;D xsi:type="xsd:double"&gt;13.1055757379882&lt;/D&gt;&lt;D xsi:type="xsd:double"&gt;12.7798315966711&lt;/D&gt;&lt;D xsi:type="xsd:double"&gt;13.0518854223501&lt;/D&gt;&lt;D xsi:type="xsd:double"&gt;13.1207783053745&lt;/D&gt;&lt;D xsi:type="xsd:double"&gt;13.3684730695287&lt;/D&gt;&lt;D xsi:type="xsd:double"&gt;13.4591438401208&lt;/D&gt;&lt;D xsi:type="xsd:double"&gt;14.2041445320893&lt;/D&gt;&lt;D xsi:type="xsd:double"&gt;14.02343628341&lt;/D&gt;&lt;D xsi:type="xsd:double"&gt;12.1462530360108&lt;/D&gt;&lt;D xsi:type="xsd:double"&gt;12.7909345289202&lt;/D&gt;&lt;D xsi:type="xsd:double"&gt;13.8921932337512&lt;/D&gt;&lt;D xsi:type="xsd:double"&gt;14.8259335578823&lt;/D&gt;&lt;D xsi:type="xsd:double"&gt;15.2113026920623&lt;/D&gt;&lt;D xsi:type="xsd:double"&gt;16.301502773507&lt;/D&gt;&lt;D xsi:type="xsd:double"&gt;16.7737634359504&lt;/D&gt;&lt;D xsi:type="xsd:double"&gt;17.213382093765&lt;/D&gt;&lt;D xsi:type="xsd:double"&gt;17.954972927967&lt;/D&gt;&lt;D xsi:type="xsd:double"&gt;19.2846537022257&lt;/D&gt;&lt;D xsi:type="xsd:double"&gt;20.3006962237872&lt;/D&gt;&lt;D xsi:type="xsd:double"&gt;19.3385245152965&lt;/D&gt;&lt;D xsi:type="xsd:double"&gt;18.6792587693578&lt;/D&gt;&lt;D xsi:type="xsd:double"&gt;18.1176319672665&lt;/D&gt;&lt;D xsi:type="xsd:double"&gt;17.4488221727928&lt;/D&gt;&lt;D xsi:type="xsd:double"&gt;16.9539767159684&lt;/D&gt;&lt;D xsi:type="xsd:double"&gt;16.1862392292448&lt;/D&gt;&lt;D xsi:type="xsd:double"&gt;15.2996319736062&lt;/D&gt;&lt;D xsi:type="xsd:double"&gt;14.4050657471326&lt;/D&gt;&lt;D xsi:type="xsd:double"&gt;13.8978854275389&lt;/D&gt;&lt;D xsi:type="xsd:double"&gt;13.3652069637279&lt;/D&gt;&lt;D xsi:type="xsd:double"&gt;12.518250410842&lt;/D&gt;&lt;D xsi:type="xsd:double"&gt;12.5635729769055&lt;/D&gt;&lt;D xsi:type="xsd:double"&gt;12.8897101201569&lt;/D&gt;&lt;D xsi:type="xsd:double"&gt;12.4077864211837&lt;/D&gt;&lt;D xsi:type="xsd:double"&gt;12.264769785585&lt;/D&gt;&lt;D xsi:type="xsd:double"&gt;11.7619494572827&lt;/D&gt;&lt;D xsi:type="xsd:double"&gt;11.478751117953&lt;/D&gt;&lt;D xsi:type="xsd:double"&gt;10.9431264556761&lt;/D&gt;&lt;D xsi:type="xsd:double"&gt;10.8428603457669&lt;/D&gt;&lt;D xsi:type="xsd:double"&gt;10.264478895724&lt;/D&gt;&lt;D xsi:type="xsd:double"&gt;9.38273324134799&lt;/D&gt;&lt;D xsi:type="xsd:double"&gt;9.68732007620547&lt;/D&gt;&lt;D xsi:type="xsd:double"&gt;9.88684898693499&lt;/D&gt;&lt;D xsi:type="xsd:double"&gt;9.98331146818982&lt;/D&gt;&lt;D xsi:type="xsd:double"&gt;10.1168517553844&lt;/D&gt;&lt;D xsi:type="xsd:double"&gt;10.232138501839&lt;/D&gt;&lt;D xsi:type="xsd:double"&gt;10.3494950570132&lt;/D&gt;&lt;D xsi:type="xsd:double"&gt;10.3455334741086&lt;/D&gt;&lt;D xsi:type="xsd:double"&gt;10.3121959129816&lt;/D&gt;&lt;D xsi:type="xsd:double"&gt;10.2342900373181&lt;/D&gt;&lt;D xsi:type="xsd:double"&gt;10.5418415791191&lt;/D&gt;&lt;D xsi:type="xsd:double"&gt;10.5276072269669&lt;/D&gt;&lt;D xsi:type="xsd:double"&gt;10.6561984235561&lt;/D&gt;&lt;D xsi:type="xsd:double"&gt;10.3964296310995&lt;/D&gt;&lt;D xsi:type="xsd:double"&gt;10.9115692875294&lt;/D&gt;&lt;D xsi:type="xsd:double"&gt;11.1599931536915&lt;/D&gt;&lt;D xsi:type="xsd:double"&gt;11.1812844991282&lt;/D&gt;&lt;D xsi:type="xsd:double"&gt;11.4568607720428&lt;/D&gt;&lt;D xsi:type="xsd:double"&gt;11.5266707058761&lt;/D&gt;&lt;D xsi:type="xsd:double"&gt;11.7600236311173&lt;/D&gt;&lt;D xsi:type="xsd:double"&gt;11.6318188769908&lt;/D&gt;&lt;D xsi:type="xsd:double"&gt;11.6939917925669&lt;/D&gt;&lt;/FQL&gt;&lt;FQL&gt;&lt;Q&gt;CPALM-FDS^MAX(FG_PRICE(0,-5AY))&lt;/Q&gt;&lt;R&gt;1&lt;/R&gt;&lt;C&gt;1&lt;/C&gt;&lt;D xsi:type="xsd:double"&gt;8163&lt;/D&gt;&lt;/FQL&gt;&lt;FQL&gt;&lt;Q&gt;TIOS-FDS^MAX(FG_PRICE(0,-5AY))&lt;/Q&gt;&lt;R&gt;1&lt;/R&gt;&lt;C&gt;1&lt;/C&gt;&lt;D xsi:type="xsd:double"&gt;219.77&lt;/D&gt;&lt;/FQL&gt;&lt;FQL&gt;&lt;Q&gt;FC0000CA^FG_PRICE(0)&lt;/Q&gt;&lt;R&gt;1&lt;/R&gt;&lt;C&gt;1&lt;/C&gt;&lt;D xsi:type="xsd:double"&gt;297.48196&lt;/D&gt;&lt;/FQL&gt;&lt;FQL&gt;&lt;Q&gt;QQQ^FG_PRICE_MAVG(0,,,,200)&lt;/Q&gt;&lt;R&gt;1&lt;/R&gt;&lt;C&gt;1&lt;/C&gt;&lt;D xsi:type="xsd:double"&gt;420.6756&lt;/D&gt;&lt;/FQL&gt;&lt;FQL&gt;&lt;Q&gt;EWI^FG_COMPANY_NAME&lt;/Q&gt;&lt;R&gt;1&lt;/R&gt;&lt;C&gt;1&lt;/C&gt;&lt;D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ETF&lt;/D&gt;&lt;/FQL&gt;&lt;FQL&gt;&lt;Q&gt;EWJ^FG_TOTAL_RETURNC(0,-12AM)&lt;/Q&gt;&lt;R&gt;1&lt;/R&gt;&lt;C&gt;1&lt;/C&gt;&lt;D xsi:type="xsd:double"&gt;17.355324&lt;/D&gt;&lt;/FQL&gt;&lt;FQL&gt;&lt;Q&gt;URTH^PERCENT_CHANGE(FMA_EPS(+1,0,,,,"PORTAGG","MEAN"),FMA_EPS(+1,-1AM,,,,"PORTAGG","MEAN"))&lt;/Q&gt;&lt;R&gt;1&lt;/R&gt;&lt;C&gt;1&lt;/C&gt;&lt;D xsi:type="xsd:double"&gt;0.0526196474914838&lt;/D&gt;&lt;/FQL&gt;&lt;FQL&gt;&lt;Q&gt;EWD^FG_TOTAL_RETURNC(0,-6AM)&lt;/Q&gt;&lt;R&gt;1&lt;/R&gt;&lt;C&gt;1&lt;/C&gt;&lt;D xsi:type="xsd:double"&gt;9.95779&lt;/D&gt;&lt;/FQL&gt;&lt;FQL&gt;&lt;Q&gt;EWL^FG_COMPANY_NAME&lt;/Q&gt;&lt;R&gt;1&lt;/R&gt;&lt;C&gt;1&lt;/C&gt;&lt;D xsi:type="xsd:string"&gt;iShares MSCI Switzerland ETF&lt;/D&gt;&lt;/FQL&gt;&lt;FQL&gt;&lt;Q&gt;EWC^FMA_ROE(NTMA,-20AY,NOW,FY,"PORTAGG","MEANR")&lt;/Q&gt;&lt;R&gt;20&lt;/R&gt;&lt;C&gt;1&lt;/C&gt;&lt;D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xsi:type="xsd:double"&gt;14.0029403106176&lt;/D&gt;&lt;D xsi:type="xsd:double"&gt;13.147116166704&lt;/D&gt;&lt;/FQL&gt;&lt;FQL&gt;&lt;Q&gt;TRYUS10Y-FDS^FG_YIELD(-10AY,0,Y,,"YTM")&lt;/Q&gt;&lt;R&gt;10&lt;/R&gt;&lt;C&gt;1&lt;/C&gt;&lt;D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xsi:type="xsd:double"&gt;1.05&lt;/D&gt;&lt;/FQL&gt;&lt;FQL&gt;&lt;Q&gt;CAGDPY@JP^EE_ACTUAL_ANNUAL(MED,+1)&lt;/Q&gt;&lt;R&gt;1&lt;/R&gt;&lt;C&gt;1&lt;/C&gt;&lt;D xsi:type="xsd:double"&gt;3.8&lt;/D&gt;&lt;/FQL&gt;&lt;FQL&gt;&lt;Q&gt;CC_CA^FG_COMPANY_NAME&lt;/Q&gt;&lt;R&gt;1&lt;/R&gt;&lt;C&gt;1&lt;/C&gt;&lt;D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xsi:type="xsd:double"&gt;-1.9117832&lt;/D&gt;&lt;/FQL&gt;&lt;FQL&gt;&lt;Q&gt;USDCHF^FG_PRICE_CHANGE(0,-1AY)&lt;/Q&gt;&lt;R&gt;1&lt;/R&gt;&lt;C&gt;1&lt;/C&gt;&lt;D xsi:type="xsd:double"&gt;1.3149738&lt;/D&gt;&lt;/FQL&gt;&lt;FQL&gt;&lt;Q&gt;USDUSD^FG_PRICE_CHANGE(0,-1AY)&lt;/Q&gt;&lt;R&gt;1&lt;/R&gt;&lt;C&gt;1&lt;/C&gt;&lt;D xsi:type="xsd:double"&gt;0&lt;/D&gt;&lt;/FQL&gt;&lt;FQL&gt;&lt;Q&gt;USDEUR^FG_PRICE_CHANGE(0,-1AY)&lt;/Q&gt;&lt;R&gt;1&lt;/R&gt;&lt;C&gt;1&lt;/C&gt;&lt;D xsi:type="xsd:double"&gt;1.0249138&lt;/D&gt;&lt;/FQL&gt;&lt;FQL&gt;&lt;Q&gt;USDAUD^FG_PRICE_CHANGE(0,-1AY)&lt;/Q&gt;&lt;R&gt;1&lt;/R&gt;&lt;C&gt;1&lt;/C&gt;&lt;D xsi:type="xsd:double"&gt;-1.8944442&lt;/D&gt;&lt;/FQL&gt;&lt;FQL&gt;&lt;Q&gt;QQQ^FMA_EPS(NTMA,-20AY,0,CY,,"PORTAGG","MEANR")&lt;/Q&gt;&lt;R&gt;20&lt;/R&gt;&lt;C&gt;1&lt;/C&gt;&lt;D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xsi:type="xsd:double"&gt;9.35231845451853&lt;/D&gt;&lt;D xsi:type="xsd:double"&gt;10.4260783078249&lt;/D&gt;&lt;D xsi:type="xsd:double"&gt;13.640269748948&lt;/D&gt;&lt;D xsi:type="xsd:double"&gt;12.7503134513224&lt;/D&gt;&lt;D xsi:type="xsd:double"&gt;16.3243001954911&lt;/D&gt;&lt;/FQL&gt;&lt;FQL&gt;&lt;Q&gt;EWL^P_PRICE_RETURNS_PR('52W',2,-10AY,0,AM)&lt;/Q&gt;&lt;R&gt;121&lt;/R&gt;&lt;C&gt;1&lt;/C&gt;&lt;D xsi:type="xsd:double"&gt;15.799856&lt;/D&gt;&lt;D xsi:type="xsd:double"&gt;8.89374&lt;/D&gt;&lt;D xsi:type="xsd:double"&gt;11.428034&lt;/D&gt;&lt;D xsi:type="xsd:double"&gt;1.9650459&lt;/D&gt;&lt;D xsi:type="xsd:double"&gt;3.9951086&lt;/D&gt;&lt;D xsi:type="xsd:double"&gt;4.613602&lt;/D&gt;&lt;D xsi:type="xsd:double"&gt;-1.1441171&lt;/D&gt;&lt;D xsi:type="xsd:double"&gt;0.2355814&lt;/D&gt;&lt;D xsi:type="xsd:double"&gt;-3.9962113&lt;/D&gt;&lt;D xsi:type="xsd:double"&gt;2.5365233&lt;/D&gt;&lt;D xsi:type="xsd:double"&gt;2.8552532&lt;/D&gt;&lt;D xsi:type="xsd:double"&gt;2.2981524&lt;/D&gt;&lt;D xsi:type="xsd:double"&gt;2.6904225&lt;/D&gt;&lt;D xsi:type="xsd:double"&gt;4.518211&lt;/D&gt;&lt;D xsi:type="xsd:double"&gt;-2.5500536&lt;/D&gt;&lt;D xsi:type="xsd:double"&gt;5.1244617&lt;/D&gt;&lt;D xsi:type="xsd:double"&gt;-1.5835702&lt;/D&gt;&lt;D xsi:type="xsd:double"&gt;-3.969562&lt;/D&gt;&lt;D xsi:type="xsd:double"&gt;-5.2607536&lt;/D&gt;&lt;D xsi:type="xsd:double"&gt;-12.768626&lt;/D&gt;&lt;D xsi:type="xsd:double"&gt;-4.804039&lt;/D&gt;&lt;D xsi:type="xsd:double"&gt;-11.090815&lt;/D&gt;&lt;D xsi:type="xsd:double"&gt;-11.854929&lt;/D&gt;&lt;D xsi:type="xsd:double"&gt;-11.972207&lt;/D&gt;&lt;D xsi:type="xsd:double"&gt;-10.623556&lt;/D&gt;&lt;D xsi:type="xsd:double"&gt;-5.4597797&lt;/D&gt;&lt;D xsi:type="xsd:double"&gt;-0.85659623&lt;/D&gt;&lt;D xsi:type="xsd:double"&gt;-3.744197&lt;/D&gt;&lt;D xsi:type="xsd:double"&gt;-4.046088&lt;/D&gt;&lt;D xsi:type="xsd:double"&gt;-3.3436477&lt;/D&gt;&lt;D xsi:type="xsd:double"&gt;6.346023&lt;/D&gt;&lt;D xsi:type="xsd:double"&gt;12.506151&lt;/D&gt;&lt;D xsi:type="xsd:double"&gt;10.660601&lt;/D&gt;&lt;D xsi:type="xsd:double"&gt;10.186553&lt;/D&gt;&lt;D xsi:type="xsd:double"&gt;15.379858&lt;/D&gt;&lt;D xsi:type="xsd:double"&gt;14.132822&lt;/D&gt;&lt;D xsi:type="xsd:double"&gt;17.393982&lt;/D&gt;&lt;D xsi:type="xsd:double"&gt;13.0772&lt;/D&gt;&lt;D xsi:type="xsd:double"&gt;17.080366&lt;/D&gt;&lt;D xsi:type="xsd:double"&gt;20.659674&lt;/D&gt;&lt;D xsi:type="xsd:double"&gt;18.835281&lt;/D&gt;&lt;D xsi:type="xsd:double"&gt;22.235203&lt;/D&gt;&lt;D xsi:type="xsd:double"&gt;22.153913&lt;/D&gt;&lt;D xsi:type="xsd:double"&gt;14.797651&lt;/D&gt;&lt;D xsi:type="xsd:double"&gt;14.363373&lt;/D&gt;&lt;D xsi:type="xsd:double"&gt;9.021664&lt;/D&gt;&lt;D xsi:type="xsd:double"&gt;3.8845658&lt;/D&gt;&lt;D </t>
        </r>
      </text>
    </comment>
    <comment ref="A3" authorId="0" shapeId="0" xr:uid="{498EF0DA-11CF-4D3A-A22A-A5671E62AA66}">
      <text>
        <r>
          <rPr>
            <b/>
            <sz val="9"/>
            <color indexed="81"/>
            <rFont val="Tahoma"/>
            <charset val="1"/>
          </rPr>
          <t>xsi:type="xsd:double"&gt;0.6543875&lt;/D&gt;&lt;D xsi:type="xsd:double"&gt;-0.7183492&lt;/D&gt;&lt;D xsi:type="xsd:double"&gt;2.3272038&lt;/D&gt;&lt;D xsi:type="xsd:double"&gt;1.213789&lt;/D&gt;&lt;D xsi:type="xsd:double"&gt;-5.942708&lt;/D&gt;&lt;D xsi:type="xsd:double"&gt;-0.27011633&lt;/D&gt;&lt;D xsi:type="xsd:double"&gt;-5.2598715&lt;/D&gt;&lt;D xsi:type="xsd:double"&gt;-7.009506&lt;/D&gt;&lt;D xsi:type="xsd:double"&gt;-2.079177&lt;/D&gt;&lt;D xsi:type="xsd:double"&gt;0.6374717&lt;/D&gt;&lt;D xsi:type="xsd:double"&gt;6.852448&lt;/D&gt;&lt;D xsi:type="xsd:double"&gt;6.624639&lt;/D&gt;&lt;D xsi:type="xsd:double"&gt;13.054562&lt;/D&gt;&lt;D xsi:type="xsd:double"&gt;14.792479&lt;/D&gt;&lt;D xsi:type="xsd:double"&gt;10.281897&lt;/D&gt;&lt;D xsi:type="xsd:double"&gt;12.551045&lt;/D&gt;&lt;D xsi:type="xsd:double"&gt;17.872084&lt;/D&gt;&lt;D xsi:type="xsd:double"&gt;18.009663&lt;/D&gt;&lt;D xsi:type="xsd:double"&gt;24.145758&lt;/D&gt;&lt;D xsi:type="xsd:double"&gt;25.441265&lt;/D&gt;&lt;D xsi:type="xsd:double"&gt;29.442347&lt;/D&gt;&lt;D xsi:type="xsd:double"&gt;5.670166&lt;/D&gt;&lt;D xsi:type="xsd:double"&gt;3.6839724&lt;/D&gt;&lt;D xsi:type="xsd:double"&gt;6.7379713&lt;/D&gt;&lt;D xsi:type="xsd:double"&gt;4.3465137&lt;/D&gt;&lt;D xsi:type="xsd:double"&gt;9.878564&lt;/D&gt;&lt;D xsi:type="xsd:double"&gt;10.756075&lt;/D&gt;&lt;D xsi:type="xsd:double"&gt;13.111186&lt;/D&gt;&lt;D xsi:type="xsd:double"&gt;16.144062&lt;/D&gt;&lt;D xsi:type="xsd:double"&gt;12.022913&lt;/D&gt;&lt;D xsi:type="xsd:double"&gt;12.938011&lt;/D&gt;&lt;D xsi:type="xsd:double"&gt;13.838363&lt;/D&gt;&lt;D xsi:type="xsd:double"&gt;9.940422&lt;/D&gt;&lt;D xsi:type="xsd:double"&gt;26.02967&lt;/D&gt;&lt;D xsi:type="xsd:double"&gt;29.537224&lt;/D&gt;&lt;D xsi:type="xsd:double"&gt;26.731705&lt;/D&gt;&lt;D xsi:type="xsd:double"&gt;34.390842&lt;/D&gt;&lt;D xsi:type="xsd:double"&gt;26.042128&lt;/D&gt;&lt;D xsi:type="xsd:double"&gt;25.972153&lt;/D&gt;&lt;D xsi:type="xsd:double"&gt;20.48664&lt;/D&gt;&lt;D xsi:type="xsd:double"&gt;14.128304&lt;/D&gt;&lt;D xsi:type="xsd:double"&gt;21.506287&lt;/D&gt;&lt;D xsi:type="xsd:double"&gt;20.056057&lt;/D&gt;&lt;D xsi:type="xsd:double"&gt;15.785587&lt;/D&gt;&lt;D xsi:type="xsd:double"&gt;9.183205&lt;/D&gt;&lt;D xsi:type="xsd:double"&gt;4.0564775&lt;/D&gt;&lt;D xsi:type="xsd:double"&gt;9.99732&lt;/D&gt;&lt;D xsi:type="xsd:double"&gt;-5.653417&lt;/D&gt;&lt;D xsi:type="xsd:double"&gt;-15.38474&lt;/D&gt;&lt;D xsi:type="xsd:double"&gt;-14.690346&lt;/D&gt;&lt;D xsi:type="xsd:double"&gt;-11.324787&lt;/D&gt;&lt;D xsi:type="xsd:double"&gt;-14.36016&lt;/D&gt;&lt;D xsi:type="xsd:double"&gt;-20.218342&lt;/D&gt;&lt;D xsi:type="xsd:double"&gt;-12.918925&lt;/D&gt;&lt;D xsi:type="xsd:double"&gt;-14.3558445&lt;/D&gt;&lt;D xsi:type="xsd:double"&gt;-12.091726&lt;/D&gt;&lt;D xsi:type="xsd:double"&gt;-7.665944&lt;/D&gt;&lt;D xsi:type="xsd:double"&gt;-4.4069586&lt;/D&gt;&lt;D xsi:type="xsd:double"&gt;-5.195749&lt;/D&gt;&lt;D xsi:type="xsd:double"&gt;14.476132&lt;/D&gt;&lt;D xsi:type="xsd:double"&gt;11.12628&lt;/D&gt;&lt;D xsi:type="xsd:double"&gt;13.635826&lt;/D&gt;&lt;D xsi:type="xsd:double"&gt;8.5724945&lt;/D&gt;&lt;D xsi:type="xsd:double"&gt;11.176359&lt;/D&gt;&lt;D xsi:type="xsd:double"&gt;23.36285&lt;/D&gt;&lt;D xsi:type="xsd:double"&gt;4.774916&lt;/D&gt;&lt;D xsi:type="xsd:double"&gt;10.203707&lt;/D&gt;&lt;D xsi:type="xsd:double"&gt;10.093951&lt;/D&gt;&lt;D xsi:type="xsd:double"&gt;6.564498&lt;/D&gt;&lt;D xsi:type="xsd:double"&gt;15.631032&lt;/D&gt;&lt;D xsi:type="xsd:double"&gt;2.1126747&lt;/D&gt;&lt;D xsi:type="xsd:double"&gt;1.3360023&lt;/D&gt;&lt;D xsi:type="xsd:double"&gt;8.402002&lt;/D&gt;&lt;D xsi:type="xsd:double"&gt;9.923959&lt;/D&gt;&lt;/FQL&gt;&lt;FQL&gt;&lt;Q&gt;EWG^FG_TOTAL_RETURNC(-10AY,0,AM)&lt;/Q&gt;&lt;R&gt;121&lt;/R&gt;&lt;C&gt;1&lt;/C&gt;&lt;D xsi:type="xsd:double"&gt;-2.3306668&lt;/D&gt;&lt;D xsi:type="xsd:double"&gt;-6.546646&lt;/D&gt;&lt;D xsi:type="xsd:double"&gt;1.7863393&lt;/D&gt;&lt;D xsi:type="xsd:double"&gt;-11.493463&lt;/D&gt;&lt;D xsi:type="xsd:double"&gt;5.637634&lt;/D&gt;&lt;D xsi:type="xsd:double"&gt;3.9381623&lt;/D&gt;&lt;D xsi:type="xsd:double"&gt;-5.276203&lt;/D&gt;&lt;D xsi:type="xsd:double"&gt;5.981314&lt;/D&gt;&lt;D xsi:type="xsd:double"&gt;2.3280382&lt;/D&gt;&lt;D xsi:type="xsd:double"&gt;5.308509&lt;/D&gt;&lt;D xsi:type="xsd:double"&gt;-1.7675936&lt;/D&gt;&lt;D xsi:type="xsd:double"&gt;-1.5328228&lt;/D&gt;&lt;D xsi:type="xsd:double"&gt;-0.5368054&lt;/D&gt;&lt;D xsi:type="xsd:double"&gt;-1.4191747&lt;/D&gt;&lt;D xsi:type="xsd:double"&gt;-7.0224705&lt;/D&gt;&lt;D xsi:type="xsd:double"&gt;-0.83081126&lt;/D&gt;&lt;D xsi:type="xsd:double"&gt;0.8758545&lt;/D&gt;&lt;D xsi:type="xsd:double"&gt;-2.680254&lt;/D&gt;&lt;D xsi:type="xsd:double"&gt;-5.042672&lt;/D&gt;&lt;D xsi:type="xsd:double"&gt;-6.5767946&lt;/D&gt;&lt;D xsi:type="xsd:double"&gt;9.794485&lt;/D&gt;&lt;D xsi:type="xsd:double"&gt;0&lt;/D&gt;&lt;D xsi:type="xsd:double"&gt;2.9868603&lt;/D&gt;&lt;D xsi:type="xsd:double"&gt;-2.7455568&lt;/D&gt;&lt;D xsi:type="xsd:double"&gt;-2.1315157&lt;/D&gt;&lt;D xsi:type="xsd:double"&gt;10.4003315&lt;/D&gt;&lt;D xsi:type="xsd:double"&gt;-1.7309248&lt;/D&gt;&lt;D xsi:type="xsd:double"&gt;-0.3835857&lt;/D&gt;&lt;D xsi:type="xsd:double"&gt;-1.8482864&lt;/D&gt;&lt;D xsi:type="xsd:double"&gt;2.3538709&lt;/D&gt;&lt;D xsi:type="xsd:double"&gt;3.8302183&lt;/D&gt;&lt;D xsi:type="xsd:double"&gt;0.8493304&lt;/D&gt;&lt;D xsi:type="xsd:double"&gt;2.7096272&lt;/D&gt;&lt;D xsi:type="xsd:double"&gt;1.0338664&lt;/D&gt;&lt;D xsi:type="xsd:double"&gt;6.7748785&lt;/D&gt;&lt;D xsi:type="xsd:double"&gt;3.3707857&lt;/D&gt;&lt;D xsi:type="xsd:double"&gt;-0.105792284&lt;/D&gt;&lt;D xsi:type="xsd:double"&gt;-0.81565976&lt;/D&gt;&lt;D xsi:type="xsd:double"&gt;5.065787&lt;/D&gt;&lt;D xsi:type="xsd:double"&gt;2.943015&lt;/D&gt;&lt;D xsi:type="xsd:double"&gt;-0.42579174&lt;/D&gt;&lt;D xsi:type="xsd:double"&gt;1.1606455&lt;/D&gt;&lt;D xsi:type="xsd:double"&gt;3.1582832&lt;/D&gt;&lt;D xsi:type="xsd:double"&gt;-5.868542&lt;/D&gt;&lt;D xsi:type="xsd:double"&gt;2.2132158&lt;/D&gt;&lt;D xsi:type="xsd:double"&gt;-0.7014334&lt;/D&gt;&lt;D xsi:type="xsd:double"&gt;1.8120408&lt;/D&gt;&lt;D xsi:type="xsd:double"&gt;-2.0814538&lt;/D&gt;&lt;D xsi:type="xsd:double"&gt;-4.4005513&lt;/D&gt;&lt;D xsi:type="xsd:double"&gt;-1.9141912&lt;/D&gt;&lt;D xsi:type="xsd:double"&gt;-1.2449503&lt;/D&gt;&lt;D xsi:type="xsd:double"&gt;-5.144805&lt;/D&gt;&lt;D xsi:type="xsd:double"&gt;-1.2931049&lt;/D&gt;&lt;D xsi:type="xsd:double"&gt;-6.804943&lt;/D&gt;&lt;D xsi:type="xsd:double"&gt;1.991415&lt;/D&gt;&lt;D xsi:type="xsd:double"&gt;-0.7274151&lt;/D&gt;&lt;D xsi:type="xsd:double"&gt;4.6278358&lt;/D&gt;&lt;D xsi:type="xsd:double"&gt;2.7644634&lt;/D&gt;&lt;D xsi:type="xsd:double"&gt;1.6499281&lt;/D&gt;&lt;D xsi:type="xsd:double"&gt;-0.84685683&lt;/D&gt;&lt;D xsi:type="xsd:double"&gt;1.0222793&lt;/D&gt;&lt;D xsi:type="xsd:double"&gt;-4.922181&lt;/D&gt;&lt;D xsi:type="xsd:double"&gt;3.6924243&lt;/D&gt;&lt;D xsi:type="xsd:double"&gt;0.18355846&lt;/D&gt;&lt;D xsi:type="xsd:double"&gt;6.009519&lt;/D&gt;&lt;D xsi:type="xsd:double"&gt;0.5184889&lt;/D&gt;&lt;D xsi:type="xsd:double"&gt;2.3383737&lt;/D&gt;&lt;D xsi:type="xsd:double"&gt;-0.9408653&lt;/D&gt;&lt;D xsi:type="xsd:double"&gt;-21.404339&lt;/D&gt;&lt;D xsi:type="xsd:double"&gt;-0.5610645&lt;/D&gt;&lt;D xsi:type="xsd:double"&gt;1.6492963&lt;/D&gt;&lt;D xsi:type="xsd:double"&gt;12.852263&lt;/D&gt;&lt;D xsi:type="xsd:double"&gt;7.274413&lt;/D&gt;&lt;D xsi:type="xsd:double"&gt;4.4903755&lt;/D&gt;&lt;D xsi:type="xsd:double"&gt;3.3765316&lt;/D&gt;&lt;D xsi:type="xsd:double"&gt;-0.3629148&lt;/D&gt;&lt;D xsi:type="xsd:double"&gt;-0.8609295&lt;/D&gt;&lt;D xsi:type="xsd:double"&gt;3.206408&lt;/D&gt;&lt;D xsi:type="xsd:double"&gt;6.077087&lt;/D&gt;&lt;D xsi:type="xsd:double"&gt;1.6064286&lt;/D&gt;&lt;D xsi:type="xsd:double"&gt;1.1857748&lt;/D&gt;&lt;D xsi:type="xsd:double"&gt;3.9663434&lt;/D&gt;&lt;D xsi:type="xsd:double"&gt;0.23121834&lt;/D&gt;&lt;D xsi:type="xsd:double"&gt;4.455662&lt;/D&gt;&lt;D xsi:type="xsd:double"&gt;-1.965189&lt;/D&gt;&lt;D xsi:type="xsd:double"&gt;-0.114536285&lt;/D&gt;&lt;D xsi:type="xsd:double"&gt;-1.1467934&lt;/D&gt;&lt;D xsi:type="xsd:double"&gt;-5.7424603&lt;/D&gt;&lt;D xsi:type="xsd:double"&gt;4.8615456&lt;/D&gt;&lt;D xsi:type="xsd:double"&gt;-4.107988&lt;/D&gt;&lt;D xsi:type="xsd:double"&gt;2.6553154&lt;/D&gt;&lt;D xsi:type="xsd:double"&gt;-5.0811768&lt;/D&gt;&lt;D xsi:type="xsd:double"&gt;-15.394365&lt;/D&gt;&lt;D xsi:type="xsd:double"&gt;2.358675&lt;/D&gt;&lt;D xsi:type="xsd:double"&gt;-7.681054&lt;/D&gt;&lt;D xsi:type="xsd:double"&gt;1.4173985&lt;/D&gt;&lt;D xsi:type="xsd:double"&gt;-11.35723&lt;/D&gt;&lt;D xsi:type="xsd:double"&gt;8.995914&lt;/D&gt;&lt;D xsi:type="xsd:double"&gt;-6.5443935&lt;/D&gt;&lt;D xsi:type="xsd:double"&gt;-11.864406&lt;/D&gt;&lt;D xsi:type="xsd:double"&gt;25.657892&lt;/D&gt;&lt;D xsi:type="xsd:double"&gt;1.7317772&lt;/D&gt;&lt;D xsi:type="xsd:double"&gt;8.151924&lt;/D&gt;&lt;D xsi:type="xsd:double"&gt;1.6843677&lt;/D&gt;&lt;D xsi:type="xsd:double"&gt;-1.6924798&lt;/D&gt;&lt;D xsi:type="xsd:double"&gt;4.9450517&lt;/D&gt;&lt;D xsi:type="xsd:double"&gt;1.082027&lt;/D&gt;&lt;D xsi:type="xsd:double"&gt;-1.511538&lt;/D&gt;&lt;D xsi:type="xsd:double"&gt;1.5489936&lt;/D&gt;&lt;D xsi:type="xsd:double"&gt;-0.28378963&lt;/D&gt;&lt;D xsi:type="xsd:double"&gt;-2.3834944&lt;/D&gt;&lt;D xsi:type="xsd:double"&gt;-3.6807597&lt;/D&gt;&lt;D xsi:type="xsd:double"&gt;-0.34052134&lt;/D&gt;&lt;D xsi:type="xsd:double"&gt;10.250568&lt;/D&gt;&lt;D xsi:type="xsd:double"&gt;0.521791&lt;/D&gt;&lt;D xsi:type="xsd:double"&gt;0.27406216&lt;/D&gt;&lt;D xsi:type="xsd:double"&gt;6.012988&lt;/D&gt;&lt;D xsi:type="xsd:double"&gt;-0.5800843&lt;/D&gt;&lt;D xsi:type="xsd:double"&gt;4.31118&lt;/D&gt;&lt;D xsi:type="xsd:double"&gt;-2.0867705&lt;/D&gt;&lt;D xsi:type="xsd:double"&gt;2.21138&lt;/D&gt;&lt;/FQL&gt;&lt;FQL&gt;&lt;Q&gt;EWA^FMA_DIV_YLD(NTMA,-10AY,0,AM,"PORTAGG","MEANR")&lt;/Q&gt;&lt;R&gt;121&lt;/R&gt;&lt;C&gt;1&lt;/C&gt;&lt;D xsi:type="xsd:double"&gt;4.74636694716592&lt;/D&gt;&lt;D xsi:type="xsd:double"&gt;4.81023778721306&lt;/D&gt;&lt;D xsi:type="xsd:double"&gt;4.78393920230964&lt;/D&gt;&lt;D xsi:type="xsd:double"&gt;5.16716047928794&lt;/D&gt;&lt;D xsi:type="xsd:double"&gt;4.8570303764697&lt;/D&gt;&lt;D xsi:type="xsd:double"&gt;5.13106889031295&lt;/D&gt;&lt;D xsi:type="xsd:double"&gt;4.92127442003952&lt;/D&gt;&lt;D xsi:type="xsd:double"&gt;4.71378638369082&lt;/D&gt;&lt;D xsi:type="xsd:double"&gt;4.69792045491148&lt;/D&gt;&lt;D xsi:type="xsd:double"&gt;4.54105170690197&lt;/D&gt;&lt;D xsi:type="xsd:double"&gt;4.77671826492259&lt;/D&gt;&lt;D xsi:type="xsd:double"&gt;4.89937508530051&lt;/D&gt;&lt;D xsi:type="xsd:double"&gt;4.96635628879482&lt;/D&gt;&lt;D xsi:type="xsd:double"&gt;5.02349051502812&lt;/D&gt;&lt;D xsi:type="xsd:double"&gt;5.44583403731053&lt;/D&gt;&lt;D xsi:type="xsd:double"&gt;5.15528970427274&lt;/D&gt;&lt;D xsi:type="xsd:double"&gt;5.36187935007953&lt;/D&gt;&lt;D xsi:type="xsd:double"&gt;5.40701911427671&lt;/D&gt;&lt;D xsi:type="xsd:double"&gt;5.52458343305277&lt;/D&gt;&lt;D xsi:type="xsd:double"&gt;5.24910746642355&lt;/D&gt;&lt;D xsi:type="xsd:double"&gt;4.7275102218109&lt;/D&gt;&lt;D xsi:type="xsd:double"&gt;4.99510608473946&lt;/D&gt;&lt;D xsi:type="xsd:double"&gt;4.55362705095193&lt;/D&gt;&lt;D xsi:type="xsd:double"&gt;4.60917488292773&lt;/D&gt;&lt;D xsi:type="xsd:double"&gt;4.61161008700289&lt;/D&gt;&lt;D xsi:type="xsd:double"&gt;4.46995326970521&lt;/D&gt;&lt;D xsi:type="xsd:double"&gt;4.62050310787135&lt;/D&gt;&lt;D xsi:type="xsd:double"&gt;4.51042073142704&lt;/D&gt;&lt;D xsi:type="xsd:double"&gt;4.59867088536719&lt;/D&gt;&lt;D xsi:type="xsd:double"&gt;4.52908905740887&lt;/D&gt;&lt;D xsi:type="xsd:double"&gt;4.44806797739786&lt;/D&gt;&lt;D xsi:type="xsd:double"&gt;4.5227661126483&lt;/D&gt;&lt;D xsi:type="xsd:double"&gt;4.53558253191133&lt;/D&gt;&lt;D xsi:type="xsd:double"&gt;4.48252615377069&lt;/D&gt;&lt;D xsi:type="xsd:double"&gt;4.53909731751365&lt;/D&gt;&lt;D xsi:type="xsd:double"&gt;4.69411972917047&lt;/D&gt;&lt;D xsi:type="xsd:double"&gt;4.62393965906062&lt;/D&gt;&lt;D xsi:type="xsd:double"&gt;4.63807191236003&lt;/D&gt;&lt;D xsi:type="xsd:double"&gt;4.58904010727016&lt;/D&gt;&lt;D xsi:type="xsd:double"&gt;4.57672340987479&lt;/D&gt;&lt;D xsi:type="xsd:double"&gt;4.41404577305548&lt;/D&gt;&lt;D xsi:type="xsd:double"&gt;4.50260182161589&lt;/D&gt;&lt;D xsi:type="xsd:double"&gt;4.45685477449393&lt;/D&gt;&lt;D xsi:type="xsd:double"&gt;4.69933442738275&lt;/D&gt;&lt;D xsi:type="xsd:double"&gt;4.64656496734572&lt;/D&gt;&lt;D xsi:type="xsd:double"&gt;4.77738721147023&lt;/D&gt;&lt;D xsi:type="xsd:double"&gt;4.6041341656191&lt;/D&gt;&lt;D xsi:type="xsd:double"&gt;4.73069079443331&lt;/D&gt;&lt;D xsi:type="xsd:double"&gt;4.59918665742528&lt;/D&gt;&lt;D xsi:type="xsd:double"&gt;4.59308548319681&lt;/D&gt;&lt;D xsi:type="xsd:double"&gt;4.76674650553987&lt;/D&gt;&lt;D xsi:type="xsd:double"&gt;5.03906189083379&lt;/D&gt;&lt;D xsi:type="xsd:double"&gt;5.04993086166187&lt;/D&gt;&lt;D xsi:type="xsd:double"&gt;5.40846404558034&lt;/D&gt;&lt;D xsi:type="xsd:double"&gt;5.19983738357043&lt;/D&gt;&lt;D xsi:type="xsd:double"&gt;4.97323047227149&lt;/D&gt;&lt;D xsi:type="xsd:double"&gt;4.96420855196339&lt;/D&gt;&lt;D xsi:type="xsd:double"&gt;4.94890425670875&lt;/D&gt;&lt;D xsi:type="xsd:double"&gt;4.84504176839794&lt;/D&gt;&lt;D xsi:type="xsd:double"&gt;4.68414031758931&lt;/D&gt;&lt;D xsi:type="xsd:double"&gt;4.61424231982604&lt;/D&gt;&lt;D xsi:type="xsd:double"&gt;4.66313952740549&lt;/D&gt;&lt;D xsi:type="xsd:double"&gt;4.50584066024935&lt;/D&gt;&lt;D xsi:type="xsd:double"&gt;4.48307177315998&lt;/D&gt;&lt;D xsi:type="xsd:double"&gt;4.31375028759361&lt;/D&gt;&lt;D xsi:type="xsd:double"&gt;4.29487699853497&lt;/D&gt;&lt;D xsi:type="xsd:double"&gt;4.18574384545519&lt;/D&gt;&lt;D xsi:type="xsd:double"&gt;4.13220794811035&lt;/D&gt;&lt;D xsi:type="xsd:double"&gt;5.01478390117166&lt;/D&gt;&lt;D xsi:type="xsd:double"&gt;4.62239158745415&lt;/D&gt;&lt;D xsi:type="xsd:double"&gt;3.8292020740375&lt;/D&gt;&lt;D xsi:type="xsd:double"&gt;3.38900696948186&lt;/D&gt;&lt;D xsi:type="xsd:double"&gt;3.48245516335955&lt;/D&gt;&lt;D xsi:type="xsd:double"&gt;3.32794580852528&lt;/D&gt;&lt;D xsi:type="xsd:double"&gt;3.61444189221331&lt;/D&gt;&lt;D xsi:type="xsd:double"&gt;3.55089826648606&lt;/D&gt;&lt;D xsi:type="xsd:double"&gt;3.49270498207297&lt;/D&gt;&lt;D xsi:type="xsd:double"&gt;3.53310169428925&lt;/D&gt;&lt;D xsi:type="xsd:double"&gt;3.52813078623354&lt;/D&gt;&lt;D xsi:type="xsd:double"&gt;3.58779597924577&lt;/D&gt;&lt;D xsi:type="xsd:double"&gt;3.9128882420033&lt;/D&gt;&lt;D xsi:type="xsd:double"&gt;3.87995382583436&lt;/D&gt;&lt;D xsi:type="xsd:double"&gt;3.87916549123229&lt;/D&gt;&lt;D xsi:type="xsd:double"&gt;3.88196959154853&lt;/D&gt;&lt;D xsi:type="xsd:double"&gt;4.12660363312407&lt;/D&gt;&lt;D xsi:type="xsd:double"&gt;4.02153557632288&lt;/D&gt;&lt;D xsi:type="xsd:double"&gt;4.08612980080773&lt;/D&gt;&lt;D xsi:type="xsd:double"&gt;4.06089465900215&lt;/D&gt;&lt;D xsi:type="xsd:double"&gt;4.00712592130471&lt;/D&gt;&lt;D xsi:type="xsd:double"&gt;3.96358462703229&lt;/D&gt;&lt;D xsi:type="xsd:double"&gt;3.90160546835952&lt;/D&gt;&lt;D xsi:type="xsd:double"&gt;4.26377505883025&lt;/D&gt;&lt;D xsi:type="xsd:double"&gt;4.37534610690502&lt;/D&gt;&lt;D xsi:type="xsd:double"&gt;4.33220264263915&lt;/D&gt;&lt;D xsi:type="xsd:double"&gt;4.7527076468554&lt;/D&gt;&lt;D xsi:type="xsd:double"&gt;4.93217703429246&lt;/D&gt;&lt;D xsi:type="xsd:double"&gt;5.20492692498333&lt;/D&gt;&lt;D xsi:type="xsd:double"&gt;4.70950624377569&lt;/D&gt;&lt;D xsi:type="xsd:double"&gt;4.84058991028999&lt;/D&gt;&lt;D xsi:type="xsd:double"&gt;5.1344699666156&lt;/D&gt;&lt;D xsi:type="xsd:double"&gt;4.62663861339013&lt;/D&gt;&lt;D xsi:type="xsd:double"&gt;4.46801868135345&lt;/D&gt;&lt;D xsi:type="xsd:double"&gt;4.5117653580227&lt;/D&gt;&lt;D xsi:type="xsd:double"&gt;4.33437063625187&lt;/D&gt;&lt;D xsi:type="xsd:double"&gt;4.5871971192561&lt;/D&gt;&lt;D xsi:type="xsd:double"&gt;4.44747952784217&lt;/D&gt;&lt;D xsi:type="xsd:double"&gt;4.42701886445057&lt;/D&gt;&lt;D xsi:type="xsd:double"&gt;4.42272102375968&lt;/D&gt;&lt;D xsi:type="xsd:double"&gt;4.35553343813767&lt;/D&gt;&lt;D xsi:type="xsd:double"&gt;4.17803667592156&lt;/D&gt;&lt;D xsi:type="xsd:double"&gt;4.19681219976734&lt;/D&gt;&lt;D xsi:type="xsd:double"&gt;4.32053769564974&lt;/D&gt;&lt;D xsi:type="xsd:double"&gt;4.40617627294354&lt;/D&gt;&lt;D xsi:type="xsd:double"&gt;4.23641263830747&lt;/D&gt;&lt;D xsi:type="xsd:double"&gt;4.05729971344814&lt;/D&gt;&lt;D xsi:type="xsd:double"&gt;3.98663989765335&lt;/D&gt;&lt;D xsi:type="xsd:double"&gt;3.96941211541048&lt;/D&gt;&lt;D xsi:type="xsd:double"&gt;3.932480374451&lt;/D&gt;&lt;D xsi:type="xsd:double"&gt;3.98163848789144&lt;/D&gt;&lt;D xsi:type="xsd:double"&gt;3.94680414574687&lt;/D&gt;&lt;D xsi:type="xsd:double"&gt;3.90578832278136&lt;/D&gt;&lt;/FQL&gt;&lt;FQL&gt;&lt;Q&gt;ENZL^JULIAN(FMA_DIV_YLD(NTMA,-10AY,0,AM,"PORTAGG","MEANR").DATES)&lt;/Q&gt;&lt;R&gt;121&lt;/R&gt;&lt;C&gt;1&lt;/C&gt;&lt;D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xsi:type="xsd:long"&gt;45393&lt;/D&gt;&lt;D xsi:type="xsd:long"&gt;45422&lt;/D&gt;&lt;D xsi:type="xsd:long"&gt;45454&lt;/D&gt;&lt;D xsi:type="xsd:long"&gt;45483&lt;/D&gt;&lt;/FQL&gt;&lt;FQL&gt;&lt;Q&gt;DDR3512M-FDS^FG_PRICE(0)/MAX(FG_PRICE(0,-1AY))&lt;/Q&gt;&lt;R&gt;1&lt;/R&gt;&lt;C&gt;1&lt;/C&gt;&lt;D xsi:type="xsd:double"&gt;0.8915725&lt;/D&gt;&lt;/FQL&gt;&lt;FQL&gt;&lt;Q&gt;PASP-FDS^FG_PRICE(0)/MAX(FG_PRICE(0,-1AY))&lt;/Q&gt;&lt;R&gt;1&lt;/R&gt;&lt;C&gt;1&lt;/C&gt;&lt;D xsi:type="xsd:double"&gt;0.755223880597015&lt;/D&gt;&lt;/FQL&gt;&lt;FQL&gt;&lt;Q&gt;PLATI-FDS^FG_PRICE(0)/MAX(FG_PRICE(0,-1AY))&lt;/Q&gt;&lt;R&gt;1&lt;/R&gt;&lt;C&gt;1&lt;/C&gt;&lt;D xsi:type="xsd:double"&gt;0.945743685687559&lt;/D&gt;&lt;/FQL&gt;&lt;FQL&gt;&lt;Q&gt;W-FDS^FG_PRICE(0)/MAX(FG_PRICE(0,-1AY))&lt;/Q&gt;&lt;R&gt;1&lt;/R&gt;&lt;C&gt;1&lt;/C&gt;&lt;D xsi:type="xsd:double"&gt;0.729036501150937&lt;/D&gt;&lt;/FQL&gt;&lt;FQL&gt;&lt;Q&gt;COPP-FDS^FG_PRICE(0)/MAX(FG_PRICE(0,-1AY))&lt;/Q&gt;&lt;R&gt;1&lt;/R&gt;&lt;C&gt;1&lt;/C&gt;&lt;D xsi:type="xsd:double"&gt;0.880738425473725&lt;/D&gt;&lt;/FQL&gt;&lt;FQL&gt;&lt;Q&gt;DUMMY^ECON_EXPR_DATA('FDS_ECON[PMIDMMANHE]',,,M)&lt;/Q&gt;&lt;R&gt;1&lt;/R&gt;&lt;C&gt;1&lt;/C&gt;&lt;D xsi:type="xsd:double"&gt;49.659245&lt;/D&gt;&lt;/FQL&gt;&lt;FQL&gt;&lt;Q&gt;TRYIN10Y-FDS^FG_YIELD(-10AY,0,Y,,"YTM")&lt;/Q&gt;&lt;R&gt;10&lt;/R&gt;&lt;C&gt;1&lt;/C&gt;&lt;D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xsi:type="xsd:double"&gt;7.19&lt;/D&gt;&lt;/FQL&gt;&lt;FQL&gt;&lt;Q&gt;CAGDPY@CA^EE_ACTUAL_ANNUAL(MED,0)&lt;/Q&gt;&lt;R&gt;1&lt;/R&gt;&lt;C&gt;1&lt;/C&gt;&lt;D xsi:type="xsd:double"&gt;-0.725414399026327&lt;/D&gt;&lt;/FQL&gt;&lt;FQL&gt;&lt;Q&gt;USDITL^FG_PRICE(0)&lt;/Q&gt;&lt;R&gt;1&lt;/R&gt;&lt;C&gt;1&lt;/C&gt;&lt;D xsi:type="xsd:double"&gt;1779.8235&lt;/D&gt;&lt;/FQL&gt;&lt;FQL&gt;&lt;Q&gt;USDCAD^STD(FG_PRICE_CHANGE(0,-1AY,AM))&lt;/Q&gt;&lt;R&gt;1&lt;/R&gt;&lt;C&gt;1&lt;/C&gt;&lt;D xsi:type="xsd:double"&gt;1.15573375799351&lt;/D&gt;&lt;/FQL&gt;&lt;FQL&gt;&lt;Q&gt;USDNZD^FG_PRICE_CHANGE(0,-1AY)&lt;/Q&gt;&lt;R&gt;1&lt;/R&gt;&lt;C&gt;1&lt;/C&gt;&lt;D xsi:type="xsd:double"&gt;1.0625243&lt;/D&gt;&lt;/FQL&gt;&lt;FQL&gt;&lt;Q&gt;EWU^FG_TOTAL_RETURNC(-10AY,0,AM)&lt;/Q&gt;&lt;R&gt;121&lt;/R&gt;&lt;C&gt;1&lt;/C&gt;&lt;D xsi:type="xsd:double"&gt;-0.19018054&lt;/D&gt;&lt;D xsi:type="xsd:double"&gt;-2.9937208&lt;/D&gt;&lt;D xsi:type="xsd:double"&gt;-0.34843087&lt;/D&gt;&lt;D xsi:type="xsd:double"&gt;-8.241755&lt;/D&gt;&lt;D xsi:type="xsd:double"&gt;4.300487&lt;/D&gt;&lt;D xsi:type="xsd:double"&gt;-4.279751&lt;/D&gt;&lt;D xsi:type="xsd:double"&gt;-2.1963775&lt;/D&gt;&lt;D xsi:type="xsd:double"&gt;5.116546&lt;/D&gt;&lt;D xsi:type="xsd:double"&gt;-2.7582467&lt;/D&gt;&lt;D xsi:type="xsd:double"&gt;3.615129&lt;/D&gt;&lt;D xsi:type="xsd:double"&gt;6.092322&lt;/D&gt;&lt;D xsi:type="xsd:double"&gt;-2.6562095&lt;/D&gt;&lt;D xsi:type="xsd:double"&gt;-2.51711&lt;/D&gt;&lt;D xsi:type="xsd:double"&gt;0.21715164&lt;/D&gt;&lt;D xsi:type="xsd:double"&gt;-8.179837&lt;/D&gt;&lt;D xsi:type="xsd:double"&gt;3.7168145&lt;/D&gt;&lt;D xsi:type="xsd:double"&gt;-2.7303755&lt;/D&gt;&lt;D xsi:type="xsd:double"&gt;-5.380118&lt;/D&gt;&lt;D xsi:type="xsd:double"&gt;-5.0635576&lt;/D&gt;&lt;D xsi:type="xsd:double"&gt;-5.7104945&lt;/D&gt;&lt;D xsi:type="xsd:double"&gt;10.492956&lt;/D&gt;&lt;D xsi:type="xsd:double"&gt;-0.509876&lt;/D&gt;&lt;D xsi:type="xsd:double"&gt;1.3452888&lt;/D&gt;&lt;D xsi:type="xsd:double"&gt;-1.2010098&lt;/D&gt;&lt;D xsi:type="xsd:double"&gt;-0.4824996&lt;/D&gt;&lt;D xsi:type="xsd:double"&gt;3.9525628&lt;/D&gt;&lt;D xsi:type="xsd:double"&gt;0.19011497&lt;/D&gt;&lt;D xsi:type="xsd:double"&gt;-3.858322&lt;/D&gt;&lt;D xsi:type="xsd:double"&gt;-0.98683834&lt;/D&gt;&lt;D xsi:type="xsd:double"&gt;3.5880446&lt;/D&gt;&lt;D xsi:type="xsd:double"&gt;1.4497995&lt;/D&gt;&lt;D xsi:type="xsd:double"&gt;2.0192266&lt;/D&gt;&lt;D xsi:type="xsd:double"&gt;-0.5340874&lt;/D&gt;&lt;D xsi:type="xsd:double"&gt;3.4112453&lt;/D&gt;&lt;D xsi:type="xsd:double"&gt;3.5736084&lt;/D&gt;&lt;D xsi:type="xsd:double"&gt;0.82571507&lt;/D&gt;&lt;D xsi:type="xsd:double"&gt;-1.1959672&lt;/D&gt;&lt;D xsi:type="xsd:double"&gt;1.2711763&lt;/D&gt;&lt;D xsi:type="xsd:double"&gt;2.9886484&lt;/D&gt;&lt;D xsi:type="xsd:double"&gt;2.0313382&lt;/D&gt;&lt;D xsi:type="xsd:double"&gt;-1.4789522&lt;/D&gt;&lt;D xsi:type="xsd:double"&gt;1.5300155&lt;/D&gt;&lt;D xsi:type="xsd:double"&gt;5.9454083&lt;/D&gt;&lt;D xsi:type="xsd:double"&gt;-6.2619686&lt;/D&gt;&lt;D xsi:type="xsd:double"&gt;2.304554&lt;/D&gt;&lt;D xsi:type="xsd:double"&gt;2.6518345&lt;/D&gt;&lt;D xsi:type="xsd:double"&gt;2.1388888&lt;/D&gt;&lt;D xsi:type="xsd:double"&gt;-0.38074255&lt;/D&gt;&lt;D xsi:type="xsd:double"&gt;-3.2392502&lt;/D&gt;&lt;D xsi:type="xsd:double"&gt;-1.8775225&lt;/D&gt;&lt;D xsi:type="xsd:double"&gt;-2.826029&lt;/D&gt;&lt;D xsi:type="xsd:double"&gt;-2.3023248&lt;/D&gt;&lt;D xsi:type="xsd:double"&gt;0.4031062&lt;/D&gt;&lt;D xsi:type="xsd:double"&gt;-7.257569&lt;/D&gt;&lt;D xsi:type="xsd:double"&gt;4.0235996&lt;/D&gt;&lt;D xsi:type="xsd:double"&gt;3.0421972&lt;/D&gt;&lt;D xsi:type="xsd:double"&gt;3.396821&lt;/D&gt;&lt;D xsi:type="xsd:double"&gt;3.5922647&lt;/D&gt;&lt;D xsi:type="xsd:double"&gt;-2.1932483&lt;/D&gt;&lt;D xsi:type="xsd:double"&gt;-0.090903044&lt;/D&gt;&lt;D xsi:type="xsd:double"&gt;0.3886342&lt;/D&gt;&lt;D xsi:type="xsd:double"&gt;-6.755501&lt;/D&gt;&lt;D xsi:type="xsd:double"&gt;4.087734&lt;/D&gt;&lt;D xsi:type="xsd:double"&gt;1.021707&lt;/D&gt;&lt;D xsi:type="xsd:double"&gt;3.0341268&lt;/D&gt;&lt;D xsi:type="xsd:double"&gt;1.1963248&lt;/D&gt;&lt;D xsi:type="xsd:double"&gt;3.724742&lt;/D&gt;&lt;D xsi:type="xsd:double"&gt;-1.8138587&lt;/D&gt;&lt;D xsi:type="xsd:double"&gt;-22.471231&lt;/D&gt;&lt;D xsi:type="xsd:double"&gt;-2.382815&lt;/D&gt;&lt;D xsi:type="xsd:double"&gt;0.56022406&lt;/D&gt;&lt;D xsi:type="xsd:double"&gt;2.228415&lt;/D&gt;&lt;D xsi:type="xsd:double"&gt;2.9383779&lt;/D&gt;&lt;D xsi:type="xsd:double"&gt;2.9942393&lt;/D&gt;&lt;D xsi:type="xsd:double"&gt;-3.1308234&lt;/D&gt;&lt;D xsi:type="xsd:double"&gt;1.4621019&lt;/D&gt;&lt;D xsi:type="xsd:double"&gt;7.9256654&lt;/D&gt;&lt;D xsi:type="xsd:double"&gt;3.1974792&lt;/D&gt;&lt;D xsi:type="xsd:double"&gt;5.726075&lt;/D&gt;&lt;D xsi:type="xsd:double"&gt;-1.9218266&lt;/D&gt;&lt;D xsi:type="xsd:double"&gt;5.114579&lt;/D&gt;&lt;D xsi:type="xsd:double"&gt;1.4533997&lt;/D&gt;&lt;D xsi:type="xsd:double"&gt;4.048586&lt;/D&gt;&lt;D xsi:type="xsd:double"&gt;2.694106&lt;/D&gt;&lt;D xsi:type="xsd:double"&gt;-1.6893983&lt;/D&gt;&lt;D xsi:type="xsd:double"&gt;1.5676856&lt;/D&gt;&lt;D xsi:type="xsd:double"&gt;-2.8198183&lt;/D&gt;&lt;D xsi:type="xsd:double"&gt;0.12216568&lt;/D&gt;&lt;D xsi:type="xsd:double"&gt;2.3184896&lt;/D&gt;&lt;D xsi:type="xsd:double"&gt;-1.4311254&lt;/D&gt;&lt;D xsi:type="xsd:double"&gt;6.327176&lt;/D&gt;&lt;D xsi:type="xsd:double"&gt;0.7307768&lt;/D&gt;&lt;D xsi:type="xsd:double"&gt;-8.589667&lt;/D&gt;&lt;D xsi:type="xsd:double"&gt;7.4285746&lt;/D&gt;&lt;D xsi:type="xsd:double"&gt;-9.249413&lt;/D&gt;&lt;D xsi:type="xsd:double"&gt;2.399683&lt;/D&gt;&lt;D xsi:type="xsd:double"&gt;-5.60233&lt;/D&gt;&lt;D xsi:type="xsd:double"&gt;6.6895366&lt;/D&gt;&lt;D xsi:type="xsd:double"&gt;-5.7234764&lt;/D&gt;&lt;D xsi:type="xsd:double"&gt;-11.493855&lt;/D&gt;&lt;D xsi:type="xsd:double"&gt;15.105974&lt;/D&gt;&lt;D xsi:type="xsd:double"&gt;5.490458&lt;/D&gt;&lt;D xsi:type="xsd:double"&gt;3.0746102&lt;/D&gt;&lt;D xsi:type="xsd:double"&gt;1.1562467&lt;/D&gt;&lt;D xsi:type="xsd:double"&gt;-2.4714231&lt;/D&gt;&lt;D xsi:type="xsd:double"&gt;5.0047517&lt;/D&gt;&lt;D xsi:type="xsd:double"&gt;0.4524827&lt;/D&gt;&lt;D xsi:type="xsd:double"&gt;-1.5473723&lt;/D&gt;&lt;D xsi:type="xsd:double"&gt;-1.243782&lt;/D&gt;&lt;D xsi:type="xsd:double"&gt;2.3299694&lt;/D&gt;&lt;D xsi:type="xsd:double"&gt;-1.5384614&lt;/D&gt;&lt;D xsi:type="xsd:double"&gt;0.5312443&lt;/D&gt;&lt;D xsi:type="xsd:double"&gt;-3.5125792&lt;/D&gt;&lt;D xsi:type="xsd:double"&gt;4.896903&lt;/D&gt;&lt;D xsi:type="xsd:double"&gt;2.5849342&lt;/D&gt;&lt;D xsi:type="xsd:double"&gt;-1.2251198&lt;/D&gt;&lt;D xsi:type="xsd:double"&gt;3.5348772999999998&lt;/D&gt;&lt;D xsi:type="xsd:double"&gt;2.0964384&lt;/D&gt;&lt;D xsi:type="xsd:double"&gt;6.042826&lt;/D&gt;&lt;D xsi:type="xsd:double"&gt;-1.6235948&lt;/D&gt;&lt;D xsi:type="xsd:double"&gt;2.5802732&lt;/D&gt;&lt;/FQL&gt;&lt;FQL&gt;&lt;Q&gt;EWN^FMA_PE(LTMA,-10AY,0,AM,"PORTAGG","MEANR")&lt;/Q&gt;&lt;R&gt;121&lt;/R&gt;&lt;C&gt;1&lt;/C&gt;&lt;D xsi:type="xsd:double"&gt;16.4947158935547&lt;/D&gt;&lt;D xsi:type="xsd:double"&gt;16.2153160854291&lt;/D&gt;&lt;D xsi:type="xsd:double"&gt;16.7601673258715&lt;/D&gt;&lt;D xsi:type="xsd:double"&gt;16.0456651431926&lt;/D&gt;&lt;D xsi:type="xsd:double"&gt;17.2339546988042&lt;/D&gt;&lt;D xsi:type="xsd:double"&gt;17.5278663939523&lt;/D&gt;&lt;D xsi:type="xsd:double"&gt;17.3169343985986&lt;/D&gt;&lt;D xsi:type="xsd:double"&gt;18.9427181268828&lt;/D&gt;&lt;D xsi:type="xsd:double"&gt;20.122531875868&lt;/D&gt;&lt;D xsi:type="xsd:double"&gt;20.0273441554243&lt;/D&gt;&lt;D xsi:type="xsd:double"&gt;19.5903588391333&lt;/D&gt;&lt;D xsi:type="xsd:double"&gt;19.2072746018086&lt;/D&gt;&lt;D xsi:type="xsd:double"&gt;18.9438543334915&lt;/D&gt;&lt;D xsi:type="xsd:double"&gt;18.80912887024&lt;/D&gt;&lt;D xsi:type="xsd:double"&gt;17.0888624814137&lt;/D&gt;&lt;D xsi:type="xsd:double"&gt;16.9663780479726&lt;/D&gt;&lt;D xsi:type="xsd:double"&gt;18.1862371013516&lt;/D&gt;&lt;D xsi:type="xsd:double"&gt;16.9058584507065&lt;/D&gt;&lt;D xsi:type="xsd:double"&gt;15.7327441666595&lt;/D&gt;&lt;D xsi:type="xsd:double"&gt;14.4969750345718&lt;/D&gt;&lt;D xsi:type="xsd:double"&gt;16.4239900373995&lt;/D&gt;&lt;D xsi:type="xsd:double"&gt;16.2808235893838&lt;/D&gt;&lt;D xsi:type="xsd:double"&gt;16.1713008237182&lt;/D&gt;&lt;D xsi:type="xsd:double"&gt;16.0153692848959&lt;/D&gt;&lt;D xsi:type="xsd:double"&gt;15.8841124285896&lt;/D&gt;&lt;D xsi:type="xsd:double"&gt;16.2430494838141&lt;/D&gt;&lt;D xsi:type="xsd:double"&gt;16.0420037505566&lt;/D&gt;&lt;D xsi:type="xsd:double"&gt;15.8577447224648&lt;/D&gt;&lt;D xsi:type="xsd:double"&gt;15.4974932696237&lt;/D&gt;&lt;D xsi:type="xsd:double"&gt;15.9210527944989&lt;/D&gt;&lt;D xsi:type="xsd:double"&gt;16.3842219226745&lt;/D&gt;&lt;D xsi:type="xsd:double"&gt;16.2040904439717&lt;/D&gt;&lt;D xsi:type="xsd:double"&gt;16.5042094847727&lt;/D&gt;&lt;D xsi:type="xsd:double"&gt;16.5588569356214&lt;/D&gt;&lt;D xsi:type="xsd:double"&gt;16.7229143922337&lt;/D&gt;&lt;D xsi:type="xsd:double"&gt;16.7603890824502&lt;/D&gt;&lt;D xsi:type="xsd:double"&gt;16.5451756953989&lt;/D&gt;&lt;D xsi:type="xsd:double"&gt;16.5481185923892&lt;/D&gt;&lt;D xsi:type="xsd:double"&gt;16.7249641423055&lt;/D&gt;&lt;D xsi:type="xsd:double"&gt;17.1808549962693&lt;/D&gt;&lt;D xsi:type="xsd:double"&gt;17.3375302328991&lt;/D&gt;&lt;D xsi:type="xsd:double"&gt;17.2870925779027&lt;/D&gt;&lt;D xsi:type="xsd:double"&gt;17.4813962463805&lt;/D&gt;&lt;D xsi:type="xsd:double"&gt;16.3813455423913&lt;/D&gt;&lt;D xsi:type="xsd:double"&gt;16.6808924860941&lt;/D&gt;&lt;D xsi:type="xsd:double"&gt;16.5914762865138&lt;/D&gt;&lt;D xsi:type="xsd:double"&gt;16.5893750068721&lt;/D&gt;&lt;D xsi:type="xsd:double"&gt;16.7345414788188&lt;/D&gt;&lt;D xsi:type="xsd:double"&gt;16.547377720712&lt;/D&gt;&lt;D xsi:type="xsd:double"&gt;16.6306357218737&lt;/D&gt;&lt;D xsi:type="xsd:double"&gt;16.2421255061107&lt;/D&gt;&lt;D xsi:type="xsd:double"&gt;15.517511500415&lt;/D&gt;&lt;D xsi:type="xsd:double"&gt;15.7089007227689&lt;/D&gt;&lt;D xsi:type="xsd:double"&gt;14.7844577910523&lt;/D&gt;&lt;D xsi:type="xsd:double"&gt;14.670371538714&lt;/D&gt;&lt;D xsi:type="xsd:double"&gt;15.5413373952729&lt;/D&gt;&lt;D xsi:type="xsd:double"&gt;16.1117373577366&lt;/D&gt;&lt;D xsi:type="xsd:double"&gt;16.2308030972538&lt;/D&gt;&lt;D xsi:type="xsd:double"&gt;16.1789465118486&lt;/D&gt;&lt;D xsi:type="xsd:double"&gt;16.2893949904298&lt;/D&gt;&lt;D xsi:type="xsd:double"&gt;16.4109119435036&lt;/D&gt;&lt;D xsi:type="xsd:double"&gt;16.1992289625717&lt;/D&gt;&lt;D xsi:type="xsd:double"&gt;16.9971883116977&lt;/D&gt;&lt;D xsi:type="xsd:double"&gt;17.2091382149649&lt;/D&gt;&lt;D xsi:type="xsd:double"&gt;17.8679688946383&lt;/D&gt;&lt;D xsi:type="xsd:double"&gt;18.3064450022566&lt;/D&gt;&lt;D xsi:type="xsd:double"&gt;18.7244527003207&lt;/D&gt;&lt;D xsi:type="xsd:double"&gt;19.8968857970103&lt;/D&gt;&lt;D xsi:type="xsd:double"&gt;17.0160415693592&lt;/D&gt;&lt;D xsi:type="xsd:double"&gt;17.2963780635682&lt;/D&gt;&lt;D xsi:type="xsd:double"&gt;18.0142139229654&lt;/D&gt;&lt;D xsi:type="xsd:double"&gt;18.9473201743931&lt;/D&gt;&lt;D xsi:type="xsd:double"&gt;20.0651374562863&lt;/D&gt;&lt;D xsi:type="xsd:double"&gt;20.7399591841086&lt;/D&gt;&lt;D xsi:type="xsd:double"&gt;21.5243174272252&lt;/D&gt;&lt;D xsi:type="xsd:double"&gt;22.6340516466748&lt;/D&gt;&lt;D xsi:type="xsd:double"&gt;24.5577859847437&lt;/D&gt;&lt;D xsi:type="xsd:double"&gt;25.9801910504561&lt;/D&gt;&lt;D xsi:type="xsd:double"&gt;27.7458481389958&lt;/D&gt;&lt;D xsi:type="xsd:double"&gt;30.0091915277886&lt;/D&gt;&lt;D xsi:type="xsd:double"&gt;28.817979537917&lt;/D&gt;&lt;D xsi:type="xsd:double"&gt;28.5639937360145&lt;/D&gt;&lt;D xsi:type="xsd:double"&gt;27.3893768241113&lt;/D&gt;&lt;D xsi:type="xsd:double"&gt;27.073149352726&lt;/D&gt;&lt;D xsi:type="xsd:double"&gt;26.364370449469&lt;/D&gt;&lt;D xsi:type="xsd:double"&gt;26.2181762058118&lt;/D&gt;&lt;D xsi:type="xsd:double"&gt;25.6665756104468&lt;/D&gt;&lt;D xsi:type="xsd:double"&gt;23.911951592977&lt;/D&gt;&lt;D xsi:type="xsd:double"&gt;24.4672728418922&lt;/D&gt;&lt;D xsi:type="xsd:double"&gt;22.6955153336399&lt;/D&gt;&lt;D xsi:type="xsd:double"&gt;21.8745422416947&lt;/D&gt;&lt;D xsi:type="xsd:double"&gt;20.0096138945917&lt;/D&gt;&lt;D xsi:type="xsd:double"&gt;18.162327039589&lt;/D&gt;&lt;D xsi:type="xsd:double"&gt;18.3953214957894&lt;/D&gt;&lt;D xsi:type="xsd:double"&gt;17.8609513192228&lt;/D&gt;&lt;D xsi:type="xsd:double"&gt;18.2945889099334&lt;/D&gt;&lt;D xsi:type="xsd:double"&gt;18.1747253695875&lt;/D&gt;&lt;D xsi:type="xsd:double"&gt;19.6501358002487&lt;/D&gt;&lt;D xsi:type="xsd:double"&gt;18.7326434900248&lt;/D&gt;&lt;D xsi:type="xsd:double"&gt;16.8200755440713&lt;/D&gt;&lt;D xsi:type="xsd:double"&gt;18.4667032012753&lt;/D&gt;&lt;D xsi:type="xsd:double"&gt;18.6015609825886&lt;/D&gt;&lt;D xsi:type="xsd:double"&gt;19.3057995135024&lt;/D&gt;&lt;D xsi:type="xsd:double"&gt;20.7077625373196&lt;/D&gt;&lt;D xsi:type="xsd:double"&gt;20.4921738468403&lt;/D&gt;&lt;D xsi:type="xsd:double"&gt;20.1908834307523&lt;/D&gt;&lt;D xsi:type="xsd:double"&gt;19.6407566564047&lt;/D&gt;&lt;D xsi:type="xsd:double"&gt;19.3305978661543&lt;/D&gt;&lt;D xsi:type="xsd:double"&gt;19.0021997584351&lt;/D&gt;&lt;D xsi:type="xsd:double"&gt;18.3333591197029&lt;/D&gt;&lt;D xsi:type="xsd:double"&gt;17.3978176387093&lt;/D&gt;&lt;D xsi:type="xsd:double"&gt;16.6341125199906&lt;/D&gt;&lt;D xsi:type="xsd:double"&gt;16.1277450085766&lt;/D&gt;&lt;D xsi:type="xsd:double"&gt;16.6793914820787&lt;/D&gt;&lt;D xsi:type="xsd:double"&gt;16.3184270971937&lt;/D&gt;&lt;D xsi:type="xsd:double"&gt;17.9721178016483&lt;/D&gt;&lt;D xsi:type="xsd:double"&gt;18.4584647726394&lt;/D&gt;&lt;D xsi:type="xsd:double"&gt;18.3602387002142&lt;/D&gt;&lt;D xsi:type="xsd:double"&gt;18.2685189627303&lt;/D&gt;&lt;D xsi:type="xsd:double"&gt;18.4659696959036&lt;/D&gt;&lt;D xsi:type="xsd:double"&gt;18.5165988866249&lt;/D&gt;&lt;/FQL&gt;&lt;FQL&gt;&lt;Q&gt;CPALM-FDS^FG_PRICE_CHANGE(0,-1AM)&lt;/Q&gt;&lt;R&gt;1&lt;/R&gt;&lt;C&gt;1&lt;/C&gt;&lt;D xsi:type="xsd:double"&gt;1.88247265326889&lt;/D&gt;&lt;/FQL&gt;&lt;FQL&gt;&lt;Q&gt;QQQ^FG_COMPANY_NAME&lt;/Q&gt;&lt;R&gt;1&lt;/R&gt;&lt;C&gt;1&lt;/C&gt;&lt;D xsi:type="xsd:string"&gt;Invesco QQQ Trust Series I&lt;/D&gt;&lt;/FQL&gt;&lt;FQL&gt;&lt;Q&gt;EWC^FG_COMPANY_NAME&lt;/Q&gt;&lt;R&gt;1&lt;/R&gt;&lt;C&gt;1&lt;/C&gt;&lt;D xsi:type="xsd:string"&gt;iShares MSCI Canada ETF&lt;/D&gt;&lt;/FQL&gt;&lt;FQL&gt;&lt;Q&gt;SPY^PERCENT_CHANGE(FMA_EPS(+1,0,,,,"PORTAGG","MEAN"),FMA_EPS(+1,-3AM,,,,"PORTAGG","MEAN"))&lt;/Q&gt;&lt;R&gt;1&lt;/R&gt;&lt;C&gt;1&lt;/C&gt;&lt;D xsi:type="xsd:double"&gt;0.637437486829068&lt;/D&gt;&lt;/FQL&gt;&lt;FQL&gt;&lt;Q&gt;EWQ^PERCENT_CHANGE(FMA_EPS(+1,0,,,,"PORTAGG","MEAN"),FMA_EPS(+1,-1AM,,,,"PORTAGG","MEAN"))&lt;/Q&gt;&lt;R&gt;1&lt;/R&gt;&lt;C&gt;1&lt;/C&gt;&lt;D xsi:type="xsd:double"&gt;-0.0963475587229787&lt;/D&gt;&lt;/FQL&gt;&lt;FQL&gt;&lt;Q&gt;EWG^PERCENT_CHANGE(FMA_EPS(+1,0,,,,"PORTAGG","MEAN"),FMA_EPS(+1,-3AM,,,,"PORTAGG","MEAN"))&lt;/Q&gt;&lt;R&gt;1&lt;/R&gt;&lt;C&gt;1&lt;/C&gt;&lt;D xsi:type="xsd:double"&gt;0.502434591626831&lt;/D&gt;&lt;/FQL&gt;&lt;FQL&gt;&lt;Q&gt;SPY^FMA_COS_UP("EPS","1M",+1,0,,,"PORTAGG","MEANR")&lt;/Q&gt;&lt;R&gt;1&lt;/R&gt;&lt;C&gt;1&lt;/C&gt;&lt;D xsi:type="xsd:double"&gt;156&lt;/D&gt;&lt;/FQL&gt;&lt;FQL&gt;&lt;Q&gt;QQQ^FMA_ROE(NTMA,-20AY,NOW,FY,"PORTAGG","MEANR")&lt;/Q&gt;&lt;R&gt;20&lt;/R&gt;&lt;C&gt;1&lt;/C&gt;&lt;D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xsi:type="xsd:double"&gt;25.0117291526432&lt;/D&gt;&lt;D xsi:type="xsd:double"&gt;24.5344428506904&lt;/D&gt;&lt;D xsi:type="xsd:double"&gt;26.6372021681967&lt;/D&gt;&lt;D xsi:type="xsd:double"&gt;24.0483215674387&lt;/D&gt;&lt;D xsi:type="xsd:double"&gt;25.3199155952553&lt;/D&gt;&lt;/FQL&gt;&lt;FQL&gt;&lt;Q&gt;TRYFR10Y-FDS^FG_YIELD(-10AY,0,Y,,"YTM")&lt;/Q&gt;&lt;R&gt;10&lt;/R&gt;&lt;C&gt;1&lt;/C&gt;&lt;D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xsi:type="xsd:double"&gt;2.534&lt;/D&gt;&lt;/FQL&gt;&lt;FQL&gt;&lt;Q&gt;CAGDPY@SE^EE_ACTUAL_ANNUAL(MED,0)&lt;/Q&gt;&lt;R&gt;1&lt;/R&gt;&lt;C&gt;1&lt;/C&gt;&lt;D xsi:type="xsd:double"&gt;6.4686639012956&lt;/D&gt;&lt;/FQL&gt;&lt;FQL&gt;&lt;Q&gt;USDCHF^STD(FG_PRICE_CHANGE(0,-1AY,AM))&lt;/Q&gt;&lt;R&gt;1&lt;/R&gt;&lt;C&gt;1&lt;/C&gt;&lt;D xsi:type="xsd:double"&gt;1.95476500759348&lt;/D&gt;&lt;/FQL&gt;&lt;FQL&gt;&lt;Q&gt;USDCHF^FG_COMPANY_NAME&lt;/Q&gt;&lt;R&gt;1&lt;/R&gt;&lt;C&gt;1&lt;/C&gt;&lt;D xsi:type="xsd:string"&gt;Swiss Franc per U.S. Dollar&lt;/D&gt;&lt;/FQL&gt;&lt;FQL&gt;&lt;Q&gt;EWN^P_PRICE_RETURNS_PR('52W',2,-10AY,0,AM)&lt;/Q&gt;&lt;R&gt;121&lt;/R&gt;&lt;C&gt;1&lt;/C&gt;&lt;D xsi:type="xsd:double"&gt;14.053869&lt;/D&gt;&lt;D xsi:type="xsd:double"&gt;3.2388687&lt;/D&gt;&lt;D xsi:type="xsd:double"&gt;6.6027284&lt;/D&gt;&lt;D xsi:type="xsd:double"&gt;-2.4849296&lt;/D&gt;&lt;D xsi:type="xsd:double"&gt;-1.3528883&lt;/D&gt;&lt;D xsi:type="xsd:double"&gt;1.0178924&lt;/D&gt;&lt;D xsi:type="xsd:double"&gt;-8.207637&lt;/D&gt;&lt;D xsi:type="xsd:double"&gt;-1.5715301&lt;/D&gt;&lt;D xsi:type="xsd:double"&gt;-0.44930577&lt;/D&gt;&lt;D xsi:type="xsd:double"&gt;3.0173182&lt;/D&gt;&lt;D xsi:type="xsd:double"&gt;5.6548834&lt;/D&gt;&lt;D xsi:type="xsd:double"&gt;4.6117544&lt;/D&gt;&lt;D xsi:type="xsd:double"&gt;7.196021&lt;/D&gt;&lt;D xsi:type="xsd:double"&gt;12.946296&lt;/D&gt;&lt;D xsi:type="xsd:double"&gt;-0.25199652&lt;/D&gt;&lt;D xsi:type="xsd:double"&gt;7.2202563&lt;/D&gt;&lt;D xsi:type="xsd:double"&gt;5.5393577&lt;/D&gt;&lt;D xsi:type="xsd:double"&gt;-1.7267227&lt;/D&gt;&lt;D xsi:type="xsd:double"&gt;-0.40807128&lt;/D&gt;&lt;D xsi:type="xsd:double"&gt;-9.900999&lt;/D&gt;&lt;D xsi:type="xsd:double"&gt;-0.7315695&lt;/D&gt;&lt;D xsi:type="xsd:double"&gt;-4.8483253&lt;/D&gt;&lt;D xsi:type="xsd:double"&gt;-5.921274&lt;/D&gt;&lt;D xsi:type="xsd:double"&gt;-7.898712&lt;/D&gt;&lt;D xsi:type="xsd:double"&gt;-10.363555&lt;/D&gt;&lt;D xsi:type="xsd:double"&gt;-5.196208&lt;/D&gt;&lt;D xsi:type="xsd:double"&gt;3.6751628&lt;/D&gt;&lt;D xsi:type="xsd:double"&gt;2.3200512&lt;/D&gt;&lt;D xsi:type="xsd:double"&gt;-2.7945817&lt;/D&gt;&lt;D xsi:type="xsd:double"&gt;1.5625954&lt;/D&gt;&lt;D xsi:type="xsd:double"&gt;11.3652115&lt;/D&gt;&lt;D xsi:type="xsd:double"&gt;17.984486&lt;/D&gt;&lt;D xsi:type=</t>
        </r>
      </text>
    </comment>
    <comment ref="A4" authorId="0" shapeId="0" xr:uid="{25E059B6-DF05-463A-B89C-AD86E309139B}">
      <text>
        <r>
          <rPr>
            <b/>
            <sz val="9"/>
            <color indexed="81"/>
            <rFont val="Tahoma"/>
            <charset val="1"/>
          </rPr>
          <t>"xsd:double"&gt;15.488922&lt;/D&gt;&lt;D xsi:type="xsd:double"&gt;13.226879&lt;/D&gt;&lt;D xsi:type="xsd:double"&gt;20.752716&lt;/D&gt;&lt;D xsi:type="xsd:double"&gt;21.517765&lt;/D&gt;&lt;D xsi:type="xsd:double"&gt;30.085098&lt;/D&gt;&lt;D xsi:type="xsd:double"&gt;26.312721&lt;/D&gt;&lt;D xsi:type="xsd:double"&gt;30.35643&lt;/D&gt;&lt;D xsi:type="xsd:double"&gt;32.875645&lt;/D&gt;&lt;D xsi:type="xsd:double"&gt;33.53286&lt;/D&gt;&lt;D xsi:type="xsd:double"&gt;35.299088&lt;/D&gt;&lt;D xsi:type="xsd:double"&gt;35.204197&lt;/D&gt;&lt;D xsi:type="xsd:double"&gt;26.326252&lt;/D&gt;&lt;D xsi:type="xsd:double"&gt;26.626896&lt;/D&gt;&lt;D xsi:type="xsd:double"&gt;23.328125&lt;/D&gt;&lt;D xsi:type="xsd:double"&gt;13.57752&lt;/D&gt;&lt;D xsi:type="xsd:double"&gt;11.692619&lt;/D&gt;&lt;D xsi:type="xsd:double"&gt;7.299316&lt;/D&gt;&lt;D xsi:type="xsd:double"&gt;3.142178&lt;/D&gt;&lt;D xsi:type="xsd:double"&gt;-1.4345527&lt;/D&gt;&lt;D xsi:type="xsd:double"&gt;-9.53291&lt;/D&gt;&lt;D xsi:type="xsd:double"&gt;-5.803454&lt;/D&gt;&lt;D xsi:type="xsd:double"&gt;-12.269831&lt;/D&gt;&lt;D xsi:type="xsd:double"&gt;-14.714802&lt;/D&gt;&lt;D xsi:type="xsd:double"&gt;-6.765312&lt;/D&gt;&lt;D xsi:type="xsd:double"&gt;-8.286977&lt;/D&gt;&lt;D xsi:type="xsd:double"&gt;-3.5748243&lt;/D&gt;&lt;D xsi:type="xsd:double"&gt;-1.9816041&lt;/D&gt;&lt;D xsi:type="xsd:double"&gt;-1.9184709&lt;/D&gt;&lt;D xsi:type="xsd:double"&gt;3.2894135&lt;/D&gt;&lt;D xsi:type="xsd:double"&gt;-1.450938&lt;/D&gt;&lt;D xsi:type="xsd:double"&gt;8.291996&lt;/D&gt;&lt;D xsi:type="xsd:double"&gt;15.723062&lt;/D&gt;&lt;D xsi:type="xsd:double"&gt;16.667355&lt;/D&gt;&lt;D xsi:type="xsd:double"&gt;25.345648&lt;/D&gt;&lt;D xsi:type="xsd:double"&gt;27.43156&lt;/D&gt;&lt;D xsi:type="xsd:double"&gt;24.326181&lt;/D&gt;&lt;D xsi:type="xsd:double"&gt;-3.093475&lt;/D&gt;&lt;D xsi:type="xsd:double"&gt;-7.4298024&lt;/D&gt;&lt;D xsi:type="xsd:double"&gt;-3.9857984&lt;/D&gt;&lt;D xsi:type="xsd:double"&gt;2.5512934&lt;/D&gt;&lt;D xsi:type="xsd:double"&gt;11.679733&lt;/D&gt;&lt;D xsi:type="xsd:double"&gt;16.400087&lt;/D&gt;&lt;D xsi:type="xsd:double"&gt;12.407864&lt;/D&gt;&lt;D xsi:type="xsd:double"&gt;20.052124&lt;/D&gt;&lt;D xsi:type="xsd:double"&gt;17.61763&lt;/D&gt;&lt;D xsi:type="xsd:double"&gt;22.198141&lt;/D&gt;&lt;D xsi:type="xsd:double"&gt;26.984478&lt;/D&gt;&lt;D xsi:type="xsd:double"&gt;33.398354&lt;/D&gt;&lt;D xsi:type="xsd:double"&gt;65.87285&lt;/D&gt;&lt;D xsi:type="xsd:double"&gt;75.71104&lt;/D&gt;&lt;D xsi:type="xsd:double"&gt;67.0593&lt;/D&gt;&lt;D xsi:type="xsd:double"&gt;62.91033&lt;/D&gt;&lt;D xsi:type="xsd:double"&gt;44.11527&lt;/D&gt;&lt;D xsi:type="xsd:double"&gt;48.091614&lt;/D&gt;&lt;D xsi:type="xsd:double"&gt;53.066372&lt;/D&gt;&lt;D xsi:type="xsd:double"&gt;34.81108&lt;/D&gt;&lt;D xsi:type="xsd:double"&gt;39.40735&lt;/D&gt;&lt;D xsi:type="xsd:double"&gt;23.57031&lt;/D&gt;&lt;D xsi:type="xsd:double"&gt;16.888737&lt;/D&gt;&lt;D xsi:type="xsd:double"&gt;0.08087158&lt;/D&gt;&lt;D xsi:type="xsd:double"&gt;-14.104062&lt;/D&gt;&lt;D xsi:type="xsd:double"&gt;-14.925069&lt;/D&gt;&lt;D xsi:type="xsd:double"&gt;-24.227547&lt;/D&gt;&lt;D xsi:type="xsd:double"&gt;-25.249928&lt;/D&gt;&lt;D xsi:type="xsd:double"&gt;-28.530508&lt;/D&gt;&lt;D xsi:type="xsd:double"&gt;-24.079014&lt;/D&gt;&lt;D xsi:type="xsd:double"&gt;-32.93848&lt;/D&gt;&lt;D xsi:type="xsd:double"&gt;-37.68886&lt;/D&gt;&lt;D xsi:type="xsd:double"&gt;-26.896626&lt;/D&gt;&lt;D xsi:type="xsd:double"&gt;-19.519901&lt;/D&gt;&lt;D xsi:type="xsd:double"&gt;-14.48062&lt;/D&gt;&lt;D xsi:type="xsd:double"&gt;-8.766669&lt;/D&gt;&lt;D xsi:type="xsd:double"&gt;3.4733295&lt;/D&gt;&lt;D xsi:type="xsd:double"&gt;6.555772&lt;/D&gt;&lt;D xsi:type="xsd:double"&gt;19.645596&lt;/D&gt;&lt;D xsi:type="xsd:double"&gt;13.539516&lt;/D&gt;&lt;D xsi:type="xsd:double"&gt;29.265726&lt;/D&gt;&lt;D xsi:type="xsd:double"&gt;14.380062&lt;/D&gt;&lt;D xsi:type="xsd:double"&gt;16.570831&lt;/D&gt;&lt;D xsi:type="xsd:double"&gt;30.964518&lt;/D&gt;&lt;D xsi:type="xsd:double"&gt;11.475682&lt;/D&gt;&lt;D xsi:type="xsd:double"&gt;12.969387&lt;/D&gt;&lt;D xsi:type="xsd:double"&gt;7.79351&lt;/D&gt;&lt;D xsi:type="xsd:double"&gt;14.585436&lt;/D&gt;&lt;D xsi:type="xsd:double"&gt;24.171055&lt;/D&gt;&lt;D xsi:type="xsd:double"&gt;19.446861&lt;/D&gt;&lt;D xsi:type="xsd:double"&gt;23.071516&lt;/D&gt;&lt;D xsi:type="xsd:double"&gt;23.770893&lt;/D&gt;&lt;D xsi:type="xsd:double"&gt;23.01284&lt;/D&gt;&lt;/FQL&gt;&lt;FQL&gt;&lt;Q&gt;ENZL^FMA_DIV_YLD(NTMA,-10AY,0,AM,"PORTAGG","MEANR")&lt;/Q&gt;&lt;R&gt;121&lt;/R&gt;&lt;C&gt;1&lt;/C&gt;&lt;D xsi:type="xsd:double"&gt;4.47065595228737&lt;/D&gt;&lt;D xsi:type="xsd:double"&gt;4.56935885103544&lt;/D&gt;&lt;D xsi:type="xsd:double"&gt;4.53336692397436&lt;/D&gt;&lt;D xsi:type="xsd:double"&gt;4.60804294886135&lt;/D&gt;&lt;D xsi:type="xsd:double"&gt;4.43877701401957&lt;/D&gt;&lt;D xsi:type="xsd:double"&gt;4.49176577624116&lt;/D&gt;&lt;D xsi:type="xsd:double"&gt;4.42916115987728&lt;/D&gt;&lt;D xsi:type="xsd:double"&gt;4.27009228755625&lt;/D&gt;&lt;D xsi:type="xsd:double"&gt;4.30397228088674&lt;/D&gt;&lt;D xsi:type="xsd:double"&gt;4.43109586472914&lt;/D&gt;&lt;D xsi:type="xsd:double"&gt;4.46684507537055&lt;/D&gt;&lt;D xsi:type="xsd:double"&gt;4.45734684347586&lt;/D&gt;&lt;D xsi:type="xsd:double"&gt;4.71045703063957&lt;/D&gt;&lt;D xsi:type="xsd:double"&gt;4.63740267303238&lt;/D&gt;&lt;D xsi:type="xsd:double"&gt;5.14860233606005&lt;/D&gt;&lt;D xsi:type="xsd:double"&gt;5.25610306562709&lt;/D&gt;&lt;D xsi:type="xsd:double"&gt;4.89148516645734&lt;/D&gt;&lt;D xsi:type="xsd:double"&gt;4.80690185897919&lt;/D&gt;&lt;D xsi:type="xsd:double"&gt;4.91500710396966&lt;/D&gt;&lt;D xsi:type="xsd:double"&gt;5.00506587776045&lt;/D&gt;&lt;D xsi:type="xsd:double"&gt;4.69045024862221&lt;/D&gt;&lt;D xsi:type="xsd:double"&gt;4.57466759997125&lt;/D&gt;&lt;D xsi:type="xsd:double"&gt;4.48680314332507&lt;/D&gt;&lt;D xsi:type="xsd:double"&gt;4.36495976201959&lt;/D&gt;&lt;D xsi:type="xsd:double"&gt;4.28318419588048&lt;/D&gt;&lt;D xsi:type="xsd:double"&gt;4.13908222769064&lt;/D&gt;&lt;D xsi:type="xsd:double"&gt;4.15035892748783&lt;/D&gt;&lt;D xsi:type="xsd:double"&gt;4.47062267261873&lt;/D&gt;&lt;D xsi:type="xsd:double"&gt;4.75551146868518&lt;/D&gt;&lt;D xsi:type="xsd:double"&gt;4.6078893654269&lt;/D&gt;&lt;D xsi:type="xsd:double"&gt;4.49879391793521&lt;/D&gt;&lt;D xsi:type="xsd:double"&gt;4.50667709990805&lt;/D&gt;&lt;D xsi:type="xsd:double"&gt;4.56289658551886&lt;/D&gt;&lt;D xsi:type="xsd:double"&gt;4.54782765244196&lt;/D&gt;&lt;D xsi:type="xsd:double"&gt;4.4120669030521&lt;/D&gt;&lt;D xsi:type="xsd:double"&gt;4.45983933935568&lt;/D&gt;&lt;D xsi:type="xsd:double"&gt;4.39765769190603&lt;/D&gt;&lt;D xsi:type="xsd:double"&gt;4.37462018184818&lt;/D&gt;&lt;D xsi:type="xsd:double"&gt;4.37674925124824&lt;/D&gt;&lt;D xsi:type="xsd:double"&gt;4.37975500058567&lt;/D&gt;&lt;D xsi:type="xsd:double"&gt;4.46071557559729&lt;/D&gt;&lt;D xsi:type="xsd:double"&gt;4.27337967167598&lt;/D&gt;&lt;D xsi:type="xsd:double"&gt;4.30326745832043&lt;/D&gt;&lt;D xsi:type="xsd:double"&gt;4.56959119117219&lt;/D&gt;&lt;D xsi:type="xsd:double"&gt;4.21231062148988&lt;/D&gt;&lt;D xsi:type="xsd:double"&gt;4.24857329402348&lt;/D&gt;&lt;D xsi:type="xsd:double"&gt;4.16891396826759&lt;/D&gt;&lt;D xsi:type="xsd:double"&gt;4.02003836130956&lt;/D&gt;&lt;D xsi:type="xsd:double"&gt;4.04318509565326&lt;/D&gt;&lt;D xsi:type="xsd:double"&gt;4.06509938421979&lt;/D&gt;&lt;D xsi:type="xsd:double"&gt;3.96420940690043&lt;/D&gt;&lt;D xsi:type="xsd:double"&gt;4.29790467077548&lt;/D&gt;&lt;D xsi:type="xsd:double"&gt;4.16232154472356&lt;/D&gt;&lt;D xsi:type="xsd:double"&gt;4.2072097561295&lt;/D&gt;&lt;D xsi:type="xsd:double"&gt;4.10424526837896&lt;/D&gt;&lt;D xsi:type="xsd:double"&gt;4.02082362069456&lt;/D&gt;&lt;D xsi:type="xsd:double"&gt;3.90516139854378&lt;/D&gt;&lt;D xsi:type="xsd:double"&gt;3.79539484576937&lt;/D&gt;&lt;D xsi:type="xsd:double"&gt;3.69133867957838&lt;/D&gt;&lt;D xsi:type="xsd:double"&gt;3.69958217184623&lt;/D&gt;&lt;D xsi:type="xsd:double"&gt;3.45335730951031&lt;/D&gt;&lt;D xsi:type="xsd:double"&gt;3.39516552295264&lt;/D&gt;&lt;D xsi:type="xsd:double"&gt;3.32380257398423&lt;/D&gt;&lt;D xsi:type="xsd:double"&gt;3.33908241893286&lt;/D&gt;&lt;D xsi:type="xsd:double"&gt;3.32829318074809&lt;/D&gt;&lt;D xsi:type="xsd:double"&gt;3.26119680712192&lt;/D&gt;&lt;D xsi:type="xsd:double"&gt;3.16115836461661&lt;/D&gt;&lt;D xsi:type="xsd:double"&gt;3.0614920573976&lt;/D&gt;&lt;D xsi:type="xsd:double"&gt;3.29041534704995&lt;/D&gt;&lt;D xsi:type="xsd:double"&gt;2.99315351601391&lt;/D&gt;&lt;D xsi:type="xsd:double"&gt;2.59458847527481&lt;/D&gt;&lt;D xsi:type="xsd:double"&gt;2.56753949060891&lt;/D&gt;&lt;D xsi:type="xsd:double"&gt;2.48601791303435&lt;/D&gt;&lt;D xsi:type="xsd:double"&gt;2.40710005761217&lt;/D&gt;&lt;D xsi:type="xsd:double"&gt;2.42285264645463&lt;/D&gt;&lt;D xsi:type="xsd:double"&gt;2.35745165006595&lt;/D&gt;&lt;D xsi:type="xsd:double"&gt;2.35548026964501&lt;/D&gt;&lt;D xsi:type="xsd:double"&gt;2.37329087515197&lt;/D&gt;&lt;D xsi:type="xsd:double"&gt;2.40389451621252&lt;/D&gt;&lt;D xsi:type="xsd:double"&gt;2.55864349769717&lt;/D&gt;&lt;D xsi:type="xsd:double"&gt;2.61252028697769&lt;/D&gt;&lt;D xsi:type="xsd:double"&gt;2.58053083612425&lt;/D&gt;&lt;D xsi:type="xsd:double"&gt;2.61479268133808&lt;/D&gt;&lt;D xsi:type="xsd:double"&gt;2.68127948986522&lt;/D&gt;&lt;D xsi:type="xsd:double"&gt;2.61377342419419&lt;/D&gt;&lt;D xsi:type="xsd:double"&gt;2.67839015468842&lt;/D&gt;&lt;D xsi:type="xsd:double"&gt;2.60295707600186&lt;/D&gt;&lt;D xsi:type="xsd:double"&gt;2.679694214382&lt;/D&gt;&lt;D xsi:type="xsd:double"&gt;2.68312794802182&lt;/D&gt;&lt;D xsi:type="xsd:double"&gt;2.78182117206002&lt;/D&gt;&lt;D xsi:type="xsd:double"&gt;2.82053354848459&lt;/D&gt;&lt;D xsi:type="xsd:double"&gt;2.97607356038104&lt;/D&gt;&lt;D xsi:type="xsd:double"&gt;3.08455783962233&lt;/D&gt;&lt;D xsi:type="xsd:double"&gt;3.12183613769547&lt;/D&gt;&lt;D xsi:type="xsd:double"&gt;3.22166169109288&lt;/D&gt;&lt;D xsi:type="xsd:double"&gt;3.27040182027887&lt;/D&gt;&lt;D xsi:type="xsd:double"&gt;3.32596237858118&lt;/D&gt;&lt;D xsi:type="xsd:double"&gt;3.19764550067021&lt;/D&gt;&lt;D xsi:type="xsd:double"&gt;3.18309613799441&lt;/D&gt;&lt;D xsi:type="xsd:double"&gt;3.45344474023046&lt;/D&gt;&lt;D xsi:type="xsd:double"&gt;3.38689405810595&lt;/D&gt;&lt;D xsi:type="xsd:double"&gt;3.42404910768495&lt;/D&gt;&lt;D xsi:type="xsd:double"&gt;3.41812520577267&lt;/D&gt;&lt;D xsi:type="xsd:double"&gt;3.27312822269979&lt;/D&gt;&lt;D xsi:type="xsd:double"&gt;3.43694008882196&lt;/D&gt;&lt;D xsi:type="xsd:double"&gt;3.40674019677182&lt;/D&gt;&lt;D xsi:type="xsd:double"&gt;3.49807181510528&lt;/D&gt;&lt;D xsi:type="xsd:double"&gt;3.49598244824903&lt;/D&gt;&lt;D xsi:type="xsd:double"&gt;3.4314390240269&lt;/D&gt;&lt;D xsi:type="xsd:double"&gt;3.44218672125393&lt;/D&gt;&lt;D xsi:type="xsd:double"&gt;3.40116311875821&lt;/D&gt;&lt;D xsi:type="xsd:double"&gt;3.4247252194625&lt;/D&gt;&lt;D xsi:type="xsd:double"&gt;3.46446847410753&lt;/D&gt;&lt;D xsi:type="xsd:double"&gt;3.11220345253469&lt;/D&gt;&lt;D xsi:type="xsd:double"&gt;2.98100143901958&lt;/D&gt;&lt;D xsi:type="xsd:double"&gt;2.9897573073423&lt;/D&gt;&lt;D xsi:type="xsd:double"&gt;2.75655488731442&lt;/D&gt;&lt;D xsi:type="xsd:double"&gt;2.77572745845348&lt;/D&gt;&lt;D xsi:type="xsd:double"&gt;2.77853433719391&lt;/D&gt;&lt;D xsi:type="xsd:double"&gt;2.76076198737119&lt;/D&gt;&lt;D xsi:type="xsd:double"&gt;2.72131432976025&lt;/D&gt;&lt;/FQL&gt;&lt;FQL&gt;&lt;Q&gt;NI-FDS^FG_PRICE_CHANGE(0,-6AM)&lt;/Q&gt;&lt;R&gt;1&lt;/R&gt;&lt;C&gt;1&lt;/C&gt;&lt;D xsi:type="xsd:double"&gt;2.33846153846153&lt;/D&gt;&lt;/FQL&gt;&lt;FQL&gt;&lt;Q&gt;COPP-FDS^MAX(FG_PRICE(0,-5AY))&lt;/Q&gt;&lt;R&gt;1&lt;/R&gt;&lt;C&gt;1&lt;/C&gt;&lt;D xsi:type="xsd:double"&gt;5.119&lt;/D&gt;&lt;/FQL&gt;&lt;FQL&gt;&lt;Q&gt;EWD^FG_PRICE(0)&lt;/Q&gt;&lt;R&gt;1&lt;/R&gt;&lt;C&gt;1&lt;/C&gt;&lt;D xsi:type="xsd:double"&gt;40.84&lt;/D&gt;&lt;/FQL&gt;&lt;FQL&gt;&lt;Q&gt;EWU^FG_PRICE_MAVG(0,,,,60)&lt;/Q&gt;&lt;R&gt;1&lt;/R&gt;&lt;C&gt;1&lt;/C&gt;&lt;D xsi:type="xsd:double"&gt;35.392834&lt;/D&gt;&lt;/FQL&gt;&lt;FQL&gt;&lt;Q&gt;EWC^FG_PRICE(0)&lt;/Q&gt;&lt;R&gt;1&lt;/R&gt;&lt;C&gt;1&lt;/C&gt;&lt;D xsi:type="xsd:double"&gt;38.38&lt;/D&gt;&lt;/FQL&gt;&lt;FQL&gt;&lt;Q&gt;URTH^FMA_PCT_ABOVE_MAVG(200,0,,,,"PORTAGG")&lt;/Q&gt;&lt;R&gt;1&lt;/R&gt;&lt;C&gt;1&lt;/C&gt;&lt;D xsi:type="xsd:double"&gt;61.5007012622721&lt;/D&gt;&lt;/FQL&gt;&lt;FQL&gt;&lt;Q&gt;VGK^FMA_PCT_ABOVE_MAVG(200,0,,,,"PORTAGG")&lt;/Q&gt;&lt;R&gt;1&lt;/R&gt;&lt;C&gt;1&lt;/C&gt;&lt;D xsi:type="xsd:double"&gt;73.2114467408585&lt;/D&gt;&lt;/FQL&gt;&lt;FQL&gt;&lt;Q&gt;EWD^FMA_PCT_ABOVE_MAVG(200,0,,,,"PORTAGG")&lt;/Q&gt;&lt;R&gt;1&lt;/R&gt;&lt;C&gt;1&lt;/C&gt;&lt;D xsi:type="xsd:double"&gt;75&lt;/D&gt;&lt;/FQL&gt;&lt;FQL&gt;&lt;Q&gt;QQQ^PERCENT_CHANGE(FMA_EPS(+1,0,,,,"PORTAGG","MEAN"),FMA_EPS(+1,-1AM,,,,"PORTAGG","MEAN"))&lt;/Q&gt;&lt;R&gt;1&lt;/R&gt;&lt;C&gt;1&lt;/C&gt;&lt;D xsi:type="xsd:double"&gt;-0.207933782452992&lt;/D&gt;&lt;/FQL&gt;&lt;FQL&gt;&lt;Q&gt;EWL^PERCENT_CHANGE(FMA_EPS(+1,0,,,,"PORTAGG","MEAN"),FMA_EPS(+1,-1AM,,,,"PORTAGG","MEAN"))&lt;/Q&gt;&lt;R&gt;1&lt;/R&gt;&lt;C&gt;1&lt;/C&gt;&lt;D xsi:type="xsd:double"&gt;0.0683561988673771&lt;/D&gt;&lt;/FQL&gt;&lt;FQL&gt;&lt;Q&gt;EWA^PERCENT_CHANGE(FMA_EPS(+1,0,,,,"PORTAGG","MEAN"),FMA_EPS(+1,-3AM,,,,"PORTAGG","MEAN"))&lt;/Q&gt;&lt;R&gt;1&lt;/R&gt;&lt;C&gt;1&lt;/C&gt;&lt;D xsi:type="xsd:double"&gt;0.577599986215077&lt;/D&gt;&lt;/FQL&gt;&lt;FQL&gt;&lt;Q&gt;EWN^SIZE(FG_CONSTITUENTS)&lt;/Q&gt;&lt;R&gt;1&lt;/R&gt;&lt;C&gt;1&lt;/C&gt;&lt;D xsi:type="xsd:long"&gt;53&lt;/D&gt;&lt;/FQL&gt;&lt;FQL&gt;&lt;Q&gt;EWN^FG_COMPANY_NAME&lt;/Q&gt;&lt;R&gt;1&lt;/R&gt;&lt;C&gt;1&lt;/C&gt;&lt;D xsi:type="xsd:string"&gt;iShares MSCI Netherlands ETF&lt;/D&gt;&lt;/FQL&gt;&lt;FQL&gt;&lt;Q&gt;EWA^FG_ROE(0)&lt;/Q&gt;&lt;R&gt;1&lt;/R&gt;&lt;C&gt;1&lt;/C&gt;&lt;D xsi:type="xsd:double"&gt;12.5613674420637&lt;/D&gt;&lt;/FQL&gt;&lt;FQL&gt;&lt;Q&gt;EWQ^FG_COMPANY_NAME&lt;/Q&gt;&lt;R&gt;1&lt;/R&gt;&lt;C&gt;1&lt;/C&gt;&lt;D xsi:type="xsd:string"&gt;iShares MSCI France ETF&lt;/D&gt;&lt;/FQL&gt;&lt;FQL&gt;&lt;Q&gt;REFJPTON-FDS^FG_YIELD(NOW,,,0)&lt;/Q&gt;&lt;R&gt;1&lt;/R&gt;&lt;C&gt;1&lt;/C&gt;&lt;D xsi:type="xsd:double"&gt;0.1&lt;/D&gt;&lt;/FQL&gt;&lt;FQL&gt;&lt;Q&gt;TRYAU10Y-FDS^PCTCHG(FG_YIELD(0,,,,"YTM"),FG_YIELD(-3AM,,,,"YTM"))&lt;/Q&gt;&lt;R&gt;1&lt;/R&gt;&lt;C&gt;1&lt;/C&gt;&lt;D xsi:type="xsd:double"&gt;2.7967088&lt;/D&gt;&lt;/FQL&gt;&lt;FQL&gt;&lt;Q&gt;CC_FR^IMF_IFS_RCPI_Q(0)&lt;/Q&gt;&lt;R&gt;0&lt;/R&gt;&lt;C&gt;0&lt;/C&gt;&lt;/FQL&gt;&lt;FQL&gt;&lt;Q&gt;EWD^FMA_PE(NTMA,0,,,"PORTAGG","MEANR")&lt;/Q&gt;&lt;R&gt;1&lt;/R&gt;&lt;C&gt;1&lt;/C&gt;&lt;D xsi:type="xsd:double"&gt;15.8983938999432&lt;/D&gt;&lt;/FQL&gt;&lt;FQL&gt;&lt;Q&gt;EWG^FMA_EVAL_EBITDA(NTMA,0,,,"PORTAGG","MEANR")&lt;/Q&gt;&lt;R&gt;1&lt;/R&gt;&lt;C&gt;1&lt;/C&gt;&lt;D xsi:type="xsd:double"&gt;8.37514917945414&lt;/D&gt;&lt;/FQL&gt;&lt;FQL&gt;&lt;Q&gt;UUP^FG_TOTAL_RETURNC(0,-3AM)&lt;/Q&gt;&lt;R&gt;1&lt;/R&gt;&lt;C&gt;1&lt;/C&gt;&lt;D xsi:type="xsd:double"&gt;0.62915087&lt;/D&gt;&lt;/FQL&gt;&lt;FQL&gt;&lt;Q&gt;TRYQA10Y-FDS^FG_YIELD(-10AY,0,Y,,"YTM")&lt;/Q&gt;&lt;R&gt;10&lt;/R&gt;&lt;C&gt;1&lt;/C&gt;&lt;D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xsi:type="xsd:string"&gt;@NA&lt;/D&gt;&lt;/FQL&gt;&lt;FQL&gt;&lt;Q&gt;USDITL^FG_COMPANY_NAME&lt;/Q&gt;&lt;R&gt;1&lt;/R&gt;&lt;C&gt;1&lt;/C&gt;&lt;D xsi:type="xsd:string"&gt;Italian Lira per U.S. Dollar&lt;/D&gt;&lt;/FQL&gt;&lt;FQL&gt;&lt;Q&gt;USDCAD^FG_PRICE_CHANGE(0,-6AM)&lt;/Q&gt;&lt;R&gt;1&lt;/R&gt;&lt;C&gt;1&lt;/C&gt;&lt;D xsi:type="xsd:double"&gt;1.3626814&lt;/D&gt;&lt;/FQL&gt;&lt;FQL&gt;&lt;Q&gt;USDNZD^FG_PRICE(0)&lt;/Q&gt;&lt;R&gt;1&lt;/R&gt;&lt;C&gt;1&lt;/C&gt;&lt;D xsi:type="xsd:double"&gt;1.6346546&lt;/D&gt;&lt;/FQL&gt;&lt;FQL&gt;&lt;Q&gt;EWL^FG_TOTAL_RETURNC(-10AY,0,AM)&lt;/Q&gt;&lt;R&gt;121&lt;/R&gt;&lt;C&gt;1&lt;/C&gt;&lt;D xsi:type="xsd:double"&gt;-1.5849292&lt;/D&gt;&lt;D xsi:type="xsd:double"&gt;-3.3840716&lt;/D&gt;&lt;D xsi:type="xsd:double"&gt;2.1107435&lt;/D&gt;&lt;D xsi:type="xsd:double"&gt;-8.298386&lt;/D&gt;&lt;D xsi:type="xsd:double"&gt;6.1091065&lt;/D&gt;&lt;D xsi:type="xsd:double"&gt;0.15393496&lt;/D&gt;&lt;D xsi:type="xsd:double"&gt;-2.8896391&lt;/D&gt;&lt;D xsi:type="xsd:double"&gt;3.0705929&lt;/D&gt;&lt;D xsi:type="xsd:double"&gt;-1.627773&lt;/D&gt;&lt;D xsi:type="xsd:double"&gt;7.4305415&lt;/D&gt;&lt;D xsi:type="xsd:double"&gt;1.9471169&lt;/D&gt;&lt;D xsi:type="xsd:double"&gt;0.2565503&lt;/D&gt;&lt;D xsi:type="xsd:double"&gt;-1.0177553&lt;/D&gt;&lt;D xsi:type="xsd:double"&gt;-1.8529415&lt;/D&gt;&lt;D xsi:type="xsd:double"&gt;-4.7947226&lt;/D&gt;&lt;D xsi:type="xsd:double"&gt;0.37771463&lt;/D&gt;&lt;D xsi:type="xsd:double"&gt;-2.1009743&lt;/D&gt;&lt;D xsi:type="xsd:double"&gt;-2.2741795&lt;/D&gt;&lt;D xsi:type="xsd:double"&gt;-4.1953506&lt;/D&gt;&lt;D xsi:type="xsd:double"&gt;-5.0975027&lt;/D&gt;&lt;D xsi:type="xsd:double"&gt;7.354009&lt;/D&gt;&lt;D xsi:type="xsd:double"&gt;0.33578873&lt;/D&gt;&lt;D xsi:type="xsd:double"&gt;1.0709524&lt;/D&gt;&lt;D xsi:type="xsd:double"&gt;0.06622076&lt;/D&gt;&lt;D xsi:type="xsd:double"&gt;0.55589676&lt;/D&gt;&lt;D xsi:type="xsd:double"&gt;3.8175702&lt;/D&gt;&lt;D xsi:type="xsd:double"&gt;-0.97624063&lt;/D&gt;&lt;D xsi:type="xsd:double"&gt;-1.7417073&lt;/D&gt;&lt;D xsi:type="xsd:double"&gt;-2.4080217&lt;/D&gt;&lt;D xsi:type="xsd:double"&gt;-0.17135143&lt;/D&gt;&lt;D xsi:type="xsd:double"&gt;3.9439678&lt;/D&gt;&lt;D xsi:type="xsd:double"&gt;1.8836737&lt;/D&gt;&lt;D xsi:type="xsd:double"&gt;2.238083&lt;/D&gt;&lt;D xsi:type="xsd:double"&gt;1.6814709&lt;/D&gt;&lt;D xsi:type="xsd:double"&gt;5.834627&lt;/D&gt;&lt;D xsi:type="xsd:double"&gt;1.4740586&lt;/D&gt;&lt;D xsi:type="xsd:double"&gt;0.8917928&lt;/D&gt;&lt;D xsi:type="xsd:double"&gt;0&lt;/D&gt;&lt;D xsi:type="xsd:double"&gt;2.5294185&lt;/D&gt;&lt;D xsi:type="xsd:double"&gt;1.262188&lt;/D&gt;&lt;D xsi:type="xsd:double"&gt;-3.2577813&lt;/D&gt;&lt;D xsi:type="xsd:double"&gt;2.0204902&lt;/D&gt;&lt;D xsi:type="xsd:double"&gt;3.8748503&lt;/D&gt;&lt;D xsi:type="xsd:double"&gt;-4.2829514&lt;/D&gt;&lt;D xsi:type="xsd:double"&gt;1.2702107&lt;/D&gt;&lt;D xsi:type="xsd:double"&gt;-2.480054&lt;/D&gt;&lt;D xsi:type="xsd:double"&gt;0.8477092&lt;/D&gt;&lt;D xsi:type="xsd:double"&gt;-1.6811669&lt;/D&gt;&lt;D xsi:type="xsd:double"&gt;-0.48418045&lt;/D&gt;&lt;D xsi:type="xsd:double"&gt;3.3404112&lt;/D&gt;&lt;D xsi:type="xsd:double"&gt;1.1460423&lt;/D&gt;&lt;D xsi:type="xsd:double"&gt;-5.897731&lt;/D&gt;&lt;D xsi:type="xsd:double"&gt;3.0873775&lt;/D&gt;&lt;D xsi:type="xsd:double"&gt;-3.5639346&lt;/D&gt;&lt;D xsi:type="xsd:double"&gt;1.9565225&lt;/D&gt;&lt;D xsi:type="xsd:double"&gt;0.791955&lt;/D&gt;&lt;D xsi:type="xsd:double"&gt;4.079783&lt;/D&gt;&lt;D xsi:type="xsd:double"&gt;3.5423994&lt;/D&gt;&lt;D xsi:type="xsd:double"&gt;0.22435188&lt;/D&gt;&lt;D xsi:type="xsd:double"&gt;4.6726346&lt;/D&gt;&lt;D xsi:type="xsd:double"&gt;1.0456204&lt;/D&gt;&lt;D xsi:type="xsd:double"&gt;0.97192526&lt;/D&gt;&lt;D xsi:type="xsd:double"&gt;1.4973164&lt;/D&gt;&lt;D xsi:type="xsd:double"&gt;-1.4488935&lt;/D&gt;&lt;D xsi:type="xsd:double"&gt;3.2076955&lt;/D&gt;&lt;D xsi:type="xsd:double"&gt;1.4503956&lt;/D&gt;&lt;D xsi:type="xsd:double"&gt;3.1146288&lt;/D&gt;&lt;D xsi:type="xsd:double"&gt;3.9118648&lt;/D&gt;&lt;D xsi:type="xsd:double"&gt;-15.034551&lt;/D&gt;&lt;D xsi:type="xsd:double"&gt;1.7386436&lt;/D&gt;&lt;D xsi:type="xsd:double"&gt;3.031981&lt;/D&gt;&lt;D xsi:type="xsd:double"&gt;2.3274422&lt;/D&gt;&lt;D xsi:type="xsd:double"&gt;6.8335533&lt;/D&gt;&lt;D xsi:type="xsd:double"&gt;1.3678193&lt;/D&gt;&lt;D xsi:type="xsd:double"&gt;3.6555529&lt;/D&gt;&lt;D xsi:type="xsd:double"&gt;-0.023663044&lt;/D&gt;&lt;D xsi:type="xsd:double"&gt;0.75757504&lt;/D&gt;&lt;D xsi:type="xsd:double"&gt;2.2791266&lt;/D&gt;&lt;D xsi:type="xsd:double"&gt;3.9366722&lt;/D&gt;&lt;D xsi:type="xsd:double"&gt;0.3538251&lt;/D&gt;&lt;D xsi:type="xsd:double"&gt;-2.6002645&lt;/D&gt;&lt;D xsi:type="xsd:double"&gt;4.5701385&lt;/D&gt;&lt;D xsi:type="xsd:double"&gt;0.8005142&lt;/D&gt;&lt;D xsi:type="xsd:double"&gt;8.511686&lt;/D&gt;&lt;D xsi:type="xsd:double"&gt;-0.72522163&lt;/D&gt;&lt;D xsi:type="xsd:double"&gt;2.2524357&lt;/D&gt;&lt;D xsi:type="xsd:double"&gt;-1.9845188&lt;/D&gt;&lt;D xsi:type="xsd:double"&gt;-4.2113724&lt;/D&gt;&lt;D xsi:type="xsd:double"&gt;7.2711825&lt;/D&gt;&lt;D xsi:type="xsd:double"&gt;0.9655237&lt;/D&gt;&lt;D xsi:type="xsd:double"&gt;0.33177137&lt;/D&gt;&lt;D xsi:type="xsd:double"&gt;-5.3686023&lt;/D&gt;&lt;D xsi:type="xsd:double"&gt;-7.173693&lt;/D&gt;&lt;D xsi:type="xsd:double"&gt;10.540295&lt;/D&gt;&lt;D xsi:type="xsd:double"&gt;-13.541662&lt;/D&gt;&lt;D xsi:type="xsd:double"&gt;-2.759111&lt;/D&gt;&lt;D xsi:type="xsd:double"&gt;0.1701951&lt;/D&gt;&lt;D xsi:type="xsd:double"&gt;6.2864065&lt;/D&gt;&lt;D xsi:type="xsd:double"&gt;-4.841292&lt;/D&gt;&lt;D xsi:type="xsd:double"&gt;-11.231094&lt;/D&gt;&lt;D xsi:type="xsd:double"&gt;17.085695&lt;/D&gt;&lt;D xsi:type="xsd:double"&gt;-1.223743&lt;/D&gt;&lt;D xsi:type="xsd:double"&gt;3.5296917&lt;/D&gt;&lt;D xsi:type="xsd:double"&gt;0.09031296&lt;/D&gt;&lt;D xsi:type="xsd:double"&gt;-3.3386052&lt;/D&gt;&lt;D xsi:type="xsd:double"&gt;8.238041&lt;/D&gt;&lt;D xsi:type="xsd:double"&gt;4.3984413&lt;/D&gt;&lt;D xsi:type="xsd:double"&gt;-3.5620213&lt;/D&gt;&lt;D xsi:type="xsd:double"&gt;0.26276112&lt;/D&gt;&lt;D xsi:type="xsd:double"&gt;1.5505552&lt;/D&gt;&lt;D xsi:type="xsd:double"&gt;-2.5591373&lt;/D&gt;&lt;D xsi:type="xsd:double"&gt;-1.5007734&lt;/D&gt;&lt;D xsi:type="xsd:double"&gt;-3.495407&lt;/D&gt;&lt;D xsi:type="xsd:double"&gt;7.0582747&lt;/D&gt;&lt;D xsi:type="xsd:double"&gt;3.4265876&lt;/D&gt;&lt;D xsi:type="xsd:double"&gt;-2.746904&lt;/D&gt;&lt;D xsi:type="xsd:double"&gt;4.484689&lt;/D&gt;&lt;D xsi:type="xsd:double"&gt;-4.416013&lt;/D&gt;&lt;D xsi:type="xsd:double"&gt;3.4974098&lt;/D&gt;&lt;D xsi:type="xsd:double"&gt;3.2690644&lt;/D&gt;&lt;D xsi:type="xsd:double"&gt;1.670444&lt;/D&gt;&lt;/FQL&gt;&lt;FQL&gt;&lt;Q&gt;EWQ^FMA_PE(LTMA,-10AY,0,AM,"PORTAGG","MEANR")&lt;/Q&gt;&lt;R&gt;121&lt;/R&gt;&lt;C&gt;1&lt;/C&gt;&lt;D xsi:type="xsd:double"&gt;15.4514760346479&lt;/D&gt;&lt;D xsi:type="xsd:double"&gt;15.1330105158836&lt;/D&gt;&lt;D xsi:type="xsd:double"&gt;15.5159009265747&lt;/D&gt;&lt;D xsi:type="xsd:double"&gt;14.5261243865285&lt;/D&gt;&lt;D xsi:type="xsd:double"&gt;14.9742342718932&lt;/D&gt;&lt;D xsi:type="xsd:double"&gt;14.9872964885129&lt;/D&gt;&lt;D xsi:type="xsd:double"&gt;14.7245678776234&lt;/D&gt;&lt;D xsi:type="xsd:double"&gt;16.4329592574129&lt;/D&gt;&lt;D xsi:type="xsd:double"&gt;17.5418240954451&lt;/D&gt;&lt;D xsi:type="xsd:double"&gt;17.7251653235171&lt;/D&gt;&lt;D xsi:type="xsd:double"&gt;17.4498741259813&lt;/D&gt;&lt;D xsi:type="xsd:double"&gt;17.3187269773629&lt;/D&gt;&lt;D xsi:type="xsd:double"&gt;17.0925287416513&lt;/D&gt;&lt;D xsi:type="xsd:double"&gt;17.1244216746713&lt;/D&gt;&lt;D xsi:type="xsd:double"&gt;15.8479709675718&lt;/D&gt;&lt;D xsi:type="xsd:double"&gt;16.0780701715542&lt;/D&gt;&lt;D xsi:type="xsd:double"&gt;16.5108847763979&lt;/D&gt;&lt;D xsi:type="xsd:double"&gt;15.2843130643889&lt;/D&gt;&lt;D xsi:type="xsd:double"&gt;14.3891069867754&lt;/D&gt;&lt;D xsi:type="xsd:double"&gt;13.6404128596657&lt;/D&gt;&lt;D xsi:type="xsd:double"&gt;15.2184878228901&lt;/D&gt;&lt;D xsi:type="xsd:double"&gt;15.0776518722822&lt;/D&gt;&lt;D xsi:type="xsd:double"&gt;15.0629603303781&lt;/D&gt;&lt;D xsi:type="xsd:double"&gt;14.9770349644531&lt;/D&gt;&lt;D xsi:type="xsd:double"&gt;14.8191965720716&lt;/D&gt;&lt;D xsi:type="xsd:double"&gt;15.1077149950153&lt;/D&gt;&lt;D xsi:type="xsd:double"&gt;15.0337553651864&lt;/D&gt;&lt;D xsi:type="xsd:double"&gt;14.8985534941708&lt;/D&gt;&lt;D xsi:type="xsd:double"&gt;14.7815856200756&lt;/D&gt;&lt;D xsi:type="xsd:double"&gt;15.4907924628096&lt;/D&gt;&lt;D xsi:type="xsd:double"&gt;15.8582063995181&lt;/D&gt;&lt;D xsi:type="xsd:double"&gt;15.447801357946&lt;/D&gt;&lt;D xsi:type="xsd:double"&gt;15.6137152627227&lt;/D&gt;&lt;D xsi:type="xsd:double"&gt;15.6397135602209&lt;/D&gt;&lt;D xsi:type="xsd:double"&gt;15.8354416668715&lt;/D&gt;&lt;D xsi:type="xsd:double"&gt;15.7555517255321&lt;/D&gt;&lt;D xsi:type="xsd:double"&gt;15.5563081379224&lt;/D&gt;&lt;D xsi:type="xsd:double"&gt;15.3988447690825&lt;/D&gt;&lt;D xsi:type="xsd:double"&gt;15.653298168875&lt;/D&gt;&lt;D xsi:type="xsd:double"&gt;16.0638360008686&lt;/D&gt;&lt;D xsi:type="xsd:double"&gt;15.992135723025&lt;/D&gt;&lt;D xsi:type="xsd:double"&gt;16.1804111481899&lt;/D&gt;&lt;D xsi:type="xsd:double"&gt;16.4497768912918&lt;/D&gt;&lt;D xsi:type="xsd:double"&gt;15.3835866010904&lt;/D&gt;&lt;D xsi:type="xsd:double"&gt;15.5902164776156&lt;/D&gt;&lt;D xsi:type="xsd:double"&gt;15.5034994149709&lt;/D&gt;&lt;D xsi:type="xsd:double"&gt;15.612696251901&lt;/D&gt;&lt;D xsi:type="xsd:double"&gt;15.380133954723&lt;/D&gt;&lt;D xsi:type="xsd:double"&gt;15.2006382883166&lt;/D&gt;&lt;D xsi:type="xsd:double"&gt;15.0933105345294&lt;/D&gt;&lt;D xsi:type="xsd:double"&gt;14.7746452896738&lt;/D&gt;&lt;D xsi:type="xsd:double"&gt;14.2431302010058&lt;/D&gt;&lt;D xsi:type="xsd:double"&gt;14.1703250775406&lt;/D&gt;&lt;D xsi:type="xsd:double"&gt;13.2370960996699&lt;/D&gt;&lt;D xsi:type="xsd:double"&gt;13.1270548197616&lt;/D&gt;&lt;D xsi:type="xsd:double"&gt;13.8282054704152&lt;/D&gt;&lt;D xsi:type="xsd:double"&gt;14.5448016591283&lt;/D&gt;&lt;D xsi:type="xsd:double"&gt;14.6201328160308&lt;/D&gt;&lt;D xsi:type="xsd:double"&gt;14.4692526783722&lt;/D&gt;&lt;D xsi:type="xsd:double"&gt;14.5313092825145&lt;/D&gt;&lt;D xsi:type="xsd:double"&gt;14.7414402116193&lt;/D&gt;&lt;D xsi:type="xsd:double"&gt;14.5334875112124&lt;/D&gt;&lt;D xsi:type="xsd:double"&gt;15.0166746869521&lt;/D&gt;&lt;D xsi:type="xsd:double"&gt;15.2320561543404&lt;/D&gt;&lt;D xsi:type="xsd:double"&gt;15.9625644041545&lt;/D&gt;&lt;D xsi:type="xsd:double"&gt;16.0801337102422&lt;/D&gt;&lt;D xsi:type="xsd:double"&gt;16.6367851371861&lt;/D&gt;&lt;D xsi:type="xsd:double"&gt;16.5969582858718&lt;/D&gt;&lt;D xsi:type="xsd:double"&gt;14.3654199093308&lt;/D&gt;&lt;D xsi:type="xsd:double"&gt;14.9613602860389&lt;/D&gt;&lt;D xsi:type="xsd:double"&gt;16.1007185910554&lt;/D&gt;&lt;D xsi:type="xsd:double"&gt;17.576847777897&lt;/D&gt;&lt;D xsi:type="xsd:double"&gt;19.3073467669477&lt;/D&gt;&lt;D xsi:type="xsd:double"&gt;22.0696580900755&lt;/D&gt;&lt;D xsi:type="xsd:double"&gt;23.2316284984354&lt;/D&gt;&lt;D xsi:type="xsd:double"&gt;23.9538881522158&lt;/D&gt;&lt;D xsi:type="xsd:double"&gt;26.892903166228&lt;/D&gt;&lt;D xsi:type="xsd:double"&gt;27.8729524541519&lt;/D&gt;&lt;D xsi:type="xsd:double"&gt;29.084060916432&lt;/D&gt;&lt;D xsi:type="xsd:double"&gt;27.350826156&lt;/D&gt;&lt;D xsi:type="xsd:double"&gt;26.8528020232836&lt;/D&gt;&lt;D xsi:type="xsd:double"&gt;26.1105208042622&lt;/D&gt;&lt;D xsi:type="xsd:double"&gt;25.0181297548693&lt;/D&gt;&lt;D xsi:type="xsd:double"&gt;24.4091929199843&lt;/D&gt;&lt;D xsi:type="xsd:double"&gt;23.2889973445042&lt;/D&gt;&lt;D xsi:type="xsd:double"&gt;22.0170039017465&lt;/D&gt;&lt;D xsi:type="xsd:double"&gt;20.6916094933619&lt;/D&gt;&lt;D xsi:type="xsd:double"&gt;19.2115946304932&lt;/D&gt;&lt;D xsi:type="xsd:double"&gt;18.6704477871407&lt;/D&gt;&lt;D xsi:type="xsd:double"&gt;17.5094176622944&lt;/D&gt;&lt;D xsi:type="xsd:double"&gt;17.1511510954802&lt;/D&gt;&lt;D xsi:type="xsd:double"&gt;16.118428637424&lt;/D&gt;&lt;D xsi:type="xsd:double"&gt;15.2608608620444&lt;/D&gt;&lt;D xsi:type="xsd:double"&gt;15.0992720704271&lt;/D&gt;&lt;D xsi:type="xsd:double"&gt;14.4888399470337&lt;/D&gt;&lt;D xsi:type="xsd:double"&gt;14.0425128573098&lt;/D&gt;&lt;D xsi:type="xsd:double"&gt;13.3518028989883&lt;/D&gt;&lt;D xsi:type="xsd:double"&gt;13.2761452442878&lt;/D&gt;&lt;D xsi:type="xsd:double"&gt;12.5202092682736&lt;/D&gt;&lt;D xsi:type="xsd:double"&gt;11.4027747290861&lt;/D&gt;&lt;D xsi:type="xsd:double"&gt;12.2316324443377&lt;/D&gt;&lt;D xsi:type="xsd:double"&gt;12.0529455440459&lt;/D&gt;&lt;D xsi:type="xsd:double"&gt;12.3708389397991&lt;/D&gt;&lt;D xsi:type="xsd:double"&gt;12.6108939279409&lt;/D&gt;&lt;D xsi:type="xsd:double"&gt;12.9104216252215&lt;/D&gt;&lt;D xsi:type="xsd:double"&gt;13.0696098717517&lt;/D&gt;&lt;D xsi:type="xsd:double"&gt;13.1334212115893&lt;/D&gt;&lt;D xsi:type="xsd:double"&gt;13.090008223275&lt;/D&gt;&lt;D xsi:type="xsd:double"&gt;13.1542002656956&lt;/D&gt;&lt;D xsi:type="xsd:double"&gt;13.3331684608015&lt;/D&gt;&lt;D xsi:type="xsd:double"&gt;13.2430641051068&lt;/D&gt;&lt;D xsi:type="xsd:double"&gt;12.9831512286381&lt;/D&gt;&lt;D xsi:type="xsd:double"&gt;12.8845314804823&lt;/D&gt;&lt;D xsi:type="xsd:double"&gt;13.9161821772981&lt;/D&gt;&lt;D xsi:type="xsd:double"&gt;13.9103011684038&lt;/D&gt;&lt;D xsi:type="xsd:double"&gt;14.6913277729786&lt;/D&gt;&lt;D xsi:type="xsd:double"&gt;15.4921253748748&lt;/D&gt;&lt;D xsi:type="xsd:double"&gt;15.4202818783835&lt;/D&gt;&lt;D xsi:type="xsd:double"&gt;15.5339664753498&lt;/D&gt;&lt;D xsi:type="xsd:double"&gt;15.1663001223313&lt;/D&gt;&lt;D xsi:type="xsd:double"&gt;14.9385182173037&lt;/D&gt;&lt;/FQL&gt;&lt;FQL&gt;&lt;Q&gt;WL-FDS^FG_PRICE(0)/MAX(FG_PRICE(0,-1AY))&lt;/Q&gt;&lt;R&gt;1&lt;/R&gt;&lt;C&gt;1&lt;/C&gt;&lt;D xsi:type="xsd:double"&gt;0.724914854597852&lt;/D&gt;&lt;/FQL&gt;&lt;FQL&gt;&lt;Q&gt;CPALM-FDS^FG_PRICE_MAVG(0,,,,30)&lt;/Q&gt;&lt;R&gt;1&lt;/R&gt;&lt;C&gt;1&lt;/C&gt;&lt;D xsi:type="xsd:double"&gt;3984.4333&lt;/D&gt;&lt;/FQL&gt;&lt;FQL&gt;&lt;Q&gt;EWU^FG_COMPANY_NAME&lt;/Q&gt;&lt;R&gt;1&lt;/R&gt;&lt;C&gt;1&lt;/C&gt;&lt;D xsi:type="xsd:string"&gt;iShares MSCI United Kingdom ETF&lt;/D&gt;&lt;/FQL&gt;&lt;FQL&gt;&lt;Q&gt;EWQ^FMA_PCT_ABOVE_MAVG(200,0,,,,"PORTAGG")&lt;/Q&gt;&lt;R&gt;1&lt;/R&gt;&lt;C&gt;1&lt;/C&gt;&lt;D xsi:type="xsd:double"&gt;45.1612903225806&lt;/D&gt;&lt;/FQL&gt;&lt;FQL&gt;&lt;Q&gt;QQQ^FMA_PCT_ABOVE_MAVG(200,0,,,,"PORTAGG")&lt;/Q&gt;&lt;R&gt;1&lt;/R&gt;&lt;C&gt;1&lt;/C&gt;&lt;D xsi:type="xsd:double"&gt;62.7450980392157&lt;/D&gt;&lt;/FQL&gt;&lt;FQL&gt;&lt;Q&gt;EWG^PERCENT_CHANGE(FMA_EPS(+1,0,,,,"PORTAGG","MEAN"),FMA_EPS(+1,-1AM,,,,"PORTAGG","MEAN"))&lt;/Q&gt;&lt;R&gt;1&lt;/R&gt;&lt;C&gt;1&lt;/C&gt;&lt;D xsi:type="xsd:double"&gt;1.06676075215939&lt;/D&gt;&lt;/FQL&gt;&lt;FQL&gt;&lt;Q&gt;EWJ^FMA_COS_DOWN("EPS","1M",+1,0,,,"PORTAGG","MEANR")&lt;/Q&gt;&lt;R&gt;1&lt;/R&gt;&lt;C&gt;1&lt;/C&gt;&lt;D xsi:type="xsd:double"&gt;69&lt;/D&gt;&lt;/FQL&gt;&lt;FQL&gt;&lt;Q&gt;TRYBR10Y-FDS^FG_YIELD(-10AY,0,Y,,"YTM")&lt;/Q&gt;&lt;R&gt;10&lt;/R&gt;&lt;C&gt;1&lt;/C&gt;&lt;D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xsi:type="xsd:string"&gt;@NA&lt;/D&gt;&lt;/FQL&gt;&lt;FQL&gt;&lt;Q&gt;CC_AU^FG_COMPANY_NAME&lt;/Q&gt;&lt;R&gt;1&lt;/R&gt;&lt;C&gt;1&lt;/C&gt;&lt;D xsi:type="xsd:string"&gt;Australia&lt;/D&gt;&lt;/FQL&gt;&lt;FQL&gt;&lt;Q&gt;USDGBP^FG_COMPANY_NAME&lt;/Q&gt;&lt;R&gt;1&lt;/R&gt;&lt;C&gt;1&lt;/C&gt;&lt;D xsi:type="xsd:string"&gt;British Pounds per U.S. Dollar&lt;/D&gt;&lt;/FQL&gt;&lt;FQL&gt;&lt;Q&gt;USDAUD^FG_PRICE_CHANGE(0,-1AM)&lt;/Q&gt;&lt;R&gt;1&lt;/R&gt;&lt;C&gt;1&lt;/C&gt;&lt;D xsi:type="xsd:double"&gt;-2.7642667&lt;/D&gt;&lt;/FQL&gt;&lt;FQL&gt;&lt;Q&gt;ENZL^P_PRICE_RETURNS_PR('52W',2,-10AY,0,AM)&lt;/Q&gt;&lt;R&gt;121&lt;/R&gt;&lt;C&gt;1&lt;/C&gt;&lt;D xsi:type="xsd:double"&gt;25.300968&lt;/D&gt;&lt;D xsi:type="xsd:double"&gt;17.058409&lt;/D&gt;&lt;D xsi:type="xsd:double"&gt;15.349663&lt;/D&gt;&lt;D xsi:type="xsd:double"&gt;2.547872&lt;/D&gt;&lt;D xsi:type="xsd:double"&gt;6.076777&lt;/D&gt;&lt;D xsi:type="xsd:double"&gt;12.242329&lt;/D&gt;&lt;D xsi:type="xsd:double"&gt;10.722601&lt;/D&gt;&lt;D xsi:type="xsd:double"&gt;7.0911765&lt;/D&gt;&lt;D xsi:type="xsd:double"&gt;-1.1847258&lt;/D&gt;&lt;D xsi:type="xsd:double"&gt;0.3360629&lt;/D&gt;&lt;D xsi:type="xsd:double"&gt;-3.7117898&lt;/D&gt;&lt;D xsi:type="xsd:double"&gt;-5.841744&lt;/D&gt;&lt;D xsi:type="xsd:double"&gt;-13.872492&lt;/D&gt;&lt;D xsi:type="xsd:double"&gt;-10.203433&lt;/D&gt;&lt;D xsi:type="xsd:double"&gt;-16.481596&lt;/D&gt;&lt;D xsi:type="xsd:double"&gt;-7.4837565&lt;/D&gt;&lt;D xsi:type="xsd:double"&gt;-8.42886&lt;/D&gt;&lt;D xsi:type="xsd:double"&gt;-5.984229&lt;/D&gt;&lt;D xsi:type="xsd:double"&gt;-9.317965&lt;/D&gt;&lt;D xsi:type="xsd:double"&gt;-7.302785&lt;/D&gt;&lt;D xsi:type="xsd:double"&gt;4.0916443&lt;/D&gt;&lt;D xsi:type="xsd:double"&gt;4.617095&lt;/D&gt;&lt;D xsi:type="xsd:double"&gt;11.699152&lt;/D&gt;&lt;D xsi:type="xsd:double"&gt;16.518938&lt;/D&gt;&lt;D xsi:type="xsd:double"&gt;33.803986&lt;/D&gt;&lt;D xsi:type="xsd:double"&gt;41.82111&lt;/D&gt;&lt;D xsi:type="xsd:double"&gt;53.034653&lt;/D&gt;&lt;D xsi:type="xsd:double"&gt;32.81857&lt;/D&gt;&lt;D xsi:type="xsd:double"&gt;20.130657&lt;/D&gt;&lt;D xsi:type="xsd:double"&gt;20.644928&lt;/D&gt;&lt;D xsi:type="xsd:double"&gt;24.906254&lt;/D&gt;&lt;D xsi:type="xsd:double"&gt;28.007317&lt;/D&gt;&lt;D xsi:type="xsd:double"&gt;14.201117&lt;/D&gt;&lt;D xsi:type="xsd:double"&gt;8.664953&lt;/D&gt;&lt;D xsi:type="xsd:double"&gt;8.968914&lt;/D&gt;&lt;D xsi:type="xsd:double"&gt;7.805431&lt;/D&gt;&lt;D xsi:type="xsd:double"&gt;7.3199987&lt;/D&gt;&lt;D xsi:type="xsd:double"&gt;5.658245&lt;/D&gt;&lt;D xsi:type="xsd:double"&gt;4.391265&lt;/D&gt;&lt;D xsi:type="xsd:double"&gt;13.387108&lt;/D&gt;&lt;D xsi:type="xsd:double"&gt;13.542867&lt;/D&gt;&lt;D xsi:type="xsd:double"&gt;15.320468&lt;/D&gt;&lt;D xsi:type="xsd:double"&gt;19.137383&lt;/D&gt;&lt;D xsi:type="xsd:double"&gt;12.236047&lt;/D&gt;&lt;D xsi:type="xsd:double"&gt;25.490284&lt;/D&gt;&lt;D xsi:type="xsd:double"&gt;23.643816&lt;/D&gt;&lt;D xsi:type="xsd:double"&gt;16.628874&lt;/D&gt;&lt;D xsi:type="xsd:double"&gt;16.583992&lt;/D&gt;&lt;D xsi:type="xsd:double"&gt;10.061466&lt;/D&gt;&lt;D xsi:type="xsd:double"&gt;4.527855&lt;/D&gt;&lt;D xsi:type="xsd:double"&gt;4.778564&lt;/D&gt;&lt;D xsi:type="xsd:double"&gt;-0.92815757&lt;/D&gt;&lt;D xsi:type="xsd:double"&gt;8.789754&lt;/D&gt;&lt;D xsi:type="xsd:double"&gt;5.837798&lt;/D&gt;&lt;D xsi:type="xsd:double"&gt;3.4255147&lt;/D&gt;&lt;D xsi:type="xsd:double"&gt;7.9009414&lt;/D&gt;&lt;D xsi:type="xsd:double"&gt;4.7439814&lt;/D&gt;&lt;D xsi:type="xsd:double"&gt;5.800104&lt;/D&gt;&lt;D xsi:type="xsd:double"&gt;11.012769&lt;/D&gt;&lt;D xsi:type="xsd:double"&gt;5.043137&lt;/D&gt;&lt;D xsi:type="xsd:double"&gt;16.030956&lt;/D&gt;&lt;D xsi:type="xsd:double"&gt;18.065548&lt;/D&gt;&lt;D xsi:type="xsd:double"&gt;16.723263&lt;/D&gt;&lt;D xsi:type="xsd:double"&gt;21.851086&lt;/D&gt;&lt;D xsi:type="xsd:double"&gt;15.259563&lt;/D&gt;&lt;D xsi:type="xsd:double"&gt;23.37563&lt;/D&gt;&lt;D xsi:type="xsd:double"&gt;25.2195&lt;/D&gt;&lt;D xsi:type="xsd:double"&gt;20.862103&lt;/D&gt;&lt;D xsi:type="xsd:double"&gt;5.411029&lt;/D&gt;&lt;D xsi:type="xsd:double"&gt;-5.511469&lt;/D&gt;&lt;D xsi:type="xsd:double"&gt;-0.83503723&lt;/D&gt;&lt;D xsi:type="xsd:double"&gt;5.9719086&lt;/D&gt;&lt;D xsi:type="xsd:double"&gt;8.900285&lt;/D&gt;&lt;D xsi:type="xsd:double"&gt;11.406958&lt;/D&gt;&lt;D xsi:type="xsd:double"&gt;11.142933&lt;/D&gt;&lt;D xsi:type="xsd:double"&gt;20.517624&lt;/D&gt;&lt;D xsi:type="xsd:double"&gt;26.618172&lt;/D&gt;&lt;D xsi:type="xsd:double"&gt;22.654093&lt;/D&gt;&lt;D xsi:type="xsd:double"&gt;21.711123&lt;/D&gt;&lt;D xsi:type="xsd:double"&gt;19.059776&lt;/D&gt;&lt;D xsi:type="xsd:double"&gt;26.797152&lt;/D&gt;&lt;D xsi:type="xsd:double"&gt;38.204967&lt;/D&gt;&lt;D xsi:type="xsd:double"&gt;31.661642&lt;/D&gt;&lt;D xsi:type="xsd:double"&gt;21.244324&lt;/D&gt;&lt;D xsi:type="xsd:double"&gt;10.75486&lt;/D&gt;&lt;D xsi:type="xsd:double"&gt;8.526659&lt;/D&gt;&lt;D xsi:type="xsd:double"&gt;10.965765&lt;/D&gt;&lt;D xsi:type="xsd:double"&gt;2.2033572&lt;/D&gt;&lt;D xsi:type="xsd:double"&gt;-2.8266966&lt;/D&gt;&lt;D xsi:type="xsd:double"&gt;-10.822701&lt;/D&gt;&lt;D xsi:type="xsd:double"&gt;-13.511526&lt;/D&gt;&lt;D xsi:type="xsd:double"&gt;-17.338526&lt;/D&gt;&lt;D xsi:type="xsd:double"&gt;-13.08403&lt;/D&gt;&lt;D xsi:type="xsd:double"&gt;-12.960106&lt;/D&gt;&lt;D xsi:type="xsd:double"&gt;-25.857342&lt;/D&gt;&lt;D xsi:type="xsd:double"&gt;-24.37467&lt;/D&gt;&lt;D xsi:type="xsd:double"&gt;-26.098484&lt;/D&gt;&lt;D xsi:type="xsd:double"&gt;-17.142273&lt;/D&gt;&lt;D xsi:type="xsd:double"&gt;-22.73389&lt;/D&gt;&lt;D xsi:type="xsd:double"&gt;-32.247997&lt;/D&gt;&lt;D xsi:type="xsd:double"&gt;-24.119658&lt;/D&gt;&lt;D xsi:type="xsd:double"&gt;-13.236737&lt;/D&gt;&lt;D xsi:type="xsd:double"&gt;-12.364185&lt;/D&gt;&lt;D xsi:type="xsd:double"&gt;-4.388708&lt;/D&gt;&lt;D xsi:type="xsd:double"&gt;-11.30147&lt;/D&gt;&lt;D xsi:type="xsd:double"&gt;-5.922973&lt;/D&gt;&lt;D xsi:type="xsd:double"&gt;10.498512&lt;/D&gt;&lt;D xsi:type="xsd:double"&gt;3.7522197&lt;/D&gt;&lt;D xsi:type="xsd:double"&gt;11.5965605&lt;/D&gt;&lt;D xsi:type="xsd:double"&gt;-3.9346159&lt;/D&gt;&lt;D xsi:type="xsd:double"&gt;-5.7162046&lt;/D&gt;&lt;D xsi:type="xsd:double"&gt;12.7841835&lt;/D&gt;&lt;D xsi:type="xsd:double"&gt;-1.287657&lt;/D&gt;&lt;D xsi:type="xsd:double"&gt;-4.629821&lt;/D&gt;&lt;D xsi:type="xsd:double"&gt;-0.93510747&lt;/D&gt;&lt;D xsi:type="xsd:double"&gt;-6.625718&lt;/D&gt;&lt;D xsi:type="xsd:double"&gt;-0.81038475&lt;/D&gt;&lt;D xsi:type="xsd:double"&gt;-5.731559&lt;/D&gt;&lt;D xsi:type="xsd:double"&gt;-8.657843&lt;/D&gt;&lt;D xsi:type="xsd:double"&gt;-1.6691625&lt;/D&gt;&lt;D xsi:type="xsd:double"&gt;-3.0320525&lt;/D&gt;&lt;/FQL&gt;&lt;FQL&gt;&lt;Q&gt;SPY^FMA_DIV_YLD(NTMA,-10AY,0,AM,"PORTAGG","MEANR")&lt;/Q&gt;&lt;R&gt;121&lt;/R&gt;&lt;C&gt;1&lt;/C&gt;&lt;D xsi:type="xsd:double"&gt;2.09999318935238&lt;/D&gt;&lt;D xsi:type="xsd:double"&gt;2.14905674284075&lt;/D&gt;&lt;D xsi:type="xsd:double"&gt;2.09601848491903&lt;/D&gt;&lt;D xsi:type="xsd:double"&gt;2.21104821185827&lt;/D&gt;&lt;D xsi:type="xsd:double"&gt;2.08943500819661&lt;/D&gt;&lt;D xsi:type="xsd:double"&gt;2.11450657020264&lt;/D&gt;&lt;D xsi:type="xsd:double"&gt;2.12001625623554&lt;/D&gt;&lt;D xsi:type="xsd:double"&gt;2.13107715552629&lt;/D&gt;&lt;D xsi:type="xsd:double"&gt;2.20428114645751&lt;/D&gt;&lt;D xsi:type="xsd:double"&gt;2.14719230192098&lt;/D&gt;&lt;D xsi:type="xsd:double"&gt;2.15710987745838&lt;/D&gt;&lt;D xsi:type="xsd:double"&gt;2.16264997671443&lt;/D&gt;&lt;D xsi:type="xsd:double"&gt;2.19483531868702&lt;/D&gt;&lt;D xsi:type="xsd:double"&gt;2.21782471067056&lt;/D&gt;&lt;D xsi:type="xsd:double"&gt;2.3678583434001&lt;/D&gt;&lt;D xsi:type="xsd:double"&gt;2.30970880384733&lt;/D&gt;&lt;D xsi:type="xsd:double"&gt;2.27434156761827&lt;/D&gt;&lt;D xsi:type="xsd:double"&gt;2.34103294675335&lt;/D&gt;&lt;D xsi:type="xsd:double"&gt;2.46484935821878&lt;/D&gt;&lt;D xsi:type="xsd:double"&gt;2.45182025901469&lt;/D&gt;&lt;D xsi:type="xsd:double"&gt;2.47519773454617&lt;/D&gt;&lt;D xsi:type="xsd:double"&gt;2.29179874134034&lt;/D&gt;&lt;D xsi:type="xsd:double"&gt;2.29270141173246&lt;/D&gt;&lt;D xsi:type="xsd:double"&gt;2.27710953304458&lt;/D&gt;&lt;D xsi:type="xsd:double"&gt;2.24414840435916&lt;/D&gt;&lt;D xsi:type="xsd:double"&gt;2.20100067632346&lt;/D&gt;&lt;D xsi:type="xsd:double"&gt;2.26317548959492&lt;/D&gt;&lt;D xsi:type="xsd:double"&gt;2.25490875326439&lt;/D&gt;&lt;D xsi:type="xsd:double"&gt;2.23891481056996&lt;/D&gt;&lt;D xsi:type="xsd:double"&gt;2.16289050591605&lt;/D&gt;&lt;D xsi:type="xsd:double"&gt;2.15944661425271&lt;/D&gt;&lt;D xsi:type="xsd:double"&gt;2.14117898857405&lt;/D&gt;&lt;D xsi:type="xsd:double"&gt;2.10103240225839&lt;/D&gt;&lt;D xsi:type="xsd:double"&gt;2.1270782557172&lt;/D&gt;&lt;D xsi:type="xsd:double"&gt;2.10601337622223&lt;/D&gt;&lt;D xsi:type="xsd:double"&gt;2.08510706554299&lt;/D&gt;&lt;D xsi:type="xsd:double"&gt;2.1164381560793&lt;/D&gt;&lt;D xsi:type="xsd:double"&gt;2.11521825969821&lt;/D&gt;&lt;D xsi:type="xsd:double"&gt;2.08499289871638&lt;/D&gt;&lt;D xsi:type="xsd:double"&gt;2.03621042040131&lt;/D&gt;&lt;D xsi:type="xsd:double"&gt;2.03271670486126&lt;/D&gt;&lt;D xsi:type="xsd:double"&gt;1.96681663098966&lt;/D&gt;&lt;D xsi:type="xsd:double"&gt;1.90167278905507&lt;/D&gt;&lt;D xsi:type="xsd:double"&gt;2.0390592771745&lt;/D&gt;&lt;D xsi:type="xsd:double"&gt;1.94003063748878&lt;/D&gt;&lt;D xsi:type="xsd:double"&gt;2.0650293118626&lt;/D&gt;&lt;D xsi:type="xsd:double"&gt;2.02027602670771&lt;/D&gt;&lt;D xsi:type="xsd:double"&gt;1.99166721083648&lt;/D&gt;&lt;D xsi:type="xsd:double"&gt;2.02136875391547&lt;/D&gt;&lt;D xsi:type="xsd:double"&gt;1.99644665563204&lt;/D&gt;&lt;D xsi:type="xsd:double"&gt;1.96927984988813&lt;/D&gt;&lt;D xsi:type="xsd:double"&gt;2.09642588240479&lt;/D&gt;&lt;D xsi:type="xsd:double"&gt;2.06010003386089&lt;/D&gt;&lt;D xsi:type="xsd:double"&gt;2.19258008146937&lt;/D&gt;&lt;D xsi:type="xsd:double"&gt;2.24375147571903&lt;/D&gt;&lt;D xsi:type="xsd:double"&gt;2.16493448629511&lt;/D&gt;&lt;D xsi:type="xsd:double"&gt;2.11355914333017&lt;/D&gt;&lt;D xsi:type="xsd:double"&gt;2.05472550576892&lt;/D&gt;&lt;D xsi:type="xsd:double"&gt;2.07114797213146&lt;/D&gt;&lt;D xsi:type="xsd:double"&gt;2.08281171046689&lt;/D&gt;&lt;D xsi:type="xsd:double"&gt;2.0151572024183&lt;/D&gt;&lt;D xsi:type="xsd:double"&gt;2.07891802957743&lt;/D&gt;&lt;D xsi:type="xsd:double"&gt;2.03310654963695&lt;/D&gt;&lt;D xsi:type="xsd:double"&gt;2.06478356507707&lt;/D&gt;&lt;D xsi:type="xsd:double"&gt;2.00015416336966&lt;/D&gt;&lt;D xsi:type="xsd:double"&gt;1.97695789429458&lt;/D&gt;&lt;D xsi:type="xsd:double"&gt;1.91795070874364&lt;/D&gt;&lt;D xsi:type="xsd:double"&gt;1.88075246456321&lt;/D&gt;&lt;D xsi:type="xsd:double"&gt;2.31596904529259&lt;/D&gt;&lt;D xsi:type="xsd:double"&gt;2.22380561817403&lt;/D&gt;&lt;D xsi:type="xsd:double"&gt;2.07488237845477&lt;/D&gt;&lt;D xsi:type="xsd:double"&gt;2.0082263028771&lt;/D&gt;&lt;D xsi:type="xsd:double"&gt;1.87128165782682&lt;/D&gt;&lt;D xsi:type="xsd:double"&gt;1.78650246446137&lt;/D&gt;&lt;D xsi:type="xsd:double"&gt;1.78685498464786&lt;/D&gt;&lt;D xsi:type="xsd:double"&gt;1.71950350625448&lt;/D&gt;&lt;D xsi:type="xsd:double"&gt;1.67847503796471&lt;/D&gt;&lt;D xsi:type="xsd:double"&gt;1.64069499282446&lt;/D&gt;&lt;D xsi:type="xsd:double"&gt;1.56314374883546&lt;/D&gt;&lt;D xsi:type="xsd:double"&gt;1.53320286792983&lt;/D&gt;&lt;D xsi:type="xsd:double"&gt;1.53275980497377&lt;/D&gt;&lt;D xsi:type="xsd:double"&gt;1.46924649657914&lt;/D&gt;&lt;D xsi:type="xsd:double"&gt;1.47153868994657&lt;/D&gt;&lt;D xsi:type="xsd:double"&gt;1.45106590793512&lt;/D&gt;&lt;D xsi:type="xsd:double"&gt;1.42719594966352&lt;/D&gt;</t>
        </r>
      </text>
    </comment>
    <comment ref="A5" authorId="0" shapeId="0" xr:uid="{819D2489-85B7-4457-B2DB-4561DA092CE8}">
      <text>
        <r>
          <rPr>
            <b/>
            <sz val="9"/>
            <color indexed="81"/>
            <rFont val="Tahoma"/>
            <charset val="1"/>
          </rPr>
          <t>&lt;D xsi:type="xsd:double"&gt;1.41647135040795&lt;/D&gt;&lt;D xsi:type="xsd:double"&gt;1.422671138082&lt;/D&gt;&lt;D xsi:type="xsd:double"&gt;1.46223204238077&lt;/D&gt;&lt;D xsi:type="xsd:double"&gt;1.38194585672334&lt;/D&gt;&lt;D xsi:type="xsd:double"&gt;1.37014220761781&lt;/D&gt;&lt;D xsi:type="xsd:double"&gt;1.37293626545056&lt;/D&gt;&lt;D xsi:type="xsd:double"&gt;1.48784281195475&lt;/D&gt;&lt;D xsi:type="xsd:double"&gt;1.57145630337307&lt;/D&gt;&lt;D xsi:type="xsd:double"&gt;1.49164053188785&lt;/D&gt;&lt;D xsi:type="xsd:double"&gt;1.68332743639582&lt;/D&gt;&lt;D xsi:type="xsd:double"&gt;1.71228908135129&lt;/D&gt;&lt;D xsi:type="xsd:double"&gt;1.74469670943013&lt;/D&gt;&lt;D xsi:type="xsd:double"&gt;1.61357369053099&lt;/D&gt;&lt;D xsi:type="xsd:double"&gt;1.6823462898788&lt;/D&gt;&lt;D xsi:type="xsd:double"&gt;1.9110469984611&lt;/D&gt;&lt;D xsi:type="xsd:double"&gt;1.73184263159918&lt;/D&gt;&lt;D xsi:type="xsd:double"&gt;1.76277422655773&lt;/D&gt;&lt;D xsi:type="xsd:double"&gt;1.75226886898702&lt;/D&gt;&lt;D xsi:type="xsd:double"&gt;1.71166532383398&lt;/D&gt;&lt;D xsi:type="xsd:double"&gt;1.82223430333338&lt;/D&gt;&lt;D xsi:type="xsd:double"&gt;1.71757716220119&lt;/D&gt;&lt;D xsi:type="xsd:double"&gt;1.70757404274704&lt;/D&gt;&lt;D xsi:type="xsd:double"&gt;1.65136604057453&lt;/D&gt;&lt;D xsi:type="xsd:double"&gt;1.6024145477779&lt;/D&gt;&lt;D xsi:type="xsd:double"&gt;1.60613834910376&lt;/D&gt;&lt;D xsi:type="xsd:double"&gt;1.60442494241816&lt;/D&gt;&lt;D xsi:type="xsd:double"&gt;1.6574594267913&lt;/D&gt;&lt;D xsi:type="xsd:double"&gt;1.64750706394445&lt;/D&gt;&lt;D xsi:type="xsd:double"&gt;1.58174802504476&lt;/D&gt;&lt;D xsi:type="xsd:double"&gt;1.54267407844812&lt;/D&gt;&lt;D xsi:type="xsd:double"&gt;1.48801651613724&lt;/D&gt;&lt;D xsi:type="xsd:double"&gt;1.46836403008087&lt;/D&gt;&lt;D xsi:type="xsd:double"&gt;1.44884160151729&lt;/D&gt;&lt;D xsi:type="xsd:double"&gt;1.4625945016768&lt;/D&gt;&lt;D xsi:type="xsd:double"&gt;1.4307895868396&lt;/D&gt;&lt;D xsi:type="xsd:double"&gt;1.36769619421884&lt;/D&gt;&lt;/FQL&gt;&lt;FQL&gt;&lt;Q&gt;ENZL^JULIAN(FMA_DIV_YLD(LTMA,-10AY,0,AM,"PORTAGG","MEANR").DATES)&lt;/Q&gt;&lt;R&gt;121&lt;/R&gt;&lt;C&gt;1&lt;/C&gt;&lt;D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xsi:type="xsd:long"&gt;45393&lt;/D&gt;&lt;D xsi:type="xsd:long"&gt;45422&lt;/D&gt;&lt;D xsi:type="xsd:long"&gt;45454&lt;/D&gt;&lt;D xsi:type="xsd:long"&gt;45483&lt;/D&gt;&lt;/FQL&gt;&lt;FQL&gt;&lt;Q&gt;PLATI-FDS^FG_PRICE_CHANGE(0,-1AM)&lt;/Q&gt;&lt;R&gt;1&lt;/R&gt;&lt;C&gt;1&lt;/C&gt;&lt;D xsi:type="xsd:double"&gt;4.87551867219918&lt;/D&gt;&lt;/FQL&gt;&lt;FQL&gt;&lt;Q&gt;BRENT-FDS^FG_PRICE(0)/MAX(FG_PRICE(0,-1AY))&lt;/Q&gt;&lt;R&gt;1&lt;/R&gt;&lt;C&gt;1&lt;/C&gt;&lt;D xsi:type="xsd:double"&gt;0.870614479821537&lt;/D&gt;&lt;/FQL&gt;&lt;FQL&gt;&lt;Q&gt;FC0000JP^FG_PRICE(0)&lt;/Q&gt;&lt;R&gt;1&lt;/R&gt;&lt;C&gt;1&lt;/C&gt;&lt;D xsi:type="xsd:double"&gt;180.66441&lt;/D&gt;&lt;/FQL&gt;&lt;FQL&gt;&lt;Q&gt;FXI^FMA_PCT_ABOVE_MAVG(200,0,,,,"PORTAGG")&lt;/Q&gt;&lt;R&gt;1&lt;/R&gt;&lt;C&gt;1&lt;/C&gt;&lt;D xsi:type="xsd:double"&gt;54.9019607843137&lt;/D&gt;&lt;/FQL&gt;&lt;FQL&gt;&lt;Q&gt;EWJ^FMA_PCT_ABOVE_MAVG(200,0,,,,"PORTAGG")&lt;/Q&gt;&lt;R&gt;1&lt;/R&gt;&lt;C&gt;1&lt;/C&gt;&lt;D xsi:type="xsd:double"&gt;68.6274509803922&lt;/D&gt;&lt;/FQL&gt;&lt;FQL&gt;&lt;Q&gt;QQQ^FG_TOTAL_RETURNC(0,-12AM)&lt;/Q&gt;&lt;R&gt;1&lt;/R&gt;&lt;C&gt;1&lt;/C&gt;&lt;D xsi:type="xsd:double"&gt;34.535587&lt;/D&gt;&lt;/FQL&gt;&lt;FQL&gt;&lt;Q&gt;ENZL^PERCENT_CHANGE(FMA_EPS(+1,0,,,,"PORTAGG","MEAN"),FMA_EPS(+1,-1AM,,,,"PORTAGG","MEAN"))&lt;/Q&gt;&lt;R&gt;1&lt;/R&gt;&lt;C&gt;1&lt;/C&gt;&lt;D xsi:type="xsd:double"&gt;-1.09898686154869&lt;/D&gt;&lt;/FQL&gt;&lt;FQL&gt;&lt;Q&gt;VGK^FMA_COS_DOWN("EPS","1M",+1,0,,,"PORTAGG","MEANR")&lt;/Q&gt;&lt;R&gt;1&lt;/R&gt;&lt;C&gt;1&lt;/C&gt;&lt;D xsi:type="xsd:double"&gt;437&lt;/D&gt;&lt;/FQL&gt;&lt;FQL&gt;&lt;Q&gt;EWA^SIZE(FG_CONSTITUENTS)&lt;/Q&gt;&lt;R&gt;1&lt;/R&gt;&lt;C&gt;1&lt;/C&gt;&lt;D xsi:type="xsd:long"&gt;59&lt;/D&gt;&lt;/FQL&gt;&lt;FQL&gt;&lt;Q&gt;SPY^FG_ROE(0)&lt;/Q&gt;&lt;R&gt;1&lt;/R&gt;&lt;C&gt;1&lt;/C&gt;&lt;D xsi:type="xsd:double"&gt;18.5513162949416&lt;/D&gt;&lt;/FQL&gt;&lt;FQL&gt;&lt;Q&gt;REFEUREFI-FDS^(SUBARRAY(NOT_NA(NO_REPEAT_F(FG_YIELD(NOW,-10AY,D))),0,1)-SUBARRAY(NOT_NA(NO_REPEAT_F(FG_YIELD(NOW,-10AY,D))),1,1))*100&lt;/Q&gt;&lt;R&gt;1&lt;/R&gt;&lt;C&gt;1&lt;/C&gt;&lt;D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xsi:type="xsd:double"&gt;-25&lt;/D&gt;&lt;/FQL&gt;&lt;FQL&gt;&lt;Q&gt;REFAUCASH-FDS^PROPER_NAME(0,,,"SECURITY","NAME")&lt;/Q&gt;&lt;R&gt;1&lt;/R&gt;&lt;C&gt;1&lt;/C&gt;&lt;D xsi:type="xsd:string"&gt;Australia Target Cash Rate&lt;/D&gt;&lt;/FQL&gt;&lt;FQL&gt;&lt;Q&gt;TRYCA10Y-FDS^FG_YIELD_NAME&lt;/Q&gt;&lt;R&gt;1&lt;/R&gt;&lt;C&gt;1&lt;/C&gt;&lt;D xsi:type="xsd:string"&gt;Canada Benchmark Bond - 10 Year&lt;/D&gt;&lt;/FQL&gt;&lt;FQL&gt;&lt;Q&gt;EWI^FMA_DIV_YLD(NTMA,NOW,NOW,M,"PORTAGG","MEANR")&lt;/Q&gt;&lt;R&gt;1&lt;/R&gt;&lt;C&gt;1&lt;/C&gt;&lt;D xsi:type="xsd:double"&gt;5.49637883079903&lt;/D&gt;&lt;/FQL&gt;&lt;FQL&gt;&lt;Q&gt;QQQ^FMA_PE(NTMA,0,,,"PORTAGG","MEANR")&lt;/Q&gt;&lt;R&gt;1&lt;/R&gt;&lt;C&gt;1&lt;/C&gt;&lt;D xsi:type="xsd:double"&gt;27.5012873473499&lt;/D&gt;&lt;/FQL&gt;&lt;FQL&gt;&lt;Q&gt;EWC^FMA_PE(NTMA,0,,,"PORTAGG","MEANR")&lt;/Q&gt;&lt;R&gt;1&lt;/R&gt;&lt;C&gt;1&lt;/C&gt;&lt;D xsi:type="xsd:double"&gt;14.1869990153247&lt;/D&gt;&lt;/FQL&gt;&lt;FQL&gt;&lt;Q&gt;DBA^FG_TOTAL_RETURNC(0,-3AM)&lt;/Q&gt;&lt;R&gt;1&lt;/R&gt;&lt;C&gt;1&lt;/C&gt;&lt;D xsi:type="xsd:double"&gt;-2.8174639&lt;/D&gt;&lt;/FQL&gt;&lt;FQL&gt;&lt;Q&gt;CAGDPY@CH^EE_ACTUAL_ANNUAL(MED,+1)&lt;/Q&gt;&lt;R&gt;1&lt;/R&gt;&lt;C&gt;1&lt;/C&gt;&lt;D xsi:type="xsd:double"&gt;8&lt;/D&gt;&lt;/FQL&gt;&lt;FQL&gt;&lt;Q&gt;USDANG^STD(FG_PRICE_CHANGE(0,-1AY,AM))&lt;/Q&gt;&lt;R&gt;1&lt;/R&gt;&lt;C&gt;1&lt;/C&gt;&lt;D xsi:type="xsd:double"&gt;0&lt;/D&gt;&lt;/FQL&gt;&lt;FQL&gt;&lt;Q&gt;USDEUR^FG_PRICE_CHANGE(0,-6AM)&lt;/Q&gt;&lt;R&gt;1&lt;/R&gt;&lt;C&gt;1&lt;/C&gt;&lt;D xsi:type="xsd:double"&gt;0.6204605&lt;/D&gt;&lt;/FQL&gt;&lt;FQL&gt;&lt;Q&gt;EWJ^FMA_EPS(NTMA,-20AY,0,CY,,"PORTAGG","MEANR")&lt;/Q&gt;&lt;R&gt;20&lt;/R&gt;&lt;C&gt;1&lt;/C&gt;&lt;D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xsi:type="xsd:double"&gt;3.67789544317285&lt;/D&gt;&lt;D xsi:type="xsd:double"&gt;4.61613854439477&lt;/D&gt;&lt;D xsi:type="xsd:double"&gt;4.46089540048153&lt;/D&gt;&lt;D xsi:type="xsd:double"&gt;4.56673185665912&lt;/D&gt;&lt;/FQL&gt;&lt;FQL&gt;&lt;Q&gt;EWG^FMA_PE(NTMA,-10AY,0,AM,"PORTAGG","MEANR")&lt;/Q&gt;&lt;R&gt;121&lt;/R&gt;&lt;C&gt;1&lt;/C&gt;&lt;D xsi:type="xsd:double"&gt;12.842789239977&lt;/D&gt;&lt;D xsi:type="xsd:double"&gt;12.2608350206265&lt;/D&gt;&lt;D xsi:type="xsd:double"&gt;12.8097101702167&lt;/D&gt;&lt;D xsi:type="xsd:double"&gt;11.6096709554332&lt;/D&gt;&lt;D xsi:type="xsd:double"&gt;12.3510125423259&lt;/D&gt;&lt;D xsi:type="xsd:double"&gt;12.949184231844&lt;/D&gt;&lt;D xsi:type="xsd:double"&gt;12.6855910791261&lt;/D&gt;&lt;D xsi:type="xsd:double"&gt;14.0071864268729&lt;/D&gt;&lt;D xsi:type="xsd:double"&gt;15.3035799927152&lt;/D&gt;&lt;D xsi:type="xsd:double"&gt;15.90603691566&lt;/D&gt;&lt;D xsi:type="xsd:double"&gt;14.5938137322233&lt;/D&gt;&lt;D xsi:type="xsd:double"&gt;13.9054443079359&lt;/D&gt;&lt;D xsi:type="xsd:double"&gt;13.7483321944471&lt;/D&gt;&lt;D xsi:type="xsd:double"&gt;13.6326400157879&lt;/D&gt;&lt;D xsi:type="xsd:double"&gt;12.2720804956214&lt;/D&gt;&lt;D xsi:type="xsd:double"&gt;12.4114362948476&lt;/D&gt;&lt;D xsi:type="xsd:double"&gt;13.5167808945896&lt;/D&gt;&lt;D xsi:type="xsd:double"&gt;12.9023751221756&lt;/D&gt;&lt;D xsi:type="xsd:double"&gt;12.1618266601024&lt;/D&gt;&lt;D xsi:type="xsd:double"&gt;11.100026615974&lt;/D&gt;&lt;D xsi:type="xsd:double"&gt;12.5412986546212&lt;/D&gt;&lt;D xsi:type="xsd:double"&gt;12.3505982643843&lt;/D&gt;&lt;D xsi:type="xsd:double"&gt;12.5265451761279&lt;/D&gt;&lt;D xsi:type="xsd:double"&gt;12.1514418532897&lt;/D&gt;&lt;D xsi:type="xsd:double"&gt;12.1485847516313&lt;/D&gt;&lt;D xsi:type="xsd:double"&gt;13.2010690973247&lt;/D&gt;&lt;D xsi:type="xsd:double"&gt;12.9826707681633&lt;/D&gt;&lt;D xsi:type="xsd:double"&gt;12.9232060016651&lt;/D&gt;&lt;D xsi:type="xsd:double"&gt;12.8149234703325&lt;/D&gt;&lt;D xsi:type="xsd:double"&gt;13.3932021891696&lt;/D&gt;&lt;D xsi:type="xsd:double"&gt;13.7984669251419&lt;/D&gt;&lt;D xsi:type="xsd:double"&gt;13.6297623685621&lt;/D&gt;&lt;D xsi:type="xsd:double"&gt;13.8574938465021&lt;/D&gt;&lt;D xsi:type="xsd:double"&gt;13.8427464364956&lt;/D&gt;&lt;D xsi:type="xsd:double"&gt;14.011767657901&lt;/D&gt;&lt;D xsi:type="xsd:double"&gt;13.8798517892156&lt;/D&gt;&lt;D xsi:type="xsd:double"&gt;13.4055200915825&lt;/D&gt;&lt;D xsi:type="xsd:double"&gt;12.9152603873323&lt;/D&gt;&lt;D xsi:type="xsd:double"&gt;13.3220218438137&lt;/D&gt;&lt;D xsi:type="xsd:double"&gt;13.7964138199584&lt;/D&gt;&lt;D xsi:type="xsd:double"&gt;13.9711759856291&lt;/D&gt;&lt;D xsi:type="xsd:double"&gt;13.980524004807&lt;/D&gt;&lt;D xsi:type="xsd:double"&gt;13.9948531093446&lt;/D&gt;&lt;D xsi:type="xsd:double"&gt;12.8299170612557&lt;/D&gt;&lt;D xsi:type="xsd:double"&gt;13.0889529675841&lt;/D&gt;&lt;D xsi:type="xsd:double"&gt;12.9342811795088&lt;/D&gt;&lt;D xsi:type="xsd:double"&gt;13.4341788607517&lt;/D&gt;&lt;D xsi:type="xsd:double"&gt;13.2933333278259&lt;/D&gt;&lt;D xsi:type="xsd:double"&gt;12.8634241458736&lt;/D&gt;&lt;D xsi:type="xsd:double"&gt;12.8581373553285&lt;/D&gt;&lt;D xsi:type="xsd:double"&gt;12.4324186081555&lt;/D&gt;&lt;D xsi:type="xsd:double"&gt;11.8814087807551&lt;/D&gt;&lt;D xsi:type="xsd:double"&gt;11.8044807401602&lt;/D&gt;&lt;D xsi:type="xsd:double"&gt;11.1793499057058&lt;/D&gt;&lt;D xsi:type="xsd:double"&gt;11.3205128750578&lt;/D&gt;&lt;D xsi:type="xsd:double"&gt;11.6236316067155&lt;/D&gt;&lt;D xsi:type="xsd:double"&gt;12.1782239728969&lt;/D&gt;&lt;D xsi:type="xsd:double"&gt;12.5848991666603&lt;/D&gt;&lt;D xsi:type="xsd:double"&gt;12.5783091446634&lt;/D&gt;&lt;D xsi:type="xsd:double"&gt;12.4397800289799&lt;/D&gt;&lt;D xsi:type="xsd:double"&gt;12.8250601798765&lt;/D&gt;&lt;D xsi:type="xsd:double"&gt;12.3727481152197&lt;/D&gt;&lt;D xsi:type="xsd:double"&gt;13.0750316134367&lt;/D&gt;&lt;D xsi:type="xsd:double"&gt;13.1175008100439&lt;/D&gt;&lt;D xsi:type="xsd:double"&gt;13.8728768692879&lt;/D&gt;&lt;D xsi:type="xsd:double"&gt;13.9866212019194&lt;/D&gt;&lt;D xsi:type="xsd:double"&gt;14.3552463604081&lt;/D&gt;&lt;D xsi:type="xsd:double"&gt;14.4494952997756&lt;/D&gt;&lt;D xsi:type="xsd:double"&gt;11.2420323231631&lt;/D&gt;&lt;D xsi:type="xsd:double"&gt;13.5012910233363&lt;/D&gt;&lt;D xsi:type="xsd:double"&gt;15.2945283110361&lt;/D&gt;&lt;D xsi:type="xsd:double"&gt;17.3699323788362&lt;/D&gt;&lt;D xsi:type="xsd:double"&gt;18.3088966874919&lt;/D&gt;&lt;D xsi:type="xsd:double"&gt;18.0863803444637&lt;/D&gt;&lt;D xsi:type="xsd:double"&gt;17.7496713341572&lt;/D&gt;&lt;D xsi:type="xsd:double"&gt;16.9529287792555&lt;/D&gt;&lt;D xsi:type="xsd:double"&gt;16.1626974935709&lt;/D&gt;&lt;D xsi:type="xsd:double"&gt;15.7093616352893&lt;/D&gt;&lt;D xsi:type="xsd:double"&gt;16.175176906481&lt;/D&gt;&lt;D xsi:type="xsd:double"&gt;15.8739581886621&lt;/D&gt;&lt;D xsi:type="xsd:double"&gt;15.9797532998646&lt;/D&gt;&lt;D xsi:type="xsd:double"&gt;16.2404691146104&lt;/D&gt;&lt;D xsi:type="xsd:double"&gt;14.7280617290459&lt;/D&gt;&lt;D xsi:type="xsd:double"&gt;15.0185377861553&lt;/D&gt;&lt;D xsi:type="xsd:double"&gt;14.702281825777&lt;/D&gt;&lt;D xsi:type="xsd:double"&gt;14.3062311844631&lt;/D&gt;&lt;D xsi:type="xsd:double"&gt;14.027002608384&lt;/D&gt;&lt;D xsi:type="xsd:double"&gt;13.4698990622488&lt;/D&gt;&lt;D xsi:type="xsd:double"&gt;13.791651553329&lt;/D&gt;&lt;D xsi:type="xsd:double"&gt;13.2990535981244&lt;/D&gt;&lt;D xsi:type="xsd:double"&gt;13.363982535774&lt;/D&gt;&lt;D xsi:type="xsd:double"&gt;12.8248312926141&lt;/D&gt;&lt;D xsi:type="xsd:double"&gt;11.0770534048936&lt;/D&gt;&lt;D xsi:type="xsd:double"&gt;11.394584528839&lt;/D&gt;&lt;D xsi:type="xsd:double"&gt;10.681805658294&lt;/D&gt;&lt;D xsi:type="xsd:double"&gt;10.4900520455481&lt;/D&gt;&lt;D xsi:type="xsd:double"&gt;9.80157268600476&lt;/D&gt;&lt;D xsi:type="xsd:double"&gt;10.2843964888198&lt;/D&gt;&lt;D xsi:type="xsd:double"&gt;9.81141013785207&lt;/D&gt;&lt;D xsi:type="xsd:double"&gt;9.04785992181912&lt;/D&gt;&lt;D xsi:type="xsd:double"&gt;10.7045980218153&lt;/D&gt;&lt;D xsi:type="xsd:double"&gt;10.7051481635387&lt;/D&gt;&lt;D xsi:type="xsd:double"&gt;11.3025345171243&lt;/D&gt;&lt;D xsi:type="xsd:double"&gt;11.6378126646984&lt;/D&gt;&lt;D xsi:type="xsd:double"&gt;11.4717174656139&lt;/D&gt;&lt;D xsi:type="xsd:double"&gt;11.3588185876711&lt;/D&gt;&lt;D xsi:type="xsd:double"&gt;11.0546087395791&lt;/D&gt;&lt;D xsi:type="xsd:double"&gt;10.7651912296208&lt;/D&gt;&lt;D xsi:type="xsd:double"&gt;10.5582417267273&lt;/D&gt;&lt;D xsi:type="xsd:double"&gt;10.6329017311486&lt;/D&gt;&lt;D xsi:type="xsd:double"&gt;10.5958285008211&lt;/D&gt;&lt;D xsi:type="xsd:double"&gt;10.3384052658324&lt;/D&gt;&lt;D xsi:type="xsd:double"&gt;10.256169930467&lt;/D&gt;&lt;D xsi:type="xsd:double"&gt;11.2491483218357&lt;/D&gt;&lt;D xsi:type="xsd:double"&gt;11.0130079037138&lt;/D&gt;&lt;D xsi:type="xsd:double"&gt;11.5220639326529&lt;/D&gt;&lt;D xsi:type="xsd:double"&gt;12.0594268525348&lt;/D&gt;&lt;D xsi:type="xsd:double"&gt;11.9983190400931&lt;/D&gt;&lt;D xsi:type="xsd:double"&gt;12.2262992190072&lt;/D&gt;&lt;D xsi:type="xsd:double"&gt;11.8306499334158&lt;/D&gt;&lt;D xsi:type="xsd:double"&gt;11.807159539009&lt;/D&gt;&lt;/FQL&gt;&lt;FQL&gt;&lt;Q&gt;PASP-FDS^FG_PRICE_CHANGE(0,-6AM)&lt;/Q&gt;&lt;R&gt;1&lt;/R&gt;&lt;C&gt;1&lt;/C&gt;&lt;D xsi:type="xsd:double"&gt;-0.197238658777121&lt;/D&gt;&lt;/FQL&gt;&lt;FQL&gt;&lt;Q&gt;TIOS-FDS^FG_PRICE_CHANGE(0,-3AM)&lt;/Q&gt;&lt;R&gt;1&lt;/R&gt;&lt;C&gt;1&lt;/C&gt;&lt;D xsi:type="xsd:double"&gt;4.65094069334353&lt;/D&gt;&lt;/FQL&gt;&lt;FQL&gt;&lt;Q&gt;FC0000NZ^FG_PRICE(0)&lt;/Q&gt;&lt;R&gt;1&lt;/R&gt;&lt;C&gt;1&lt;/C&gt;&lt;D xsi:type="xsd:double"&gt;396.76843&lt;/D&gt;&lt;/FQL&gt;&lt;FQL&gt;&lt;Q&gt;SPY^FG_PRICE_MAVG(0,,,,60)&lt;/Q&gt;&lt;R&gt;1&lt;/R&gt;&lt;C&gt;1&lt;/C&gt;&lt;D xsi:type="xsd:double"&gt;528.75714&lt;/D&gt;&lt;/FQL&gt;&lt;FQL&gt;&lt;Q&gt;URTH^FG_TOTAL_RETURNC(0,-12AM)&lt;/Q&gt;&lt;R&gt;1&lt;/R&gt;&lt;C&gt;1&lt;/C&gt;&lt;D xsi:type="xsd:double"&gt;23.83176&lt;/D&gt;&lt;/FQL&gt;&lt;FQL&gt;&lt;Q&gt;VGK^FG_TOTAL_RETURNC(0,-12AM)&lt;/Q&gt;&lt;R&gt;1&lt;/R&gt;&lt;C&gt;1&lt;/C&gt;&lt;D xsi:type="xsd:double"&gt;16.219437&lt;/D&gt;&lt;/FQL&gt;&lt;FQL&gt;&lt;Q&gt;EWD^FG_TOTAL_RETURNC(0,-12AM)&lt;/Q&gt;&lt;R&gt;1&lt;/R&gt;&lt;C&gt;1&lt;/C&gt;&lt;D xsi:type="xsd:double"&gt;21.320522&lt;/D&gt;&lt;/FQL&gt;&lt;FQL&gt;&lt;Q&gt;EWQ^P_PRICE(0)/P_PRICE_LOW_PR(0,,,,,,"PRICE","INTRA","52W")-1&lt;/Q&gt;&lt;R&gt;1&lt;/R&gt;&lt;C&gt;1&lt;/C&gt;&lt;D xsi:type="xsd:double"&gt;0.15805113&lt;/D&gt;&lt;/FQL&gt;&lt;FQL&gt;&lt;Q&gt;EWL^FG_TOTAL_RETURNC(0,-12AM)&lt;/Q&gt;&lt;R&gt;1&lt;/R&gt;&lt;C&gt;1&lt;/C&gt;&lt;D xsi:type="xsd:double"&gt;9.923959&lt;/D&gt;&lt;/FQL&gt;&lt;FQL&gt;&lt;Q&gt;EWC^FMA_PCT_ABOVE_MAVG(200,0,,,,"PORTAGG")&lt;/Q&gt;&lt;R&gt;1&lt;/R&gt;&lt;C&gt;1&lt;/C&gt;&lt;D xsi:type="xsd:double"&gt;65.9090909090909&lt;/D&gt;&lt;/FQL&gt;&lt;FQL&gt;&lt;Q&gt;QQQ^FMA_COS_DOWN("EPS","1M",+1,0,,,"PORTAGG","MEANR")&lt;/Q&gt;&lt;R&gt;1&lt;/R&gt;&lt;C&gt;1&lt;/C&gt;&lt;D xsi:type="xsd:double"&gt;34&lt;/D&gt;&lt;/FQL&gt;&lt;FQL&gt;&lt;Q&gt;TRYDE10Y-FDS^FG_YIELD_NAME&lt;/Q&gt;&lt;R&gt;1&lt;/R&gt;&lt;C&gt;1&lt;/C&gt;&lt;D xsi:type="xsd:string"&gt;Germany Benchmark Bond - 10 Year&lt;/D&gt;&lt;/FQL&gt;&lt;FQL&gt;&lt;Q&gt;REFGBBANK-FDS^(SUBARRAY(NOT_NA(NO_REPEAT_F(FG_YIELD(NOW,-10AY,D))),0,1)-SUBARRAY(NOT_NA(NO_REPEAT_F(FG_YIELD(NOW,-10AY,D))),1,1))*100&lt;/Q&gt;&lt;R&gt;1&lt;/R&gt;&lt;C&gt;1&lt;/C&gt;&lt;D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xsi:type="xsd:double"&gt;25&lt;/D&gt;&lt;/FQL&gt;&lt;FQL&gt;&lt;Q&gt;TRYCH10Y-FDS^PCTCHG(FG_YIELD(0,,,,"YTM"),FG_YIELD(-3AM,,,,"YTM"))&lt;/Q&gt;&lt;R&gt;1&lt;/R&gt;&lt;C&gt;1&lt;/C&gt;&lt;D xsi:type="xsd:double"&gt;-20.772299&lt;/D&gt;&lt;/FQL&gt;&lt;FQL&gt;&lt;Q&gt;TRYNL10Y-FDS^FG_YIELD(0,,,,"YTM")&lt;/Q&gt;&lt;R&gt;1&lt;/R&gt;&lt;C&gt;1&lt;/C&gt;&lt;D xsi:type="xsd:double"&gt;2.75&lt;/D&gt;&lt;/FQL&gt;&lt;FQL&gt;&lt;Q&gt;VWO^FMA_EVAL_EBIT(LTMA,NOW,NOW,M,"PORTAGG","MEANR")&lt;/Q&gt;&lt;R&gt;1&lt;/R&gt;&lt;C&gt;1&lt;/C&gt;&lt;D xsi:type="xsd:double"&gt;14.2556471001055&lt;/D&gt;&lt;/FQL&gt;&lt;FQL&gt;&lt;Q&gt;EWQ^FMA_EVAL_EBITDA(NTMA,0,,,"PORTAGG","MEANR")&lt;/Q&gt;&lt;R&gt;1&lt;/R&gt;&lt;C&gt;1&lt;/C&gt;&lt;D xsi:type="xsd:double"&gt;8.95783845679673&lt;/D&gt;&lt;/FQL&gt;&lt;FQL&gt;&lt;Q&gt;EWJ^FMA_EVAL_EBITDA(NTMA,0,,,"PORTAGG","MEANR")&lt;/Q&gt;&lt;R&gt;1&lt;/R&gt;&lt;C&gt;1&lt;/C&gt;&lt;D xsi:type="xsd:double"&gt;10.8715545769131&lt;/D&gt;&lt;/FQL&gt;&lt;FQL&gt;&lt;Q&gt;USDITL^FG_PRICE_CHANGE(0,-1AY)&lt;/Q&gt;&lt;R&gt;1&lt;/R&gt;&lt;C&gt;1&lt;/C&gt;&lt;D xsi:type="xsd:double"&gt;1.0249138&lt;/D&gt;&lt;/FQL&gt;&lt;FQL&gt;&lt;Q&gt;USDEUR^STD(FG_PRICE_CHANGE(0,-3AY,M))&lt;/Q&gt;&lt;R&gt;1&lt;/R&gt;&lt;C&gt;1&lt;/C&gt;&lt;D xsi:type="xsd:double"&gt;2.13396080606637&lt;/D&gt;&lt;/FQL&gt;&lt;FQL&gt;&lt;Q&gt;USDAUD^FG_COMPANY_NAME&lt;/Q&gt;&lt;R&gt;1&lt;/R&gt;&lt;C&gt;1&lt;/C&gt;&lt;D xsi:type="xsd:string"&gt;Australian Dollar per U.S. Dollar&lt;/D&gt;&lt;/FQL&gt;&lt;FQL&gt;&lt;Q&gt;EWJ^FG_TOTAL_RETURNC(-10AY,0,AM)&lt;/Q&gt;&lt;R&gt;121&lt;/R&gt;&lt;C&gt;1&lt;/C&gt;&lt;D xsi:type="xsd:double"&gt;2.4869561&lt;/D&gt;&lt;D xsi:type="xsd:double"&gt;-0.75376034&lt;/D&gt;&lt;D xsi:type="xsd:double"&gt;-0.16878247&lt;/D&gt;&lt;D xsi:type="xsd:double"&gt;-6.8469944&lt;/D&gt;&lt;D xsi:type="xsd:double"&gt;6.442821&lt;/D&gt;&lt;D xsi:type="xsd:double"&gt;-2.2165298&lt;/D&gt;&lt;D xsi:type="xsd:double"&gt;-2.3932278&lt;/D&gt;&lt;D xsi:type="xsd:double"&gt;5.2111387&lt;/D&gt;&lt;D xsi:type="xsd:double"&gt;4.1844606&lt;/D&gt;&lt;D xsi:type="xsd:double"&gt;6.0655713&lt;/D&gt;&lt;D xsi:type="xsd:double"&gt;-0.07727146&lt;/D&gt;&lt;D xsi:type="xsd:double"&gt;0.7733941&lt;/D&gt;&lt;D xsi:type="xsd:double"&gt;-2.3494065&lt;/D&gt;&lt;D xsi:type="xsd:double"&gt;1.8957376&lt;/D&gt;&lt;D xsi:type="xsd:double"&gt;-8.992249&lt;/D&gt;&lt;D xsi:type="xsd:double"&gt;3.0664444&lt;/D&gt;&lt;D xsi:type="xsd:double"&gt;3.5537124&lt;/D&gt;&lt;D xsi:type="xsd:double"&gt;-4.1500387&lt;/D&gt;&lt;D xsi:type="xsd:double"&gt;-3.3816338&lt;/D&gt;&lt;D xsi:type="xsd:double"&gt;-10.416675&lt;/D&gt;&lt;D xsi:type="xsd:double"&gt;11.724806&lt;/D&gt;&lt;D xsi:type="xsd:double"&gt;-2.3417115&lt;/D&gt;&lt;D xsi:type="xsd:double"&gt;3.0195355&lt;/D&gt;&lt;D xsi:type="xsd:double"&gt;0.43102503&lt;/D&gt;&lt;D xsi:type="xsd:double"&gt;2.5238752&lt;/D&gt;&lt;D xsi:type="xsd:double"&gt;4.556966&lt;/D&gt;&lt;D xsi:type="xsd:double"&gt;-0.4842639&lt;/D&gt;&lt;D xsi:type="xsd:double"&gt;0.40551424&lt;/D&gt;&lt;D xsi:type="xsd:double"&gt;-0.040388107&lt;/D&gt;&lt;D xsi:type="xsd:double"&gt;3.5353541&lt;/D&gt;&lt;D xsi:type="xsd:double"&gt;-0.011593103&lt;/D&gt;&lt;D xsi:type="xsd:double"&gt;1.4412642&lt;/D&gt;&lt;D xsi:type="xsd:double"&gt;-0.07785559&lt;/D&gt;&lt;D xsi:type="xsd:double"&gt;-0.2532184&lt;/D&gt;&lt;D xsi:type="xsd:double"&gt;2.011335&lt;/D&gt;&lt;D xsi:type="xsd:double"&gt;3.5413504&lt;/D&gt;&lt;D xsi:type="xsd:double"&gt;-1.0118008&lt;/D&gt;&lt;D xsi:type="xsd:double"&gt;1.6353369&lt;/D&gt;&lt;D xsi:type="xsd:double"&gt;2.1268725&lt;/D&gt;&lt;D xsi:type="xsd:double"&gt;2.7707338&lt;/D&gt;&lt;D xsi:type="xsd:double"&gt;4.105735&lt;/D&gt;&lt;D xsi:type="xsd:double"&gt;1.2186766&lt;/D&gt;&lt;D xsi:type="xsd:double"&gt;6.4947605&lt;/D&gt;&lt;D xsi:type="xsd:double"&gt;-6.623459&lt;/D&gt;&lt;D xsi:type="xsd:double"&gt;2.623999&lt;/D&gt;&lt;D xsi:type="xsd:double"&gt;-0.47838688&lt;/D&gt;&lt;D xsi:type="xsd:double"&gt;1.5746713&lt;/D&gt;&lt;D xsi:type="xsd:double"&gt;-0.407964&lt;/D&gt;&lt;D xsi:type="xsd:double"&gt;-5.921406&lt;/D&gt;&lt;D xsi:type="xsd:double"&gt;0.9303093&lt;/D&gt;&lt;D xsi:type="xsd:double"&gt;-1.0087013&lt;/D&gt;&lt;D xsi:type="xsd:double"&gt;-0.562191&lt;/D&gt;&lt;D xsi:type="xsd:double"&gt;-2.6501775&lt;/D&gt;&lt;D xsi:type="xsd:double"&gt;-3.6479115&lt;/D&gt;&lt;D xsi:type="xsd:double"&gt;0.3010273&lt;/D&gt;&lt;D xsi:type="xsd:double"&gt;-0.11355281&lt;/D&gt;&lt;D xsi:type="xsd:double"&gt;2.1788597&lt;/D&gt;&lt;D xsi:type="xsd:double"&gt;1.5761137&lt;/D&gt;&lt;D xsi:type="xsd:double"&gt;-1.2960911&lt;/D&gt;&lt;D xsi:type="xsd:double"&gt;1.3685942&lt;/D&gt;&lt;D xsi:type="xsd:double"&gt;1.3866186&lt;/D&gt;&lt;D xsi:type="xsd:double"&gt;-2.723807&lt;/D&gt;&lt;D xsi:type="xsd:double"&gt;4.237449&lt;/D&gt;&lt;D xsi:type="xsd:double"&gt;2.3459911&lt;/D&gt;&lt;D xsi:type="xsd:double"&gt;4.6019197&lt;/D&gt;&lt;D xsi:type="xsd:double"&gt;1.0705948&lt;/D&gt;&lt;D xsi:type="xsd:double"&gt;-0.31968355&lt;/D&gt;&lt;D xsi:type="xsd:double"&gt;0.30242205&lt;/D&gt;&lt;D xsi:type="xsd:double"&gt;-16.800673&lt;/D&gt;&lt;D xsi:type="xsd:double"&gt;1.4294386&lt;/D&gt;&lt;D xsi:type="xsd:double"&gt;4.882884&lt;/D&gt;&lt;D xsi:type="xsd:double"&gt;4.3716908&lt;/D&gt;&lt;D xsi:type="xsd:double"&gt;1.9715071&lt;/D&gt;&lt;D xsi:type="xsd:double"&gt;1.6848922&lt;/D&gt;&lt;D xsi:type="xsd:double"&gt;3.2081842&lt;/D&gt;&lt;D xsi:type="xsd:double"&gt;1.5542269&lt;/D&gt;&lt;D xsi:type="xsd:double"&gt;6.744039&lt;/D&gt;&lt;D xsi:type="xsd:double"&gt;3.9073467&lt;/D&gt;&lt;D xsi:type="xsd:double"&gt;4.486692&lt;/D&gt;&lt;D xsi:type="xsd:double"&gt;3.5984874&lt;/D&gt;&lt;D xsi:type="xsd:double"&gt;-4.317254&lt;/D&gt;&lt;D xsi:type="xsd:double"&gt;2.3956418&lt;/D&gt;&lt;D xsi:type="xsd:double"&gt;-2.7558446&lt;/D&gt;&lt;D xsi:type="xsd:double"&gt;2.414143&lt;/D&gt;&lt;D xsi:type="xsd:double"&gt;-0.65330863&lt;/D&gt;&lt;D xsi:type="xsd:double"&gt;0.3361106&lt;/D&gt;&lt;D xsi:type="xsd:double"&gt;6.0442686&lt;/D&gt;&lt;D xsi:type="xsd:double"&gt;-6.3864765&lt;/D&gt;&lt;D xsi:type="xsd:double"&gt;1.3497591&lt;/D&gt;&lt;D xsi:type="xsd:double"&gt;-0.94094276&lt;/D&gt;&lt;D xsi:type="xsd:double"&gt;-0.74530244&lt;/D&gt;&lt;D xsi:type="xsd:double"&gt;-4.580039&lt;/D&gt;&lt;D xsi:type="xsd:double"&gt;-8.474046&lt;/D&gt;&lt;D xsi:type="xsd:double"&gt;-0.068330765&lt;/D&gt;&lt;D xsi:type="xsd:double"&gt;-6.71795&lt;/D&gt;&lt;D xsi:type="xsd:double"&gt;1.3854146&lt;/D&gt;&lt;D xsi:type="xsd:double"&gt;-3.285271&lt;/D&gt;&lt;D xsi:type="xsd:double"&gt;6.2275887&lt;/D&gt;&lt;D xsi:type="xsd:double"&gt;-5.720377&lt;/D&gt;&lt;D xsi:type="xsd:double"&gt;-7.480687&lt;/D&gt;&lt;D xsi:type="xsd:double"&gt;11.894094&lt;/D&gt;&lt;D xsi:type="xsd:double"&gt;0.5824566&lt;/D&gt;&lt;D xsi:type="xsd:double"&gt;0.11343956&lt;/D&gt;&lt;D xsi:type="xsd:double"&gt;5.2898526&lt;/D&gt;&lt;D xsi:type="xsd:double"&gt;-2.3055732&lt;/D&gt;&lt;D xsi:type="xsd:double"&gt;1.9373059&lt;/D&gt;&lt;D xsi:type="xsd:double"&gt;3.5072565&lt;/D&gt;&lt;D xsi:type="xsd:double"&gt;4.5889735&lt;/D&gt;&lt;D xsi:type="xsd:double"&gt;-0.6428838&lt;/D&gt;&lt;D xsi:type="xsd:double"&gt;-0.7279217&lt;/D&gt;&lt;D xsi:type="xsd:double"&gt;1.5479922&lt;/D&gt;&lt;D xsi:type="xsd:double"&gt;-3.4338892&lt;/D&gt;&lt;D xsi:type="xsd:double"&gt;0.48189163&lt;/D&gt;&lt;D xsi:type="xsd:double"&gt;4.415405&lt;/D&gt;&lt;D xsi:type="xsd:double"&gt;5.681741&lt;/D&gt;&lt;D xsi:type="xsd:double"&gt;1.2613893&lt;/D&gt;&lt;D xsi:type="xsd:double"&gt;4.45745&lt;/D&gt;&lt;D xsi:type="xsd:double"&gt;0.56034327&lt;/D&gt;&lt;D xsi:type="xsd:double"&gt;-2.914703&lt;/D&gt;&lt;D xsi:type="xsd:double"&gt;0.910449&lt;/D&gt;&lt;D xsi:type="xsd:double"&gt;4.334414&lt;/D&gt;&lt;/FQL&gt;&lt;FQL&gt;&lt;Q&gt;EWN^FMA_PE(NTMA,-10AY,0,AM,"PORTAGG","MEANR")&lt;/Q&gt;&lt;R&gt;121&lt;/R&gt;&lt;C&gt;1&lt;/C&gt;&lt;D xsi:type="xsd:double"&gt;14.0701072000707&lt;/D&gt;&lt;D xsi:type="xsd:double"&gt;13.8123919566065&lt;/D&gt;&lt;D xsi:type="xsd:double"&gt;14.6303597529757&lt;/D&gt;&lt;D xsi:type="xsd:double"&gt;13.8188359071062&lt;/D&gt;&lt;D xsi:type="xsd:double"&gt;14.7337717604417&lt;/D&gt;&lt;D xsi:type="xsd:double"&gt;14.8608766344374&lt;/D&gt;&lt;D xsi:type="xsd:double"&gt;14.594353983902&lt;/D&gt;&lt;D xsi:type="xsd:double"&gt;15.8929376378321&lt;/D&gt;&lt;D xsi:type="xsd:double"&gt;17.451439233474&lt;/D&gt;&lt;D xsi:type="xsd:double"&gt;17.7990555385529&lt;/D&gt;&lt;D xsi:type="xsd:double"&gt;16.9943713502452&lt;/D&gt;&lt;D xsi:type="xsd:double"&gt;16.606450956847&lt;/D&gt;&lt;D xsi:type="xsd:double"&gt;16.4491634238409&lt;/D&gt;&lt;D xsi:type="xsd:double"&gt;16.6293813476083&lt;/D&gt;&lt;D xsi:type="xsd:double"&gt;14.559729005272&lt;/D&gt;&lt;D xsi:type="xsd:double"&gt;14.8640677897835&lt;/D&gt;&lt;D xsi:type="xsd:double"&gt;16.3260533006591&lt;/D&gt;&lt;D xsi:type="xsd:double"&gt;15.2061614074946&lt;/D&gt;&lt;D xsi:type="xsd:double"&gt;14.4109493562195&lt;/D&gt;&lt;D xsi:type="xsd:double"&gt;13.3741320426759&lt;/D&gt;&lt;D xsi:type="xsd:double"&gt;15.303880693061&lt;/D&gt;&lt;D xsi:type="xsd:double"&gt;14.9787486349474&lt;/D&gt;&lt;D xsi:type="xsd:double"&gt;14.8056168158084&lt;/D&gt;&lt;D xsi:type="xsd:double"&gt;14.5259455610511&lt;/D&gt;&lt;D xsi:type="xsd:double"&gt;14.3420045489848&lt;/D&gt;&lt;D xsi:type="xsd:double"&gt;15.0544011370519&lt;/D&gt;&lt;D xsi:type="xsd:double"&gt;14.8742964634283&lt;/D&gt;&lt;D xsi:type="xsd:double"&gt;14.7992529254784&lt;/D&gt;&lt;D xsi:type="xsd:double"&gt;14.4101590514397&lt;/D&gt;&lt;D xsi:type="xsd:double"&gt;14.7895848907391&lt;/D&gt;&lt;D xsi:type="xsd:double"&gt;15.008732219788&lt;/D&gt;&lt;D xsi:type="xsd:double"&gt;15.2732373653177&lt;/D&gt;&lt;D xsi:type="xsd:double"&gt;16.0658307955633&lt;/D&gt;&lt;D xsi:type="xsd:double"&gt;16.1836035031578&lt;/D&gt;&lt;D xsi:type="xsd:double"&gt;16.4634258965304&lt;/D&gt;&lt;D xsi:type="xsd:double"&gt;16.3278039027341&lt;/D&gt;&lt;D xsi:type="xsd:double"&gt;15.7466602926556&lt;/D&gt;&lt;D xsi:type="xsd:double"&gt;15.70057747508&lt;/D&gt;&lt;D xsi:type="xsd:double"&gt;15.788375649841&lt;/D&gt;&lt;D xsi:type="xsd:double"&gt;16.136728738471&lt;/D&gt;&lt;D xsi:type="xsd:double"&gt;16.1161194546651&lt;/D&gt;&lt;D xsi:type="xsd:double"&gt;16.049551834763&lt;/D&gt;&lt;D xsi:type="xsd:double"&gt;16.1948503328805&lt;/D&gt;&lt;D xsi:type="xsd:double"&gt;15.1646814553608&lt;/D&gt;&lt;D xsi:type="xsd:double"&gt;15.7741675501155&lt;/D&gt;&lt;D xsi:type="xsd:double"&gt;15.5797520988146&lt;/D&gt;&lt;D xsi:type="xsd:double"&gt;15.7079210668555&lt;/D&gt;&lt;D xsi:type="xsd:double"&gt;16.0251839708322&lt;/D&gt;&lt;D xsi:type="xsd:double"&gt;15.5216592746206&lt;/D&gt;&lt;D xsi:type="xsd:double"&gt;15.640740861733&lt;/D&gt;&lt;D xsi:type="xsd:double"&gt;14.9369146363776&lt;/D&gt;&lt;D xsi:type="xsd:double"&gt;14.0371414103715&lt;/D&gt;&lt;D xsi:type="xsd:double"&gt;14.3697220663431&lt;/D&gt;&lt;D xsi:type="xsd:double"&gt;13.5306330965405&lt;/D&gt;&lt;D xsi:type="xsd:double"&gt;13.4132960063511&lt;/D&gt;&lt;D xsi:type="xsd:double"&gt;14.4961052650769&lt;/D&gt;&lt;D xsi:type="xsd:double"&gt;14.8414978724862&lt;/D&gt;&lt;D xsi:type="xsd:double"&gt;15.467297042716&lt;/D&gt;&lt;D xsi:type="xsd:double"&gt;15.2539616935744&lt;/D&gt;&lt;D xsi:type="xsd:double"&gt;15.3731770168014&lt;/D&gt;&lt;D xsi:type="xsd:double"&gt;15.4887705314355&lt;/D&gt;&lt;D xsi:type="xsd:double"&gt;15.0337846097366&lt;/D&gt;&lt;D xsi:type="xsd:double"&gt;15.9743150731324&lt;/D&gt;&lt;D xsi:type="xsd:double"&gt;16.2028148063799&lt;/D&gt;&lt;D xsi:type="xsd:double"&gt;16.6668840677608&lt;/D&gt;&lt;D xsi:type="xsd:double"&gt;16.8139386083434&lt;/D&gt;&lt;D xsi:type="xsd:double"&gt;17.1620643650941&lt;/D&gt;&lt;D xsi:type="xsd:double"&gt;18.0183318240722&lt;/D&gt;&lt;D xsi:type="xsd:double"&gt;14.24451342756&lt;/D&gt;&lt;D xsi:type="xsd:double"&gt;15.8300240785872&lt;/D&gt;&lt;D xsi:type="xsd:double"&gt;17.5345484317724&lt;/D&gt;&lt;D xsi:type="xsd:double"&gt;18.8275553585078&lt;/D&gt;&lt;D xsi:type="xsd:double"&gt;20.107883748229&lt;/D&gt;&lt;D xsi:type="xsd:double"&gt;19.934858950791&lt;/D&gt;&lt;D xsi:type="xsd:double"&gt;19.5586880386938&lt;/D&gt;&lt;D xsi:type="xsd:double"&gt;19.893271946185&lt;/D&gt;&lt;D xsi:type="xsd:double"&gt;20.6195401938034&lt;/D&gt;&lt;D xsi:type="xsd:double"&gt;20.2011656746262&lt;/D&gt;&lt;D xsi:type="xsd:double"&gt;21.0269090229716&lt;/D&gt;&lt;D xsi:type="xsd:double"&gt;22.4660990068584&lt;/D&gt;&lt;D xsi:type="xsd:double"&gt;21.9352285754531&lt;/D&gt;&lt;D xsi:type="xsd:double"&gt;22.8845722833355&lt;/D&gt;&lt;D xsi:type="xsd:double"&gt;21.0642742467124&lt;/D&gt;&lt;D xsi:type="xsd:double"&gt;21.6370786908485&lt;/D&gt;&lt;D xsi:type="xsd:double"&gt;21.0945241265939&lt;/D&gt;&lt;D xsi:type="xsd:double"&gt;21.7992612005849&lt;/D&gt;&lt;D xsi:type="xsd:double"&gt;21.7374728885425&lt;/D&gt;&lt;D xsi:type="xsd:double"&gt;20.1715550218272&lt;/D&gt;&lt;D xsi:type="xsd:double"&gt;21.4237226880642&lt;/D&gt;&lt;D xsi:type="xsd:double"&gt;20.2110599892131&lt;/D&gt;&lt;D xsi:type="xsd:double"&gt;19.8679149851011&lt;/D&gt;&lt;D xsi:type="xsd:double"&gt;18.4049098222676&lt;/D&gt;&lt;D xsi:type="xsd:double"&gt;16.6233333739332&lt;/D&gt;&lt;D xsi:type="xsd:double"&gt;17.6100592382679&lt;/D&gt;&lt;D xsi:type="xsd:double"&gt;15.9935374967908&lt;/D&gt;&lt;D xsi:type="xsd:double"&gt;16.6065288125373&lt;/D&gt;&lt;D xsi:type="xsd:double"&gt;16.0860376740003&lt;/D&gt;&lt;D xsi:type="xsd:double"&gt;17.8139713044264&lt;/D&gt;&lt;D xsi:type="xsd:double"&gt;16.2211275956255&lt;/D&gt;&lt;D xsi:type="xsd:double"&gt;14.0476674113243&lt;/D&gt;&lt;D xsi:type="xsd:double"&gt;16.2938652611738&lt;/D&gt;&lt;D xsi:type="xsd:double"&gt;16.3428475678625&lt;/D&gt;&lt;D xsi:type="xsd:double"&gt;16.8283508635742&lt;/D&gt;&lt;D xsi:type="xsd:double"&gt;16.8701209075877&lt;/D&gt;&lt;D xsi:type="xsd:double"&gt;16.1868115184524&lt;/D&gt;&lt;D xsi:type="xsd:double"&gt;16.3313312489748&lt;/D&gt;&lt;D xsi:type="xsd:double"&gt;15.6083389222971&lt;/D&gt;&lt;D xsi:type="xsd:double"&gt;15.6427384978921&lt;/D&gt;&lt;D xsi:type="xsd:double"&gt;15.6326495298696&lt;/D&gt;&lt;D xsi:type="xsd:double"&gt;15.2821923786263&lt;/D&gt;&lt;D xsi:type="xsd:double"&gt;14.2719094385686&lt;/D&gt;&lt;D xsi:type="xsd:double"&gt;13.7148069202907&lt;/D&gt;&lt;D xsi:type="xsd:double"&gt;14.0587137534642&lt;/D&gt;&lt;D xsi:type="xsd:double"&gt;14.9563333866682&lt;/D&gt;&lt;D xsi:type="xsd:double"&gt;14.6911366021443&lt;/D&gt;&lt;D xsi:type="xsd:double"&gt;16.2928039100687&lt;/D&gt;&lt;D xsi:type="xsd:double"&gt;16.048459110029&lt;/D&gt;&lt;D xsi:type="xsd:double"&gt;16.1780171280421&lt;/D&gt;&lt;D xsi:type="xsd:double"&gt;16.1381383237528&lt;/D&gt;&lt;D xsi:type="xsd:double"&gt;16.60673728877&lt;/D&gt;&lt;D xsi:type="xsd:double"&gt;16.5948510136679&lt;/D&gt;&lt;/FQL&gt;&lt;FQL&gt;&lt;Q&gt;CPALM-FDS^FG_PRICE_CHANGE(0,-1AY)&lt;/Q&gt;&lt;R&gt;1&lt;/R&gt;&lt;C&gt;1&lt;/C&gt;&lt;D xsi:type="xsd:double"&gt;4.98034076015728&lt;/D&gt;&lt;/FQL&gt;&lt;FQL&gt;&lt;Q&gt;BRENT-FDS^FG_PRICE(0)&lt;/Q&gt;&lt;R&gt;1&lt;/R&gt;&lt;C&gt;1&lt;/C&gt;&lt;D xsi:type="xsd:double"&gt;85.86&lt;/D&gt;&lt;/FQL&gt;&lt;FQL&gt;&lt;Q&gt;EWC^FG_PRICE_MAVG(0,,,,60)&lt;/Q&gt;&lt;R&gt;1&lt;/R&gt;&lt;C&gt;1&lt;/C&gt;&lt;D xsi:type="xsd:double"&gt;37.539333&lt;/D&gt;&lt;/FQL&gt;&lt;FQL&gt;&lt;Q&gt;EWJ^PERCENT_CHANGE(FMA_EPS(+1,0,,,,"PORTAGG","MEAN"),FMA_EPS(+1,-3AM,,,,"PORTAGG","MEAN"))&lt;/Q&gt;&lt;R&gt;1&lt;/R&gt;&lt;C&gt;1&lt;/C&gt;&lt;D xsi:type="xsd:double"&gt;-3.66749200823175&lt;/D&gt;&lt;/FQL&gt;&lt;FQL&gt;&lt;Q&gt;VGK^P_PRICE(0)/P_PRICE_LOW_PR(0,,,,,,"PRICE","INTRA","52W")-1&lt;/Q&gt;&lt;R&gt;1&lt;/R&gt;&lt;C&gt;1&lt;/C&gt;&lt;D xsi:type="xsd:double"&gt;0.24736643&lt;/D&gt;&lt;/FQL&gt;&lt;FQL&gt;&lt;Q&gt;EWD^FG_TOTAL_RETURNC(0,-1AM)&lt;/Q&gt;&lt;R&gt;1&lt;/R&gt;&lt;C&gt;1&lt;/C&gt;&lt;D xsi:type="xsd:double"&gt;-0.17110705&lt;/D&gt;&lt;/FQL&gt;&lt;FQL&gt;&lt;Q&gt;EWU^P_PRICE(0)/P_PRICE_HIGH_PR(0,,,,,,"PRICE","INTRA","52W")&lt;/Q&gt;&lt;R&gt;1&lt;/R&gt;&lt;C&gt;1&lt;/C&gt;&lt;D xsi:type="xsd:double"&gt;0.9732082&lt;/D&gt;&lt;/FQL&gt;&lt;FQL&gt;&lt;Q&gt;EWJ^FG_TOTAL_RETURNC(0,-1AM)&lt;/Q&gt;&lt;R&gt;1&lt;/R&gt;&lt;C&gt;1&lt;/C&gt;&lt;D xsi:type="xsd:double"&gt;4.334414&lt;/D&gt;&lt;/FQL&gt;&lt;FQL&gt;&lt;Q&gt;EWC^PERCENT_CHANGE(FMA_EPS(+1,0,,,,"PORTAGG","MEAN"),FMA_EPS(+1,-1AM,,,,"PORTAGG","MEAN"))&lt;/Q&gt;&lt;R&gt;1&lt;/R&gt;&lt;C&gt;1&lt;/C&gt;&lt;D xsi:type="xsd:double"&gt;1.02788119493993&lt;/D&gt;&lt;/FQL&gt;&lt;FQL&gt;&lt;Q&gt;TRYIT10Y-FDS^PCTCHG(FG_YIELD(0,,,,"YTM"),FG_YIELD(-3AM,,,,"YTM"))&lt;/Q&gt;&lt;R&gt;1&lt;/R&gt;&lt;C&gt;1&lt;/C&gt;&lt;D xsi:type="xsd:double"&gt;-1.693592&lt;/D&gt;&lt;/FQL&gt;&lt;FQL&gt;&lt;Q&gt;TRYDE10Y-FDS^PCTCHG(FG_YIELD(0,,,,"YTM"),FG_YIELD(-1AM,,,,"YTM"))&lt;/Q&gt;&lt;R&gt;1&lt;/R&gt;&lt;C&gt;1&lt;/C&gt;&lt;D xsi:type="xsd:double"&gt;-6.58342&lt;/D&gt;&lt;/FQL&gt;&lt;FQL&gt;&lt;Q&gt;EWN^FG_FCF_YIELD_NTM(0)&lt;/Q&gt;&lt;R&gt;1&lt;/R&gt;&lt;C&gt;1&lt;/C&gt;&lt;D xsi:type="xsd:double"&gt;3.56079758715668&lt;/D&gt;&lt;/FQL&gt;&lt;FQL&gt;&lt;Q&gt;QQQ^FMA_EVAL_EBIT(LTMA,NOW,NOW,M,"PORTAGG","MEANR")&lt;/Q&gt;&lt;R&gt;1&lt;/R&gt;&lt;C&gt;1&lt;/C&gt;&lt;D xsi:type="xsd:double"&gt;24.7925305825121&lt;/D&gt;&lt;/FQL&gt;&lt;FQL&gt;&lt;Q&gt;EWL^JULIAN(FMA_DIV_YLD(NTMA,NOW,NOW,M,"PORTAGG","MEANR").DATES)&lt;/Q&gt;&lt;R&gt;1&lt;/R&gt;&lt;C&gt;1&lt;/C&gt;&lt;D xsi:type="xsd:long"&gt;45471&lt;/D&gt;&lt;/FQL&gt;&lt;FQL&gt;&lt;Q&gt;EWC^FMA_PE(LTM,0,,,"PORTAGG","MEANR")&lt;/Q&gt;&lt;R&gt;1&lt;/R&gt;&lt;C&gt;1&lt;/C&gt;&lt;D xsi:type="xsd:double"&gt;17.5487574300849&lt;/D&gt;&lt;/FQL&gt;&lt;FQL&gt;&lt;Q&gt;TLT^FG_TOTAL_RETURNC(0,-6AM)&lt;/Q&gt;&lt;R&gt;1&lt;/R&gt;&lt;C&gt;1&lt;/C&gt;&lt;D xsi:type="xsd:double"&gt;-1.3531566&lt;/D&gt;&lt;/FQL&gt;&lt;FQL&gt;&lt;Q&gt;CAGDPY@DE^EE_ACTUAL_ANNUAL(MED,0)&lt;/Q&gt;&lt;R&gt;1&lt;/R&gt;&lt;C&gt;1&lt;/C&gt;&lt;D xsi:type="xsd:double"&gt;6.09959759767018&lt;/D&gt;&lt;/FQL&gt;&lt;FQL&gt;&lt;Q&gt;USDSEK^STD(FG_PRICE_CHANGE(0,-3AY,M))&lt;/Q&gt;&lt;R&gt;1&lt;/R&gt;&lt;C&gt;1&lt;/C&gt;&lt;D xsi:type="xsd:double"&gt;2.96832492591346&lt;/D&gt;&lt;/FQL&gt;&lt;FQL&gt;&lt;Q&gt;USDCHF^FG_PRICE(0)&lt;/Q&gt;&lt;R&gt;1&lt;/R&gt;&lt;C&gt;1&lt;/C&gt;&lt;D xsi:type="xsd:double"&gt;0.89375&lt;/D&gt;&lt;/FQL&gt;&lt;FQL&gt;&lt;Q&gt;EWD^P_PRICE_RETURNS_PR('52W',2,-10AY,0,AM)&lt;/Q&gt;&lt;R&gt;121&lt;/R&gt;&lt;C&gt;1&lt;/C&gt;&lt;D xsi:type="xsd:double"&gt;11.52178&lt;/D&gt;&lt;D xsi:type="xsd:double"&gt;3.4761071&lt;/D&gt;&lt;D xsi:type="xsd:double"&gt;0.2763629&lt;/D&gt;&lt;D xsi:type="xsd:double"&gt;-6.553382&lt;/D&gt;&lt;D xsi:type="xsd:double"&gt;0.7011652&lt;/D&gt;&lt;D xsi:type="xsd:double"&gt;1.7089844&lt;/D&gt;&lt;D xsi:type="xsd:double"&gt;-8.944845&lt;/D&gt;&lt;D xsi:type="xsd:double"&gt;-6.0142937&lt;/D&gt;&lt;D xsi:type="xsd:double"&gt;-6.505066&lt;/D&gt;&lt;D xsi:type="xsd:double"&gt;-2.75082&lt;/D&gt;&lt;D xsi:type="xsd:double"&gt;-2.8966963&lt;/D&gt;&lt;D xsi:type="xsd:double"&gt;-2.3193657&lt;/D&gt;&lt;D xsi:type="xsd:double"&gt;-1.910758&lt;/D&gt;&lt;D xsi:type="xsd:double"&gt;-1.5575528&lt;/D&gt;&lt;D xsi:type="xsd:double"&gt;-2.4409533&lt;/D&gt;&lt;D xsi:type="xsd:double"&gt;4.783976&lt;/D&gt;&lt;D xsi:type="xsd:double"&gt;-5.700821&lt;/D&gt;&lt;D xsi:type="xsd:double"&gt;-10.114515&lt;/D&gt;&lt;D xsi:type="xsd:double"&gt;-7.9544067&lt;/D&gt;&lt;D xsi:type="xsd:double"&gt;-17.532707&lt;/D&gt;&lt;D xsi:type="xsd:double"&gt;-7.5143695&lt;/D&gt;&lt;D xsi:type="xsd:double"&gt;-8.481169&lt;/D&gt;&lt;D xsi:type="xsd:double"&gt;-11.447042&lt;/D&gt;&lt;D xsi:type="xsd:double"&gt;-14.314735&lt;/D&gt;&lt;D xsi:type="xsd:double"&gt;-12.523502&lt;/D&gt;&lt;D xsi:type="xsd:double"&gt;-5.5117188&lt;/D&gt;&lt;D xsi:type="xsd:double"&gt;-1.2248933&lt;/D&gt;&lt;D xsi:type="xsd:double"&gt;-4.413295&lt;/D&gt;&lt;D xsi:type="xsd:double"&gt;-4.1375694&lt;/D&gt;&lt;D xsi:type="xsd:double"&gt;2.0305753&lt;/D&gt;&lt;D xsi:type="xsd:double"&gt;10.337281&lt;/D&gt;&lt;D xsi:type="xsd:double"&gt;20.621014&lt;/D&gt;&lt;D xsi:type="xsd:double"&gt;12.297869&lt;/D&gt;&lt;D xsi:type="xsd:double"&gt;9.233463&lt;/D&gt;&lt;D xsi:type="xsd:double"&gt;19.945812&lt;/D&gt;&lt;D xsi:type="xsd:double"&gt;20.242893&lt;/D&gt;&lt;D xsi:type="xsd:double"&gt;29.573095&lt;/D&gt;&lt;D xsi:type="xsd:double"&gt;19.425034&lt;/D&gt;&lt;D xsi:type="xsd:double"&gt;24.534512&lt;/D&gt;&lt;D xsi:type="xsd:double"&gt;30.143188&lt;/D&gt;&lt;D xsi:type="xsd:double"&gt;28.246271&lt;/D&gt;&lt;D xsi:type="xsd:double"&gt;20.84129&lt;/D&gt;&lt;D xsi:type="xsd:double"&gt;26.934696&lt;/D&gt;&lt;D xsi:type="xsd:double"&gt;13.227749&lt;/D&gt;&lt;D xsi:type="xsd:double"&gt;16.135132&lt;/D&gt;&lt;D xsi:type="xsd:double"&gt;9.19367&lt;/D&gt;&lt;D xsi:type="xsd:double"&gt;5.013907&lt;/D&gt;&lt;D xsi:type="xsd:double"&gt;0.6146431&lt;/D&gt;&lt;D xsi:type="xsd:double"&gt;-6.0822544&lt;/D&gt;&lt;D xsi:type="xsd:double"&gt;-2.956158&lt;/D&gt;&lt;D xsi:type="xsd:double"&gt;-5.1645336&lt;/D&gt;&lt;D xsi:type="xsd:double"&gt;-12.089867&lt;/D&gt;&lt;D xsi:type="xsd:double"&gt;-10.334551&lt;/D&gt;&lt;D xsi:type="xsd:double"&gt;-11.920905&lt;/D&gt;&lt;D xsi:type="xsd:double"&gt;-14.31014&lt;/D&gt;&lt;D xsi:type="xsd:double"&gt;-7.7252746&lt;/D&gt;&lt;D xsi:type="xsd:double"&gt;-9.408874&lt;/D&gt;&lt;D xsi:type="xsd:double"&gt;1.4168978&lt;/D&gt;&lt;D xsi:type="xsd:double"&gt;-6.7075253&lt;/D&gt;&lt;D xsi:type="xsd:double"&gt;-3.8034737&lt;/D&gt;&lt;D xsi:type="xsd:double"&gt;3.094411&lt;/D&gt;&lt;D xsi:type="xsd:double"&gt;-8.0124855&lt;/D&gt;&lt;D xsi:type="xsd:double"&gt;-1.8851995&lt;/D&gt;&lt;D xsi:type="xsd:double"&gt;1.0428548&lt;/D&gt;&lt;D xsi:type="xsd:double"&gt;11.508942&lt;/D&gt;&lt;D xsi:type="xsd:double"&gt;18.499352&lt;/D&gt;&lt;D xsi:type="xsd:double"&gt;15.675902&lt;/D&gt;&lt;D xsi:type="xsd:double"&gt;20.61509&lt;/D&gt;&lt;D xsi:type="xsd:double"&gt;-4.969299&lt;/D&gt;&lt;D xsi:type="xsd:double"&gt;-12.200266&lt;/D&gt;&lt;D xsi:type="xsd:double"&gt;-6.706792&lt;/D&gt;&lt;D xsi:type="xsd:double"&gt;0.47746897&lt;/D&gt;&lt;D xsi:type="xsd:double"&gt;7.8163147&lt;/D&gt;&lt;D xsi:type="xsd:double"&gt;26.222456&lt;/D&gt;&lt;D xsi:type="xsd:double"&gt;20.548702&lt;/D&gt;&lt;D xsi:type="xsd:double"&gt;29.537846&lt;/D&gt;&lt;D xsi:type="xsd:double"&gt;21.664417&lt;/D&gt;&lt;D xsi:type="xsd:double"&gt;23.47343&lt;/D&gt;&lt;D xsi:type="xsd:double"&gt;27.734709&lt;/D&gt;&lt;D xsi:type="xsd:double"&gt;26.710785&lt;/D&gt;&lt;D xsi:type="xsd:double"&gt;68.16856&lt;/D&gt;&lt;D xsi:type="xsd:double"&gt;78.84852&lt;/D&gt;&lt;D xsi:type="xsd:double"&gt;73.839485&lt;/D&gt;&lt;D xsi:type="xsd:double"&gt;68.848274&lt;/D&gt;&lt;D xsi:type="xsd:double"&gt;51.862846&lt;/D&gt;&lt;D xsi:type="xsd:double"&gt;42.13488&lt;/D&gt;&lt;D xsi:type="xsd:doubl</t>
        </r>
      </text>
    </comment>
    <comment ref="A6" authorId="0" shapeId="0" xr:uid="{CCF09C19-5FF9-4554-96AE-448C2445B85A}">
      <text>
        <r>
          <rPr>
            <b/>
            <sz val="9"/>
            <color indexed="81"/>
            <rFont val="Tahoma"/>
            <charset val="1"/>
          </rPr>
          <t>e"&gt;38.947166&lt;/D&gt;&lt;D xsi:type="xsd:double"&gt;25.492882&lt;/D&gt;&lt;D xsi:type="xsd:double"&gt;30.110205&lt;/D&gt;&lt;D xsi:type="xsd:double"&gt;20.441675&lt;/D&gt;&lt;D xsi:type="xsd:double"&gt;16.9232&lt;/D&gt;&lt;D xsi:type="xsd:double"&gt;1.357913&lt;/D&gt;&lt;D xsi:type="xsd:double"&gt;-15.792447&lt;/D&gt;&lt;D xsi:type="xsd:double"&gt;-14.402133&lt;/D&gt;&lt;D xsi:type="xsd:double"&gt;-25.134636&lt;/D&gt;&lt;D xsi:type="xsd:double"&gt;-26.68963&lt;/D&gt;&lt;D xsi:type="xsd:double"&gt;-32.128197&lt;/D&gt;&lt;D xsi:type="xsd:double"&gt;-26.010334&lt;/D&gt;&lt;D xsi:type="xsd:double"&gt;-31.514894&lt;/D&gt;&lt;D xsi:type="xsd:double"&gt;-36.03077&lt;/D&gt;&lt;D xsi:type="xsd:double"&gt;-25.26018&lt;/D&gt;&lt;D xsi:type="xsd:double"&gt;-22.220505&lt;/D&gt;&lt;D xsi:type="xsd:double"&gt;-20.48856&lt;/D&gt;&lt;D xsi:type="xsd:double"&gt;-13.809562&lt;/D&gt;&lt;D xsi:type="xsd:double"&gt;-3.968203&lt;/D&gt;&lt;D xsi:type="xsd:double"&gt;-3.8875341&lt;/D&gt;&lt;D xsi:type="xsd:double"&gt;12.335944&lt;/D&gt;&lt;D xsi:type="xsd:double"&gt;3.5046816&lt;/D&gt;&lt;D xsi:type="xsd:double"&gt;16.607273&lt;/D&gt;&lt;D xsi:type="xsd:double"&gt;0.9869218&lt;/D&gt;&lt;D xsi:type="xsd:double"&gt;8.343161&lt;/D&gt;&lt;D xsi:type="xsd:double"&gt;26.747381&lt;/D&gt;&lt;D xsi:type="xsd:double"&gt;0.267303&lt;/D&gt;&lt;D xsi:type="xsd:double"&gt;11.871576&lt;/D&gt;&lt;D xsi:type="xsd:double"&gt;10.302234&lt;/D&gt;&lt;D xsi:type="xsd:double"&gt;8.219683&lt;/D&gt;&lt;D xsi:type="xsd:double"&gt;24.119198&lt;/D&gt;&lt;D xsi:type="xsd:double"&gt;14.28504&lt;/D&gt;&lt;D xsi:type="xsd:double"&gt;15.536189&lt;/D&gt;&lt;D xsi:type="xsd:double"&gt;20.701958&lt;/D&gt;&lt;D xsi:type="xsd:double"&gt;21.320522&lt;/D&gt;&lt;/FQL&gt;&lt;FQL&gt;&lt;Q&gt;QQQ^FMA_PE(NTMA,-10AY,0,AM,"PORTAGG","MEANR")&lt;/Q&gt;&lt;R&gt;121&lt;/R&gt;&lt;C&gt;1&lt;/C&gt;&lt;D xsi:type="xsd:double"&gt;17.6110670683091&lt;/D&gt;&lt;D xsi:type="xsd:double"&gt;17.2326988383151&lt;/D&gt;&lt;D xsi:type="xsd:double"&gt;17.7904038639591&lt;/D&gt;&lt;D xsi:type="xsd:double"&gt;16.5901439608725&lt;/D&gt;&lt;D xsi:type="xsd:double"&gt;17.7946329147507&lt;/D&gt;&lt;D xsi:type="xsd:double"&gt;17.7956949581197&lt;/D&gt;&lt;D xsi:type="xsd:double"&gt;17.3055562398709&lt;/D&gt;&lt;D xsi:type="xsd:double"&gt;17.5276670269575&lt;/D&gt;&lt;D xsi:type="xsd:double"&gt;17.4826444052859&lt;/D&gt;&lt;D xsi:type="xsd:double"&gt;17.9983431695291&lt;/D&gt;&lt;D xsi:type="xsd:double"&gt;17.8295958999817&lt;/D&gt;&lt;D xsi:type="xsd:double"&gt;17.9004550922778&lt;/D&gt;&lt;D xsi:type="xsd:double"&gt;17.511051871763&lt;/D&gt;&lt;D xsi:type="xsd:double"&gt;18.295257726722&lt;/D&gt;&lt;D xsi:type="xsd:double"&gt;17.422084545231&lt;/D&gt;&lt;D xsi:type="xsd:double"&gt;17.5754550150943&lt;/D&gt;&lt;D xsi:type="xsd:double"&gt;18.5888177764273&lt;/D&gt;&lt;D xsi:type="xsd:double"&gt;18.1011851659073&lt;/D&gt;&lt;D xsi:type="xsd:double"&gt;17.2073713935488&lt;/D&gt;&lt;D xsi:type="xsd:double"&gt;16.0163125744445&lt;/D&gt;&lt;D xsi:type="xsd:double"&gt;17.4343936503334&lt;/D&gt;&lt;D xsi:type="xsd:double"&gt;17.727155705711&lt;/D&gt;&lt;D xsi:type="xsd:double"&gt;17.5267639781036&lt;/D&gt;&lt;D xsi:type="xsd:double"&gt;17.7249180260534&lt;/D&gt;&lt;D xsi:type="xsd:double"&gt;18.1516213644554&lt;/D&gt;&lt;D xsi:type="xsd:double"&gt;18.8327012653276&lt;/D&gt;&lt;D xsi:type="xsd:double"&gt;18.0902057284532&lt;/D&gt;&lt;D xsi:type="xsd:double"&gt;18.3884292940106&lt;/D&gt;&lt;D xsi:type="xsd:double"&gt;17.9364907802065&lt;/D&gt;&lt;D xsi:type="xsd:double"&gt;18.283669809778&lt;/D&gt;&lt;D xsi:type="xsd:double"&gt;18.684358083426&lt;/D&gt;&lt;D xsi:type="xsd:double"&gt;19.7525406103705&lt;/D&gt;&lt;D xsi:type="xsd:double"&gt;20.1288580166441&lt;/D&gt;&lt;D xsi:type="xsd:double"&gt;19.9390544478359&lt;/D&gt;&lt;D xsi:type="xsd:double"&gt;20.6711178527086&lt;/D&gt;&lt;D xsi:type="xsd:double"&gt;20.6409360776652&lt;/D&gt;&lt;D xsi:type="xsd:double"&gt;20.2103927074971&lt;/D&gt;&lt;D xsi:type="xsd:double"&gt;20.349037668167&lt;/D&gt;&lt;D xsi:type="xsd:double"&gt;20.5786310711785&lt;/D&gt;&lt;D xsi:type="xsd:double"&gt;20.627316087287&lt;/D&gt;&lt;D xsi:type="xsd:double"&gt;20.8736426741464&lt;/D&gt;&lt;D xsi:type="xsd:double"&gt;20.8804691358462&lt;/D&gt;&lt;D xsi:type="xsd:double"&gt;21.6251892773836&lt;/D&gt;&lt;D xsi:type="xsd:double"&gt;19.6565314103086&lt;/D&gt;&lt;D xsi:type="xsd:double"&gt;21.4751158155038&lt;/D&gt;&lt;D xsi:type="xsd:double"&gt;19.7075796937303&lt;/D&gt;&lt;D xsi:type="xsd:double"&gt;20.196240228418&lt;/D&gt;&lt;D xsi:type="xsd:double"&gt;20.5612714899533&lt;/D&gt;&lt;D xsi:type="xsd:double"&gt;20.6188716619341&lt;/D&gt;&lt;D xsi:type="xsd:double"&gt;20.58621890021&lt;/D&gt;&lt;D xsi:type="xsd:double"&gt;20.6175204794942&lt;/D&gt;&lt;D xsi:type="xsd:double"&gt;19.009146828458&lt;/D&gt;&lt;D xsi:type="xsd:double"&gt;19.046710566254&lt;/D&gt;&lt;D xsi:type="xsd:double"&gt;18.119461015514&lt;/D&gt;&lt;D xsi:type="xsd:double"&gt;18.1372047182048&lt;/D&gt;&lt;D xsi:type="xsd:double"&gt;19.0896822909987&lt;/D&gt;&lt;D xsi:type="xsd:double"&gt;19.8067663480177&lt;/D&gt;&lt;D xsi:type="xsd:double"&gt;20.8651806603826&lt;/D&gt;&lt;D xsi:type="xsd:double"&gt;20.7155399203374&lt;/D&gt;&lt;D xsi:type="xsd:double"&gt;20.3353852779834&lt;/D&gt;&lt;D xsi:type="xsd:double"&gt;21.3296604638566&lt;/D&gt;&lt;D xsi:type="xsd:double"&gt;20.474755478143&lt;/D&gt;&lt;D xsi:type="xsd:double"&gt;20.8917234599683&lt;/D&gt;&lt;D xsi:type="xsd:double"&gt;20.6079454240265&lt;/D&gt;&lt;D xsi:type="xsd:double"&gt;21.5038623356954&lt;/D&gt;&lt;D xsi:type="xsd:double"&gt;21.9142140539912&lt;/D&gt;&lt;D xsi:type="xsd:double"&gt;23.2526547515883&lt;/D&gt;&lt;D xsi:type="xsd:double"&gt;24.10676740303&lt;/D&gt;&lt;D xsi:type="xsd:double"&gt;20.2424599860421&lt;/D&gt;&lt;D xsi:type="xsd:double"&gt;22.2789833780514&lt;/D&gt;&lt;D xsi:type="xsd:double"&gt;26.669137406046&lt;/D&gt;&lt;D xsi:type="xsd:double"&gt;27.2320487038225&lt;/D&gt;&lt;D xsi:type="xsd:double"&gt;30.0704993187267&lt;/D&gt;&lt;D xsi:type="xsd:double"&gt;28.5579213478383&lt;/D&gt;&lt;D xsi:type="xsd:double"&gt;28.6459694278399&lt;/D&gt;&lt;D xsi:type="xsd:double"&gt;29.8249902022577&lt;/D&gt;&lt;D xsi:type="xsd:double"&gt;29.131570390979&lt;/D&gt;&lt;D xsi:type="xsd:double"&gt;29.6192077761311&lt;/D&gt;&lt;D xsi:type="xsd:double"&gt;29.9074238272506&lt;/D&gt;&lt;D xsi:type="xsd:double"&gt;30.1503575865534&lt;/D&gt;&lt;D xsi:type="xsd:double"&gt;27.9949596629162&lt;/D&gt;&lt;D xsi:type="xsd:double"&gt;29.4433194249634&lt;/D&gt;&lt;D xsi:type="xsd:double"&gt;26.5539751249904&lt;/D&gt;&lt;D xsi:type="xsd:double"&gt;27.4005084898069&lt;/D&gt;&lt;D xsi:type="xsd:double"&gt;28.7357355079268&lt;/D&gt;&lt;D xsi:type="xsd:double"&gt;27.8127556364963&lt;/D&gt;&lt;D xsi:type="xsd:double"&gt;28.255653802456&lt;/D&gt;&lt;D xsi:type="xsd:double"&gt;26.8525758162069&lt;/D&gt;&lt;D xsi:type="xsd:double"&gt;29.1012371157892&lt;/D&gt;&lt;D xsi:type="xsd:double"&gt;29.199178944872&lt;/D&gt;&lt;D xsi:type="xsd:double"&gt;28.2028649925777&lt;/D&gt;&lt;D xsi:type="xsd:double"&gt;25.0762051202908&lt;/D&gt;&lt;D xsi:type="xsd:double"&gt;23.0478844087594&lt;/D&gt;&lt;D xsi:type="xsd:double"&gt;24.0734583861338&lt;/D&gt;&lt;D xsi:type="xsd:double"&gt;20.7735391842099&lt;/D&gt;&lt;D xsi:type="xsd:double"&gt;20.3747039214141&lt;/D&gt;&lt;D xsi:type="xsd:double"&gt;20.5467454966547&lt;/D&gt;&lt;D xsi:type="xsd:double"&gt;23.6993197304367&lt;/D&gt;&lt;D xsi:type="xsd:double"&gt;22.3198636770907&lt;/D&gt;&lt;D xsi:type="xsd:double"&gt;19.2327792030747&lt;/D&gt;&lt;D xsi:type="xsd:double"&gt;22.0148633438598&lt;/D&gt;&lt;D xsi:type="xsd:double"&gt;21.4621614397935&lt;/D&gt;&lt;D xsi:type="xsd:double"&gt;21.7200942883695&lt;/D&gt;&lt;D xsi:type="xsd:double"&gt;23.7898835150005&lt;/D&gt;&lt;D xsi:type="xsd:double"&gt;22.6207215612666&lt;/D&gt;&lt;D xsi:type="xsd:double"&gt;24.5587234606508&lt;/D&gt;&lt;D xsi:type="xsd:double"&gt;24.711849065996&lt;/D&gt;&lt;D xsi:type="xsd:double"&gt;26.0839909514419&lt;/D&gt;&lt;D xsi:type="xsd:double"&gt;26.5327071381493&lt;/D&gt;&lt;D xsi:type="xsd:double"&gt;24.4462687526256&lt;/D&gt;&lt;D xsi:type="xsd:double"&gt;24.4872896039411&lt;/D&gt;&lt;D xsi:type="xsd:double"&gt;23.8900295242225&lt;/D&gt;&lt;D xsi:type="xsd:double"&gt;23.9914234996858&lt;/D&gt;&lt;D xsi:type="xsd:double"&gt;24.5043333858892&lt;/D&gt;&lt;D xsi:type="xsd:double"&gt;24.9678550741727&lt;/D&gt;&lt;D xsi:type="xsd:double"&gt;26.3894644281846&lt;/D&gt;&lt;D xsi:type="xsd:double"&gt;25.9357294792517&lt;/D&gt;&lt;D xsi:type="xsd:double"&gt;26.1288793237452&lt;/D&gt;&lt;D xsi:type="xsd:double"&gt;25.645637389427&lt;/D&gt;&lt;D xsi:type="xsd:double"&gt;26.5063283548824&lt;/D&gt;&lt;D xsi:type="xsd:double"&gt;27.5012873473499&lt;/D&gt;&lt;/FQL&gt;&lt;FQL&gt;&lt;Q&gt;ENZL^FMA_PE(LTMA,-10AY,0,AM,"PORTAGG","MEANR")&lt;/Q&gt;&lt;R&gt;121&lt;/R&gt;&lt;C&gt;1&lt;/C&gt;&lt;D xsi:type="xsd:double"&gt;17.9096378356181&lt;/D&gt;&lt;D xsi:type="xsd:double"&gt;17.8016636002514&lt;/D&gt;&lt;D xsi:type="xsd:double"&gt;17.9639098580911&lt;/D&gt;&lt;D xsi:type="xsd:double"&gt;17.8689048706871&lt;/D&gt;&lt;D xsi:type="xsd:double"&gt;18.8239085083771&lt;/D&gt;&lt;D xsi:type="xsd:double"&gt;18.8689903282454&lt;/D&gt;&lt;D xsi:type="xsd:double"&gt;19.2938661591459&lt;/D&gt;&lt;D xsi:type="xsd:double"&gt;20.0034143543103&lt;/D&gt;&lt;D xsi:type="xsd:double"&gt;20.4637628496401&lt;/D&gt;&lt;D xsi:type="xsd:double"&gt;20.2042178295739&lt;/D&gt;&lt;D xsi:type="xsd:double"&gt;20.0563270299678&lt;/D&gt;&lt;D xsi:type="xsd:double"&gt;19.9695865019611&lt;/D&gt;&lt;D xsi:type="xsd:double"&gt;19.6258591634084&lt;/D&gt;&lt;D xsi:type="xsd:double"&gt;19.6481427717267&lt;/D&gt;&lt;D xsi:type="xsd:double"&gt;19.0525039041733&lt;/D&gt;&lt;D xsi:type="xsd:double"&gt;18.6646324256699&lt;/D&gt;&lt;D xsi:type="xsd:double"&gt;19.483926495824&lt;/D&gt;&lt;D xsi:type="xsd:double"&gt;19.4732059544712&lt;/D&gt;&lt;D xsi:type="xsd:double"&gt;19.0946037167696&lt;/D&gt;&lt;D xsi:type="xsd:double"&gt;18.5619111999904&lt;/D&gt;&lt;D xsi:type="xsd:double"&gt;19.3356460295648&lt;/D&gt;&lt;D xsi:type="xsd:double"&gt;19.3132665623906&lt;/D&gt;&lt;D xsi:type="xsd:double"&gt;19.6296974870895&lt;/D&gt;&lt;D xsi:type="xsd:double"&gt;19.7688926499115&lt;/D&gt;&lt;D xsi:type="xsd:double"&gt;19.9830873776566&lt;/D&gt;&lt;D xsi:type="xsd:double"&gt;20.6710264481811&lt;/D&gt;&lt;D xsi:type="xsd:double"&gt;21.2835286217647&lt;/D&gt;&lt;D xsi:type="xsd:double"&gt;20.4324388585761&lt;/D&gt;&lt;D xsi:type="xsd:double"&gt;19.5124372077911&lt;/D&gt;&lt;D xsi:type="xsd:double"&gt;19.9085519685142&lt;/D&gt;&lt;D xsi:type="xsd:double"&gt;20.5088174860674&lt;/D&gt;&lt;D xsi:type="xsd:double"&gt;20.5522290996097&lt;/D&gt;&lt;D xsi:type="xsd:double"&gt;19.7930368561237&lt;/D&gt;&lt;D xsi:type="xsd:double"&gt;19.8350746247794&lt;/D&gt;&lt;D xsi:type="xsd:double"&gt;20.0628590216386&lt;/D&gt;&lt;D xsi:type="xsd:double"&gt;19.946115112116&lt;/D&gt;&lt;D xsi:type="xsd:double"&gt;20.1029674192931&lt;/D&gt;&lt;D xsi:type="xsd:double"&gt;20.4946706374448&lt;/D&gt;&lt;D xsi:type="xsd:double"&gt;20.7065653846174&lt;/D&gt;&lt;D xsi:type="xsd:double"&gt;20.8477100587071&lt;/D&gt;&lt;D xsi:type="xsd:double"&gt;21.0391634695554&lt;/D&gt;&lt;D xsi:type="xsd:double"&gt;21.9340642152076&lt;/D&gt;&lt;D xsi:type="xsd:double"&gt;21.8608735172736&lt;/D&gt;&lt;D xsi:type="xsd:double"&gt;20.4918446230976&lt;/D&gt;&lt;D xsi:type="xsd:double"&gt;22.5603705497098&lt;/D&gt;&lt;D xsi:type="xsd:double"&gt;22.4100821352874&lt;/D&gt;&lt;D xsi:type="xsd:double"&gt;22.4615906030511&lt;/D&gt;&lt;D xsi:type="xsd:double"&gt;22.7598230887273&lt;/D&gt;&lt;D xsi:type="xsd:double"&gt;22.8883966048082&lt;/D&gt;&lt;D xsi:type="xsd:double"&gt;23.0521914419907&lt;/D&gt;&lt;D xsi:type="xsd:double"&gt;23.5313911524807&lt;/D&gt;&lt;D xsi:type="xsd:double"&gt;22.4501599788018&lt;/D&gt;&lt;D xsi:type="xsd:double"&gt;23.1008487815122&lt;/D&gt;&lt;D xsi:type="xsd:double"&gt;22.5910878441937&lt;/D&gt;&lt;D xsi:type="xsd:double"&gt;23.2702327107766&lt;/D&gt;&lt;D xsi:type="xsd:double"&gt;23.8402876518877&lt;/D&gt;&lt;D xsi:type="xsd:double"&gt;24.1315269646477&lt;/D&gt;&lt;D xsi:type="xsd:double"&gt;24.0631204979166&lt;/D&gt;&lt;D xsi:type="xsd:double"&gt;24.2429538514557&lt;/D&gt;&lt;D xsi:type="xsd:double"&gt;24.222283608966&lt;/D&gt;&lt;D xsi:type="xsd:double"&gt;25.0057681900134&lt;/D&gt;&lt;D xsi:type="xsd:double"&gt;25.4422551338654&lt;/D&gt;&lt;D xsi:type="xsd:double"&gt;28.4457124878746&lt;/D&gt;&lt;D xsi:type="xsd:double"&gt;28.7125919732495&lt;/D&gt;&lt;D xsi:type="xsd:double"&gt;29.2626714460513&lt;/D&gt;&lt;D xsi:type="xsd:double"&gt;31.3785509880758&lt;/D&gt;&lt;D xsi:type="xsd:double"&gt;32.3702856866614&lt;/D&gt;&lt;D xsi:type="xsd:double"&gt;33.1478754011266&lt;/D&gt;&lt;D xsi:type="xsd:double"&gt;30.753201507957&lt;/D&gt;&lt;D xsi:type="xsd:double"&gt;30.7890893984906&lt;/D&gt;&lt;D xsi:type="xsd:double"&gt;32.0496445007059&lt;/D&gt;&lt;D xsi:type="xsd:double"&gt;32.239198207276&lt;/D&gt;&lt;D xsi:type="xsd:double"&gt;33.2079643467989&lt;/D&gt;&lt;D xsi:type="xsd:double"&gt;33.9819268078474&lt;/D&gt;&lt;D xsi:type="xsd:double"&gt;33.7593155996043&lt;/D&gt;&lt;D xsi:type="xsd:double"&gt;35.0361357978003&lt;/D&gt;&lt;D xsi:type="xsd:double"&gt;35.8197687092209&lt;/D&gt;&lt;D xsi:type="xsd:double"&gt;37.1212536720626&lt;/D&gt;&lt;D xsi:type="xsd:double"&gt;38.2691661213967&lt;/D&gt;&lt;D xsi:type="xsd:double"&gt;35.3654147144884&lt;/D&gt;&lt;D xsi:type="xsd:double"&gt;34.3722005356456&lt;/D&gt;&lt;D xsi:type="xsd:double"&gt;34.4754655488868&lt;/D&gt;&lt;D xsi:type="xsd:double"&gt;34.918058506712&lt;/D&gt;&lt;D xsi:type="xsd:double"&gt;35.3670873351657&lt;/D&gt;&lt;D xsi:type="xsd:double"&gt;36.4228497855203&lt;/D&gt;&lt;D xsi:type="xsd:double"&gt;36.8320275028811&lt;/D&gt;&lt;D xsi:type="xsd:double"&gt;38.3842548037291&lt;/D&gt;&lt;D xsi:type="xsd:double"&gt;38.4143205438745&lt;/D&gt;&lt;D xsi:type="xsd:double"&gt;39.1918092372763&lt;/D&gt;&lt;D xsi:type="xsd:double"&gt;39.3060316456823&lt;/D&gt;&lt;D xsi:type="xsd:double"&gt;38.5275557468118&lt;/D&gt;&lt;D xsi:type="xsd:double"&gt;36.833960226324&lt;/D&gt;&lt;D xsi:type="xsd:double"&gt;35.072985904635&lt;/D&gt;&lt;D xsi:type="xsd:double"&gt;34.5511119156688&lt;/D&gt;&lt;D xsi:type="xsd:double"&gt;34.2760667391997&lt;/D&gt;&lt;D xsi:type="xsd:double"&gt;33.2953246492655&lt;/D&gt;&lt;D xsi:type="xsd:double"&gt;32.9917737261157&lt;/D&gt;&lt;D xsi:type="xsd:double"&gt;33.45529873339&lt;/D&gt;&lt;D xsi:type="xsd:double"&gt;34.3223276342766&lt;/D&gt;&lt;D xsi:type="xsd:double"&gt;31.4193896038389&lt;/D&gt;&lt;D xsi:type="xsd:double"&gt;31.2948009576031&lt;/D&gt;&lt;D xsi:type="xsd:double"&gt;29.5336256195383&lt;/D&gt;&lt;D xsi:type="xsd:double"&gt;29.430977385565&lt;/D&gt;&lt;D xsi:type="xsd:double"&gt;30.1105232049034&lt;/D&gt;&lt;D xsi:type="xsd:double"&gt;29.2819773512989&lt;/D&gt;&lt;D xsi:type="xsd:double"&gt;28.7393326297613&lt;/D&gt;&lt;D xsi:type="xsd:double"&gt;28.2334359884153&lt;/D&gt;&lt;D xsi:type="xsd:double"&gt;26.4766955421626&lt;/D&gt;&lt;D xsi:type="xsd:double"&gt;25.7994019098141&lt;/D&gt;&lt;D xsi:type="xsd:double"&gt;24.8749917649049&lt;/D&gt;&lt;D xsi:type="xsd:double"&gt;24.119067250312&lt;/D&gt;&lt;D xsi:type="xsd:double"&gt;23.5003573867012&lt;/D&gt;&lt;D xsi:type="xsd:double"&gt;22.6825770307956&lt;/D&gt;&lt;D xsi:type="xsd:double"&gt;23.4579588618341&lt;/D&gt;&lt;D xsi:type="xsd:double"&gt;24.0021673982946&lt;/D&gt;&lt;D xsi:type="xsd:double"&gt;23.29424360869&lt;/D&gt;&lt;D xsi:type="xsd:double"&gt;23.788477484841&lt;/D&gt;&lt;D xsi:type="xsd:double"&gt;24.1000866429016&lt;/D&gt;&lt;D xsi:type="xsd:double"&gt;24.4441135638509&lt;/D&gt;&lt;D xsi:type="xsd:double"&gt;24.157461833726&lt;/D&gt;&lt;D xsi:type="xsd:double"&gt;24.5931299106408&lt;/D&gt;&lt;/FQL&gt;&lt;FQL&gt;&lt;Q&gt;PASP-FDS^FG_PRICE_CHANGE(0,-1AM)&lt;/Q&gt;&lt;R&gt;1&lt;/R&gt;&lt;C&gt;1&lt;/C&gt;&lt;D xsi:type="xsd:double"&gt;12.0708748615725&lt;/D&gt;&lt;/FQL&gt;&lt;FQL&gt;&lt;Q&gt;COPP-FDS^FG_PRICE_CHANGE(0,-6AM)&lt;/Q&gt;&lt;R&gt;1&lt;/R&gt;&lt;C&gt;1&lt;/C&gt;&lt;D xsi:type="xsd:double"&gt;19.3830266119423&lt;/D&gt;&lt;/FQL&gt;&lt;FQL&gt;&lt;Q&gt;FC0000CH^FG_PRICE(0)&lt;/Q&gt;&lt;R&gt;1&lt;/R&gt;&lt;C&gt;1&lt;/C&gt;&lt;D xsi:type="xsd:double"&gt;337.6507&lt;/D&gt;&lt;/FQL&gt;&lt;FQL&gt;&lt;Q&gt;EWI^FG_PRICE_MAVG(0,,,,200)&lt;/Q&gt;&lt;R&gt;1&lt;/R&gt;&lt;C&gt;1&lt;/C&gt;&lt;D xsi:type="xsd:double"&gt;34.67775&lt;/D&gt;&lt;/FQL&gt;&lt;FQL&gt;&lt;Q&gt;QQQ^FG_PRICE_MAVG(0,,,,30)&lt;/Q&gt;&lt;R&gt;1&lt;/R&gt;&lt;C&gt;1&lt;/C&gt;&lt;D xsi:type="xsd:double"&gt;476.38068&lt;/D&gt;&lt;/FQL&gt;&lt;FQL&gt;&lt;Q&gt;EWA^FG_PRICE_MAVG(0,,,,200)&lt;/Q&gt;&lt;R&gt;1&lt;/R&gt;&lt;C&gt;1&lt;/C&gt;&lt;D xsi:type="xsd:double"&gt;23.4537&lt;/D&gt;&lt;/FQL&gt;&lt;FQL&gt;&lt;Q&gt;FXI^FG_TOTAL_RETURNC(0,-1AM)&lt;/Q&gt;&lt;R&gt;1&lt;/R&gt;&lt;C&gt;1&lt;/C&gt;&lt;D xsi:type="xsd:double"&gt;1.7755985&lt;/D&gt;&lt;/FQL&gt;&lt;FQL&gt;&lt;Q&gt;SPY^SIZE(FG_CONSTITUENTS)&lt;/Q&gt;&lt;R&gt;1&lt;/R&gt;&lt;C&gt;1&lt;/C&gt;&lt;D xsi:type="xsd:long"&gt;503&lt;/D&gt;&lt;/FQL&gt;&lt;FQL&gt;&lt;Q&gt;EWG^SIZE(FG_CONSTITUENTS)&lt;/Q&gt;&lt;R&gt;1&lt;/R&gt;&lt;C&gt;1&lt;/C&gt;&lt;D xsi:type="xsd:long"&gt;58&lt;/D&gt;&lt;/FQL&gt;&lt;FQL&gt;&lt;Q&gt;EWD^FG_ROE(0)&lt;/Q&gt;&lt;R&gt;1&lt;/R&gt;&lt;C&gt;1&lt;/C&gt;&lt;D xsi:type="xsd:double"&gt;16.7991163208058&lt;/D&gt;&lt;/FQL&gt;&lt;FQL&gt;&lt;Q&gt;TRYJP10Y-FDS^FG_YIELD_NAME&lt;/Q&gt;&lt;R&gt;1&lt;/R&gt;&lt;C&gt;1&lt;/C&gt;&lt;D xsi:type="xsd:string"&gt;Japan Benchmark Bond - 10 Year&lt;/D&gt;&lt;/FQL&gt;&lt;FQL&gt;&lt;Q&gt;REFEUREFI-FDS^PROPER_NAME(0,,,"SECURITY","NAME")&lt;/Q&gt;&lt;R&gt;1&lt;/R&gt;&lt;C&gt;1&lt;/C&gt;&lt;D xsi:type="xsd:string"&gt;Eurozone Main Refinancing Operations Minimum Bid Rate&lt;/D&gt;&lt;/FQL&gt;&lt;FQL&gt;&lt;Q&gt;REFCHMPR-FDS^(SUBARRAY(NOT_NA(NO_REPEAT_F(FG_YIELD(NOW,-10AY,D))),0,1)-SUBARRAY(NOT_NA(NO_REPEAT_F(FG_YIELD(NOW,-10AY,D))),1,1))*100&lt;/Q&gt;&lt;R&gt;1&lt;/R&gt;&lt;C&gt;1&lt;/C&gt;&lt;D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xsi:type="xsd:double"&gt;-25&lt;/D&gt;&lt;/FQL&gt;&lt;FQL&gt;&lt;Q&gt;CC_GB^IMF_IFS_RCPI_Q(0)&lt;/Q&gt;&lt;R&gt;0&lt;/R&gt;&lt;C&gt;0&lt;/C&gt;&lt;/FQL&gt;&lt;FQL&gt;&lt;Q&gt;SPY^FG_COMPANY_NAME&lt;/Q&gt;&lt;R&gt;1&lt;/R&gt;&lt;C&gt;1&lt;/C&gt;&lt;D xsi:type="xsd:string"&gt;SPDR S&amp;amp;P 500 ETF Trust&lt;/D&gt;&lt;/FQL&gt;&lt;FQL&gt;&lt;Q&gt;EWG^FMA_ROE(NTMA,-20AY,NOW,FY,"PORTAGG","MEANR")&lt;/Q&gt;&lt;R&gt;20&lt;/R&gt;&lt;C&gt;1&lt;/C&gt;&lt;D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xsi:type="xsd:double"&gt;11.9489916743573&lt;/D&gt;&lt;/FQL&gt;&lt;FQL&gt;&lt;Q&gt;TRYCN10Y-FDS^FG_YIELD(-10AY,0,Y,,"YTM")&lt;/Q&gt;&lt;R&gt;10&lt;/R&gt;&lt;C&gt;1&lt;/C&gt;&lt;D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xsi:type="xsd:double"&gt;2.574&lt;/D&gt;&lt;/FQL&gt;&lt;FQL&gt;&lt;Q&gt;CAGDPY@DE^EE_ACTUAL_ANNUAL(MED,+1)&lt;/Q&gt;&lt;R&gt;1&lt;/R&gt;&lt;C&gt;1&lt;/C&gt;&lt;D xsi:type="xsd:double"&gt;6.5&lt;/D&gt;&lt;/FQL&gt;&lt;FQL&gt;&lt;Q&gt;USDCHF^FG_PRICE_CHANGE(0,-1AM)&lt;/Q&gt;&lt;R&gt;1&lt;/R&gt;&lt;C&gt;1&lt;/C&gt;&lt;D xsi:type="xsd:double"&gt;-0.6116152&lt;/D&gt;&lt;/FQL&gt;&lt;FQL&gt;&lt;Q&gt;USDGBP^FG_PRICE_CHANGE(0,-6AM)&lt;/Q&gt;&lt;R&gt;1&lt;/R&gt;&lt;C&gt;1&lt;/C&gt;&lt;D xsi:type="xsd:double"&gt;-1.6441643&lt;/D&gt;&lt;/FQL&gt;&lt;FQL&gt;&lt;Q&gt;EWI^P_PRICE_RETURNS_PR('52W',2,-10AY,0,AM)&lt;/Q&gt;&lt;R&gt;121&lt;/R&gt;&lt;C&gt;1&lt;/C&gt;&lt;D xsi:type="xsd:double"&gt;39.275753&lt;/D&gt;&lt;D xsi:type="xsd:double"&gt;14.815653&lt;/D&gt;&lt;D xsi:type="xsd:double"&gt;19.080317&lt;/D&gt;&lt;D xsi:type="xsd:double"&gt;-3.4401894&lt;/D&gt;&lt;D xsi:type="xsd:double"&gt;-3.1117022&lt;/D&gt;&lt;D xsi:type="xsd:double"&gt;-2.0462334&lt;/D&gt;&lt;D xsi:type="xsd:double"&gt;-16.682983&lt;/D&gt;&lt;D xsi:type="xsd:double"&gt;-12.481033&lt;/D&gt;&lt;D xsi:type="xsd:double"&gt;-14.133138&lt;/D&gt;&lt;D xsi:type="xsd:double"&gt;-11.398989&lt;/D&gt;&lt;D xsi:type="xsd:double"&gt;-9.376287&lt;/D&gt;&lt;D xsi:type="xsd:double"&gt;-10.317362&lt;/D&gt;&lt;D xsi:type="xsd:double"&gt;-6.457293&lt;/D&gt;&lt;D xsi:type="xsd:double"&gt;4.799354&lt;/D&gt;&lt;D xsi:type="xsd:double"&gt;-6.054282&lt;/D&gt;&lt;D xsi:type="xsd:double"&gt;7.553613&lt;/D&gt;&lt;D xsi:type="xsd:double"&gt;2.1139503&lt;/D&gt;&lt;D xsi:type="xsd:double"&gt;-0.07815957&lt;/D&gt;&lt;D xsi:type="xsd:double"&gt;2.1486402&lt;/D&gt;&lt;D xsi:type="xsd:double"&gt;-20.760065&lt;/D&gt;&lt;D xsi:type="xsd:double"&gt;-9.896982&lt;/D&gt;&lt;D xsi:type="xsd:double"&gt;-19.44036&lt;/D&gt;&lt;D xsi:type="xsd:double"&gt;-20.627457&lt;/D&gt;&lt;D xsi:type="xsd:double"&gt;-24.54905&lt;/D&gt;&lt;D xsi:type="xsd:double"&gt;-28.259998&lt;/D&gt;&lt;D xsi:type="xsd:double"&gt;-26.33304&lt;/D&gt;&lt;D xsi:type="xsd:double"&gt;-19.545109&lt;/D&gt;&lt;D xsi:type="xsd:double"&gt;-26.236898&lt;/D&gt;&lt;D xsi:type="xsd:double"&gt;-20.764833&lt;/D&gt;&lt;D xsi:type="xsd:double"&gt;-13.947892&lt;/D&gt;&lt;D xsi:type="xsd:double"&gt;-0.83925724&lt;/D&gt;&lt;D xsi:type="xsd:double"&gt;10.771108&lt;/D&gt;&lt;D xsi:type="xsd:double"&gt;6.208098&lt;/D&gt;&lt;D xsi:type="xsd:double"&gt;9.9424&lt;/D&gt;&lt;D xsi:type="xsd:double"&gt;19.372225&lt;/D&gt;&lt;D xsi:type="xsd:double"&gt;20.288288&lt;/D&gt;&lt;D xsi:type="xsd:double"&gt;37.721027&lt;/D&gt;&lt;D xsi:type="xsd:double"&gt;35.031963&lt;/D&gt;&lt;D xsi:type="xsd:double"&gt;39.63957&lt;/D&gt;&lt;D xsi:type="xsd:double"&gt;47.67562&lt;/D&gt;&lt;D xsi:type="xsd:double"&gt;42.66759&lt;/D&gt;&lt;D xsi:type="xsd:double"&gt;37.10028&lt;/D&gt;&lt;D xsi:type="xsd:double"&gt;35.565376&lt;/D&gt;&lt;D xsi:type="xsd:double"&gt;36.365734&lt;/D&gt;&lt;D xsi:type="xsd:double"&gt;36.285877&lt;/D&gt;&lt;D xsi:type="xsd:double"&gt;34.033775&lt;/D&gt;&lt;D xsi:type="xsd:double"&gt;24.101437&lt;/D&gt;&lt;D xsi:type="xsd:double"&gt;11.339796&lt;/D&gt;&lt;D xsi:type="xsd:double"&gt;5.181575&lt;/D&gt;&lt;D xsi:type="xsd:double"&gt;-3.4802139&lt;/D&gt;&lt;D xsi:type="xsd:double"&gt;-6.9309235&lt;/D&gt;&lt;D xsi:type="xsd:double"&gt;-14.662486&lt;/D&gt;&lt;D xsi:type="xsd:double"&gt;-14.641464&lt;/D&gt;&lt;D xsi:type="xsd:double"&gt;-18.630445&lt;/D&gt;&lt;D xsi:type="xsd:double"&gt;-18.651522&lt;/D&gt;&lt;D xsi:type="xsd:double"&gt;-15.853394&lt;/D&gt;&lt;D xsi:type="xsd:double"&gt;-13.727129&lt;/D&gt;&lt;D xsi:type="xsd:double"&gt;-11.235189&lt;/D&gt;&lt;D xsi:type="xsd:double"&gt;-14.768988&lt;/D&gt;&lt;D xsi:type="xsd:double"&gt;-6.838375&lt;/D&gt;&lt;D xsi:type="xsd:double"&gt;3.140986&lt;/D&gt;&lt;D xsi:type="xsd:double"&gt;-5.4775057&lt;/D&gt;&lt;D xsi:type="xsd:double"&gt;3.1881452&lt;/D&gt;&lt;D xsi:type="xsd:double"&gt;12.832737&lt;/D&gt;&lt;D xsi:type="xsd:double"&gt;21.27409&lt;/D&gt;&lt;D xsi:type="xsd:double"&gt;23.111797&lt;/D&gt;&lt;D xsi:type="xsd:double"&gt;20.115936&lt;/D&gt;&lt;D xsi:type="xsd:double"&gt;22.177172&lt;/D&gt;&lt;D xsi:type="xsd:double"&gt;-14.337873&lt;/D&gt;&lt;D xsi:type="xsd:double"&gt;-20.528275&lt;/D&gt;&lt;D xsi:type="xsd:double"&gt;-21.28777&lt;/D&gt;&lt;D xsi:type="xsd:double"&gt;-11.958843&lt;/D&gt;&lt;D xsi:type="xsd:double"&gt;-10.991359&lt;/D&gt;&lt;D xsi:type="xsd:double"&gt;1.4357924&lt;/D&gt;&lt;D xsi:type="xsd:double"&gt;-5.02373&lt;/D&gt;&lt;D xsi:type="xsd:double"&gt;-4.81236&lt;/D&gt;&lt;D xsi:type="xsd:double"&gt;-6.64593&lt;/D&gt;&lt;D xsi:type="xsd:double"&gt;1.8901587&lt;/D&gt;&lt;D xsi:type="xsd:double"&gt;3.1517148&lt;/D&gt;&lt;D xsi:type="xsd:double"&gt;4.220915&lt;/D&gt;&lt;D xsi:type="xsd:double"&gt;44.874657&lt;/D&gt;&lt;D xsi:type="xsd:double"&gt;50.167538&lt;/D&gt;&lt;D xsi:type="xsd:double"&gt;59.429146&lt;/D&gt;&lt;D xsi:type="xsd:double"&gt;49.77491&lt;/D&gt;&lt;D xsi:type="xsd:double"&gt;34.666157&lt;/D&gt;&lt;D xsi:type="xsd:double"&gt;32.770584&lt;/D&gt;&lt;D xsi:type="xsd:double"&gt;29.371489&lt;/D&gt;&lt;D xsi:type="xsd:double"&gt;29.024733&lt;/D&gt;&lt;D xsi:type="xsd:double"&gt;27.927912&lt;/D&gt;&lt;D xsi:type="xsd:double"&gt;13.712776&lt;/D&gt;&lt;D xsi:type="xsd:double"&gt;14.078641&lt;/D&gt;&lt;D xsi:type="xsd:double"&gt;7.3375583&lt;/D&gt;&lt;D xsi:type="xsd:double"&gt;-12.605101&lt;/D&gt;&lt;D xsi:type="xsd:double"&gt;-5.924201&lt;/D&gt;&lt;D xsi:type="xsd:double"&gt;-15.534491&lt;/D&gt;&lt;D xsi:type="xsd:double"&gt;-21.45728&lt;/D&gt;&lt;D xsi:type="xsd:double"&gt;-24.542475&lt;/D&gt;&lt;D xsi:type="xsd:double"&gt;-21.667141&lt;/D&gt;&lt;D xsi:type="xsd:double"&gt;-23.75772&lt;/D&gt;&lt;D xsi:type="xsd:double"&gt;-29.566061&lt;/D&gt;&lt;D xsi:type="xsd:double"&gt;-15.555531&lt;/D&gt;&lt;D xsi:type="xsd:double"&gt;-11.833096&lt;/D&gt;&lt;D xsi:type="xsd:double"&gt;-8.579599&lt;/D&gt;&lt;D xsi:type="xsd:double"&gt;-3.799808&lt;/D&gt;&lt;D xsi:type="xsd:double"&gt;13.878655&lt;/D&gt;&lt;D xsi:type="xsd:double"&gt;12.148714&lt;/D&gt;&lt;D xsi:type="xsd:double"&gt;23.104668&lt;/D&gt;&lt;D xsi:type="xsd:double"&gt;18.269575&lt;/D&gt;&lt;D xsi:type="xsd:double"&gt;42.416298&lt;/D&gt;&lt;D xsi:type="xsd:double"&gt;31.808674&lt;/D&gt;&lt;D xsi:type="xsd:double"&gt;37.960564&lt;/D&gt;&lt;D xsi:type="xsd:double"&gt;48.445847&lt;/D&gt;&lt;D xsi:type="xsd:double"&gt;21.05466&lt;/D&gt;&lt;D xsi:type="xsd:double"&gt;26.91412&lt;/D&gt;&lt;D xsi:type="xsd:double"&gt;20.041143&lt;/D&gt;&lt;D xsi:type="xsd:double"&gt;15.485358&lt;/D&gt;&lt;D xsi:type="xsd:double"&gt;28.177774&lt;/D&gt;&lt;D xsi:type="xsd:double"&gt;21.576107&lt;/D&gt;&lt;D xsi:type="xsd:double"&gt;25.381983&lt;/D&gt;&lt;D xsi:type="xsd:double"&gt;25.5939&lt;/D&gt;&lt;D xsi:type="xsd:double"&gt;22.052872&lt;/D&gt;&lt;/FQL&gt;&lt;FQL&gt;&lt;Q&gt;EWA^FMA_PE(LTMA,-10AY,0,AM,"PORTAGG","MEANR")&lt;/Q&gt;&lt;R&gt;121&lt;/R&gt;&lt;C&gt;1&lt;/C&gt;&lt;D xsi:type="xsd:double"&gt;15.2998893822455&lt;/D&gt;&lt;D xsi:type="xsd:double"&gt;15.1949198025421&lt;/D&gt;&lt;D xsi:type="xsd:double"&gt;15.3017169657748&lt;/D&gt;&lt;D xsi:type="xsd:double"&gt;14.5620837773082&lt;/D&gt;&lt;D xsi:type="xsd:double"&gt;15.24846172731&lt;/D&gt;&lt;D xsi:type="xsd:double"&gt;14.1742908967176&lt;/D&gt;&lt;D xsi:type="xsd:double"&gt;14.9696334262436&lt;/D&gt;&lt;D xsi:type="xsd:double"&gt;15.6754765824677&lt;/D&gt;&lt;D xsi:type="xsd:double"&gt;16.1345332579748&lt;/D&gt;&lt;D xsi:type="xsd:double"&gt;16.3754703964034&lt;/D&gt;&lt;D xsi:type="xsd:double"&gt;16.1650131630608&lt;/D&gt;&lt;D xsi:type="xsd:double"&gt;15.9907021984802&lt;/D&gt;&lt;D xsi:type="xsd:double"&gt;15.8603446039008&lt;/D&gt;&lt;D xsi:type="xsd:double"&gt;15.8792735670211&lt;/D&gt;&lt;D xsi:type="xsd:double"&gt;15.2345937139231&lt;/D&gt;&lt;D xsi:type="xsd:double"&gt;15.7686341041972&lt;/D&gt;&lt;D xsi:type="xsd:double"&gt;15.2774215107408&lt;/D&gt;&lt;D xsi:type="xsd:double"&gt;15.1460539267285&lt;/D&gt;&lt;D xsi:type="xsd:double"&gt;14.8500195356016&lt;/D&gt;&lt;D xsi:type="xsd:double"&gt;14.7391598693672&lt;/D&gt;&lt;D xsi:type="xsd:double"&gt;15.1551611205159&lt;/D&gt;&lt;D xsi:type="xsd:double"&gt;15.0466853873834&lt;/D&gt;&lt;D xsi:type="xsd:double"&gt;15.669861508333&lt;/D&gt;&lt;D xsi:type="xsd:double"&gt;15.7523770220437&lt;/D&gt;&lt;D xsi:type="xsd:double"&gt;15.940670403655&lt;/D&gt;&lt;D xsi:type="xsd:double"&gt;16.5571943871816&lt;/D&gt;&lt;D xsi:type="xsd:double"&gt;16.3410469681811&lt;/D&gt;&lt;D xsi:type="xsd:double"&gt;16.9065211986465&lt;/D&gt;&lt;D xsi:type="xsd:double"&gt;16.9991673123515&lt;/D&gt;&lt;D xsi:type="xsd:double"&gt;17.4724396473507&lt;/D&gt;&lt;D xsi:type="xsd:double"&gt;18.0301362147398&lt;/D&gt;&lt;D xsi:type="xsd:double"&gt;17.7663985794786&lt;/D&gt;&lt;D xsi:type="xsd:double"&gt;17.486200019872&lt;/D&gt;&lt;D xsi:type="xsd:double"&gt;17.3513524062745&lt;/D&gt;&lt;D xsi:type="xsd:double"&gt;17.1620120437372&lt;/D&gt;&lt;D xsi:type="xsd:double"&gt;16.7711077057384&lt;/D&gt;&lt;D xsi:type="xsd:double"&gt;16.7429675272664&lt;/D&gt;&lt;D xsi:type="xsd:double"&gt;16.6679885377975&lt;/D&gt;&lt;D xsi:type="xsd:double"&gt;16.5487662926911&lt;/D&gt;&lt;D xsi:type="xsd:double"&gt;16.4303225697227&lt;/D&gt;&lt;D xsi:type="xsd:double"&gt;16.8909540358367&lt;/D&gt;&lt;D xsi:type="xsd:double"&gt;16.5907472768174&lt;/D&gt;&lt;D xsi:type="xsd:double"&gt;16.767378506704&lt;/D&gt;&lt;D xsi:type="xsd:double"&gt;16.1209237484529&lt;/D&gt;&lt;D xsi:type="xsd:double"&gt;16.502246099838&lt;/D&gt;&lt;D xsi:type="xsd:double"&gt;16.2881816121046&lt;/D&gt;&lt;D xsi:type="xsd:double"&gt;16.3708513830814&lt;/D&gt;&lt;D xsi:type="xsd:double"&gt;16.1602221608266&lt;/D&gt;&lt;D xsi:type="xsd:double"&gt;16.2547014388167&lt;/D&gt;&lt;D xsi:type="xsd:double"&gt;16.3409066884196&lt;/D&gt;&lt;D xsi:type="xsd:double"&gt;16.0171793677876&lt;/D&gt;&lt;D xsi:type="xsd:double"&gt;15.4013940276661&lt;/D&gt;&lt;D xsi:type="xsd:double"&gt;15.4997242575337&lt;/D&gt;&lt;D xsi:type="xsd:double"&gt;14.5697614113422&lt;/D&gt;&lt;D xsi:type="xsd:double"&gt;14.9955251256875&lt;/D&gt;&lt;D xsi:type="xsd:double"&gt;15.6424433502083&lt;/D&gt;&lt;D xsi:type="xsd:double"&gt;15.8749665663695&lt;/D&gt;&lt;D xsi:type="xsd:double"&gt;15.828333712241&lt;/D&gt;&lt;D xsi:type="xsd:double"&gt;15.8579948762101&lt;/D&gt;&lt;D xsi:type="xsd:double"&gt;16.1061937728592&lt;/D&gt;&lt;D xsi:type="xsd:double"&gt;16.2691059096899&lt;/D&gt;&lt;D xsi:type="xsd:double"&gt;16.2636799741993&lt;/D&gt;&lt;D xsi:type="xsd:double"&gt;16.6135642277557&lt;/D&gt;&lt;D xsi:type="xsd:double"&gt;16.8178855295161&lt;/D&gt;&lt;D xsi:type="xsd:double"&gt;17.5868738522244&lt;/D&gt;&lt;D xsi:type="xsd:double"&gt;17.6941479577353&lt;/D&gt;&lt;D xsi:type="xsd:double"&gt;18.3003286936778&lt;/D&gt;&lt;D xsi:type="xsd:double"&gt;18.575611366524&lt;/D&gt;&lt;D xsi:type="xsd:double"&gt;16.6201124533699&lt;/D&gt;&lt;D xsi:type="xsd:double"&gt;16.7400853802088&lt;/D&gt;&lt;D xsi:type="xsd:double"&gt;17.4191243146542&lt;/D&gt;&lt;D xsi:type="xsd:double"&gt;18.5059018452608&lt;/D&gt;&lt;D xsi:type="xsd:double"&gt;18.5377572839866&lt;/D&gt;&lt;D xsi:type="xsd:double"&gt;19.509748123914&lt;/D&gt;&lt;D xsi:type="xsd:double"&gt;19.2094278903286&lt;/D&gt;&lt;D xsi:type="xsd:double"&gt;19.9101742863037&lt;/D&gt;&lt;D xsi:type="xsd:double"&gt;21.3483145505741&lt;/D&gt;&lt;D xsi:type="xsd:double"&gt;22.528460991956&lt;/D&gt;&lt;D xsi:type="xsd:double"&gt;23.3412426842149&lt;/D&gt;&lt;D xsi:type="xsd:double"&gt;23.1005575326384&lt;/D&gt;&lt;D xsi:type="xsd:double"&gt;21.6503772072194&lt;/D&gt;&lt;D xsi:type="xsd:double"&gt;21.3121881870479&lt;/D&gt;&lt;D xsi:type="xsd:double"&gt;20.9293647412989&lt;/D&gt;&lt;D xsi:type="xsd:double"&gt;20.5733404174323&lt;/D&gt;&lt;D xsi:type="xsd:double"&gt;19.6245206930597&lt;/D&gt;&lt;D xsi:type="xsd:double"&gt;19.3209657799166&lt;/D&gt;&lt;D xsi:type="xsd:double"&gt;18.7883007718241&lt;/D&gt;&lt;D xsi:type="xsd:double"&gt;18.5564526313149&lt;/D&gt;&lt;D xsi:type="xsd:double"&gt;18.2466947039735&lt;/D&gt;&lt;D xsi:type="xsd:double"&gt;17.8301644683925&lt;/D&gt;&lt;D xsi:type="xsd:double"&gt;17.6378527331635&lt;/D&gt;&lt;D xsi:type="xsd:double"&gt;16.1147456180129&lt;/D&gt;&lt;D xsi:type="xsd:double"&gt;15.6568677021589&lt;/D&gt;&lt;D xsi:type="xsd:double"&gt;15.7076326352541&lt;/D&gt;&lt;D xsi:type="xsd:double"&gt;15.0978516046875&lt;/D&gt;&lt;D xsi:type="xsd:double"&gt;14.6351382944227&lt;/D&gt;&lt;D xsi:type="xsd:double"&gt;13.9968562838986&lt;/D&gt;&lt;D xsi:type="xsd:double"&gt;14.6563458012222&lt;/D&gt;&lt;D xsi:type="xsd:double"&gt;14.1354768250674&lt;/D&gt;&lt;D xsi:type="xsd:double"&gt;13.2906286691942&lt;/D&gt;&lt;D xsi:type="xsd:double"&gt;14.1967677109023&lt;/D&gt;&lt;D xsi:type="xsd:double"&gt;14.2912873799392&lt;/D&gt;&lt;D xsi:type="xsd:double"&gt;14.2042943159637&lt;/D&gt;&lt;D xsi:type="xsd:double"&gt;14.6603986014135&lt;/D&gt;&lt;D xsi:type="xsd:double"&gt;14.2048637400215&lt;/D&gt;&lt;D xsi:type="xsd:double"&gt;14.3203353452154&lt;/D&gt;&lt;D xsi:type="xsd:double"&gt;14.3647269390013&lt;/D&gt;&lt;D xsi:type="xsd:double"&gt;14.3828880541592&lt;/D&gt;&lt;D xsi:type="xsd:double"&gt;14.5334551886801&lt;/D&gt;&lt;D xsi:type="xsd:double"&gt;15.0102017999146&lt;/D&gt;&lt;D xsi:type="xsd:double"&gt;15.0363833781349&lt;/D&gt;&lt;D xsi:type="xsd:double"&gt;14.8181841687786&lt;/D&gt;&lt;D xsi:type="xsd:double"&gt;14.8443256761663&lt;/D&gt;&lt;D xsi:type="xsd:double"&gt;15.3932230374865&lt;/D&gt;&lt;D xsi:type="xsd:double"&gt;16.2482643215489&lt;/D&gt;&lt;D xsi:type="xsd:double"&gt;16.5067742385129&lt;/D&gt;&lt;D xsi:type="xsd:double"&gt;16.6175103442558&lt;/D&gt;&lt;D xsi:type="xsd:double"&gt;16.668486920955&lt;/D&gt;&lt;D xsi:type="xsd:double"&gt;16.6785673828198&lt;/D&gt;&lt;D xsi:type="xsd:double"&gt;16.7646378602275&lt;/D&gt;&lt;D xsi:type="xsd:double"&gt;16.9527341205625&lt;/D&gt;&lt;/FQL&gt;&lt;FQL&gt;&lt;Q&gt;PASP-FDS^FG_PRICE_CHANGE(0,-3AM)&lt;/Q&gt;&lt;R&gt;1&lt;/R&gt;&lt;C&gt;1&lt;/C&gt;&lt;D xsi:type="xsd:double"&gt;-5.2434456928839&lt;/D&gt;&lt;/FQL&gt;&lt;FQL&gt;&lt;Q&gt;COPP-FDS^FG_PRICE_CHANGE(0,-1AY)&lt;/Q&gt;&lt;R&gt;1&lt;/R&gt;&lt;C&gt;1&lt;/C&gt;&lt;D xsi:type="xsd:double"&gt;20.1145597442387&lt;/D&gt;&lt;/FQL&gt;&lt;FQL&gt;&lt;Q&gt;QQQ^FG_PRICE_MAVG(0,,,,60)&lt;/Q&gt;&lt;R&gt;1&lt;/R&gt;&lt;C&gt;1&lt;/C&gt;&lt;D xsi:type="xsd:double"&gt;457.343&lt;/D&gt;&lt;/FQL&gt;&lt;FQL&gt;&lt;Q&gt;FXI^FG_TOTAL_RETURNC(0,-3AM)&lt;/Q&gt;&lt;R&gt;1&lt;/R&gt;&lt;C&gt;1&lt;/C&gt;&lt;D xsi:type="xsd:double"&gt;9.418238&lt;/D&gt;&lt;/FQL&gt;&lt;FQL&gt;&lt;Q&gt;SPY^FG_TOTAL_RETURNC(0,-12AM)&lt;/Q&gt;&lt;R&gt;1&lt;/R&gt;&lt;C&gt;1&lt;/C&gt;&lt;D xsi:type="xsd:double"&gt;27.538406&lt;/D&gt;&lt;/FQL&gt;&lt;FQL&gt;&lt;Q&gt;FXI^FMA_COS_UP("EPS","1M",+1,0,,,"PORTAGG","MEANR")&lt;/Q&gt;&lt;R&gt;1&lt;/R&gt;&lt;C&gt;1&lt;/C&gt;&lt;D xsi:type="xsd:double"&gt;22&lt;/D&gt;&lt;/FQL&gt;&lt;FQL&gt;&lt;Q&gt;EWD^FMA_COS_UP("EPS","1M",+1,0,,,"PORTAGG","MEANR")&lt;/Q&gt;&lt;R&gt;1&lt;/R&gt;&lt;C&gt;1&lt;/C&gt;&lt;D xsi:type="xsd:double"&gt;11&lt;/D&gt;&lt;/FQL&gt;&lt;FQL&gt;&lt;Q&gt;EWJ^FMA_COS_UP("EPS","1M",+1,0,,,"PORTAGG","MEANR")&lt;/Q&gt;&lt;R&gt;1&lt;/R&gt;&lt;C&gt;1&lt;/C&gt;&lt;D xsi:type="xsd:double"&gt;100&lt;/D&gt;&lt;/FQL&gt;&lt;FQL&gt;&lt;Q&gt;EWI^FG_ROE(0)&lt;/Q&gt;&lt;R&gt;1&lt;/R&gt;&lt;C&gt;1&lt;/C&gt;&lt;D xsi:type="xsd:double"&gt;13.9632713363746&lt;/D&gt;&lt;/FQL&gt;&lt;FQL&gt;&lt;Q&gt;TRYCH10Y-FDS^FG_YIELD_NAME&lt;/Q&gt;&lt;R&gt;1&lt;/R&gt;&lt;C&gt;1&lt;/C&gt;&lt;D xsi:type="xsd:string"&gt;Treasury - Switzerland Benchmark Bond 10Y&lt;/D&gt;&lt;/FQL&gt;&lt;FQL&gt;&lt;Q&gt;REFGBBANK-FDS^PROPER_NAME(0,,,"SECURITY","NAME")&lt;/Q&gt;&lt;R&gt;1&lt;/R&gt;&lt;C&gt;1&lt;/C&gt;&lt;D xsi:type="xsd:string"&gt;UK Bank Rate&lt;/D&gt;&lt;/FQL&gt;&lt;FQL&gt;&lt;Q&gt;TRYGB10Y-FDS^FG_YIELD(0,,,,"YTM")&lt;/Q&gt;&lt;R&gt;1&lt;/R&gt;&lt;C&gt;1&lt;/C&gt;&lt;D xsi:type="xsd:double"&gt;4.085&lt;/D&gt;&lt;/FQL&gt;&lt;FQL&gt;&lt;Q&gt;CC_US^IMF_IFS_RCPI_Q(0)&lt;/Q&gt;&lt;R&gt;0&lt;/R&gt;&lt;C&gt;0&lt;/C&gt;&lt;/FQL&gt;&lt;FQL&gt;&lt;Q&gt;VGK^FG_PE_NTM(0,,,90,0)&lt;/Q&gt;&lt;R&gt;1&lt;/R&gt;&lt;C&gt;1&lt;/C&gt;&lt;D xsi:type="xsd:double"&gt;13.4915278434262&lt;/D&gt;&lt;/FQL&gt;&lt;FQL&gt;&lt;Q&gt;GLD^P_PRICE(0)/P_PRICE_HIGH_PR(0,,,USD,,,"PRICE","INTRA","52W")&lt;/Q&gt;&lt;R&gt;1&lt;/R&gt;&lt;C&gt;1&lt;/C&gt;&lt;D xsi:type="xsd:double"&gt;0.9893202&lt;/D&gt;&lt;/FQL&gt;&lt;FQL&gt;&lt;Q&gt;USDEUR^STD(FG_PRICE_CHANGE(0,-1AY,AM))&lt;/Q&gt;&lt;R&gt;1&lt;/R&gt;&lt;C&gt;1&lt;/C&gt;&lt;D xsi:type="xsd:double"&gt;1.44206295156897&lt;/D&gt;&lt;/FQL&gt;&lt;FQL&gt;&lt;Q&gt;USDNZD^STD(FG_PRICE_CHANGE(0,-3AY,M))&lt;/Q&gt;&lt;R&gt;1&lt;/R&gt;&lt;C&gt;1&lt;/C&gt;&lt;D xsi:type="xsd:double"&gt;3.46200598131402&lt;/D&gt;&lt;/FQL&gt;&lt;FQL&gt;&lt;Q&gt;EWC^FG_TOTAL_RETURNC(-10AY,0,AM)&lt;/Q&gt;&lt;R&gt;121&lt;/R&gt;&lt;C&gt;1&lt;/C&gt;&lt;D xsi:type="xsd:double"&gt;3.4514785&lt;/D&gt;&lt;D xsi:type="xsd:double"&gt;-0.49890876&lt;/D&gt;&lt;D xsi:type="xsd:double"&gt;1.2221813&lt;/D&gt;&lt;D xsi:type="xsd:double"&gt;-9.721363&lt;/D&gt;&lt;D xsi:type="xsd:double"&gt;2.9149532&lt;/D&gt;&lt;D xsi:type="xsd:double"&gt;-7.1642756&lt;/D&gt;&lt;D xsi:type="xsd:double"&gt;0.5803466&lt;/D&gt;&lt;D xsi:type="xsd:double"&gt;-0.4341483&lt;/D&gt;&lt;D xsi:type="xsd:double"&gt;-3.3430219&lt;/D&gt;&lt;D xsi:type="xsd:double"&gt;6.2030077&lt;/D&gt;&lt;D xsi:type="xsd:double"&gt;2.1592975&lt;/D&gt;&lt;D xsi:type="xsd:double"&gt;-3.4303546&lt;/D&gt;&lt;D xsi:type="xsd:double"&gt;-5.8469176&lt;/D&gt;&lt;D xsi:type="xsd:double"&gt;-2.611369&lt;/D&gt;&lt;D xsi:type="xsd:double"&gt;-7.5709763&lt;/D&gt;&lt;D xsi:type="xsd:double"&gt;6.3139915&lt;/D&gt;&lt;D xsi:type="xsd:double"&gt;-6.861961&lt;/D&gt;&lt;D xsi:type="xsd:double"&gt;-7.065916&lt;/D&gt;&lt;D xsi:type="xsd:double"&gt;-7.0531187&lt;/D&gt;&lt;D xsi:type="xsd:double"&gt;0.1011014&lt;/D&gt;&lt;D xsi:type="xsd:double"&gt;18.131315&lt;/D&gt;&lt;D xsi:type="xsd:double"&gt;1.4108539&lt;/D&gt;&lt;D xsi:type="xsd:double"&gt;2.6138306&lt;/D&gt;&lt;D xsi:type="xsd:double"&gt;2.9170036&lt;/D&gt;&lt;D xsi:type="xsd:double"&gt;-0.77513456&lt;/D&gt;&lt;D xsi:type="xsd:double"&gt;4.7039747&lt;/D&gt;&lt;D xsi:type="xsd:double"&gt;-1.8202901&lt;/D&gt;&lt;D xsi:type="xsd:double"&gt;-0.51282644&lt;/D&gt;&lt;D xsi:type="xsd:double"&gt;-1.4670849&lt;/D&gt;&lt;D xsi:type="xsd:double"&gt;8.410465&lt;/D&gt;&lt;D xsi:type="xsd:double"&gt;1.1866212&lt;/D&gt;&lt;D xsi:type="xsd:double"&gt;2.2230506&lt;/D&gt;&lt;D xsi:type="xsd:double"&gt;-3.8419724&lt;/D&gt;&lt;D xsi:type="xsd:double"&gt;2.035427&lt;/D&gt;&lt;D xsi:type="xsd:double"&gt;-3.3985972&lt;/D&gt;&lt;D xsi:type="xsd:double"&gt;1.3766766&lt;/D&gt;&lt;D xsi:type="xsd:double"&gt;2.2319555&lt;/D&gt;&lt;D xsi:type="xsd:double"&gt;1.2276769&lt;/D&gt;&lt;D xsi:type="xsd:double"&gt;4.6674013&lt;/D&gt;&lt;D xsi:type="xsd:double"&gt;2.808988&lt;/D&gt;&lt;D xsi:type="xsd:double"&gt;0.13661385&lt;/D&gt;&lt;D xsi:type="xsd:double"&gt;-0.54570436&lt;/D&gt;&lt;D xsi:type="xsd:double"&gt;4.2330265&lt;/D&gt;&lt;D xsi:type="xsd:double"&gt;-8.463848&lt;/D&gt;&lt;D xsi:type="xsd:double"&gt;2.0021915&lt;/D&gt;&lt;D xsi:type="xsd:double"&gt;-0.03569126&lt;/D&gt;&lt;D xsi:type="xsd:double"&gt;3.6058545&lt;/D&gt;&lt;D xsi:type="xsd:double"&gt;0.06891489&lt;/D&gt;&lt;D xsi:type="xsd:double"&gt;-0.3167212&lt;/D&gt;&lt;D xsi:type="xsd:double"&gt;0.20891428&lt;/D&gt;&lt;D xsi:type="xsd:double"&gt;-1.6330838&lt;/D&gt;&lt;D xsi:type="xsd:double"&gt;-4.168141&lt;/D&gt;&lt;D xsi:type="xsd:double"&gt;-1.290077&lt;/D&gt;&lt;D xsi:type="xsd:double"&gt;-5.0037327&lt;/D&gt;&lt;D xsi:type="xsd:double"&gt;2.7934194&lt;/D&gt;&lt;D xsi:type="xsd:double"&gt;3.8102746&lt;/D&gt;&lt;D xsi:type="xsd:double"&gt;3.2209635&lt;/D&gt;&lt;D xsi:type="xsd:double"&gt;2.5399208&lt;/D&gt;&lt;D xsi:type="xsd:double"&gt;-0.99080205&lt;/D&gt;&lt;D xsi:type="xsd:double"&gt;0.78628063&lt;/D&gt;&lt;D xsi:type="xsd:double"&gt;3.7354827&lt;/D&gt;&lt;D xsi:type="xsd:double"&gt;-2.8285623&lt;/D&gt;&lt;D xsi:type="xsd:double"&gt;2.307415&lt;/D&gt;&lt;D xsi:type="xsd:double"&gt;-0.9368539&lt;/D&gt;&lt;D xsi:type="xsd:double"&gt;3.1173468&lt;/D&gt;&lt;D xsi:type="xsd:double"&gt;0.5095124&lt;/D&gt;&lt;D xsi:type="xsd:double"&gt;2.7732015&lt;/D&gt;&lt;D xsi:type="xsd:double"&gt;1.399529&lt;/D&gt;&lt;D xsi:type="xsd:double"&gt;-23.03648&lt;/D&gt;&lt;D xsi:type="xsd:double"&gt;-1.1955619&lt;/D&gt;&lt;D xsi:type="xsd:double"&gt;6.4822793&lt;/D&gt;&lt;D xsi:type="xsd:double"&gt;2.4350643&lt;/D&gt;&lt;D xsi:type="xsd:double"&gt;4.7683&lt;/D&gt;&lt;D xsi:type="xsd:double"&gt;7.448435&lt;/D&gt;&lt;D xsi:type="xsd:double"&gt;-0.8887291&lt;/D&gt;&lt;D xsi:type="xsd:double"&gt;2.5825024&lt;/D&gt;&lt;D xsi:type="xsd:double"&gt;1.8181801&lt;/D&gt;&lt;D xsi:type="xsd:double"&gt;7.932687&lt;/D&gt;&lt;D xsi:type="xsd:double"&gt;2.3790598&lt;/D&gt;&lt;D xsi:type="xsd:double"&gt;3.1780958&lt;/D&gt;&lt;D xsi:type="xsd:double"&gt;4.574561&lt;/D&gt;&lt;D xsi:type="xsd:double"&gt;2.274716&lt;/D&gt;&lt;D xsi:type="xsd:double"&gt;4.3341875&lt;/D&gt;&lt;D xsi:type="xsd:double"&gt;3.9977908&lt;/D&gt;&lt;D xsi:type="xsd:double"&gt;-1.4807045&lt;/D&gt;&lt;D xsi:type="xsd:double"&gt;1.476121&lt;/D&gt;&lt;D xsi:type="xsd:double"&gt;-1.5075386&lt;/D&gt;&lt;D xsi:type="xsd:double"&gt;0.9935498&lt;/D&gt;&lt;D xsi:type="xsd:double"&gt;4.918897&lt;/D&gt;&lt;D xsi:type="xsd:double"&gt;-3.6239266&lt;/D&gt;&lt;D xsi:type="xsd:double"&gt;3.5051465&lt;/D&gt;&lt;D xsi:type="xsd:double"&gt;-0.05146861&lt;/D&gt;&lt;D xsi:type="xsd:double"&gt;-0.82389116&lt;/D&gt;&lt;D xsi:type="xsd:double"&gt;2.7258515&lt;/D&gt;&lt;D xsi:type="xsd:double"&gt;-11.068994&lt;/D&gt;&lt;D xsi:type="xsd:double"&gt;3.7228465&lt;/D&gt;&lt;D xsi:type="xsd:double"&gt;-8.170021&lt;/D&gt;&lt;D xsi:type="xsd:double"&gt;7.8749537&lt;/D&gt;&lt;D xsi:type="xsd:double"&gt;-2.7862906&lt;/D&gt;&lt;D xsi:type="xsd:double"&gt;-12.754369&lt;/D&gt;&lt;D xsi:type="xsd:double"&gt;15.111696&lt;/D&gt;&lt;D xsi:type="xsd:double"&gt;-3.3961236&lt;/D&gt;&lt;D xsi:type="xsd:double"&gt;2.6560307&lt;/D&gt;&lt;D xsi:type="xsd:double"&gt;3.6204457&lt;/D&gt;&lt;D xsi:type="xsd:double"&gt;-7.382369&lt;/D&gt;&lt;D xsi:type="xsd:double"&gt;6.1454177&lt;/D&gt;&lt;D xsi:type="xsd:double"&gt;0.14330149&lt;/D&gt;&lt;D xsi:type="xsd:double"&gt;-1.4152884&lt;/D&gt;&lt;D xsi:type="xsd:double"&gt;1.0264039&lt;/D&gt;&lt;D xsi:type="xsd:double"&gt;1.4804006&lt;/D&gt;&lt;D xsi:type="xsd:double"&gt;-1.6876459&lt;/D&gt;&lt;D xsi:type="xsd:double"&gt;-2.065754&lt;/D&gt;&lt;D xsi:type="xsd:double"&gt;-1.0992229&lt;/D&gt;&lt;D xsi:type="xsd:double"&gt;5.5271864&lt;/D&gt;&lt;D xsi:type="xsd:double"&gt;4.62296&lt;/D&gt;&lt;D xsi:type="xsd:double"&gt;0.22063255&lt;/D&gt;&lt;D xsi:type="xsd:double"&gt;3.7974715&lt;/D&gt;&lt;D xsi:type="xsd:double"&gt;0.10603666&lt;/D&gt;&lt;D xsi:type="xsd:double"&gt;1.1387706&lt;/D&gt;&lt;D xsi:type="xsd:double"&gt;-2.4894297&lt;/D&gt;&lt;D xsi:type="xsd:double"&gt;4.039037&lt;/D&gt;&lt;/FQL&gt;&lt;FQL&gt;&lt;Q&gt;CPALM-FDS^FG_PRICE_CHANGE(0,-6AM)&lt;/Q&gt;&lt;R&gt;1&lt;/R&gt;&lt;C&gt;1&lt;/C&gt;&lt;D xsi:type="xsd:double"&gt;7.0855614973262&lt;/D&gt;&lt;/FQL&gt;&lt;FQL&gt;&lt;Q&gt;EWC^FG_PRICE_MAVG(0,,,,30)&lt;/Q&gt;&lt;R&gt;1&lt;/R&gt;&lt;C&gt;1&lt;/C&gt;&lt;D xsi:type="xsd:double"&gt;37.318333&lt;/D&gt;&lt;/FQL&gt;&lt;FQL&gt;&lt;Q&gt;EWJ^PERCENT_CHANGE(FMA_EPS(+1,0,,,,"PORTAGG","MEAN"),FMA_EPS(+1,-1AM,,,,"PORTAGG","MEAN"))&lt;/Q&gt;&lt;R&gt;1&lt;/R&gt;&lt;C&gt;1&lt;/C&gt;&lt;D xsi:type="xsd:d</t>
        </r>
      </text>
    </comment>
    <comment ref="A7" authorId="0" shapeId="0" xr:uid="{9B89955F-1E4B-4882-9E37-40C3FE726C6C}">
      <text>
        <r>
          <rPr>
            <b/>
            <sz val="9"/>
            <color indexed="81"/>
            <rFont val="Tahoma"/>
            <charset val="1"/>
          </rPr>
          <t>ouble"&gt;-0.522546145994265&lt;/D&gt;&lt;/FQL&gt;&lt;FQL&gt;&lt;Q&gt;VGK^P_PRICE(0)/P_PRICE_HIGH_PR(0,,,,,,"PRICE","INTRA","52W")&lt;/Q&gt;&lt;R&gt;1&lt;/R&gt;&lt;C&gt;1&lt;/C&gt;&lt;D xsi:type="xsd:double"&gt;0.97177213&lt;/D&gt;&lt;/FQL&gt;&lt;FQL&gt;&lt;Q&gt;EWD^PERCENT_CHANGE(FMA_EPS(+1,0,,,,"PORTAGG","MEAN"),FMA_EPS(+1,-3AM,,,,"PORTAGG","MEAN"))&lt;/Q&gt;&lt;R&gt;1&lt;/R&gt;&lt;C&gt;1&lt;/C&gt;&lt;D xsi:type="xsd:double"&gt;2.64426706025452&lt;/D&gt;&lt;/FQL&gt;&lt;FQL&gt;&lt;Q&gt;SPY^P_PRICE(0)/P_PRICE_LOW_PR(0,,,,,,"PRICE","INTRA","52W")-1&lt;/Q&gt;&lt;R&gt;1&lt;/R&gt;&lt;C&gt;1&lt;/C&gt;&lt;D xsi:type="xsd:double"&gt;0.35988855&lt;/D&gt;&lt;/FQL&gt;&lt;FQL&gt;&lt;Q&gt;EWU^FG_TOTAL_RETURNC(0,-6AM)&lt;/Q&gt;&lt;R&gt;1&lt;/R&gt;&lt;C&gt;1&lt;/C&gt;&lt;D xsi:type="xsd:double"&gt;11.732602&lt;/D&gt;&lt;/FQL&gt;&lt;FQL&gt;&lt;Q&gt;EWA^FG_TOTAL_RETURNC(0,-12AM)&lt;/Q&gt;&lt;R&gt;1&lt;/R&gt;&lt;C&gt;1&lt;/C&gt;&lt;D xsi:type="xsd:double"&gt;17.860104&lt;/D&gt;&lt;/FQL&gt;&lt;FQL&gt;&lt;Q&gt;EWN^FMA_COS_DOWN("EPS","1M",+1,0,,,"PORTAGG","MEANR")&lt;/Q&gt;&lt;R&gt;1&lt;/R&gt;&lt;C&gt;1&lt;/C&gt;&lt;D xsi:type="xsd:double"&gt;14&lt;/D&gt;&lt;/FQL&gt;&lt;FQL&gt;&lt;Q&gt;TRYIT10Y-FDS^PCTCHG(FG_YIELD(0,,,,"YTM"),FG_YIELD(-1AM,,,,"YTM"))&lt;/Q&gt;&lt;R&gt;1&lt;/R&gt;&lt;C&gt;1&lt;/C&gt;&lt;D xsi:type="xsd:double"&gt;-8.110082&lt;/D&gt;&lt;/FQL&gt;&lt;FQL&gt;&lt;Q&gt;TRYCA10Y-FDS^PCTCHG(FG_YIELD(0,,,,"YTM"),FG_YIELD(-3AM,,,,"YTM"))&lt;/Q&gt;&lt;R&gt;1&lt;/R&gt;&lt;C&gt;1&lt;/C&gt;&lt;D xsi:type="xsd:double"&gt;-7.803326&lt;/D&gt;&lt;/FQL&gt;&lt;FQL&gt;&lt;Q&gt;VGK^FG_PE(0)&lt;/Q&gt;&lt;R&gt;1&lt;/R&gt;&lt;C&gt;1&lt;/C&gt;&lt;D xsi:type="xsd:double"&gt;14.3450486719058&lt;/D&gt;&lt;/FQL&gt;&lt;FQL&gt;&lt;Q&gt;EWN^FMA_DIV_YLD(NTMA,NOW,NOW,M,"PORTAGG","MEANR")&lt;/Q&gt;&lt;R&gt;1&lt;/R&gt;&lt;C&gt;1&lt;/C&gt;&lt;D xsi:type="xsd:double"&gt;2.51381074077647&lt;/D&gt;&lt;/FQL&gt;&lt;FQL&gt;&lt;Q&gt;QQQ^FG_FCF_YIELD_NTM(0)&lt;/Q&gt;&lt;R&gt;1&lt;/R&gt;&lt;C&gt;1&lt;/C&gt;&lt;D xsi:type="xsd:double"&gt;3.42634741529019&lt;/D&gt;&lt;/FQL&gt;&lt;FQL&gt;&lt;Q&gt;EWJ^FMA_EVAL_EBIT(LTMA,NOW,NOW,M,"PORTAGG","MEANR")&lt;/Q&gt;&lt;R&gt;1&lt;/R&gt;&lt;C&gt;1&lt;/C&gt;&lt;D xsi:type="xsd:double"&gt;17.7538954991225&lt;/D&gt;&lt;/FQL&gt;&lt;FQL&gt;&lt;Q&gt;EWC^JULIAN(FMA_DIV_YLD(NTMA,NOW,NOW,M,"PORTAGG","MEANR").DATES)&lt;/Q&gt;&lt;R&gt;1&lt;/R&gt;&lt;C&gt;1&lt;/C&gt;&lt;D xsi:type="xsd:long"&gt;45471&lt;/D&gt;&lt;/FQL&gt;&lt;FQL&gt;&lt;Q&gt;TLT^FG_TOTAL_RETURNC(0,-3AM)&lt;/Q&gt;&lt;R&gt;1&lt;/R&gt;&lt;C&gt;1&lt;/C&gt;&lt;D xsi:type="xsd:double"&gt;5.206442&lt;/D&gt;&lt;/FQL&gt;&lt;FQL&gt;&lt;Q&gt;EWA^FMA_ROE(NTMA,-20AY,NOW,FY,"PORTAGG","MEANR")&lt;/Q&gt;&lt;R&gt;20&lt;/R&gt;&lt;C&gt;1&lt;/C&gt;&lt;D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xsi:type="xsd:double"&gt;14.658060584009&lt;/D&gt;&lt;D xsi:type="xsd:double"&gt;13.2261379950135&lt;/D&gt;&lt;/FQL&gt;&lt;FQL&gt;&lt;Q&gt;TRYTR7Y-FDS^FG_YIELD(-10AY,0,Y,,"YTM")&lt;/Q&gt;&lt;R&gt;10&lt;/R&gt;&lt;C&gt;1&lt;/C&gt;&lt;D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xsi:type="xsd:double"&gt;21.984322&lt;/D&gt;&lt;/FQL&gt;&lt;FQL&gt;&lt;Q&gt;CAGDPY@US^EE_ACTUAL_ANNUAL(MED,0)&lt;/Q&gt;&lt;R&gt;1&lt;/R&gt;&lt;C&gt;1&lt;/C&gt;&lt;D xsi:type="xsd:double"&gt;-3.31108668288718&lt;/D&gt;&lt;/FQL&gt;&lt;FQL&gt;&lt;Q&gt;CC_JP^FG_COMPANY_NAME&lt;/Q&gt;&lt;R&gt;1&lt;/R&gt;&lt;C&gt;1&lt;/C&gt;&lt;D xsi:type="xsd:string"&gt;Japan&lt;/D&gt;&lt;/FQL&gt;&lt;FQL&gt;&lt;Q&gt;USDANG^FG_PRICE_CHANGE(0,-6AM)&lt;/Q&gt;&lt;R&gt;1&lt;/R&gt;&lt;C&gt;1&lt;/C&gt;&lt;D xsi:type="xsd:double"&gt;0&lt;/D&gt;&lt;/FQL&gt;&lt;FQL&gt;&lt;Q&gt;USDJPY^STD(FG_PRICE_CHANGE(0,-3AY,M))&lt;/Q&gt;&lt;R&gt;1&lt;/R&gt;&lt;C&gt;1&lt;/C&gt;&lt;D xsi:type="xsd:double"&gt;3.0506571243322&lt;/D&gt;&lt;/FQL&gt;&lt;FQL&gt;&lt;Q&gt;EWL^FMA_DIV_YLD(NTMA,-10AY,0,AM,"PORTAGG","MEANR")&lt;/Q&gt;&lt;R&gt;121&lt;/R&gt;&lt;C&gt;1&lt;/C&gt;&lt;D xsi:type="xsd:double"&gt;3.36141895138386&lt;/D&gt;&lt;D xsi:type="xsd:double"&gt;3.42942384293439&lt;/D&gt;&lt;D xsi:type="xsd:double"&gt;3.28275675405744&lt;/D&gt;&lt;D xsi:type="xsd:double"&gt;3.50999395957838&lt;/D&gt;&lt;D xsi:type="xsd:double"&gt;3.29022813388774&lt;/D&gt;&lt;D xsi:type="xsd:double"&gt;3.27159136329315&lt;/D&gt;&lt;D xsi:type="xsd:double"&gt;3.29647717954121&lt;/D&gt;&lt;D xsi:type="xsd:double"&gt;3.3064586882823&lt;/D&gt;&lt;D xsi:type="xsd:double"&gt;3.18457671174765&lt;/D&gt;&lt;D xsi:type="xsd:double"&gt;3.02364388819327&lt;/D&gt;&lt;D xsi:type="xsd:double"&gt;3.11570799188276&lt;/D&gt;&lt;D xsi:type="xsd:double"&gt;3.15147902423242&lt;/D&gt;&lt;D xsi:type="xsd:double"&gt;3.18474821005041&lt;/D&gt;&lt;D xsi:type="xsd:double"&gt;3.1260975559978&lt;/D&gt;&lt;D xsi:type="xsd:double"&gt;3.35073926683314&lt;/D&gt;&lt;D xsi:type="xsd:double"&gt;3.34018456735464&lt;/D&gt;&lt;D xsi:type="xsd:double"&gt;3.26423234883833&lt;/D&gt;&lt;D xsi:type="xsd:double"&gt;3.38242276260618&lt;/D&gt;&lt;D xsi:type="xsd:double"&gt;3.51614648807459&lt;/D&gt;&lt;D xsi:type="xsd:double"&gt;3.7203992450258&lt;/D&gt;&lt;D xsi:type="xsd:double"&gt;3.46838611723425&lt;/D&gt;&lt;D xsi:type="xsd:double"&gt;3.56164380480201&lt;/D&gt;&lt;D xsi:type="xsd:double"&gt;3.53346536452848&lt;/D&gt;&lt;D xsi:type="xsd:double"&gt;3.54851094591252&lt;/D&gt;&lt;D xsi:type="xsd:double"&gt;3.52193031585186&lt;/D&gt;&lt;D xsi:type="xsd:double"&gt;3.41090464243024&lt;/D&gt;&lt;D xsi:type="xsd:double"&gt;3.4483318970418&lt;/D&gt;&lt;D xsi:type="xsd:double"&gt;3.52375364136037&lt;/D&gt;&lt;D xsi:type="xsd:double"&gt;3.63136955205799&lt;/D&gt;&lt;D xsi:type="xsd:double"&gt;3.59783374026028&lt;/D&gt;&lt;D xsi:type="xsd:double"&gt;3.48744955070643&lt;/D&gt;&lt;D xsi:type="xsd:double"&gt;3.41928802360108&lt;/D&gt;&lt;D xsi:type="xsd:double"&gt;3.34952494544337&lt;/D&gt;&lt;D xsi:type="xsd:double"&gt;3.42974005679905&lt;/D&gt;&lt;D xsi:type="xsd:double"&gt;3.31167510815375&lt;/D&gt;&lt;D xsi:type="xsd:double"&gt;3.35235274576484&lt;/D&gt;&lt;D xsi:type="xsd:double"&gt;3.32015340102662&lt;/D&gt;&lt;D xsi:type="xsd:double"&gt;3.33824926094887&lt;/D&gt;&lt;D xsi:type="xsd:double"&gt;3.28792797326389&lt;/D&gt;&lt;D xsi:type="xsd:double"&gt;3.23649001737837&lt;/D&gt;&lt;D xsi:type="xsd:double"&gt;3.28859251217393&lt;/D&gt;&lt;D xsi:type="xsd:double"&gt;3.24339272891985&lt;/D&gt;&lt;D xsi:type="xsd:double"&gt;3.17887785291999&lt;/D&gt;&lt;D xsi:type="xsd:double"&gt;3.46585499246936&lt;/D&gt;&lt;D xsi:type="xsd:double"&gt;3.41710619370605&lt;/D&gt;&lt;D xsi:type="xsd:double"&gt;3.50509980822064&lt;/D&gt;&lt;D xsi:type="xsd:double"&gt;3.42151360552011&lt;/D&gt;&lt;D xsi:type="xsd:double"&gt;3.54243139952615&lt;/D&gt;&lt;D xsi:type="xsd:double"&gt;3.52230253861212&lt;/D&gt;&lt;D xsi:type="xsd:double"&gt;3.42229033877822&lt;/D&gt;&lt;D xsi:type="xsd:double"&gt;3.44245796067306&lt;/D&gt;&lt;D xsi:type="xsd:double"&gt;3.63628464490984&lt;/D&gt;&lt;D xsi:type="xsd:double"&gt;3.49377293801998&lt;/D&gt;&lt;D xsi:type="xsd:double"&gt;3.64687563804013&lt;/D&gt;&lt;D xsi:type="xsd:double"&gt;3.53945959907157&lt;/D&gt;&lt;D xsi:type="xsd:double"&gt;3.44863266613664&lt;/D&gt;&lt;D xsi:type="xsd:double"&gt;3.37677642794637&lt;/D&gt;&lt;D xsi:type="xsd:double"&gt;3.26342900743091&lt;/D&gt;&lt;D xsi:type="xsd:double"&gt;3.34472369712065&lt;/D&gt;&lt;D xsi:type="xsd:double"&gt;3.24276941433371&lt;/D&gt;&lt;D xsi:type="xsd:double"&gt;3.24227311944791&lt;/D&gt;&lt;D xsi:type="xsd:double"&gt;3.26597630324671&lt;/D&gt;&lt;D xsi:type="xsd:double"&gt;3.17832935577873&lt;/D&gt;&lt;D xsi:type="xsd:double"&gt;3.21834761065463&lt;/D&gt;&lt;D xsi:type="xsd:double"&gt;3.13606648744439&lt;/D&gt;&lt;D xsi:type="xsd:double"&gt;3.11555240706046&lt;/D&gt;&lt;D xsi:type="xsd:double"&gt;3.03730209591307&lt;/D&gt;&lt;D xsi:type="xsd:double"&gt;2.93691965278267&lt;/D&gt;&lt;D xsi:type="xsd:double"&gt;3.51126070240072&lt;/D&gt;&lt;D xsi:type="xsd:double"&gt;3.40426873881295&lt;/D&gt;&lt;D xsi:type="xsd:double"&gt;3.25497586813558&lt;/D&gt;&lt;D xsi:type="xsd:double"&gt;3.14927955498111&lt;/D&gt;&lt;D xsi:type="xsd:double"&gt;3.0151502831315&lt;/D&gt;&lt;D xsi:type="xsd:double"&gt;2.96320764440225&lt;/D&gt;&lt;D xsi:type="xsd:double"&gt;2.89918818250058&lt;/D&gt;&lt;D xsi:type="xsd:double"&gt;2.92820217542626&lt;/D&gt;&lt;D xsi:type="xsd:double"&gt;2.88595452103352&lt;/D&gt;&lt;D xsi:type="xsd:double"&gt;2.91314693195398&lt;/D&gt;&lt;D xsi:type="xsd:double"&gt;2.81253769128028&lt;/D&gt;&lt;D xsi:type="xsd:double"&gt;2.81197636330235&lt;/D&gt;&lt;D xsi:type="xsd:double"&gt;2.83673878811899&lt;/D&gt;&lt;D xsi:type="xsd:double"&gt;2.73982619625331&lt;/D&gt;&lt;D xsi:type="xsd:double"&gt;2.79811476974512&lt;/D&gt;&lt;D xsi:type="xsd:double"&gt;2.6223880357757&lt;/D&gt;&lt;D xsi:type="xsd:double"&gt;2.62181296988257&lt;/D&gt;&lt;D xsi:type="xsd:double"&gt;2.56536114040884&lt;/D&gt;&lt;D xsi:type="xsd:double"&gt;2.63048266198272&lt;/D&gt;&lt;D xsi:type="xsd:double"&gt;2.74099051944376&lt;/D&gt;&lt;D xsi:type="xsd:double"&gt;2.58642559455046&lt;/D&gt;&lt;D xsi:type="xsd:double"&gt;2.58037771128618&lt;/D&gt;&lt;D xsi:type="xsd:double"&gt;2.59566494392658&lt;/D&gt;&lt;D xsi:type="xsd:double"&gt;2.74675653096951&lt;/D&gt;&lt;D xsi:type="xsd:double"&gt;2.9374052576004&lt;/D&gt;&lt;D xsi:type="xsd:double"&gt;2.73078246193552&lt;/D&gt;&lt;D xsi:type="xsd:double"&gt;3.00440997016962&lt;/D&gt;&lt;D xsi:type="xsd:double"&gt;3.12948282029368&lt;/D&gt;&lt;D xsi:type="xsd:double"&gt;3.1457206823454&lt;/D&gt;&lt;D xsi:type="xsd:double"&gt;3.04824066985473&lt;/D&gt;&lt;D xsi:type="xsd:double"&gt;3.17956822285297&lt;/D&gt;&lt;D xsi:type="xsd:double"&gt;3.46304179851524&lt;/D&gt;&lt;D xsi:type="xsd:double"&gt;3.09084637929833&lt;/D&gt;&lt;D xsi:type="xsd:double"&gt;3.12580928770435&lt;/D&gt;&lt;D xsi:type="xsd:double"&gt;3.08543201342941&lt;/D&gt;&lt;D xsi:type="xsd:double"&gt;3.09347390411903&lt;/D&gt;&lt;D xsi:type="xsd:double"&gt;3.24720786632931&lt;/D&gt;&lt;D xsi:type="xsd:double"&gt;3.12322919726034&lt;/D&gt;&lt;D xsi:type="xsd:double"&gt;3.06576245123308&lt;/D&gt;&lt;D xsi:type="xsd:double"&gt;3.17702424337124&lt;/D&gt;&lt;D xsi:type="xsd:double"&gt;3.23668859594048&lt;/D&gt;&lt;D xsi:type="xsd:double"&gt;3.21438809099203&lt;/D&gt;&lt;D xsi:type="xsd:double"&gt;3.29367558502037&lt;/D&gt;&lt;D xsi:type="xsd:double"&gt;3.32168327771906&lt;/D&gt;&lt;D xsi:type="xsd:double"&gt;3.49294969427173&lt;/D&gt;&lt;D xsi:type="xsd:double"&gt;3.31921359647587&lt;/D&gt;&lt;D xsi:type="xsd:double"&gt;3.30335444304881&lt;/D&gt;&lt;D xsi:type="xsd:double"&gt;3.39995777583724&lt;/D&gt;&lt;D xsi:type="xsd:double"&gt;3.24099863283577&lt;/D&gt;&lt;D xsi:type="xsd:double"&gt;3.3308324934251&lt;/D&gt;&lt;D xsi:type="xsd:double"&gt;3.27276741205932&lt;/D&gt;&lt;D xsi:type="xsd:double"&gt;3.20842539896763&lt;/D&gt;&lt;D xsi:type="xsd:double"&gt;3.22228547632111&lt;/D&gt;&lt;/FQL&gt;&lt;FQL&gt;&lt;Q&gt;EWD^FMA_PE(LTMA,-10AY,0,AM,"PORTAGG","MEANR")&lt;/Q&gt;&lt;R&gt;121&lt;/R&gt;&lt;C&gt;1&lt;/C&gt;&lt;D xsi:type="xsd:double"&gt;15.6998568725583&lt;/D&gt;&lt;D xsi:type="xsd:double"&gt;15.8614090532526&lt;/D&gt;&lt;D xsi:type="xsd:double"&gt;15.8420872144438&lt;/D&gt;&lt;D xsi:type="xsd:double"&gt;15.2323805172852&lt;/D&gt;&lt;D xsi:type="xsd:double"&gt;16.788239641363&lt;/D&gt;&lt;D xsi:type="xsd:double"&gt;17.39262218474&lt;/D&gt;&lt;D xsi:type="xsd:double"&gt;17.3501845842365&lt;/D&gt;&lt;D xsi:type="xsd:double"&gt;19.2334706712006&lt;/D&gt;&lt;D xsi:type="xsd:double"&gt;20.1522880921658&lt;/D&gt;&lt;D xsi:type="xsd:double"&gt;19.9010533588037&lt;/D&gt;&lt;D xsi:type="xsd:double"&gt;18.9608186036432&lt;/D&gt;&lt;D xsi:type="xsd:double"&gt;18.97696578605&lt;/D&gt;&lt;D xsi:type="xsd:double"&gt;18.6423040518817&lt;/D&gt;&lt;D xsi:type="xsd:double"&gt;18.5388523569438&lt;/D&gt;&lt;D xsi:type="xsd:double"&gt;17.2793039634111&lt;/D&gt;&lt;D xsi:type="xsd:double"&gt;17.0746739120283&lt;/D&gt;&lt;D xsi:type="xsd:double"&gt;16.9312876515718&lt;/D&gt;&lt;D xsi:type="xsd:double"&gt;15.838998612314&lt;/D&gt;&lt;D xsi:type="xsd:double"&gt;14.8548473970952&lt;/D&gt;&lt;D xsi:type="xsd:double"&gt;13.8840395946582&lt;/D&gt;&lt;D xsi:type="xsd:double"&gt;15.6817963226905&lt;/D&gt;&lt;D xsi:type="xsd:double"&gt;15.5940403374424&lt;/D&gt;&lt;D xsi:type="xsd:double"&gt;15.5143507452138&lt;/D&gt;&lt;D xsi:type="xsd:double"&gt;15.3255573180106&lt;/D&gt;&lt;D xsi:type="xsd:double"&gt;15.5117631170618&lt;/D&gt;&lt;D xsi:type="xsd:double"&gt;16.0646344496113&lt;/D&gt;&lt;D xsi:type="xsd:double"&gt;16.0850630095338&lt;/D&gt;&lt;D xsi:type="xsd:double"&gt;16.6385516139404&lt;/D&gt;&lt;D xsi:type="xsd:double"&gt;17.0412387106005&lt;/D&gt;&lt;D xsi:type="xsd:double"&gt;18.0715369323263&lt;/D&gt;&lt;D xsi:type="xsd:double"&gt;18.1149711269785&lt;/D&gt;&lt;D xsi:type="xsd:double"&gt;18.4676890876899&lt;/D&gt;&lt;D xsi:type="xsd:double"&gt;17.5196757699805&lt;/D&gt;&lt;D xsi:type="xsd:double"&gt;17.5530144690677&lt;/D&gt;&lt;D xsi:type="xsd:double"&gt;17.6691881454157&lt;/D&gt;&lt;D xsi:type="xsd:double"&gt;17.6468614598417&lt;/D&gt;&lt;D xsi:type="xsd:double"&gt;17.5951654627824&lt;/D&gt;&lt;D xsi:type="xsd:double"&gt;16.846638162441&lt;/D&gt;&lt;D xsi:type="xsd:double"&gt;17.0670498444975&lt;/D&gt;&lt;D xsi:type="xsd:double"&gt;17.6646964773352&lt;/D&gt;&lt;D xsi:type="xsd:double"&gt;18.2248621997234&lt;/D&gt;&lt;D xsi:type="xsd:double"&gt;18.1457671171149&lt;/D&gt;&lt;D xsi:type="xsd:double"&gt;18.5284232113559&lt;/D&gt;&lt;D xsi:type="xsd:double"&gt;16.1654813673167&lt;/D&gt;&lt;D xsi:type="xsd:double"&gt;16.9807111730829&lt;/D&gt;&lt;D xsi:type="xsd:double"&gt;16.6973055615486&lt;/D&gt;&lt;D xsi:type="xsd:double"&gt;16.8282702397389&lt;/D&gt;&lt;D xsi:type="xsd:double"&gt;16.5776606338127&lt;/D&gt;&lt;D xsi:type="xsd:double"&gt;16.3588714364117&lt;/D&gt;&lt;D xsi:type="xsd:double"&gt;16.597937316627&lt;/D&gt;&lt;D xsi:type="xsd:double"&gt;16.5650137302279&lt;/D&gt;&lt;D xsi:type="xsd:double"&gt;15.7771925439781&lt;/D&gt;&lt;D xsi:type="xsd:double"&gt;15.2068225607652&lt;/D&gt;&lt;D xsi:type="xsd:double"&gt;14.3146014657702&lt;/D&gt;&lt;D xsi:type="xsd:double"&gt;14.4829776621313&lt;/D&gt;&lt;D xsi:type="xsd:double"&gt;16.9245489508814&lt;/D&gt;&lt;D xsi:type="xsd:double"&gt;18.040518627933&lt;/D&gt;&lt;D xsi:type="xsd:double"&gt;17.8345378939706&lt;/D&gt;&lt;D xsi:type="xsd:double"&gt;17.5561521936487&lt;/D&gt;&lt;D xsi:type="xsd:double"&gt;17.1883600570835&lt;/D&gt;&lt;D xsi:type="xsd:double"&gt;17.0405911759078&lt;/D&gt;&lt;D xsi:type="xsd:double"&gt;15.9687518732497&lt;/D&gt;&lt;D xsi:type="xsd:double"&gt;16.2540528655725&lt;/D&gt;&lt;D xsi:type="xsd:double"&gt;16.4483794446096&lt;/D&gt;&lt;D xsi:type="xsd:double"&gt;16.9931448782384&lt;/D&gt;&lt;D xsi:type="xsd:double"&gt;15.8875700039383&lt;/D&gt;&lt;D xsi:type="xsd:double"&gt;16.3580854696463&lt;/D&gt;&lt;D xsi:type="xsd:double"&gt;14.3794153419704&lt;/D&gt;&lt;D xsi:type="xsd:double"&gt;12.6765220775013&lt;/D&gt;&lt;D xsi:type="xsd:double"&gt;13.6224721458717&lt;/D&gt;&lt;D xsi:type="xsd:double"&gt;15.2622485304281&lt;/D&gt;&lt;D xsi:type="xsd:double"&gt;16.0899670791654&lt;/D&gt;&lt;D xsi:type="xsd:double"&gt;17.6676947285208&lt;/D&gt;&lt;D xsi:type="xsd:double"&gt;17.6991228236364&lt;/D&gt;&lt;D xsi:type="xsd:double"&gt;17.6413207335192&lt;/D&gt;&lt;D xsi:type="xsd:double"&gt;18.3095364822575&lt;/D&gt;&lt;D xsi:type="xsd:double"&gt;16.4327982220928&lt;/D&gt;&lt;D xsi:type="xsd:double"&gt;17.0456956384353&lt;/D&gt;&lt;D xsi:type="xsd:double"&gt;18.5264280842577&lt;/D&gt;&lt;D xsi:type="xsd:double"&gt;17.5001117158553&lt;/D&gt;&lt;D xsi:type="xsd:double"&gt;17.9046078603835&lt;/D&gt;&lt;D xsi:type="xsd:double"&gt;18.3501237515266&lt;/D&gt;&lt;D xsi:type="xsd:double"&gt;17.4222808923927&lt;/D&gt;&lt;D xsi:type="xsd:double"&gt;17.9053411091939&lt;/D&gt;&lt;D xsi:type="xsd:double"&gt;18.1301508587298&lt;/D&gt;&lt;D xsi:type="xsd:double"&gt;17.6454174660835&lt;/D&gt;&lt;D xsi:type="xsd:double"&gt;17.4599766898171&lt;/D&gt;&lt;D xsi:type="xsd:double"&gt;16.8529653206918&lt;/D&gt;&lt;D xsi:type="xsd:double"&gt;16.7825416464892&lt;/D&gt;&lt;D xsi:type="xsd:double"&gt;16.5781978280861&lt;/D&gt;&lt;D xsi:type="xsd:double"&gt;16.0794374076931&lt;/D&gt;&lt;D xsi:type="xsd:double"&gt;12.3356387412845&lt;/D&gt;&lt;D xsi:type="xsd:double"&gt;11.7206012849664&lt;/D&gt;&lt;D xsi:type="xsd:double"&gt;12.1542897076406&lt;/D&gt;&lt;D xsi:type="xsd:double"&gt;13.134900478704&lt;/D&gt;&lt;D xsi:type="xsd:double"&gt;13.4548493770405&lt;/D&gt;&lt;D xsi:type="xsd:double"&gt;13.7585936563479&lt;/D&gt;&lt;D xsi:type="xsd:double"&gt;14.8196843938864&lt;/D&gt;&lt;D xsi:type="xsd:double"&gt;14.7549938375366&lt;/D&gt;&lt;D xsi:type="xsd:double"&gt;14.41604817689&lt;/D&gt;&lt;D xsi:type="xsd:double"&gt;14.2778378826689&lt;/D&gt;&lt;D xsi:type="xsd:double"&gt;15.7272486297867&lt;/D&gt;&lt;D xsi:type="xsd:double"&gt;16.6189987078315&lt;/D&gt;&lt;D xsi:type="xsd:double"&gt;25.9090195943243&lt;/D&gt;&lt;D xsi:type="xsd:double"&gt;25.2303229068894&lt;/D&gt;&lt;D xsi:type="xsd:double"&gt;23.9865328727301&lt;/D&gt;&lt;D xsi:type="xsd:double"&gt;22.8162367310882&lt;/D&gt;&lt;D xsi:type="xsd:double"&gt;21.7633408983041&lt;/D&gt;&lt;D xsi:type="xsd:double"&gt;20.3294351719213&lt;/D&gt;&lt;D xsi:type="xsd:double"&gt;18.9451671231805&lt;/D&gt;&lt;D xsi:type="xsd:double"&gt;17.5533084265956&lt;/D&gt;&lt;D xsi:type="xsd:double"&gt;16.4558335808099&lt;/D&gt;&lt;D xsi:type="xsd:double"&gt;15.5916466989067&lt;/D&gt;&lt;D xsi:type="xsd:double"&gt;17.896451430605&lt;/D&gt;&lt;D xsi:type="xsd:double"&gt;17.2291450521589&lt;/D&gt;&lt;D xsi:type="xsd:double"&gt;15.0839530821309&lt;/D&gt;&lt;D xsi:type="xsd:double"&gt;15.8611778216213&lt;/D&gt;&lt;D xsi:type="xsd:double"&gt;15.8903911104641&lt;/D&gt;&lt;D xsi:type="xsd:double"&gt;16.1097595476265&lt;/D&gt;&lt;D xsi:type="xsd:double"&gt;16.051964553675&lt;/D&gt;&lt;D xsi:type="xsd:double"&gt;16.052881095398&lt;/D&gt;&lt;/FQL&gt;&lt;FQL&gt;&lt;Q&gt;WL-FDS^FG_PRICE_CHANGE(0,-6AM)&lt;/Q&gt;&lt;R&gt;1&lt;/R&gt;&lt;C&gt;1&lt;/C&gt;&lt;D xsi:type="xsd:double"&gt;-11.1574891635897&lt;/D&gt;&lt;/FQL&gt;&lt;FQL&gt;&lt;Q&gt;PLATI-FDS^MAX(FG_PRICE(0,-5AY))&lt;/Q&gt;&lt;R&gt;1&lt;/R&gt;&lt;C&gt;1&lt;/C&gt;&lt;D xsi:type="xsd:double"&gt;1272.59&lt;/D&gt;&lt;/FQL&gt;&lt;FQL&gt;&lt;Q&gt;W-FDS^FG_PRICE_MAVG(0,,,,30)&lt;/Q&gt;&lt;R&gt;1&lt;/R&gt;&lt;C&gt;1&lt;/C&gt;&lt;D xsi:type="xsd:double"&gt;5.9665833&lt;/D&gt;&lt;/FQL&gt;&lt;FQL&gt;&lt;Q&gt;EWN^FG_PRICE(0)&lt;/Q&gt;&lt;R&gt;1&lt;/R&gt;&lt;C&gt;1&lt;/C&gt;&lt;D xsi:type="xsd:double"&gt;51.95&lt;/D&gt;&lt;/FQL&gt;&lt;FQL&gt;&lt;Q&gt;EWJ^FG_PRICE_MAVG(0,,,,200)&lt;/Q&gt;&lt;R&gt;1&lt;/R&gt;&lt;C&gt;1&lt;/C&gt;&lt;D xsi:type="xsd:double"&gt;65.7598&lt;/D&gt;&lt;/FQL&gt;&lt;FQL&gt;&lt;Q&gt;VWO^P_PRICE(0)/P_PRICE_HIGH_PR(0,,,,,,"PRICE","INTRA","52W")&lt;/Q&gt;&lt;R&gt;1&lt;/R&gt;&lt;C&gt;1&lt;/C&gt;&lt;D xsi:type="xsd:double"&gt;0.99539375&lt;/D&gt;&lt;/FQL&gt;&lt;FQL&gt;&lt;Q&gt;EWI^FG_TOTAL_RETURNC(0,-1AM)&lt;/Q&gt;&lt;R&gt;1&lt;/R&gt;&lt;C&gt;1&lt;/C&gt;&lt;D xsi:type="xsd:double"&gt;2.3224115&lt;/D&gt;&lt;/FQL&gt;&lt;FQL&gt;&lt;Q&gt;QQQ^FMA_COS_UP("EPS","1M",+1,0,,,"PORTAGG","MEANR")&lt;/Q&gt;&lt;R&gt;1&lt;/R&gt;&lt;C&gt;1&lt;/C&gt;&lt;D xsi:type="xsd:double"&gt;34&lt;/D&gt;&lt;/FQL&gt;&lt;FQL&gt;&lt;Q&gt;QQQ^FMA_RBICS_REV_CURRENT(30, LOC, "PORTAGG")&lt;/Q&gt;&lt;R&gt;1&lt;/R&gt;&lt;C&gt;1&lt;/C&gt;&lt;D xsi:type="xsd:double"&gt;0.753235479992886&lt;/D&gt;&lt;/FQL&gt;&lt;FQL&gt;&lt;Q&gt;REFCATARG-FDS^FG_YIELD(NOW,,,0)&lt;/Q&gt;&lt;R&gt;1&lt;/R&gt;&lt;C&gt;1&lt;/C&gt;&lt;D xsi:type="xsd:double"&gt;4.75&lt;/D&gt;&lt;/FQL&gt;&lt;FQL&gt;&lt;Q&gt;TRYUS10Y-FDS^PCTCHG(FG_YIELD(0,,,,"YTM"),FG_YIELD(-1AM,,,,"YTM"))&lt;/Q&gt;&lt;R&gt;1&lt;/R&gt;&lt;C&gt;1&lt;/C&gt;&lt;D xsi:type="xsd:double"&gt;-4.4642053&lt;/D&gt;&lt;/FQL&gt;&lt;FQL&gt;&lt;Q&gt;TRYSE10Y-FDS^FG_YIELD(0,,,,"YTM")&lt;/Q&gt;&lt;R&gt;1&lt;/R&gt;&lt;C&gt;1&lt;/C&gt;&lt;D xsi:type="xsd:double"&gt;2.161&lt;/D&gt;&lt;/FQL&gt;&lt;FQL&gt;&lt;Q&gt;USDCHF^FG_PRICE_CHANGE(0,-6AM)&lt;/Q&gt;&lt;R&gt;1&lt;/R&gt;&lt;C&gt;1&lt;/C&gt;&lt;D xsi:type="xsd:double"&gt;4.526055&lt;/D&gt;&lt;/FQL&gt;&lt;FQL&gt;&lt;Q&gt;USDGBP^FG_PRICE(0)&lt;/Q&gt;&lt;R&gt;1&lt;/R&gt;&lt;C&gt;1&lt;/C&gt;&lt;D xsi:type="xsd:double"&gt;0.7737243&lt;/D&gt;&lt;/FQL&gt;&lt;FQL&gt;&lt;Q&gt;EWN^FMA_EPS(NTMA,-20AY,0,CY,,"PORTAGG","MEANR")&lt;/Q&gt;&lt;R&gt;20&lt;/R&gt;&lt;C&gt;1&lt;/C&gt;&lt;D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xsi:type="xsd:double"&gt;2.95560750497075&lt;/D&gt;&lt;/FQL&gt;&lt;FQL&gt;&lt;Q&gt;TIOS-FDS^FG_PRICE_MAVG(0,,,,30)&lt;/Q&gt;&lt;R&gt;1&lt;/R&gt;&lt;C&gt;1&lt;/C&gt;&lt;D xsi:type="xsd:double"&gt;109.053&lt;/D&gt;&lt;/FQL&gt;&lt;FQL&gt;&lt;Q&gt;EWU^FG_PRICE_MAVG(0,,,,200)&lt;/Q&gt;&lt;R&gt;1&lt;/R&gt;&lt;C&gt;1&lt;/C&gt;&lt;D xsi:type="xsd:double"&gt;33.3435&lt;/D&gt;&lt;/FQL&gt;&lt;FQL&gt;&lt;Q&gt;ENZL^FG_PRICE_MAVG(0,,,,60)&lt;/Q&gt;&lt;R&gt;1&lt;/R&gt;&lt;C&gt;1&lt;/C&gt;&lt;D xsi:type="xsd:double"&gt;45.330048&lt;/D&gt;&lt;/FQL&gt;&lt;FQL&gt;&lt;Q&gt;VWO^PERCENT_CHANGE(FMA_EPS(+1,0,,,,"PORTAGG","MEAN"),FMA_EPS(+1,-1AM,,,,"PORTAGG","MEAN"))&lt;/Q&gt;&lt;R&gt;1&lt;/R&gt;&lt;C&gt;1&lt;/C&gt;&lt;D xsi:type="xsd:double"&gt;0&lt;/D&gt;&lt;/FQL&gt;&lt;FQL&gt;&lt;Q&gt;EWN^FG_TOTAL_RETURNC(0,-12AM)&lt;/Q&gt;&lt;R&gt;1&lt;/R&gt;&lt;C&gt;1&lt;/C&gt;&lt;D xsi:type="xsd:double"&gt;23.01284&lt;/D&gt;&lt;/FQL&gt;&lt;FQL&gt;&lt;Q&gt;SPY^FG_TOTAL_RETURNC(0,-1AM)&lt;/Q&gt;&lt;R&gt;1&lt;/R&gt;&lt;C&gt;1&lt;/C&gt;&lt;D xsi:type="xsd:double"&gt;3.9720058&lt;/D&gt;&lt;/FQL&gt;&lt;FQL&gt;&lt;Q&gt;ENZL^PERCENT_CHANGE(FMA_EPS(+1,0,,,,"PORTAGG","MEAN"),FMA_EPS(+1,-3AM,,,,"PORTAGG","MEAN"))&lt;/Q&gt;&lt;R&gt;1&lt;/R&gt;&lt;C&gt;1&lt;/C&gt;&lt;D xsi:type="xsd:double"&gt;2.44533518918966&lt;/D&gt;&lt;/FQL&gt;&lt;FQL&gt;&lt;Q&gt;EWD^SIZE(FG_CONSTITUENTS)&lt;/Q&gt;&lt;R&gt;1&lt;/R&gt;&lt;C&gt;1&lt;/C&gt;&lt;D xsi:type="xsd:long"&gt;45&lt;/D&gt;&lt;/FQL&gt;&lt;FQL&gt;&lt;Q&gt;EWC^SIZE(FG_CONSTITUENTS)&lt;/Q&gt;&lt;R&gt;1&lt;/R&gt;&lt;C&gt;1&lt;/C&gt;&lt;D xsi:type="xsd:long"&gt;88&lt;/D&gt;&lt;/FQL&gt;&lt;FQL&gt;&lt;Q&gt;EWN^FMA_RBICS_REV_CURRENT(30, LOC, "PORTAGG")&lt;/Q&gt;&lt;R&gt;1&lt;/R&gt;&lt;C&gt;1&lt;/C&gt;&lt;D xsi:type="xsd:double"&gt;23.8715121294945&lt;/D&gt;&lt;/FQL&gt;&lt;FQL&gt;&lt;Q&gt;REFFFUND-FDS^PROPER_NAME(0,,,"SECURITY","NAME")&lt;/Q&gt;&lt;R&gt;1&lt;/R&gt;&lt;C&gt;1&lt;/C&gt;&lt;D xsi:type="xsd:string"&gt;US Federal Funds Target Rate&lt;/D&gt;&lt;/FQL&gt;&lt;FQL&gt;&lt;Q&gt;TRYSE10Y-FDS^PCTCHG(FG_YIELD(0,,,,"YTM"),FG_YIELD(-1AM,,,,"YTM"))&lt;/Q&gt;&lt;R&gt;1&lt;/R&gt;&lt;C&gt;1&lt;/C&gt;&lt;D xsi:type="xsd:double"&gt;-8.08167&lt;/D&gt;&lt;/FQL&gt;&lt;FQL&gt;&lt;Q&gt;TRYUS10Y-FDS^FG_YIELD(0,,,,"YTM")&lt;/Q&gt;&lt;R&gt;1&lt;/R&gt;&lt;C&gt;1&lt;/C&gt;&lt;D xsi:type="xsd:double"&gt;4.2009&lt;/D&gt;&lt;/FQL&gt;&lt;FQL&gt;&lt;Q&gt;TRYCA10Y-FDS^FG_YIELD(0,,,,"YTM")&lt;/Q&gt;&lt;R&gt;1&lt;/R&gt;&lt;C&gt;1&lt;/C&gt;&lt;D xsi:type="xsd:double"&gt;3.424&lt;/D&gt;&lt;/FQL&gt;&lt;FQL&gt;&lt;Q&gt;VWO^FG_PE(0)&lt;/Q&gt;&lt;R&gt;1&lt;/R&gt;&lt;C&gt;1&lt;/C&gt;&lt;D xsi:type="xsd:double"&gt;14.4733634593886&lt;/D&gt;&lt;/FQL&gt;&lt;FQL&gt;&lt;Q&gt;SPY^JULIAN(FMA_DIV_YLD(NTMA,NOW,NOW,M,"PORTAGG","MEANR").DATES)&lt;/Q&gt;&lt;R&gt;1&lt;/R&gt;&lt;C&gt;1&lt;/C&gt;&lt;D xsi:type="xsd:long"&gt;45470&lt;/D&gt;&lt;/FQL&gt;&lt;FQL&gt;&lt;Q&gt;EWJ^FMA_DIV_YLD(NTMA,NOW,NOW,M,"PORTAGG","MEANR")&lt;/Q&gt;&lt;R&gt;1&lt;/R&gt;&lt;C&gt;1&lt;/C&gt;&lt;D xsi:type="xsd:double"&gt;2.23301236857633&lt;/D&gt;&lt;/FQL&gt;&lt;FQL&gt;&lt;Q&gt;TRYCH10Y-FDS^FG_YIELD(-10AY,0,Y,,"YTM")&lt;/Q&gt;&lt;R&gt;10&lt;/R&gt;&lt;C&gt;1&lt;/C&gt;&lt;D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xsi:type="xsd:double"&gt;0.703&lt;/D&gt;&lt;/FQL&gt;&lt;FQL&gt;&lt;Q&gt;USDITL^STD(FG_PRICE_CHANGE(0,-3AY,M))&lt;/Q&gt;&lt;R&gt;1&lt;/R&gt;&lt;C&gt;1&lt;/C&gt;&lt;D xsi:type="xsd:double"&gt;2.13396081745498&lt;/D&gt;&lt;/FQL&gt;&lt;FQL&gt;&lt;Q&gt;USDCAD^STD(FG_PRICE_CHANGE(0,-3AY,M))&lt;/Q&gt;&lt;R&gt;1&lt;/R&gt;&lt;C&gt;1&lt;/C&gt;&lt;D xsi:type="xsd:double"&gt;1.78345213188899&lt;/D&gt;&lt;/FQL&gt;&lt;FQL&gt;&lt;Q&gt;EWN^FG_TOTAL_RETURNC(-10AY,0,AM)&lt;/Q&gt;&lt;R&gt;121&lt;/R&gt;&lt;C&gt;1&lt;/C&gt;&lt;D xsi:type="xsd:double"&gt;-3.3866107&lt;/D&gt;&lt;D xsi:type="xsd:double"&gt;-3.6924958&lt;/D&gt;&lt;D xsi:type="xsd:double"&gt;2.9960155&lt;/D&gt;&lt;D xsi:type="xsd:double"&gt;-7.2823405&lt;/D&gt;&lt;D xsi:type="xsd:double"&gt;5.397105&lt;/D&gt;&lt;D xsi:type="xsd:double"&gt;1.4154911&lt;/D&gt;&lt;D xsi:type="xsd:double"&gt;-5.053985&lt;/D&gt;&lt;D xsi:type="xsd:double"&gt;5.683303&lt;/D&gt;&lt;D xsi:type="xsd:double"&gt;2.3398995&lt;/D&gt;&lt;D xsi:type="xsd:double"&gt;4.412353&lt;/D&gt;&lt;D xsi:type="xsd:double"&gt;1.8056035&lt;/D&gt;&lt;D xsi:type="xsd:double"&gt;0.9056568&lt;/D&gt;&lt;D xsi:type="xsd:double"&gt;-0.60043335&lt;/D&gt;&lt;D xsi:type="xsd:double"&gt;1.0658503&lt;/D&gt;&lt;D xsi:type="xsd:double"&gt;-9.039545&lt;/D&gt;&lt;D xsi:type="xsd:double"&gt;1.325047&lt;/D&gt;&lt;D xsi:type="xsd:double"&gt;2.0433187&lt;/D&gt;&lt;D xsi:type="xsd:double"&gt;-5.5666804&lt;/D&gt;&lt;D xsi:type="xsd:double"&gt;-3.7799776&lt;/D&gt;&lt;D xsi:type="xsd:double"&gt;-4.3902454&lt;/D&gt;&lt;D xsi:type="xsd:double"&gt;12.755108&lt;/D&gt;&lt;D xsi:type="xsd:double"&gt;0.08227825&lt;/D&gt;&lt;D xsi:type="xsd:double"&gt;0.65761805&lt;/D&gt;&lt;D xsi:type="xsd:double"&gt;-1.5108168&lt;/D&gt;&lt;D xsi:type="xsd:double"&gt;-2.9702961&lt;/D&gt;&lt;D xsi:type="xsd:double"&gt;6.892073&lt;/D&gt;&lt;D xsi:type="xsd:double"&gt;-0.48661232&lt;/D&gt;&lt;D xsi:type="xsd:double"&gt;-0.040751696&lt;/D&gt;&lt;D xsi:type="xsd:double"&gt;-3.0574799&lt;/D&gt;&lt;D xsi:type="xsd:double"&gt;1.0513067&lt;/D&gt;&lt;D xsi:type="xsd:double"&gt;3.016746&lt;/D&gt;&lt;D xsi:type="xsd:double"&gt;2.373159&lt;/D&gt;&lt;D xsi:type="xsd:double"&gt;6.5547585&lt;/D&gt;&lt;D xsi:type="xsd:double"&gt;0.562644&lt;/D&gt;&lt;D xsi:type="xsd:double"&gt;7.348013&lt;/D&gt;&lt;D xsi:type="xsd:double"&gt;2.6059747&lt;/D&gt;&lt;D xsi:type="xsd:double"&gt;0.33472776&lt;/D&gt;&lt;D xsi:type="xsd:double"&gt;3.792274&lt;/D&gt;&lt;D xsi:type="xsd:double"&gt;2.6991487&lt;/D&gt;&lt;D xsi:type="xsd:double"&gt;1.8910289&lt;/D&gt;&lt;D xsi:type="xsd:double"&gt;-1.6357362&lt;/D&gt;&lt;D xsi:type="xsd:double"&gt;1.4070988&lt;/D&gt;&lt;D xsi:type="xsd:double"&gt;2.9445052&lt;/D&gt;&lt;D xsi:type="xsd:double"&gt;-4.0049257&lt;/D&gt;&lt;D xsi:type="xsd:double"&gt;4.589224&lt;/D&gt;&lt;D xsi:type="xsd:double"&gt;-0.33752918&lt;/D&gt;&lt;D xsi:type="xsd:double"&gt;-1.139158&lt;/D&gt;&lt;D xsi:type="xsd:double"&gt;0.9031534&lt;/D&gt;&lt;D xsi:type="xsd:double"&gt;-3.6118388&lt;/D&gt;&lt;D xsi:type="xsd:double"&gt;-0.09762049&lt;/D&gt;&lt;D xsi:type="xsd:double"&gt;-1.9869745&lt;/D&gt;&lt;D xsi:type="xsd:double"&gt;-6.4805627&lt;/D&gt;&lt;D xsi:type="xsd:double"&gt;2.4520278&lt;/D&gt;&lt;D xsi:type="xsd:double"&gt;-5.5844603&lt;/D&gt;&lt;D xsi:type="xsd:double"&gt;0.075519085&lt;/D&gt;&lt;D xsi:type="xsd:double"&gt;4.9428225&lt;/D&gt;&lt;D xsi:type="xsd:double"&gt;2.8822541&lt;/D&gt;&lt;D xsi:type="xsd:double"&gt;4.783058&lt;/D&gt;&lt;D xsi:type="xsd:double"&gt;0.6194949&lt;/D&gt;&lt;D xsi:type="xsd:double"&gt;0.84251165&lt;/D&gt;&lt;D xsi:type="xsd:double"&gt;1.5061378&lt;/D&gt;&lt;D xsi:type="xsd:double"&gt;-2.0434618&lt;/D&gt;&lt;D xsi:type="xsd:double"&gt;4.801321&lt;/D&gt;&lt;D xsi:type="xsd:double"&gt;-0.063192844&lt;/D&gt;&lt;D xsi:type="xsd:double"&gt;3.2880187&lt;/D&gt;&lt;D xsi:type="xsd:double"&gt;1.4386296&lt;/D&gt;&lt;D xsi:type="xsd:double"&gt;2.2287846&lt;/D&gt;&lt;D xsi:type="xsd:double"&gt;1.8968582&lt;/D&gt;&lt;D xsi:type="xsd:double"&gt;-19.80803&lt;/D&gt;&lt;D xsi:type="xsd:double"&gt;-0.036269426&lt;/D&gt;&lt;D xsi:type="xsd:double"&gt;4.4992685&lt;/D&gt;&lt;D xsi:type="xsd:double"&gt;7.708335&lt;/D&gt;&lt;D xsi:type="xsd:double"&gt;10.3622675&lt;/D&gt;&lt;D xsi:type="xsd:double"&gt;2.2627115&lt;/D&gt;&lt;D xsi:type="xsd:double"&gt;1.2068987&lt;/D&gt;&lt;D xsi:type="xsd:double"&gt;4.2021513&lt;/D&gt;&lt;D xsi:type="xsd:double"&gt;3.6512256&lt;/D&gt;&lt;D xsi:type="xsd:double"&gt;5.3890586&lt;/D&gt;&lt;D xsi:type="xsd:double"&gt;6.232941&lt;/D&gt;&lt;D xsi:type="xsd:double"&gt;7.0435762&lt;/D&gt;&lt;D xsi:type="xsd:double"&gt;-0.2860844&lt;/D&gt;&lt;D xsi:type="xsd:double"&gt;5.8927298&lt;/D&gt;&lt;D xsi:type="xsd:double"&gt;-0.6461084&lt;/D&gt;&lt;D xsi:type="xsd:double"&gt;5.033362&lt;/D&gt;&lt;D xsi:type="xsd:double"&gt;-3.1162083&lt;/D&gt;&lt;D xsi:type="xsd:double"&gt;5.8933377&lt;/D&gt;&lt;D xsi:type="xsd:double"&gt;3.5077453&lt;/D&gt;&lt;D xsi:type="xsd:double"&gt;-7.251036&lt;/D&gt;&lt;D xsi:type="xsd:double"&gt;7.1851373&lt;/D&gt;&lt;D xsi:type="xsd:double"&gt;-6.0940742&lt;/D&gt;&lt;D xsi:type="xsd:double"&gt;-0.034826994&lt;/D&gt;&lt;D xsi:type="xsd:double"&gt;-8.348608&lt;/D&gt;&lt;D xsi:type="xsd:double"&gt;-14.419013&lt;/D&gt;&lt;D xsi:type="xsd:double"&gt;4.8805833&lt;/D&gt;&lt;D xsi:type="xsd:double"&gt;-11.509907&lt;/D&gt;&lt;D xsi:type="xsd:double"&gt;3.491187&lt;/D&gt;&lt;D xsi:type="xsd:double"&gt;-7.256299&lt;/D&gt;&lt;D xsi:type="xsd:double"&gt;12.488926&lt;/D&gt;&lt;D xsi:type="xsd:double"&gt;-8.2939625&lt;/D&gt;&lt;D xsi:type="xsd:double"&gt;-14.081276&lt;/D&gt;&lt;D xsi:type="xsd:double"&gt;25.749493&lt;/D&gt;&lt;D xsi:type="xsd:double"&gt;3.0463576&lt;/D&gt;&lt;D xsi:type="xsd:double"&gt;6.5703154&lt;/D&gt;&lt;D xsi:type="xsd:double"&gt;0.9466052&lt;/D&gt;&lt;D xsi:type="xsd:double"&gt;-4.376054&lt;/D&gt;&lt;D xsi:type="xsd:double"&gt;6.1855674&lt;/D&gt;&lt;D xsi:type="xsd:double"&gt;-0.6393552&lt;/D&gt;&lt;D xsi:type="xsd:double"&gt;1.0601163&lt;/D&gt;&lt;D xsi:type="xsd:double"&gt;2.6111722&lt;/D&gt;&lt;D xsi:type="xsd:double"&gt;-0.4647851&lt;/D&gt;&lt;D xsi:type="xsd:double"&gt;-6.5374794&lt;/D&gt;&lt;D xsi:type="xsd:double"&gt;-3.4723938&lt;/D&gt;&lt;D xsi:type="xsd:double"&gt;3.80435&lt;/D&gt;&lt;D xsi:type="xsd:double"&gt;7.6788783&lt;/D&gt;&lt;D xsi:type="xsd:double"&gt;1.6875982&lt;/D&gt;&lt;D xsi:type="xsd:double"&gt;8.648777&lt;/D&gt;&lt;D xsi:type="xsd:double"&gt;2.34375&lt;/D&gt;&lt;D xsi:type="xsd:double"&gt;2.145648&lt;/D&gt;&lt;D xsi:type="xsd:double"&gt;2.302575&lt;/D&gt;&lt;D xsi:type="xsd:double"&gt;1.7071247&lt;/D&gt;&lt;D xsi:type="xsd:double"&gt;1.9827247&lt;/D&gt;&lt;/FQL&gt;&lt;FQL&gt;&lt;Q&gt;EWI^FMA_PE(NTMA,-10AY,0,AM,"PORTAGG","MEANR")&lt;/Q&gt;&lt;R&gt;121&lt;/R&gt;&lt;C&gt;1&lt;/C&gt;&lt;D xsi:type="xsd:double"&gt;13.8617157517757&lt;/D&gt;&lt;D xsi:type="xsd:double"&gt;13.0501676734161&lt;/D&gt;&lt;D xsi:type="xsd:double"&gt;14.0759931612825&lt;/D&gt;&lt;D xsi:type="xsd:double"&gt;12.5150407256355&lt;/D&gt;&lt;D xsi:type="xsd:double"&gt;12.6794841454221&lt;/D&gt;&lt;D xsi:type="xsd:double"&gt;12.5771436691365&lt;/D&gt;&lt;D xsi:type="xsd:double"&gt;11.756665961576&lt;/D&gt;&lt;D xsi:type="xsd:double"&gt;14.097001353957&lt;/D&gt;&lt;D xsi:type="xsd:double"&gt;15.6873068172108&lt;/D&gt;&lt;D xsi:type="xsd:double"&gt;16.2389306829032&lt;/D&gt;&lt;D xsi:type="xsd:double"&gt;15.8496837048314&lt;/D&gt;&lt;D xsi:type="xsd:double"&gt;15.3980335528021&lt;/D&gt;&lt;D xsi:type="xsd:double"&gt;14.9774261091662&lt;/D&gt;&lt;D xsi:type="xsd:double"&gt;15.5943213328869&lt;/D&gt;&lt;D xsi:type="xsd:double"&gt;14.3746031426826&lt;/D&gt;&lt;D xsi:type="xsd:double"&gt;14.5971735812116&lt;/D&gt;&lt;D xsi:type="xsd:double"&gt;14.8171529052627&lt;/D&gt;&lt;D xsi:type="xsd:double"&gt;13.8996972130561&lt;/D&gt;&lt;D xsi:type="xsd:double"&gt;13.3208685643442&lt;/D&gt;&lt;D xsi:type="xsd:double"&gt;11.3227524659391&lt;/D&gt;&lt;D xsi:type="xsd:double"&gt;13.7408450918804&lt;/D&gt;&lt;D xsi:type="xsd:double"&gt;12.9057308005515&lt;/D&gt;&lt;D xsi:type="xsd:double"&gt;13.1381134694341&lt;/D&gt;&lt;D xsi:type="xsd:double"&gt;12.4906733518375&lt;/D&gt;&lt;D xsi:type="xsd:double"&gt;11.8298291647199&lt;/D&gt;&lt;D xsi:type="xsd:double"&gt;12.7968485458617&lt;/D&gt;&lt;D xsi:type="xsd:double"&gt;12.4798024463263&lt;/D&gt;&lt;D xsi:type="xsd:double"&gt;11.7280821786706&lt;/D&gt;&lt;D xsi:type="xsd:double"&gt;11.8434378398969&lt;/D&gt;&lt;D xsi:type="xsd:double"&gt;12.8113917756079&lt;/D&gt;&lt;D xsi:type="xsd:double"&gt;13.4855074143449&lt;/D&gt;&lt;D xsi:type="xsd:double"&gt;13.0473965591938&lt;/D&gt;&lt;D xsi:type="xsd:double"&gt;13.2863042680179&lt;/D&gt;&lt;D xsi:type="xsd:double"&gt;13.2047796175225&lt;/D&gt;&lt;D xsi:type="xsd:double"&gt;13.8339827809243&lt;/D&gt;&lt;D xsi:type="xsd:double"&gt;13.3966175320939&lt;/D&gt;&lt;D xsi:type="xsd:double"&gt;13.2858010619716&lt;/D&gt;&lt;D xsi:type="xsd:double"&gt;13.1548267937409&lt;/D&gt;&lt;D xsi:type="xsd:double"&gt;13.4101121970334&lt;/D&gt;&lt;D xsi:type="xsd:double"&gt;13.6343544877723&lt;/D&gt;&lt;D xsi:type="xsd:double"&gt;13.4460005963658&lt;/D&gt;&lt;D xsi:type="xsd:double"&gt;13.5620771047574&lt;/D&gt;&lt;D xsi:type="xsd:double"&gt;13.5891917985774&lt;/D&gt;&lt;D xsi:type="xsd:double"&gt;12.426312143247&lt;/D&gt;&lt;D xsi:type="xsd:double"&gt;12.717101374817&lt;/D&gt;&lt;D xsi:type="xsd:double"&gt;12.7153872586357&lt;/D&gt;&lt;D xsi:type="xsd:double"&gt;12.9419183625077&lt;/D&gt;&lt;D xsi:type="xsd:double"&gt;11.6542418697284&lt;/D&gt;&lt;D xsi:type="xsd:double"&gt;11.3582594777778&lt;/D&gt;&lt;D xsi:type="xsd:double"&gt;11.0899770874372&lt;/D&gt;&lt;D xsi:type="xsd:double"&gt;10.7425846934127&lt;/D&gt;&lt;D xsi:type="xsd:double"&gt;9.92915550276532&lt;/D&gt;&lt;D xsi:type="xsd:double"&gt;9.83250022460173&lt;/D&gt;&lt;D xsi:type="xsd:double"&gt;9.26225425279815&lt;/D&gt;&lt;D xsi:type="xsd:double"&gt;9.69421551586197&lt;/D&gt;&lt;D xsi:type="xsd:double"&gt;10.0729848571755&lt;/D&gt;&lt;D xsi:type="xsd:double"&gt;10.475005669469&lt;/D&gt;&lt;D xsi:type="xsd:double"&gt;10.8716695057461&lt;/D&gt;&lt;D xsi:type="xsd:double"&gt;10.3914402393696&lt;/D&gt;&lt;D xsi:type="xsd:double"&gt;10.1395791921148&lt;/D&gt;&lt;D xsi:type="xsd:double"&gt;10.9367895923365&lt;/D&gt;&lt;D xsi:type="xsd:double"&gt;10.0179679863687&lt;/D&gt;&lt;D xsi:type="xsd:double"&gt;10.7296148385626&lt;/D&gt;&lt;D xsi:type="xsd:double"&gt;10.8571929792904&lt;/D&gt;&lt;D xsi:type="xsd:double"&gt;11.3806577159949&lt;/D&gt;&lt;D xsi:type="xsd:double"&gt;11.2242476099526&lt;/D&gt;&lt;D xsi:type="xsd:double"&gt;11.6285504676505&lt;/D&gt;&lt;D xsi:type="xsd:double"&gt;11.8042046385782&lt;/D&gt;&lt;D xsi:type="xsd:double"&gt;8.75598712261855&lt;/D&gt;&lt;D xsi:type="xsd:double"&gt;10.5489472602225&lt;/D&gt;&lt;D xsi:type="xsd:double"&gt;14.9128710219147&lt;/D&gt;&lt;D xsi:type="xsd:double"&gt;17.1167848320886&lt;/D&gt;&lt;D xsi:type="xsd:double"&gt;17.324407478027&lt;/D&gt;&lt;D xsi:type="xsd:double"&gt;16.7733821331543&lt;/D&gt;&lt;D xsi:type="xsd:double"&gt;15.7376439361044&lt;/D&gt;&lt;D xsi:type="xsd:double"&gt;14.8153885346636&lt;/D&gt;&lt;D xsi:type="xsd:double"&gt;14.8602130540076&lt;/D&gt;&lt;D xsi:type="xsd:double"&gt;14.7921811915182&lt;/D&gt;&lt;D xsi:type="xsd:double"&gt;14.9427126998914&lt;/D&gt;&lt;D xsi:type="xsd:double"&gt;14.3289421919993&lt;/D&gt;&lt;D xsi:type="xsd:double"&gt;13.9840670202808&lt;/D&gt;&lt;D xsi:type="xsd:double"&gt;13.8515871782921&lt;/D&gt;&lt;D xsi:type="xsd:double"&gt;13.1546707212197&lt;/D&gt;&lt;D xsi:type="xsd:double"&gt;13.7436947531938&lt;/D&gt;&lt;D xsi:type="xsd:double"&gt;13.1343794703468&lt;/D&gt;&lt;D xsi:type="xsd:double"&gt;12.4119748862931&lt;/D&gt;&lt;D xsi:type="xsd:double"&gt;11.7191175863183&lt;/D&gt;&lt;D xsi:type="xsd:double"&gt;11.615399947347&lt;/D&gt;&lt;D xsi:type="xsd:double"&gt;11.7512456845556&lt;/D&gt;&lt;D xsi:type="xsd:double"&gt;10.8563034542595&lt;/D&gt;&lt;D xsi:type="xsd:double"&gt;11.1790075066485&lt;/D&gt;&lt;D xsi:type="xsd:double"&gt;10.6758535162701&lt;/D&gt;&lt;D xsi:type="xsd:double"&gt;9.18218897849224&lt;/D&gt;&lt;D xsi:type="xsd:double"&gt;9.69396941234049&lt;/D&gt;&lt;D xsi:type="xsd:double"&gt;9.12605508934807&lt;/D&gt;&lt;D xsi:type="xsd:double"&gt;8.16454429223532&lt;/D&gt;&lt;D xsi:type="xsd:double"&gt;7.78397799196989&lt;/D&gt;&lt;D xsi:type="xsd:double"&gt;7.76968849083534&lt;/D&gt;&lt;D xsi:type="xsd:double"&gt;7.64621193624032&lt;/D&gt;&lt;D xsi:type="xsd:double"&gt;7.25121608554498&lt;/D&gt;&lt;D xsi:type="xsd:double"&gt;8.29033705698233&lt;/D&gt;&lt;D xsi:type="xsd:double"&gt;7.79105088578293&lt;/D&gt;&lt;D xsi:type="xsd:double"&gt;8.15830342037662&lt;/D&gt;&lt;D xsi:type="xsd:double"&gt;8.40013224155108&lt;/D&gt;&lt;D xsi:type="xsd:double"&gt;8.55951059201857&lt;/D&gt;&lt;D xsi:type="xsd:double"&gt;8.64584881132127&lt;/D&gt;&lt;D xsi:type="xsd:double"&gt;8.31729821182227&lt;/D&gt;&lt;D xsi:type="xsd:double"&gt;8.5631520822216&lt;/D&gt;&lt;D xsi:type="xsd:double"&gt;8.70754513252644&lt;/D&gt;&lt;D xsi:type="xsd:double"&gt;8.28216617494314&lt;/D&gt;&lt;D xsi:type="xsd:double"&gt;8.43335784886033&lt;/D&gt;&lt;D xsi:type="xsd:double"&gt;8.23671507588337&lt;/D&gt;&lt;D xsi:type="xsd:double"&gt;8.09124723260381&lt;/D&gt;&lt;D xsi:type="xsd:double"&gt;8.84518833666573&lt;/D&gt;&lt;D xsi:type="xsd:double"&gt;8.88638262696507&lt;/D&gt;&lt;D xsi:type="xsd:double"&gt;9.00917528445176&lt;/D&gt;&lt;D xsi:type="xsd:double"&gt;9.425813180374&lt;/D&gt;&lt;D xsi:type="xsd:double"&gt;9.49320994291804&lt;/D&gt;&lt;D xsi:type="xsd:double"&gt;9.76945691876584&lt;/D&gt;&lt;D xsi:type="xsd:double"&gt;9.51341603855171&lt;/D&gt;&lt;D xsi:type="xsd:double"&gt;9.6366363711624&lt;/D&gt;&lt;/FQL&gt;&lt;FQL&gt;&lt;Q&gt;DDR3512M-FDS^MAX(FG_PRICE(0,-5AY))&lt;/Q&gt;&lt;R&gt;1&lt;/R&gt;&lt;C&gt;1&lt;/C&gt;&lt;D xsi:type="xsd:double"&gt;3.3053632&lt;/D&gt;&lt;/FQL&gt;&lt;FQL&gt;&lt;Q&gt;NI-FDS^FG_PRICE_CHANGE(0,-1AY)&lt;/Q&gt;&lt;R&gt;1&lt;/R&gt;&lt;C&gt;1&lt;/C&gt;&lt;D xsi:type="xsd:double"&gt;-18.7194525904203&lt;/D&gt;&lt;/FQL&gt;&lt;FQL&gt;&lt;Q&gt;W-FDS^FG_PRICE_CHANGE(0,-3AM)&lt;/Q&gt;&lt;R&gt;1&lt;/R&gt;&lt;C&gt;1&lt;/C&gt;&lt;D xsi:type="xsd:double"&gt;0.45310376076122&lt;/D&gt;&lt;/FQL&gt;&lt;FQL&gt;&lt;Q&gt;EWU^FG_PRICE_MAVG(0,,,,30)&lt;/Q&gt;&lt;R&gt;1&lt;/R&gt;&lt;C&gt;1&lt;/C&gt;&lt;D xsi:type="xsd:double"&gt;35.446335&lt;/D&gt;&lt;/FQL&gt;&lt;FQL&gt;&lt;Q&gt;EWJ^P_PRICE(0)/P_PRICE_HIGH_PR(0,,,,,,"PRICE","INTRA","52W")&lt;/Q&gt;&lt;R&gt;1&lt;/R&gt;&lt;C&gt;1&lt;/C&gt;&lt;D xsi:type="xsd:double"&gt;0.98536044&lt;/D&gt;&lt;/FQL&gt;&lt;FQL&gt;&lt;Q&gt;EWL^FG_TOTAL_RETURNC(0,-6AM)&lt;/Q&gt;&lt;R&gt;1&lt;/R&gt;&lt;C&gt;1&lt;/C&gt;&lt;D xsi:type="xsd:double"&gt;5.5445194&lt;/D&gt;&lt;/FQL&gt;&lt;FQL&gt;&lt;Q&gt;EWC^P_PRICE(0)/P_PRICE_HIGH_PR(0,,,,,,"PRICE","INTRA","52W")&lt;/Q&gt;&lt;R&gt;1&lt;/R&gt;&lt;C&gt;1&lt;/C&gt;&lt;D xsi:type="xsd:double"&gt;0.99019617&lt;/D&gt;&lt;/FQL&gt;&lt;FQL&gt;&lt;Q&gt;EWN^FMA_COS_UP("EPS","1M",+1,0,,,"PORTAGG","MEANR")&lt;/Q&gt;&lt;R&gt;1&lt;/R&gt;&lt;C&gt;1&lt;/C&gt;&lt;D xsi:type="xsd:double"&gt;21&lt;/D&gt;&lt;/FQL&gt;&lt;FQL&gt;&lt;Q&gt;ENZL^FG_ROE(0)&lt;/Q&gt;&lt;R&gt;1&lt;/R&gt;&lt;C&gt;1&lt;/C&gt;&lt;D xsi:type="xsd:double"&gt;4.95421726352556&lt;/D&gt;&lt;/FQL&gt;&lt;FQL&gt;&lt;Q&gt;TRYNL10Y-FDS^PCTCHG(FG_YIELD(0,,,,"YTM"),FG_YIELD(-3AM,,,,"YTM"))&lt;/Q&gt;&lt;R&gt;1&lt;/R&gt;&lt;C&gt;1&lt;/C&gt;&lt;D xsi:type="xsd:double"&gt;-0.6861702&lt;/D&gt;&lt;/FQL&gt;&lt;FQL&gt;&lt;Q&gt;EWD^JULIAN(FMA_DIV_YLD(NTMA,NOW,NOW,M,"PORTAGG","MEANR").DATES)&lt;/Q&gt;&lt;R&gt;1&lt;/R&gt;&lt;C&gt;1&lt;/C&gt;&lt;D xsi:type="xsd:long"&gt;45471&lt;/D&gt;&lt;/FQL&gt;&lt;FQL&gt;&lt;Q&gt;EWA^FMA_PE(NTMA,0,,,"PORTAGG","MEANR")&lt;/Q&gt;&lt;R&gt;1&lt;/R&gt;&lt;C&gt;1&lt;/C&gt;&lt;D xsi:type="xsd:double"&gt;17.0016122843536&lt;/D&gt;&lt;/FQL&gt;&lt;FQL&gt;&lt;Q&gt;UUP^P_PRICE(0)/P_PRICE_HIGH_PR(0,,,USD,,,"PRICE","INTRA","52W")&lt;/Q&gt;&lt;R&gt;1&lt;/R&gt;&lt;C&gt;1&lt;/C&gt;&lt;D xsi:type="xsd:double"&gt;0.95441735&lt;/D&gt;&lt;/FQL&gt;&lt;FQL&gt;&lt;Q&gt;TRYVN10Y-FDS^FG_YIELD(-10AY,0,Y,,"YTM")&lt;/Q&gt;&lt;R&gt;10&lt;/R&gt;&lt;C&gt;1&lt;/C&gt;&lt;D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xsi:type="xsd:double"&gt;2.9473283&lt;/D&gt;&lt;/FQL&gt;&lt;FQL&gt;&lt;Q&gt;CAGDPY@US^EE_ACTUAL_ANNUAL(MED,+1)&lt;/Q&gt;&lt;R&gt;1&lt;/R&gt;&lt;C&gt;1&lt;/C&gt;&lt;D xsi:type="xsd:double"&gt;-3.1&lt;/D&gt;&lt;/FQL&gt;&lt;FQL&gt;&lt;Q&gt;USDCHF^FG_PRICE_CHANGE(0,-3AM)&lt;/Q&gt;&lt;R&gt;1&lt;/R&gt;&lt;C&gt;1&lt;/C&gt;&lt;D xsi:type="xsd:double"&gt;-1.9258201&lt;/D&gt;&lt;/FQL&gt;&lt;FQL&gt;&lt;Q&gt;USDCHF^STD(FG_PRICE_CHANGE(0,-3AY,M))&lt;/Q&gt;&lt;R&gt;1&lt;/R&gt;&lt;C&gt;1&lt;/C&gt;&lt;D xsi:type="xsd:double"&gt;2.41532241496882&lt;/D&gt;&lt;/FQL&gt;&lt;FQL&gt;&lt;Q&gt;EWQ^FMA_EPS(NTMA,-20AY,0,CY,,"PORTAGG","MEANR")&lt;/Q&gt;&lt;R&gt;20&lt;/R&gt;&lt;C&gt;1&lt;/C&gt;&lt;D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</t>
        </r>
      </text>
    </comment>
    <comment ref="A8" authorId="0" shapeId="0" xr:uid="{CC31C959-7F00-486B-80DB-FAAADB8AAC35}">
      <text>
        <r>
          <rPr>
            <b/>
            <sz val="9"/>
            <color indexed="81"/>
            <rFont val="Tahoma"/>
            <charset val="1"/>
          </rPr>
          <t>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xsi:type="xsd:double"&gt;2.92070467991761&lt;/D&gt;&lt;/FQL&gt;&lt;FQL&gt;&lt;Q&gt;NI-FDS^FG_PRICE_CHANGE(0,-3AM)&lt;/Q&gt;&lt;R&gt;1&lt;/R&gt;&lt;C&gt;1&lt;/C&gt;&lt;D xsi:type="xsd:double"&gt;-6.12475303415185&lt;/D&gt;&lt;/FQL&gt;&lt;FQL&gt;&lt;Q&gt;TIOS-FDS^FG_PRICE(0)&lt;/Q&gt;&lt;R&gt;1&lt;/R&gt;&lt;C&gt;1&lt;/C&gt;&lt;D xsi:type="xsd:double"&gt;109.58&lt;/D&gt;&lt;/FQL&gt;&lt;FQL&gt;&lt;Q&gt;ENZL^FG_PRICE_MAVG(0,,,,30)&lt;/Q&gt;&lt;R&gt;1&lt;/R&gt;&lt;C&gt;1&lt;/C&gt;&lt;D xsi:type="xsd:double"&gt;45.77976&lt;/D&gt;&lt;/FQL&gt;&lt;FQL&gt;&lt;Q&gt;VWO^FMA_PCT_ABOVE_MAVG(200,0,,,,"PORTAGG")&lt;/Q&gt;&lt;R&gt;1&lt;/R&gt;&lt;C&gt;1&lt;/C&gt;&lt;D xsi:type="xsd:double"&gt;45.8297506448839&lt;/D&gt;&lt;/FQL&gt;&lt;FQL&gt;&lt;Q&gt;EWN^P_PRICE(0)/P_PRICE_LOW_PR(0,,,,,,"PRICE","INTRA","52W")-1&lt;/Q&gt;&lt;R&gt;1&lt;/R&gt;&lt;C&gt;1&lt;/C&gt;&lt;D xsi:type="xsd:double"&gt;0.4315238&lt;/D&gt;&lt;/FQL&gt;&lt;FQL&gt;&lt;Q&gt;ENZL^FMA_PCT_ABOVE_MAVG(200,0,,,,"PORTAGG")&lt;/Q&gt;&lt;R&gt;1&lt;/R&gt;&lt;C&gt;1&lt;/C&gt;&lt;D xsi:type="xsd:double"&gt;35.7142857142857&lt;/D&gt;&lt;/FQL&gt;&lt;FQL&gt;&lt;Q&gt;EWC^FMA_COS_DOWN("EPS","1M",+1,0,,,"PORTAGG","MEANR")&lt;/Q&gt;&lt;R&gt;1&lt;/R&gt;&lt;C&gt;1&lt;/C&gt;&lt;D xsi:type="xsd:double"&gt;31&lt;/D&gt;&lt;/FQL&gt;&lt;FQL&gt;&lt;Q&gt;EWQ^FMA_RBICS_REV_CURRENT(30, LOC, "PORTAGG")&lt;/Q&gt;&lt;R&gt;1&lt;/R&gt;&lt;C&gt;1&lt;/C&gt;&lt;D xsi:type="xsd:double"&gt;11.1513304275672&lt;/D&gt;&lt;/FQL&gt;&lt;FQL&gt;&lt;Q&gt;TRYIT10Y-FDS^FG_YIELD_NAME&lt;/Q&gt;&lt;R&gt;1&lt;/R&gt;&lt;C&gt;1&lt;/C&gt;&lt;D xsi:type="xsd:string"&gt;Italy Benchmark Bond - 10 Year&lt;/D&gt;&lt;/FQL&gt;&lt;FQL&gt;&lt;Q&gt;REFGBBANK-FDS^FG_YIELD(NOW,,,0)&lt;/Q&gt;&lt;R&gt;1&lt;/R&gt;&lt;C&gt;1&lt;/C&gt;&lt;D xsi:type="xsd:double"&gt;5.25&lt;/D&gt;&lt;/FQL&gt;&lt;FQL&gt;&lt;Q&gt;TRYAU10Y-FDS^FG_YIELD(0,,,,"YTM")&lt;/Q&gt;&lt;R&gt;1&lt;/R&gt;&lt;C&gt;1&lt;/C&gt;&lt;D xsi:type="xsd:double"&gt;4.374&lt;/D&gt;&lt;/FQL&gt;&lt;FQL&gt;&lt;Q&gt;VWO^JULIAN(FMA_DIV_YLD(NTMA,NOW,NOW,M,"PORTAGG","MEANR").DATES)&lt;/Q&gt;&lt;R&gt;1&lt;/R&gt;&lt;C&gt;1&lt;/C&gt;&lt;D xsi:type="xsd:long"&gt;45443&lt;/D&gt;&lt;/FQL&gt;&lt;FQL&gt;&lt;Q&gt;EWN^FMA_EVAL_EBIT(LTMA,NOW,NOW,M,"PORTAGG","MEANR")&lt;/Q&gt;&lt;R&gt;1&lt;/R&gt;&lt;C&gt;1&lt;/C&gt;&lt;D xsi:type="xsd:double"&gt;21.9774534762203&lt;/D&gt;&lt;/FQL&gt;&lt;FQL&gt;&lt;Q&gt;QQQ^FMA_DIV_YLD(NTMA,NOW,NOW,M,"PORTAGG","MEANR")&lt;/Q&gt;&lt;R&gt;1&lt;/R&gt;&lt;C&gt;1&lt;/C&gt;&lt;D xsi:type="xsd:double"&gt;0.84331715259231&lt;/D&gt;&lt;/FQL&gt;&lt;FQL&gt;&lt;Q&gt;EWJ^FMA_PE(NTMA,0,,,"PORTAGG","MEANR")&lt;/Q&gt;&lt;R&gt;1&lt;/R&gt;&lt;C&gt;1&lt;/C&gt;&lt;D xsi:type="xsd:double"&gt;16.2004343354854&lt;/D&gt;&lt;/FQL&gt;&lt;FQL&gt;&lt;Q&gt;EWA^FMA_PE(LTM,0,,,"PORTAGG","MEANR")&lt;/Q&gt;&lt;R&gt;1&lt;/R&gt;&lt;C&gt;1&lt;/C&gt;&lt;D xsi:type="xsd:double"&gt;19.6825859439353&lt;/D&gt;&lt;/FQL&gt;&lt;FQL&gt;&lt;Q&gt;TRYSA10Y-FDS^FG_YIELD(-10AY,0,Y,,"YTM")&lt;/Q&gt;&lt;R&gt;10&lt;/R&gt;&lt;C&gt;1&lt;/C&gt;&lt;D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xsi:type="xsd:double"&gt;2.004&lt;/D&gt;&lt;/FQL&gt;&lt;FQL&gt;&lt;Q&gt;USDITL^STD(FG_PRICE_CHANGE(0,-1AY,AM))&lt;/Q&gt;&lt;R&gt;1&lt;/R&gt;&lt;C&gt;1&lt;/C&gt;&lt;D xsi:type="xsd:double"&gt;1.44206106431476&lt;/D&gt;&lt;/FQL&gt;&lt;FQL&gt;&lt;Q&gt;SPY^FMA_EPS(NTMA,-20AY,0,CY,,"PORTAGG","MEANR")&lt;/Q&gt;&lt;R&gt;20&lt;/R&gt;&lt;C&gt;1&lt;/C&gt;&lt;D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xsi:type="xsd:double"&gt;17.7294354297969&lt;/D&gt;&lt;D xsi:type="xsd:double"&gt;16.6617703334541&lt;/D&gt;&lt;D xsi:type="xsd:double"&gt;22.2767073875426&lt;/D&gt;&lt;D xsi:type="xsd:double"&gt;22.9687104675674&lt;/D&gt;&lt;D xsi:type="xsd:double"&gt;24.3449868007869&lt;/D&gt;&lt;/FQL&gt;&lt;FQL&gt;&lt;Q&gt;EWQ^FG_TOTAL_RETURNC(-10AY,0,AM)&lt;/Q&gt;&lt;R&gt;121&lt;/R&gt;&lt;C&gt;1&lt;/C&gt;&lt;D xsi:type="xsd:double"&gt;-4.297966&lt;/D&gt;&lt;D xsi:type="xsd:double"&gt;-5.1590085&lt;/D&gt;&lt;D xsi:type="xsd:double"&gt;2.4590135&lt;/D&gt;&lt;D xsi:type="xsd:double"&gt;-10.763634&lt;/D&gt;&lt;D xsi:type="xsd:double"&gt;3.76935&lt;/D&gt;&lt;D xsi:type="xsd:double"&gt;-1.3940692&lt;/D&gt;&lt;D xsi:type="xsd:double"&gt;-4.1741967&lt;/D&gt;&lt;D xsi:type="xsd:double"&gt;6.9601655&lt;/D&gt;&lt;D xsi:type="xsd:double"&gt;-0.6272018&lt;/D&gt;&lt;D xsi:type="xsd:double"&gt;5.5226803&lt;/D&gt;&lt;D xsi:type="xsd:double"&gt;1.4953256&lt;/D&gt;&lt;D xsi:type="xsd:double"&gt;0.8103132&lt;/D&gt;&lt;D xsi:type="xsd:double"&gt;-1.8750012&lt;/D&gt;&lt;D xsi:type="xsd:double"&gt;2.4990559&lt;/D&gt;&lt;D xsi:type="xsd:double"&gt;-7.831544&lt;/D&gt;&lt;D xsi:type="xsd:double"&gt;3.0460835&lt;/D&gt;&lt;D xsi:type="xsd:double"&gt;-0.9334862&lt;/D&gt;&lt;D xsi:type="xsd:double"&gt;-5.496663&lt;/D&gt;&lt;D xsi:type="xsd:double"&gt;-5.098981&lt;/D&gt;&lt;D xsi:type="xsd:double"&gt;-4.701227&lt;/D&gt;&lt;D xsi:type="xsd:double"&gt;12.079298&lt;/D&gt;&lt;D xsi:type="xsd:double"&gt;-2.2624433&lt;/D&gt;&lt;D xsi:type="xsd:double"&gt;2.3989916&lt;/D&gt;&lt;D xsi:type="xsd:double"&gt;-1.644057&lt;/D&gt;&lt;D xsi:type="xsd:double"&gt;-2.737081&lt;/D&gt;&lt;D xsi:type="xsd:double"&gt;6.566763&lt;/D&gt;&lt;D xsi:type="xsd:double"&gt;-0.12407303&lt;/D&gt;&lt;D xsi:type="xsd:double"&gt;-1.4078677&lt;/D&gt;&lt;D xsi:type="xsd:double"&gt;-0.797981&lt;/D&gt;&lt;D xsi:type="xsd:double"&gt;3.4716368&lt;/D&gt;&lt;D xsi:type="xsd:double"&gt;2.782166&lt;/D&gt;&lt;D xsi:type="xsd:double"&gt;-0.39952397&lt;/D&gt;&lt;D xsi:type="xsd:double"&gt;3.4897685&lt;/D&gt;&lt;D xsi:type="xsd:double"&gt;2.0542622&lt;/D&gt;&lt;D xsi:type="xsd:double"&gt;8.925188&lt;/D&gt;&lt;D xsi:type="xsd:double"&gt;2.4407268&lt;/D&gt;&lt;D xsi:type="xsd:double"&gt;0.13616085&lt;/D&gt;&lt;D xsi:type="xsd:double"&gt;1.1410832&lt;/D&gt;&lt;D xsi:type="xsd:double"&gt;3.965807&lt;/D&gt;&lt;D xsi:type="xsd:double"&gt;2.6307106&lt;/D&gt;&lt;D xsi:type="xsd:double"&gt;-1.4738858&lt;/D&gt;&lt;D xsi:type="xsd:double"&gt;1.658535&lt;/D&gt;&lt;D xsi:type="xsd:double"&gt;3.801453&lt;/D&gt;&lt;D xsi:type="xsd:double"&gt;-5.1313696&lt;/D&gt;&lt;D xsi:type="xsd:double"&gt;4.2033195&lt;/D&gt;&lt;D xsi:type="xsd:double"&gt;0.4690528&lt;/D&gt;&lt;D xsi:type="xsd:double"&gt;2.2097707&lt;/D&gt;&lt;D xsi:type="xsd:double"&gt;-1.0048747&lt;/D&gt;&lt;D xsi:type="xsd:double"&gt;-2.93535&lt;/D&gt;&lt;D xsi:type="xsd:double"&gt;-1.5852451&lt;/D&gt;&lt;D xsi:type="xsd:double"&gt;-0.03287196&lt;/D&gt;&lt;D xsi:type="xsd:double"&gt;-4.2420206&lt;/D&gt;&lt;D xsi:type="xsd:double"&gt;-1.4766514&lt;/D&gt;&lt;D xsi:type="xsd:double"&gt;-6.064832&lt;/D&gt;&lt;D xsi:type="xsd:double"&gt;0.7208228&lt;/D&gt;&lt;D xsi:type="xsd:double"&gt;2.7387142&lt;/D&gt;&lt;D xsi:type="xsd:double"&gt;5.0792456&lt;/D&gt;&lt;D xsi:type="xsd:double"&gt;3.7709951&lt;/D&gt;&lt;D xsi:type="xsd:double"&gt;-1.0571539&lt;/D&gt;&lt;D xsi:type="xsd:double"&gt;2.070117&lt;/D&gt;&lt;D xsi:type="xsd:double"&gt;2.1778703&lt;/D&gt;&lt;D xsi:type="xsd:double"&gt;-3.9041936&lt;/D&gt;&lt;D xsi:type="xsd:double"&gt;3.0385733&lt;/D&gt;&lt;D xsi:type="xsd:double"&gt;0.53014755&lt;/D&gt;&lt;D xsi:type="xsd:double"&gt;4.5814037&lt;/D&gt;&lt;D xsi:type="xsd:double"&gt;0.15758276&lt;/D&gt;&lt;D xsi:type="xsd:double"&gt;2.5779486&lt;/D&gt;&lt;D xsi:type="xsd:double"&gt;-0.55333376&lt;/D&gt;&lt;D xsi:type="xsd:double"&gt;-22.009272&lt;/D&gt;&lt;D xsi:type="xsd:double"&gt;-3.3293724&lt;/D&gt;&lt;D xsi:type="xsd:double"&gt;-0.9840071&lt;/D&gt;&lt;D xsi:type="xsd:double"&gt;9.606624&lt;/D&gt;&lt;D xsi:type="xsd:double"&gt;6.205082&lt;/D&gt;&lt;D xsi:type="xsd:double"&gt;3.8668036&lt;/D&gt;&lt;D xsi:type="xsd:double"&gt;1.3443589&lt;/D&gt;&lt;D xsi:type="xsd:double"&gt;-1.0544181&lt;/D&gt;&lt;D xsi:type="xsd:double"&gt;9.212791&lt;/D&gt;&lt;D xsi:type="xsd:double"&gt;4.28077&lt;/D&gt;&lt;D xsi:type="xsd:double"&gt;2.8306723&lt;/D&gt;&lt;D xsi:type="xsd:double"&gt;0.265491&lt;/D&gt;&lt;D xsi:type="xsd:double"&gt;4.1776896&lt;/D&gt;&lt;D xsi:type="xsd:double"&gt;2.0050764&lt;/D&gt;&lt;D xsi:type="xsd:double"&gt;3.7929177&lt;/D&gt;&lt;D xsi:type="xsd:double"&gt;5.5134177&lt;/D&gt;&lt;D xsi:type="xsd:double"&gt;-3.093046&lt;/D&gt;&lt;D xsi:type="xsd:double"&gt;3.5083175&lt;/D&gt;&lt;D xsi:type="xsd:double"&gt;-1.5545368&lt;/D&gt;&lt;D xsi:type="xsd:double"&gt;-3.339374&lt;/D&gt;&lt;D xsi:type="xsd:double"&gt;6.8291306&lt;/D&gt;&lt;D xsi:type="xsd:double"&gt;-2.2060692&lt;/D&gt;&lt;D xsi:type="xsd:double"&gt;3.793776&lt;/D&gt;&lt;D xsi:type="xsd:double"&gt;-5.1776648&lt;/D&gt;&lt;D xsi:type="xsd:double"&gt;-12.981802&lt;/D&gt;&lt;D xsi:type="xsd:double"&gt;5.1676393&lt;/D&gt;&lt;D xsi:type="xsd:double"&gt;-7.3413253&lt;/D&gt;&lt;D xsi:type="xsd:double"&gt;1.714766&lt;/D&gt;&lt;D xsi:type="xsd:double"&gt;-7.188499&lt;/D&gt;&lt;D xsi:type="xsd:double"&gt;11.600685&lt;/D&gt;&lt;D xsi:type="xsd:double"&gt;-6.7242384&lt;/D&gt;&lt;D xsi:type="xsd:double"&gt;-10.515875&lt;/D&gt;&lt;D xsi:type="xsd:double"&gt;21.61863&lt;/D&gt;&lt;D xsi:type="xsd:double"&gt;2.218175&lt;/D&gt;&lt;D xsi:type="xsd:double"&gt;6.536269&lt;/D&gt;&lt;D xsi:type="xsd:double"&gt;1.9602418&lt;/D&gt;&lt;D xsi:type="xsd:double"&gt;-0.8239448&lt;/D&gt;&lt;D xsi:type="xsd:double"&gt;6.286347&lt;/D&gt;&lt;D xsi:type="xsd:double"&gt;1.4330387&lt;/D&gt;&lt;D xsi:type="xsd:double"&gt;-3.1742096&lt;/D&gt;&lt;D xsi:type="xsd:double"&gt;3.0919433&lt;/D&gt;&lt;D xsi:type="xsd:double"&gt;0.57879686&lt;/D&gt;&lt;D xsi:type="xsd:double"&gt;-2.7988493&lt;/D&gt;&lt;D xsi:type="xsd:double"&gt;-3.794402&lt;/D&gt;&lt;D xsi:type="xsd:double"&gt;0&lt;/D&gt;&lt;D xsi:type="xsd:double"&gt;7.3286653&lt;/D&gt;&lt;D xsi:type="xsd:double"&gt;0.46768188&lt;/D&gt;&lt;D xsi:type="xsd:double"&gt;1.4360309&lt;/D&gt;&lt;D xsi:type="xsd:double"&gt;5.585587&lt;/D&gt;&lt;D xsi:type="xsd:double"&gt;-1.633352&lt;/D&gt;&lt;D xsi:type="xsd:double"&gt;4.0892243&lt;/D&gt;&lt;D xsi:type="xsd:double"&gt;-4.084289&lt;/D&gt;&lt;D xsi:type="xsd:double"&gt;-0.9905994&lt;/D&gt;&lt;/FQL&gt;&lt;FQL&gt;&lt;Q&gt;EWD^FMA_PE(NTMA,-10AY,0,AM,"PORTAGG","MEANR")&lt;/Q&gt;&lt;R&gt;121&lt;/R&gt;&lt;C&gt;1&lt;/C&gt;&lt;D xsi:type="xsd:double"&gt;15.2762404082585&lt;/D&gt;&lt;D xsi:type="xsd:double"&gt;15.1200427613996&lt;/D&gt;&lt;D xsi:type="xsd:double"&gt;14.6136591927724&lt;/D&gt;&lt;D xsi:type="xsd:double"&gt;13.5743584972697&lt;/D&gt;&lt;D xsi:type="xsd:double"&gt;15.4067685165563&lt;/D&gt;&lt;D xsi:type="xsd:double"&gt;15.5779463083836&lt;/D&gt;&lt;D xsi:type="xsd:double"&gt;15.4187242794354&lt;/D&gt;&lt;D xsi:type="xsd:double"&gt;16.2988734378509&lt;/D&gt;&lt;D xsi:type="xsd:double"&gt;17.0957167471031&lt;/D&gt;&lt;D xsi:type="xsd:double"&gt;17.1031650844149&lt;/D&gt;&lt;D xsi:type="xsd:double"&gt;15.4598936020367&lt;/D&gt;&lt;D xsi:type="xsd:double"&gt;15.9964864332882&lt;/D&gt;&lt;D xsi:type="xsd:double"&gt;15.9021586170153&lt;/D&gt;&lt;D xsi:type="xsd:double"&gt;16.142034083653&lt;/D&gt;&lt;D xsi:type="xsd:double"&gt;14.8109783630453&lt;/D&gt;&lt;D xsi:type="xsd:double"&gt;15.0764009710019&lt;/D&gt;&lt;D xsi:type="xsd:double"&gt;15.5271813130198&lt;/D&gt;&lt;D xsi:type="xsd:double"&gt;14.4552181498819&lt;/D&gt;&lt;D xsi:type="xsd:double"&gt;14.0184570305259&lt;/D&gt;&lt;D xsi:type="xsd:double"&gt;13.764219185379&lt;/D&gt;&lt;D xsi:type="xsd:double"&gt;15.6747655272162&lt;/D&gt;&lt;D xsi:type="xsd:double"&gt;15.1315496732091&lt;/D&gt;&lt;D xsi:type="xsd:double"&gt;14.8737740233594&lt;/D&gt;&lt;D xsi:type="xsd:double"&gt;14.415651769368&lt;/D&gt;&lt;D xsi:type="xsd:double"&gt;14.8307833686945&lt;/D&gt;&lt;D xsi:type="xsd:double"&gt;15.5708713496777&lt;/D&gt;&lt;D xsi:type="xsd:double"&gt;15.4947158805012&lt;/D&gt;&lt;D xsi:type="xsd:double"&gt;15.9130016960997&lt;/D&gt;&lt;D xsi:type="xsd:double"&gt;15.9534793962779&lt;/D&gt;&lt;D xsi:type="xsd:double"&gt;16.6507371174598&lt;/D&gt;&lt;D xsi:type="xsd:double"&gt;16.3918109863325&lt;/D&gt;&lt;D xsi:type="xsd:double"&gt;16.0535738459264&lt;/D&gt;&lt;D xsi:type="xsd:double"&gt;16.8527444954059&lt;/D&gt;&lt;D xsi:type="xsd:double"&gt;16.9113182155193&lt;/D&gt;&lt;D xsi:type="xsd:double"&gt;17.105246351462&lt;/D&gt;&lt;D xsi:type="xsd:double"&gt;16.9129138384542&lt;/D&gt;&lt;D xsi:type="xsd:double"&gt;16.573929261824&lt;/D&gt;&lt;D xsi:type="xsd:double"&gt;15.7500476247099&lt;/D&gt;&lt;D xsi:type="xsd:double"&gt;16.0972210170825&lt;/D&gt;&lt;D xsi:type="xsd:double"&gt;16.7057657375322&lt;/D&gt;&lt;D xsi:type="xsd:double"&gt;16.8997188487636&lt;/D&gt;&lt;D xsi:type="xsd:double"&gt;16.5182405886505&lt;/D&gt;&lt;D xsi:type="xsd:double"&gt;16.6587682546577&lt;/D&gt;&lt;D xsi:type="xsd:double"&gt;15.5817227402787&lt;/D&gt;&lt;D xsi:type="xsd:double"&gt;16.3812019920089&lt;/D&gt;&lt;D xsi:type="xsd:double"&gt;15.4164827083674&lt;/D&gt;&lt;D xsi:type="xsd:double"&gt;16.0129220680866&lt;/D&gt;&lt;D xsi:type="xsd:double"&gt;15.5197271687816&lt;/D&gt;&lt;D xsi:type="xsd:double"&gt;15.1730816867006&lt;/D&gt;&lt;D xsi:type="xsd:double"&gt;15.5691015985699&lt;/D&gt;&lt;D xsi:type="xsd:double"&gt;15.489517546686&lt;/D&gt;&lt;D xsi:type="xsd:double"&gt;14.6686032437439&lt;/D&gt;&lt;D xsi:type="xsd:double"&gt;14.3961772472307&lt;/D&gt;&lt;D xsi:type="xsd:double"&gt;13.710364692444&lt;/D&gt;&lt;D xsi:type="xsd:double"&gt;13.9631171629353&lt;/D&gt;&lt;D xsi:type="xsd:double"&gt;14.5966803943034&lt;/D&gt;&lt;D xsi:type="xsd:double"&gt;14.7599378286887&lt;/D&gt;&lt;D xsi:type="xsd:double"&gt;15.1414181357009&lt;/D&gt;&lt;D xsi:type="xsd:double"&gt;14.9813018503785&lt;/D&gt;&lt;D xsi:type="xsd:double"&gt;14.796190737989&lt;/D&gt;&lt;D xsi:type="xsd:double"&gt;14.989609933328&lt;/D&gt;&lt;D xsi:type="xsd:double"&gt;13.6686927913931&lt;/D&gt;&lt;D xsi:type="xsd:double"&gt;14.5330865622807&lt;/D&gt;&lt;D xsi:type="xsd:double"&gt;15.0667745209736&lt;/D&gt;&lt;D xsi:type="xsd:double"&gt;15.9049335712408&lt;/D&gt;&lt;D xsi:type="xsd:double"&gt;15.7739868275546&lt;/D&gt;&lt;D xsi:type="xsd:double"&gt;16.2701914172908&lt;/D&gt;&lt;D xsi:type="xsd:double"&gt;17.0024280042068&lt;/D&gt;&lt;D xsi:type="xsd:double"&gt;13.5169052584348&lt;/D&gt;&lt;D xsi:type="xsd:double"&gt;15.6842281394485&lt;/D&gt;&lt;D xsi:type="xsd:double"&gt;18.0531726201186&lt;/D&gt;&lt;D xsi:type="xsd:double"&gt;18.4457194776109&lt;/D&gt;&lt;D xsi:type="xsd:double"&gt;19.5199342534149&lt;/D&gt;&lt;D xsi:type="xsd:double"&gt;18.9233006850343&lt;/D&gt;&lt;D xsi:type="xsd:double"&gt;18.2671045540754&lt;/D&gt;&lt;D xsi:type="xsd:double"&gt;18.3378146547211&lt;/D&gt;&lt;D xsi:type="xsd:double"&gt;17.1491417212017&lt;/D&gt;&lt;D xsi:type="xsd:double"&gt;17.1742451198595&lt;/D&gt;&lt;D xsi:type="xsd:double"&gt;18.6418997234651&lt;/D&gt;&lt;D xsi:type="xsd:double"&gt;18.7241538171892&lt;/D&gt;&lt;D xsi:type="xsd:double"&gt;20.0960712943579&lt;/D&gt;&lt;D xsi:type="xsd:double"&gt;20.6106303205753&lt;/D&gt;&lt;D xsi:type="xsd:double"&gt;17.7463616592238&lt;/D&gt;&lt;D xsi:type="xsd:double"&gt;18.6963165299631&lt;/D&gt;&lt;D xsi:type="xsd:double"&gt;18.8861156616608&lt;/D&gt;&lt;D xsi:type="xsd:double"&gt;18.7059657963343&lt;/D&gt;&lt;D xsi:type="xsd:double"&gt;18.4758436647682&lt;/D&gt;&lt;D xsi:type="xsd:double"&gt;17.6308297341894&lt;/D&gt;&lt;D xsi:type="xsd:double"&gt;18.7568983898625&lt;/D&gt;&lt;D xsi:type="xsd:double"&gt;18.999171537292&lt;/D&gt;&lt;D xsi:type="xsd:double"&gt;17.7119672515958&lt;/D&gt;&lt;D xsi:type="xsd:double"&gt;16.4303174007052&lt;/D&gt;&lt;D xsi:type="xsd:double"&gt;14.7333133907451&lt;/D&gt;&lt;D xsi:type="xsd:double"&gt;14.9725016124632&lt;/D&gt;&lt;D xsi:type="xsd:double"&gt;15.6370023128172&lt;/D&gt;&lt;D xsi:type="xsd:double"&gt;15.1929871014415&lt;/D&gt;&lt;D xsi:type="xsd:double"&gt;14.5484426268636&lt;/D&gt;&lt;D xsi:type="xsd:double"&gt;15.0684764107163&lt;/D&gt;&lt;D xsi:type="xsd:double"&gt;14.1004127978362&lt;/D&gt;&lt;D xsi:type="xsd:double"&gt;12.9401290870875&lt;/D&gt;&lt;D xsi:type="xsd:double"&gt;13.2401359212013&lt;/D&gt;&lt;D xsi:type="xsd:double"&gt;13.2761821999965&lt;/D&gt;&lt;D xsi:type="xsd:double"&gt;13.6234290778399&lt;/D&gt;&lt;D xsi:type="xsd:double"&gt;13.9522418566358&lt;/D&gt;&lt;D xsi:type="xsd:double"&gt;13.7023566875891&lt;/D&gt;&lt;D xsi:type="xsd:double"&gt;13.6474611637196&lt;/D&gt;&lt;D xsi:type="xsd:double"&gt;13.4654557870113&lt;/D&gt;&lt;D xsi:type="xsd:double"&gt;13.7103782183028&lt;/D&gt;&lt;D xsi:type="xsd:double"&gt;13.2830426360587&lt;/D&gt;&lt;D xsi:type="xsd:double"&gt;13.0924612303311&lt;/D&gt;&lt;D xsi:type="xsd:double"&gt;13.024524924572&lt;/D&gt;&lt;D xsi:type="xsd:double"&gt;13.1391250558575&lt;/D&gt;&lt;D xsi:type="xsd:double"&gt;12.7984855615799&lt;/D&gt;&lt;D xsi:type="xsd:double"&gt;15.2494607667054&lt;/D&gt;&lt;D xsi:type="xsd:double"&gt;15.2362730753821&lt;/D&gt;&lt;D xsi:type="xsd:double"&gt;15.6974883778289&lt;/D&gt;&lt;D xsi:type="xsd:double"&gt;16.4581442423415&lt;/D&gt;&lt;D xsi:type="xsd:double"&gt;16.1552055005767&lt;/D&gt;&lt;D xsi:type="xsd:double"&gt;16.4677751311164&lt;/D&gt;&lt;D xsi:type="xsd:double"&gt;16.0729426233901&lt;/D&gt;&lt;D xsi:type="xsd:double"&gt;15.8983938999432&lt;/D&gt;&lt;/FQL&gt;&lt;FQL&gt;&lt;Q&gt;DDR3512M-FDS^FG_PRICE_CHANGE(0,-1AY)&lt;/Q&gt;&lt;R&gt;1&lt;/R&gt;&lt;C&gt;1&lt;/C&gt;&lt;D xsi:type="xsd:double"&gt;-6.61782618989998&lt;/D&gt;&lt;/FQL&gt;&lt;FQL&gt;&lt;Q&gt;W-FDS^FG_PRICE_CHANGE(0,-1AM)&lt;/Q&gt;&lt;R&gt;1&lt;/R&gt;&lt;C&gt;1&lt;/C&gt;&lt;D xsi:type="xsd:double"&gt;-11.5323224261772&lt;/D&gt;&lt;/FQL&gt;&lt;FQL&gt;&lt;Q&gt;EWI^FG_PRICE_MAVG(0,,,,60)&lt;/Q&gt;&lt;R&gt;1&lt;/R&gt;&lt;C&gt;1&lt;/C&gt;&lt;D xsi:type="xsd:double"&gt;37.384167&lt;/D&gt;&lt;/FQL&gt;&lt;FQL&gt;&lt;Q&gt;EWU^FG_PRICE(0)&lt;/Q&gt;&lt;R&gt;1&lt;/R&gt;&lt;C&gt;1&lt;/C&gt;&lt;D xsi:type="xsd:double"&gt;35.78&lt;/D&gt;&lt;/FQL&gt;&lt;FQL&gt;&lt;Q&gt;EWL^FG_TOTAL_RETURNC(0,-3AM)&lt;/Q&gt;&lt;R&gt;1&lt;/R&gt;&lt;C&gt;1&lt;/C&gt;&lt;D xsi:type="xsd:double"&gt;8.666193&lt;/D&gt;&lt;/FQL&gt;&lt;FQL&gt;&lt;Q&gt;EWC^FG_TOTAL_RETURNC(0,-6AM)&lt;/Q&gt;&lt;R&gt;1&lt;/R&gt;&lt;C&gt;1&lt;/C&gt;&lt;D xsi:type="xsd:double"&gt;6.84886&lt;/D&gt;&lt;/FQL&gt;&lt;FQL&gt;&lt;Q&gt;FXI^SIZE(FG_CONSTITUENTS)&lt;/Q&gt;&lt;R&gt;1&lt;/R&gt;&lt;C&gt;1&lt;/C&gt;&lt;D xsi:type="xsd:long"&gt;52&lt;/D&gt;&lt;/FQL&gt;&lt;FQL&gt;&lt;Q&gt;EWQ^SIZE(FG_CONSTITUENTS)&lt;/Q&gt;&lt;R&gt;1&lt;/R&gt;&lt;C&gt;1&lt;/C&gt;&lt;D xsi:type="xsd:long"&gt;62&lt;/D&gt;&lt;/FQL&gt;&lt;FQL&gt;&lt;Q&gt;REFCHMPR-FDS^FG_YIELD(NOW,,,0)&lt;/Q&gt;&lt;R&gt;1&lt;/R&gt;&lt;C&gt;1&lt;/C&gt;&lt;D xsi:type="xsd:double"&gt;1.25&lt;/D&gt;&lt;/FQL&gt;&lt;FQL&gt;&lt;Q&gt;TRYFR10Y-FDS^PCTCHG(FG_YIELD(0,,,,"YTM"),FG_YIELD(-3AM,,,,"YTM"))&lt;/Q&gt;&lt;R&gt;1&lt;/R&gt;&lt;C&gt;1&lt;/C&gt;&lt;D xsi:type="xsd:double"&gt;4.94284&lt;/D&gt;&lt;/FQL&gt;&lt;FQL&gt;&lt;Q&gt;TRYAU10Y-FDS^FG_YIELD_NAME&lt;/Q&gt;&lt;R&gt;1&lt;/R&gt;&lt;C&gt;1&lt;/C&gt;&lt;D xsi:type="xsd:string"&gt;Australia Benchmark Bond - 10 Year&lt;/D&gt;&lt;/FQL&gt;&lt;FQL&gt;&lt;Q&gt;VGK^FG_TOTAL_RETURNC(0,-6AM)&lt;/Q&gt;&lt;R&gt;1&lt;/R&gt;&lt;C&gt;1&lt;/C&gt;&lt;D xsi:type="xsd:double"&gt;10.53586&lt;/D&gt;&lt;/FQL&gt;&lt;FQL&gt;&lt;Q&gt;UUP^FG_TOTAL_RETURNC(0,-6AM)&lt;/Q&gt;&lt;R&gt;1&lt;/R&gt;&lt;C&gt;1&lt;/C&gt;&lt;D xsi:type="xsd:double"&gt;4.9963593&lt;/D&gt;&lt;/FQL&gt;&lt;FQL&gt;&lt;Q&gt;NI-FDS^FG_PRICE_CHANGE(0,-1AM)&lt;/Q&gt;&lt;R&gt;1&lt;/R&gt;&lt;C&gt;1&lt;/C&gt;&lt;D xsi:type="xsd:double"&gt;-5.77903682719547&lt;/D&gt;&lt;/FQL&gt;&lt;FQL&gt;&lt;Q&gt;EWN^P_PRICE(0)/P_PRICE_HIGH_PR(0,,,,,,"PRICE","INTRA","52W")&lt;/Q&gt;&lt;R&gt;1&lt;/R&gt;&lt;C&gt;1&lt;/C&gt;&lt;D xsi:type="xsd:double"&gt;0.98595566&lt;/D&gt;&lt;/FQL&gt;&lt;FQL&gt;&lt;Q&gt;EWL^FG_TOTAL_RETURNC(0,-1AM)&lt;/Q&gt;&lt;R&gt;1&lt;/R&gt;&lt;C&gt;1&lt;/C&gt;&lt;D xsi:type="xsd:double"&gt;1.670444&lt;/D&gt;&lt;/FQL&gt;&lt;FQL&gt;&lt;Q&gt;EWQ^FMA_ROE(NTMA,-20AY,NOW,FY,"PORTAGG","MEANR")&lt;/Q&gt;&lt;R&gt;20&lt;/R&gt;&lt;C&gt;1&lt;/C&gt;&lt;D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xsi:type="xsd:double"&gt;8.94223448408443&lt;/D&gt;&lt;D xsi:type="xsd:double"&gt;12.2539555485597&lt;/D&gt;&lt;D xsi:type="xsd:double"&gt;13.1476341706421&lt;/D&gt;&lt;D xsi:type="xsd:double"&gt;13.2212508616692&lt;/D&gt;&lt;/FQL&gt;&lt;FQL&gt;&lt;Q&gt;TRYPH10Y-FDS^FG_YIELD(-10AY,0,Y,,"YTM")&lt;/Q&gt;&lt;R&gt;10&lt;/R&gt;&lt;C&gt;1&lt;/C&gt;&lt;D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xsi:type="xsd:double"&gt;6.0028777&lt;/D&gt;&lt;/FQL&gt;&lt;FQL&gt;&lt;Q&gt;USDSEK^FG_COMPANY_NAME&lt;/Q&gt;&lt;R&gt;1&lt;/R&gt;&lt;C&gt;1&lt;/C&gt;&lt;D xsi:type="xsd:string"&gt;Swedish Krona per U.S. Dollar&lt;/D&gt;&lt;/FQL&gt;&lt;FQL&gt;&lt;Q&gt;USDJPY^FG_PRICE_CHANGE(0,-1AY)&lt;/Q&gt;&lt;R&gt;1&lt;/R&gt;&lt;C&gt;1&lt;/C&gt;&lt;D xsi:type="xsd:double"&gt;12.754679&lt;/D&gt;&lt;/FQL&gt;&lt;FQL&gt;&lt;Q&gt;QQQ^P_PRICE_RETURNS_PR('52W',2,-10AY,0,AM)&lt;/Q&gt;&lt;R&gt;121&lt;/R&gt;&lt;C&gt;1&lt;/C&gt;&lt;D xsi:type="xsd:double"&gt;29.031647&lt;/D&gt;&lt;D xsi:type="xsd:double"&gt;26.719772&lt;/D&gt;&lt;D xsi:type="xsd:double"&gt;30.063557&lt;/D&gt;&lt;D xsi:type="xsd:double"&gt;21.90807&lt;/D&gt;&lt;D xsi:type="xsd:double"&gt;25.940395&lt;/D&gt;&lt;D xsi:type="xsd:double"&gt;23.655678&lt;/D&gt;&lt;D xsi:type="xsd:double"&gt;19.731676&lt;/D&gt;&lt;D xsi:type="xsd:double"&gt;19.801308&lt;/D&gt;&lt;D xsi:type="xsd:double"&gt;17.801071&lt;/D&gt;&lt;D xsi:type="xsd:double"&gt;28.021503&lt;/D&gt;&lt;D xsi:type="xsd:double"&gt;26.119888&lt;/D&gt;&lt;D xsi:type="xsd:double"&gt;19.353426&lt;/D&gt;&lt;D xsi:type="xsd:double"&gt;14.942705&lt;/D&gt;&lt;D xsi:type="xsd:double"&gt;16.615845&lt;/D&gt;&lt;D xsi:type="xsd:double"&gt;6.71314&lt;/D&gt;&lt;D xsi:type="xsd:double"&gt;11.173237&lt;/D&gt;&lt;D xsi:type="xsd:double"&gt;11.814523&lt;/D&gt;&lt;D xsi:type="xsd:double"&gt;7.8887105&lt;/D&gt;&lt;D xsi:type="xsd:double"&gt;2.7056098&lt;/D&gt;&lt;D xsi:type="xsd:double"&gt;-6.912607&lt;/D&gt;&lt;D xsi:type="xsd:double"&gt;2.348566&lt;/D&gt;&lt;D xsi:type="xsd:double"&gt;1.8876433&lt;/D&gt;&lt;D xsi:type="xsd:double"&gt;-0.6931484&lt;/D&gt;&lt;D xsi:type="xsd:double"&gt;0.58237314&lt;/D&gt;&lt;D xsi:type="xsd:double"&gt;4.2096853&lt;/D&gt;&lt;D xsi:type="xsd:double"&gt;7.5373173&lt;/D&gt;&lt;D xsi:type="xsd:double"&gt;11.274349&lt;/D&gt;&lt;D xsi:type="xsd:double"&gt;11.565315&lt;/D&gt;&lt;D xsi:type="xsd:double"&gt;3.5098672&lt;/D&gt;&lt;D xsi:type="xsd:double"&gt;7.053733&lt;/D&gt;&lt;D xsi:type="xsd:double"&gt;19.144356&lt;/D&gt;&lt;D xsi:type="xsd:double"&gt;33.212326&lt;/D&gt;&lt;D xsi:type="xsd:double"&gt;26.94229&lt;/D&gt;&lt;D xsi:type="xsd:double"&gt;22.285545&lt;/D&gt;&lt;D xsi:type="xsd:double"&gt;31.358088&lt;/D&gt;&lt;D xsi:type="xsd:double"&gt;28.341818&lt;/D&gt;&lt;D xsi:type="xsd:double"&gt;26.644648&lt;/D&gt;&lt;D xsi:type="xsd:double"&gt;22.58234&lt;/D&gt;&lt;D xsi:type="xsd:double"&gt;28.961658&lt;/D&gt;&lt;D xsi:type="xsd:double"&gt;27.232277&lt;/D&gt;&lt;D xsi:type="xsd:double"&gt;34.09926&lt;/D&gt;&lt;D xsi:type="xsd:double"&gt;31.767475&lt;/D&gt;&lt;D xsi:type="xsd:double"&gt;34.04347&lt;/D&gt;&lt;D xsi:type="xsd:double"&gt;24.073769&lt;/D&gt;&lt;D xsi:type="xsd:double"&gt;33.552193&lt;/D&gt;&lt;D xsi:type="xsd:double"&gt;22.99223&lt;/D&gt;&lt;D xsi:type="xsd:double"&gt;23.60481&lt;/D&gt;&lt;D xsi:type="xsd:double"&gt;26.039768&lt;/D&gt;&lt;D xsi:type="xsd:double"&gt;27.902115&lt;/D&gt;&lt;D xsi:type="xsd:double"&gt;29.037142&lt;/D&gt;&lt;D xsi:type="xsd:double"&gt;26.552498&lt;/D&gt;&lt;D xsi:type="xsd:double"&gt;15.444672&lt;/D&gt;&lt;D xsi:type="xsd:double"&gt;12.459528&lt;/D&gt;&lt;D xsi:type="xsd:double"&gt;5.7525396&lt;/D&gt;&lt;D xsi:type="xsd:double"&gt;-0.75089335&lt;/D&gt;&lt;D xsi:type="xsd:double"&gt;8.801889&lt;/D&gt;&lt;D xsi:type="xsd:double"&gt;1.7693996&lt;/D&gt;&lt;D xsi:type="xsd:double"&gt;16.447544&lt;/D&gt;&lt;D xsi:type="xsd:double"&gt;10.01761&lt;/D&gt;&lt;D xsi:type="xsd:double"&gt;5.7674766&lt;/D&gt;&lt;D xsi:type="xsd:double"&gt;10.026693&lt;/D&gt;&lt;D xsi:type="xsd:double"&gt;3.417647&lt;/D&gt;&lt;D xsi:type="xsd:double"&gt;6.006539&lt;/D&gt;&lt;D xsi:type="xsd:double"&gt;13.697254&lt;/D&gt;&lt;D xsi:type="xsd:double"&gt;18.218994&lt;/D&gt;&lt;D xsi:type="xsd:double"&gt;26.41368&lt;/D&gt;&lt;D xsi:type="xsd:double"&gt;36.549603&lt;/D&gt;&lt;D xsi:type="xsd:double"&gt;38.906742&lt;/D&gt;&lt;D xsi:type="xsd:double"&gt;12.645936&lt;/D&gt;&lt;D xsi:type="xsd:double"&gt;9.808922&lt;/D&gt;&lt;D xsi:type="xsd:double"&gt;23.679806&lt;/D&gt;&lt;D xsi:type="xsd:double"&gt;28.690683&lt;/D&gt;&lt;D xsi:type="xsd:double"&gt;38.187862&lt;/D&gt;&lt;D xsi:type="xsd:double"&gt;43.345165&lt;/D&gt;&lt;D xsi:type="xsd:double"&gt;41.675793&lt;/D&gt;&lt;D xsi:type="xsd:double"&gt;53.739834&lt;/D&gt;&lt;D xsi:type="xsd:double"&gt;45.266415&lt;/D&gt;&lt;D xsi:type="xsd:double"&gt;48.35974&lt;/D&gt;&lt;D xsi:type="xsd:double"&gt;44.972397&lt;/D&gt;&lt;D xsi:type="xsd:double"&gt;45.238148&lt;/D&gt;&lt;D xsi:type="xsd:double"&gt;64.075935&lt;/D&gt;&lt;D xsi:type="xsd:double"&gt;68.880775&lt;/D&gt;&lt;D xsi:type="xsd:double"&gt;44.285404&lt;/D&gt;&lt;D xsi:type="xsd:double"&gt;46.726643&lt;/D&gt;&lt;D xsi:type="xsd:double"&gt;38.476406&lt;/D&gt;&lt;D xsi:type="xsd:double"&gt;38.876617&lt;/D&gt;&lt;D xsi:type="xsd:double"&gt;39.063583&lt;/D&gt;&lt;D xsi:type="xsd:double"&gt;26.10954&lt;/D&gt;&lt;D xsi:type="xsd:double"&gt;35.519005&lt;/D&gt;&lt;D xsi:type="xsd:double"&gt;32.26881&lt;/D&gt;&lt;D xsi:type="xsd:double"&gt;23.30023&lt;/D&gt;&lt;D xsi:type="xsd:double"&gt;4.230273&lt;/D&gt;&lt;D xsi:type="xsd:double"&gt;2.491641&lt;/D&gt;&lt;D xsi:type="xsd:double"&gt;1.6089559&lt;/D&gt;&lt;D xsi:type="xsd:double"&gt;-9.8560095&lt;/D&gt;&lt;D xsi:type="xsd:double"&gt;-14.725161&lt;/D&gt;&lt;D xsi:type="xsd:double"&gt;-19.49144&lt;/D&gt;&lt;D xsi:type="xsd:double"&gt;-11.013251&lt;/D&gt;&lt;D xsi:type="xsd:double"&gt;-18.6249&lt;/D&gt;&lt;D xsi:type="xsd:double"&gt;-26.231324999999998&lt;/D&gt;&lt;D xsi:type="xsd:double"&gt;-25.818407&lt;/D&gt;&lt;D xsi:type="xsd:double"&gt;-27.922894&lt;/D&gt;&lt;D xsi:type="xsd:double"&gt;-27.533829&lt;/D&gt;&lt;D xsi:type="xsd:double"&gt;-15.771079&lt;/D&gt;&lt;D xsi:type="xsd:double"&gt;-12.2559185&lt;/D&gt;&lt;D xsi:type="xsd:double"&gt;-6.6423297&lt;/D&gt;&lt;D xsi:type="xsd:double"&gt;12.628961&lt;/D&gt;&lt;D xsi:type="xsd:double"&gt;19.309593&lt;/D&gt;&lt;D xsi:type="xsd:double"&gt;28.287197&lt;/D&gt;&lt;D xsi:type="xsd:double"&gt;13.81681&lt;/D&gt;&lt;D xsi:type="xsd:double"&gt;23.632885&lt;/D&gt;&lt;D xsi:type="xsd:double"&gt;42.244495&lt;/D&gt;&lt;D xsi:type="xsd:double"&gt;34.736073&lt;/D&gt;&lt;D xsi:type="xsd:double"&gt;41.190193&lt;/D&gt;&lt;D xsi:type="xsd:double"&gt;48.503136&lt;/D&gt;&lt;D xsi:type="xsd:double"&gt;45.87022&lt;/D&gt;&lt;D xsi:type="xsd:double"&gt;52.626465&lt;/D&gt;&lt;D xsi:type="xsd:double"&gt;41.954376&lt;/D&gt;&lt;D xsi:type="xsd:double"&gt;36.864864&lt;/D&gt;&lt;D xsi:type="xsd:double"&gt;32.90135&lt;/D&gt;&lt;D xsi:type="xsd:double"&gt;34.535587&lt;/D&gt;&lt;/FQL&gt;&lt;FQL&gt;&lt;Q&gt;EWQ^FMA_DIV_YLD(NTMA,-10AY,0,AM,"PORTAGG","MEANR")&lt;/Q&gt;&lt;R&gt;121&lt;/R&gt;&lt;C&gt;1&lt;/C&gt;&lt;D xsi:type="xsd:double"&gt;3.53094993660286&lt;/D&gt;&lt;D xsi:type="xsd:double"&gt;3.6610390361292&lt;/D&gt;&lt;D xsi:type="xsd:double"&gt;3.50994848731331&lt;/D&gt;&lt;D xsi:type="xsd:double"&gt;3.84671942820626&lt;/D&gt;&lt;D xsi:type="xsd:double"&gt;3.68622192730001&lt;/D&gt;&lt;D xsi:type="xsd:double"&gt;3.67725727444498&lt;/D&gt;&lt;D xsi:type="xsd:double"&gt;3.71383695470491&lt;/D&gt;&lt;D xsi:type="xsd:double"&gt;3.30807106056322&lt;/D&gt;&lt;D xsi:type="xsd:double"&gt;3.20895470970954&lt;/D&gt;&lt;D xsi:type="xsd:double"&gt;3.08495761012866&lt;/D&gt;&lt;D xsi:type="xsd:double"&gt;3.2684495284643&lt;/D&gt;&lt;D xsi:type="xsd:double"&gt;3.31924384936927&lt;/D&gt;&lt;D xsi:type="xsd:double"&gt;3.37716442667806&lt;/D&gt;&lt;D xsi:type="xsd:double"&gt;3.30076312695952&lt;/D&gt;&lt;D xsi:type="xsd:double"&gt;3.69712942805825&lt;/D&gt;&lt;D xsi:type="xsd:double"&gt;3.56337293234251&lt;/D&gt;&lt;D xsi:type="xsd:double"&gt;3.40872749810117&lt;/D&gt;&lt;D xsi:type="xsd:double"&gt;3.66685130327929&lt;/D&gt;&lt;D xsi:type="xsd:double"&gt;3.86282784769069&lt;/D&gt;&lt;D xsi:type="xsd:double"&gt;4.22120026727507&lt;/D&gt;&lt;D xsi:type="xsd:double"&gt;3.69147797520485&lt;/D&gt;&lt;D xsi:type="xsd:double"&gt;3.82581506691345&lt;/D&gt;&lt;D xsi:type="xsd:double"&gt;3.80576317272572&lt;/D&gt;&lt;D xsi:type="xsd:double"&gt;3.8509698530239&lt;/D&gt;&lt;D xsi:type="xsd:double"&gt;3.88096654546108&lt;/D&gt;&lt;D xsi:type="xsd:double"&gt;3.68237171372159&lt;/D&gt;&lt;D xsi:type="xsd:double"&gt;3.68553962811231&lt;/D&gt;&lt;D xsi:type="xsd:double"&gt;3.74400311946995&lt;/D&gt;&lt;D xsi:type="xsd:double"&gt;3.73859146001&lt;/D&gt;&lt;D xsi:type="xsd:double"&gt;3.53873590391365&lt;/D&gt;&lt;D xsi:type="xsd:double"&gt;3.45108092739468&lt;/D&gt;&lt;D xsi:type="xsd:double"&gt;3.50448723331954&lt;/D&gt;&lt;D xsi:type="xsd:double"&gt;3.42744830382001&lt;/D&gt;&lt;D xsi:type="xsd:double"&gt;3.37090498418615&lt;/D&gt;&lt;D xsi:type="xsd:double"&gt;3.21350037846793&lt;/D&gt;&lt;D xsi:type="xsd:double"&gt;3.25906833707337&lt;/D&gt;&lt;D xsi:type="xsd:double"&gt;3.38689325811452&lt;/D&gt;&lt;D xsi:type="xsd:double"&gt;3.4446711197802&lt;/D&gt;&lt;D xsi:type="xsd:double"&gt;3.3646919146247&lt;/D&gt;&lt;D xsi:type="xsd:double"&gt;3.28487652313379&lt;/D&gt;&lt;D xsi:type="xsd:double"&gt;3.30597966187697&lt;/D&gt;&lt;D xsi:type="xsd:double"&gt;3.27441368012398&lt;/D&gt;&lt;D xsi:type="xsd:double"&gt;3.2296295718637&lt;/D&gt;&lt;D xsi:type="xsd:double"&gt;3.50067759329645&lt;/D&gt;&lt;D xsi:type="xsd:double"&gt;3.38318623993438&lt;/D&gt;&lt;D xsi:type="xsd:double"&gt;3.408042020533&lt;/D&gt;&lt;D xsi:type="xsd:double"&gt;3.28066449848566&lt;/D&gt;&lt;D xsi:type="xsd:double"&gt;3.36158267253387&lt;/D&gt;&lt;D xsi:type="xsd:double"&gt;3.43827938536606&lt;/D&gt;&lt;D xsi:type="xsd:double"&gt;3.44521810088229&lt;/D&gt;&lt;D xsi:type="xsd:double"&gt;3.53589713702942&lt;/D&gt;&lt;D xsi:type="xsd:double"&gt;3.70203906138154&lt;/D&gt;&lt;D xsi:type="xsd:double"&gt;3.70226286608094&lt;/D&gt;&lt;D xsi:type="xsd:double"&gt;3.94454343862236&lt;/D&gt;&lt;D xsi:type="xsd:double"&gt;3.95068378533836&lt;/D&gt;&lt;D xsi:type="xsd:double"&gt;3.79648520364643&lt;/D&gt;&lt;D xsi:type="xsd:double"&gt;3.64247350593343&lt;/D&gt;&lt;D xsi:type="xsd:double"&gt;3.51909061192802&lt;/D&gt;&lt;D xsi:type="xsd:double"&gt;3.63304435327109&lt;/D&gt;&lt;D xsi:type="xsd:double"&gt;3.59632018275152&lt;/D&gt;&lt;D xsi:type="xsd:double"&gt;3.53400542746867&lt;/D&gt;&lt;D xsi:type="xsd:double"&gt;3.68507378399032&lt;/D&gt;&lt;D xsi:type="xsd:double"&gt;3.51861551601334&lt;/D&gt;&lt;D xsi:type="xsd:double"&gt;3.5018754089042&lt;/D&gt;&lt;D xsi:type="xsd:double"&gt;3.37805144688357&lt;/D&gt;&lt;D xsi:type="xsd:double"&gt;3.40932828201924&lt;/D&gt;&lt;D xsi:type="xsd:double"&gt;3.32799839464386&lt;/D&gt;&lt;D xsi:type="xsd:double"&gt;3.30584180039249&lt;/D&gt;&lt;D xsi:type="xsd:double"&gt;4.2408795012606&lt;/D&gt;&lt;D xsi:type="xsd:double"&gt;3.95122385534405&lt;/D&gt;&lt;D xsi:type="xsd:double"&gt;3.54076394729507&lt;/D&gt;&lt;D xsi:type="xsd:double"&gt;3.2306848231547&lt;/D&gt;&lt;D xsi:type="xsd:double"&gt;3.12527476487828&lt;/D&gt;&lt;D xsi:type="xsd:double"&gt;3.08890797035645&lt;/D&gt;&lt;D xsi:type="xsd:double"&gt;3.1164058952691&lt;/D&gt;&lt;D xsi:type="xsd:double"&gt;3.18530839872493&lt;/D&gt;&lt;D xsi:type="xsd:double"&gt;2.93283949159754&lt;/D&gt;&lt;D xsi:type="xsd:double"&gt;2.9420164419137&lt;/D&gt;&lt;D xsi:type="xsd:double"&gt;2.90703582167554&lt;/D&gt;&lt;D xsi:type="xsd:double"&gt;2.91809298105748&lt;/D&gt;&lt;D xsi:type="xsd:double"&gt;2.73834450596675&lt;/D&gt;&lt;D xsi:type="xsd:double"&gt;2.71755704150786&lt;/D&gt;&lt;D xsi:type="xsd:double"&gt;2.73449361757115&lt;/D&gt;&lt;D xsi:type="xsd:double"&gt;2.64213018670968&lt;/D&gt;&lt;D xsi:type="xsd:double"&gt;2.70365670141515&lt;/D&gt;&lt;D xsi:type="xsd:double"&gt;2.68011569245664&lt;/D&gt;&lt;D xsi:type="xsd:double"&gt;2.77701218905251&lt;/D&gt;&lt;D xsi:type="xsd:double"&gt;2.87356542870754&lt;/D&gt;&lt;D xsi:type="xsd:double"&gt;2.73629299817039&lt;/D&gt;&lt;D xsi:type="xsd:double"&gt;2.78956507303224&lt;/D&gt;&lt;D xsi:type="xsd:double"&gt;2.74762385056566&lt;/D&gt;&lt;D xsi:type="xsd:double"&gt;2.89460584357746&lt;/D&gt;&lt;D xsi:type="xsd:double"&gt;3.29293794792017&lt;/D&gt;&lt;D xsi:type="xsd:double"&gt;3.13309718742057&lt;/D&gt;&lt;D xsi:type="xsd:double"&gt;3.31503846121301&lt;/D&gt;&lt;D xsi:type="xsd:double"&gt;3.37057316337562&lt;/D&gt;&lt;D xsi:type="xsd:double"&gt;3.51261314287834&lt;/D&gt;&lt;D xsi:type="xsd:double"&gt;3.25280053921927&lt;/D&gt;&lt;D xsi:type="xsd:double"&gt;3.46854601331157&lt;/D&gt;&lt;D xsi:type="xsd:double"&gt;3.7407421315124&lt;/D&gt;&lt;D xsi:type="xsd:double"&gt;3.32180000400699&lt;/D&gt;&lt;D xsi:type="xsd:double"&gt;3.28545864528451&lt;/D&gt;&lt;D xsi:type="xsd:double"&gt;3.17248404953026&lt;/D&gt;&lt;D xsi:type="xsd:double"&gt;3.16612721138109&lt;/D&gt;&lt;D xsi:type="xsd:double"&gt;3.20154924527046&lt;/D&gt;&lt;D xsi:type="xsd:double"&gt;3.15289364688355&lt;/D&gt;&lt;D xsi:type="xsd:double"&gt;3.20054831293415&lt;/D&gt;&lt;D xsi:type="xsd:double"&gt;3.28917724925336&lt;/D&gt;&lt;D xsi:type="xsd:double"&gt;3.32157692755144&lt;/D&gt;&lt;D xsi:type="xsd:double"&gt;3.30006983422368&lt;/D&gt;&lt;D xsi:type="xsd:double"&gt;3.34197257449459&lt;/D&gt;&lt;D xsi:type="xsd:double"&gt;3.4273310777706&lt;/D&gt;&lt;D xsi:type="xsd:double"&gt;3.46069812831857&lt;/D&gt;&lt;D xsi:type="xsd:double"&gt;3.23993093873952&lt;/D&gt;&lt;D xsi:type="xsd:double"&gt;3.29826277080434&lt;/D&gt;&lt;D xsi:type="xsd:double"&gt;3.20098233522492&lt;/D&gt;&lt;D xsi:type="xsd:double"&gt;3.10440236168552&lt;/D&gt;&lt;D xsi:type="xsd:double"&gt;3.13143357782147&lt;/D&gt;&lt;D xsi:type="xsd:double"&gt;3.05446109250382&lt;/D&gt;&lt;D xsi:type="xsd:double"&gt;3.25517270775741&lt;/D&gt;&lt;D xsi:type="xsd:double"&gt;3.35123061004112&lt;/D&gt;&lt;/FQL&gt;&lt;FQL&gt;&lt;Q&gt;EWQ^FG_PRICE_MAVG(0,,,,60)&lt;/Q&gt;&lt;R&gt;1&lt;/R&gt;&lt;C&gt;1&lt;/C&gt;&lt;D xsi:type="xsd:double"&gt;40.302834&lt;/D&gt;&lt;/FQL&gt;&lt;FQL&gt;&lt;Q&gt;EWU^P_PRICE(0)/P_PRICE_LOW_PR(0,,,,,,"PRICE","INTRA","52W")-1&lt;/Q&gt;&lt;R&gt;1&lt;/R&gt;&lt;C&gt;1&lt;/C&gt;&lt;D xsi:type="xsd:double"&gt;0.18712676&lt;/D&gt;&lt;/FQL&gt;&lt;FQL&gt;&lt;Q&gt;EWA^PERCENT_CHANGE(FMA_EPS(+1,0,,,,"PORTAGG","MEAN"),FMA_EPS(+1,-1AM,,,,"PORTAGG","MEAN"))&lt;/Q&gt;&lt;R&gt;1&lt;/R&gt;&lt;C&gt;1&lt;/C&gt;&lt;D xsi:type="xsd:double"&gt;2.67559323280582&lt;/D&gt;&lt;/FQL&gt;&lt;FQL&gt;&lt;Q&gt;EWU^FMA_COS_DOWN("EPS","1M",+1,0,,,"PORTAGG","MEANR")&lt;/Q&gt;&lt;R&gt;1&lt;/R&gt;&lt;C&gt;1&lt;/C&gt;&lt;D xsi:type="xsd:double"&gt;38&lt;/D&gt;&lt;/FQL&gt;&lt;FQL&gt;&lt;Q&gt;EWN^FG_ROE(0)&lt;/Q&gt;&lt;R&gt;1&lt;/R&gt;&lt;C&gt;1&lt;/C&gt;&lt;D xsi:type="xsd:double"&gt;10.9414557824785&lt;/D&gt;&lt;/FQL&gt;&lt;FQL&gt;&lt;Q&gt;REFCATARG-FDS^PROPER_NAME(0,,,"SECURITY","NAME")&lt;/Q&gt;&lt;R&gt;1&lt;/R&gt;&lt;C&gt;1&lt;/C&gt;&lt;D xsi:type="xsd:string"&gt;Canada Target Rate&lt;/D&gt;&lt;/FQL&gt;&lt;FQL&gt;&lt;Q&gt;TRYJP10Y-FDS^PCTCHG(FG_YIELD(0,,,,"YTM"),FG_YIELD(-3AM,,,,"YTM"))&lt;/Q&gt;&lt;R&gt;1&lt;/R&gt;&lt;C&gt;1&lt;/C&gt;&lt;D xsi:type="xsd:double"&gt;26.994513&lt;/D&gt;&lt;/FQL&gt;&lt;FQL&gt;&lt;Q&gt;CC_DE^IMF_IFS_RCPI_Q(0)&lt;/Q&gt;&lt;R&gt;0&lt;/R&gt;&lt;C&gt;0&lt;/C&gt;&lt;/FQL&gt;&lt;FQL&gt;&lt;Q&gt;VWO^FG_TOTAL_RETURNC(0,-6AM)&lt;/Q&gt;&lt;R&gt;1&lt;/R&gt;&lt;C&gt;1&lt;/C&gt;&lt;D xsi:type="xsd:double"&gt;13.371706&lt;/D&gt;&lt;/FQL&gt;&lt;FQL&gt;&lt;Q&gt;CC_US^FG_COMPANY_NAME&lt;/Q&gt;&lt;R&gt;1&lt;/R&gt;&lt;C&gt;1&lt;/C&gt;&lt;D xsi:type="xsd:string"&gt;United States&lt;/D&gt;&lt;/FQL&gt;&lt;FQL&gt;&lt;Q&gt;USDUSD^FG_PRICE_CHANGE(0,-6AM)&lt;/Q&gt;&lt;R&gt;1&lt;/R&gt;&lt;C&gt;1&lt;/C&gt;&lt;D xsi:type="xsd:double"&gt;0&lt;/D&gt;&lt;/FQL&gt;&lt;FQL&gt;&lt;Q&gt;USDNZD^STD(FG_PRICE_CHANGE(0,-1AY,AM))&lt;/Q&gt;&lt;R&gt;1&lt;/R&gt;&lt;C&gt;1&lt;/C&gt;&lt;D xsi:type="xsd:double"&gt;2.10642022771051&lt;/D&gt;&lt;/FQL&gt;&lt;FQL&gt;&lt;Q&gt;WL-FDS^FG_PRICE_MAVG(0,,,,30)&lt;/Q&gt;&lt;R&gt;1&lt;/R&gt;&lt;C&gt;1&lt;/C&gt;&lt;D xsi:type="xsd:double"&gt;560.65&lt;/D&gt;&lt;/FQL&gt;&lt;FQL&gt;&lt;Q&gt;CPALM-FDS^FG_PRICE(0)/MAX(FG_PRICE(0,-1AY))&lt;/Q&gt;&lt;R&gt;1&lt;/R&gt;&lt;C&gt;1&lt;/C&gt;&lt;D xsi:type="xsd:double"&gt;0.87464511902162&lt;/D&gt;&lt;/FQL&gt;&lt;FQL&gt;&lt;Q&gt;COPP-FDS^FG_PRICE_CHANGE(0,-1AM)&lt;/Q&gt;&lt;R&gt;1&lt;/R&gt;&lt;C&gt;1&lt;/C&gt;&lt;D xsi:type="xsd:double"&gt;-0.32058368339597&lt;/D&gt;&lt;/FQL&gt;&lt;FQL&gt;&lt;Q&gt;EWG^FG_PRICE(0)&lt;/Q&gt;&lt;R&gt;1&lt;/R&gt;&lt;C&gt;1&lt;/C&gt;&lt;D xsi:type="xsd:double"&gt;31.43&lt;/D&gt;&lt;/FQL&gt;&lt;FQL&gt;&lt;Q&gt;VWO^FG_TOTAL_RETURNC(0,-12AM)&lt;/Q&gt;&lt;R&gt;1&lt;/R&gt;&lt;C&gt;1&lt;/C&gt;&lt;D xsi:type="xsd:double"&gt;14.674198&lt;/D&gt;&lt;/FQL&gt;&lt;FQL&gt;&lt;Q&gt;EWI^PERCENT_CHANGE(FMA_EPS(+1,0,,,,"PORTAGG","MEAN"),FMA_EPS(+1,-3AM,,,,"PORTAGG","MEAN"))&lt;/Q&gt;&lt;R&gt;1&lt;/R&gt;&lt;C&gt;1&lt;/C&gt;&lt;D xsi:type="xsd:double"&gt;-0.926275636336611&lt;/D&gt;&lt;/FQL&gt;&lt;FQL&gt;&lt;Q&gt;EWQ^FG_TOTAL_RETURNC(0,-3AM)&lt;/Q&gt;&lt;R&gt;1&lt;/R&gt;&lt;C&gt;1&lt;/C&gt;&lt;D xsi:type="xsd:double"&gt;-1.151073&lt;/D&gt;&lt;/FQL&gt;&lt;FQL&gt;&lt;Q&gt;EWG^P_PRICE(0)/P_PRICE_LOW_PR(0,,,,,,"PRICE","INTRA","52W")-1&lt;/Q&gt;&lt;R&gt;1&lt;/R&gt;&lt;C&gt;1&lt;/C&gt;&lt;D xsi:type="xsd:double"&gt;0.27221215&lt;/D&gt;&lt;/FQL&gt;&lt;FQL&gt;&lt;Q&gt;VWO^FMA_COS_DOWN("EPS","1M",+1,0,,,"PORTAGG","MEANR")&lt;/Q&gt;&lt;R&gt;1&lt;/R&gt;&lt;C&gt;1&lt;/C&gt;&lt;D xsi:type="xsd:double"&gt;1328&lt;/D&gt;&lt;/FQL&gt;&lt;FQL&gt;&lt;Q&gt;EWI^JULIAN(FMA_DIV_YLD(NTMA,NOW,NOW,M,"PORTAGG","MEANR").DATES)&lt;/Q&gt;&lt;R&gt;1&lt;/R&gt;&lt;C&gt;1&lt;/C&gt;&lt;D xsi:type="xsd:long"&gt;45471&lt;/D&gt;&lt;/FQL&gt;&lt;FQL&gt;&lt;Q&gt;EWQ^JULIAN(FMA_DIV_YLD(NTMA,NOW,NOW,M,"PORTAGG","MEANR").DATES)&lt;/Q&gt;&lt;R&gt;1&lt;/R&gt;&lt;C&gt;1&lt;/C&gt;&lt;D xsi:type="xsd:long"&gt;45471&lt;/D&gt;&lt;/FQL&gt;&lt;FQL&gt;&lt;Q&gt;EWL^FMA_EVAL_EBIT(LTMA,NOW,NOW,M,"PORTAGG","MEANR")&lt;/Q&gt;&lt;R&gt;1&lt;/R&gt;&lt;C&gt;1&lt;/C&gt;&lt;D xsi:type="xsd:double"&gt;16.4926838979767&lt;/D&gt;&lt;/FQL&gt;&lt;FQL&gt;&lt;Q&gt;EWC^FMA_EVAL_EBITDA(NTMA,0,,,"PORTAGG","MEANR")&lt;/Q&gt;&lt;R&gt;1&lt;/R&gt;&lt;C&gt;1&lt;/C&gt;&lt;D xsi:type="xsd:double"&gt;9.67819498413561&lt;/D&gt;&lt;/FQL&gt;&lt;FQL&gt;&lt;Q&gt;DBA^P_PRICE(0)/P_PRICE_HIGH_PR(0,,,USD,,,"PRICE","INTRA","52W")&lt;/Q&gt;&lt;R&gt;1&lt;/R&gt;&lt;C&gt;1&lt;/C&gt;&lt;D xsi:type="xsd:double"&gt;0.9205037&lt;/D&gt;&lt;/FQL&gt;&lt;FQL&gt;&lt;Q&gt;SPY^FMA_ROE(NTMA,-20AY,NOW,FY,"PORTAGG","MEANR")&lt;/Q&gt;&lt;R&gt;20&lt;/R&gt;&lt;C&gt;1&lt;/C&gt;&lt;D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xsi:type="xsd:double"&gt;18.2929292639572&lt;/D&gt;&lt;D xsi:type="xsd:double"&gt;17.2298191445464&lt;/D&gt;&lt;D xsi:type="xsd:double"&gt;20.6862902766854&lt;/D&gt;&lt;D xsi:type="xsd:double"&gt;20.5983105915468&lt;/D&gt;&lt;D xsi:type="xsd:double"&gt;20.350503777424&lt;/D&gt;&lt;/FQL&gt;&lt;FQL&gt;&lt;Q&gt;TRYZA10Y-FDS^JULIAN(FG_YIELD(-10AY,0,CY,,"YTM").DATES)&lt;/Q&gt;&lt;R&gt;10&lt;/R&gt;&lt;C&gt;1&lt;/C&gt;&lt;D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xsi:type="xsd:long"&gt;45289&lt;/D&gt;&lt;/FQL&gt;&lt;FQL&gt;&lt;Q&gt;USDANG^STD(FG_PRICE_CHANGE(0,-3AY,M))&lt;/Q&gt;&lt;R&gt;1&lt;/R&gt;&lt;C&gt;1&lt;/C&gt;&lt;D xsi:type="xsd:double"&gt;0.0594600681310969&lt;/D&gt;&lt;/FQL&gt;&lt;FQL&gt;&lt;Q&gt;USDJPY^FG_PRICE(0)&lt;/Q&gt;&lt;R&gt;1&lt;/R&gt;&lt;C&gt;1&lt;/C&gt;&lt;D xsi:type="xsd:double"&gt;158.55&lt;/D&gt;&lt;/FQL&gt;&lt;FQL&gt;&lt;Q&gt;EWU^P_PRICE_RETURNS_PR('52W',2,-10AY,0,AM)&lt;/Q&gt;&lt;R&gt;121&lt;/R&gt;&lt;C&gt;1&lt;/C&gt;&lt;D xsi:type="xsd:double"&gt;18.136002&lt;/D&gt;&lt;D xsi:type="xsd:double"&gt;11.484265&lt;/D&gt;&lt;D xsi:type="xsd:double"&gt;8.266079&lt;/D&gt;&lt;D xsi:type="xsd:double"&gt;0.6505251&lt;/D&gt;&lt;D xsi:type="xsd:double"</t>
        </r>
      </text>
    </comment>
    <comment ref="A9" authorId="0" shapeId="0" xr:uid="{07E92952-34B6-4B62-A075-BA3B9A87F4C1}">
      <text>
        <r>
          <rPr>
            <b/>
            <sz val="9"/>
            <color indexed="81"/>
            <rFont val="Tahoma"/>
            <charset val="1"/>
          </rPr>
          <t>&gt;0.4875183&lt;/D&gt;&lt;D xsi:type="xsd:double"&gt;-2.8967917&lt;/D&gt;&lt;D xsi:type="xsd:double"&gt;-8.599299&lt;/D&gt;&lt;D xsi:type="xsd:double"&gt;-3.4538388&lt;/D&gt;&lt;D xsi:type="xsd:double"&gt;-6.9343925&lt;/D&gt;&lt;D xsi:type="xsd:double"&gt;-3.382969&lt;/D&gt;&lt;D xsi:type="xsd:double"&gt;-2.4161458&lt;/D&gt;&lt;D xsi:type="xsd:double"&gt;-5.4445267&lt;/D&gt;&lt;D xsi:type="xsd:double"&gt;-7.693529&lt;/D&gt;&lt;D xsi:type="xsd:double"&gt;-4.5921803&lt;/D&gt;&lt;D xsi:type="xsd:double"&gt;-12.090075&lt;/D&gt;&lt;D xsi:type="xsd:double"&gt;-1.8617809&lt;/D&gt;&lt;D xsi:type="xsd:double"&gt;-7.3313417&lt;/D&gt;&lt;D xsi:type="xsd:double"&gt;-8.3966255&lt;/D&gt;&lt;D xsi:type="xsd:double"&gt;-11.082047&lt;/D&gt;&lt;D xsi:type="xsd:double"&gt;-20.240616&lt;/D&gt;&lt;D xsi:type="xsd:double"&gt;-9.371752&lt;/D&gt;&lt;D xsi:type="xsd:double"&gt;-12.979728&lt;/D&gt;&lt;D xsi:type="xsd:double"&gt;-16.873407&lt;/D&gt;&lt;D xsi:type="xsd:double"&gt;-15.454971&lt;/D&gt;&lt;D xsi:type="xsd:double"&gt;-13.869822&lt;/D&gt;&lt;D xsi:type="xsd:double"&gt;-10.65948&lt;/D&gt;&lt;D xsi:type="xsd:double"&gt;-1.9370139&lt;/D&gt;&lt;D xsi:type="xsd:double"&gt;-9.635496&lt;/D&gt;&lt;D xsi:type="xsd:double"&gt;-8.015739&lt;/D&gt;&lt;D xsi:type="xsd:double"&gt;-1.4296293&lt;/D&gt;&lt;D xsi:type="xsd:double"&gt;7.611561&lt;/D&gt;&lt;D xsi:type="xsd:double"&gt;14.896059&lt;/D&gt;&lt;D xsi:type="xsd:double"&gt;6.9957137&lt;/D&gt;&lt;D xsi:type="xsd:double"&gt;8.944452&lt;/D&gt;&lt;D xsi:type="xsd:double"&gt;11.339855&lt;/D&gt;&lt;D xsi:type="xsd:double"&gt;9.490776&lt;/D&gt;&lt;D xsi:type="xsd:double"&gt;12.809229&lt;/D&gt;&lt;D xsi:type="xsd:double"&gt;9.899402&lt;/D&gt;&lt;D xsi:type="xsd:double"&gt;12.969124&lt;/D&gt;&lt;D xsi:type="xsd:double"&gt;19.88964&lt;/D&gt;&lt;D xsi:type="xsd:double"&gt;18.155396&lt;/D&gt;&lt;D xsi:type="xsd:double"&gt;16.923714&lt;/D&gt;&lt;D xsi:type="xsd:double"&gt;22.105038&lt;/D&gt;&lt;D xsi:type="xsd:double"&gt;12.511563&lt;/D&gt;&lt;D xsi:type="xsd:double"&gt;15.981436&lt;/D&gt;&lt;D xsi:type="xsd:double"&gt;14.547873&lt;/D&gt;&lt;D xsi:type="xsd:double"&gt;12.961149&lt;/D&gt;&lt;D xsi:type="xsd:double"&gt;11.609483&lt;/D&gt;&lt;D xsi:type="xsd:double"&gt;9.301388&lt;/D&gt;&lt;D xsi:type="xsd:double"&gt;5.3990126&lt;/D&gt;&lt;D xsi:type="xsd:double"&gt;-0.07620454&lt;/D&gt;&lt;D xsi:type="xsd:double"&gt;-4.320365&lt;/D&gt;&lt;D xsi:type="xsd:double"&gt;-2.6892304&lt;/D&gt;&lt;D xsi:type="xsd:double"&gt;-10.932005&lt;/D&gt;&lt;D xsi:type="xsd:double"&gt;-12.547672&lt;/D&gt;&lt;D xsi:type="xsd:double"&gt;-3.8674057&lt;/D&gt;&lt;D xsi:type="xsd:double"&gt;-2.8410256&lt;/D&gt;&lt;D xsi:type="xsd:double"&gt;-1.9509196&lt;/D&gt;&lt;D xsi:type="xsd:double"&gt;-5.9817553&lt;/D&gt;&lt;D xsi:type="xsd:double"&gt;-5.836421&lt;/D&gt;&lt;D xsi:type="xsd:double"&gt;-2.305919&lt;/D&gt;&lt;D xsi:type="xsd:double"&gt;-8.615273&lt;/D&gt;&lt;D xsi:type="xsd:double"&gt;-0.55737495&lt;/D&gt;&lt;D xsi:type="xsd:double"&gt;2.826035&lt;/D&gt;&lt;D xsi:type="xsd:double"&gt;5.5205584&lt;/D&gt;&lt;D xsi:type="xsd:double"&gt;15.139222&lt;/D&gt;&lt;D xsi:type="xsd:double"&gt;14.845991&lt;/D&gt;&lt;D xsi:type="xsd:double"&gt;9.397864&lt;/D&gt;&lt;D xsi:type="xsd:double"&gt;-17.971539&lt;/D&gt;&lt;D xsi:type="xsd:double"&gt;-22.542137&lt;/D&gt;&lt;D xsi:type="xsd:double"&gt;-20.526773&lt;/D&gt;&lt;D xsi:type="xsd:double"&gt;-18.681854&lt;/D&gt;&lt;D xsi:type="xsd:double"&gt;-16.590618&lt;/D&gt;&lt;D xsi:type="xsd:double"&gt;-7.8978004&lt;/D&gt;&lt;D xsi:type="xsd:double"&gt;-14.285147&lt;/D&gt;&lt;D xsi:type="xsd:double"&gt;-10.074597&lt;/D&gt;&lt;D xsi:type="xsd:double"&gt;-9.824449&lt;/D&gt;&lt;D xsi:type="xsd:double"&gt;-8.041233&lt;/D&gt;&lt;D xsi:type="xsd:double"&gt;-6.266916&lt;/D&gt;&lt;D xsi:type="xsd:double"&gt;-6.369996&lt;/D&gt;&lt;D xsi:type="xsd:double"&gt;26.94485&lt;/D&gt;&lt;D xsi:type="xsd:double"&gt;31.933605&lt;/D&gt;&lt;D xsi:type="xsd:double"&gt;36.510277&lt;/D&gt;&lt;D xsi:type="xsd:double"&gt;37.132133&lt;/D&gt;&lt;D xsi:type="xsd:double"&gt;32.492935&lt;/D&gt;&lt;D xsi:type="xsd:double"&gt;29.153097&lt;/D&gt;&lt;D xsi:type="xsd:double"&gt;30.87703&lt;/D&gt;&lt;D xsi:type="xsd:double"&gt;27.856647&lt;/D&gt;&lt;D xsi:type="xsd:double"&gt;21.213972&lt;/D&gt;&lt;D xsi:type="xsd:double"&gt;14.4908905&lt;/D&gt;&lt;D xsi:type="xsd:double"&gt;16.435564&lt;/D&gt;&lt;D xsi:type="xsd:double"&gt;19.584667&lt;/D&gt;&lt;D xsi:type="xsd:double"&gt;3.9938807&lt;/D&gt;&lt;D xsi:type="xsd:double"&gt;10.118687&lt;/D&gt;&lt;D xsi:type="xsd:double"&gt;-3.955102&lt;/D&gt;&lt;D xsi:type="xsd:double"&gt;-3.6018848&lt;/D&gt;&lt;D xsi:type="xsd:double"&gt;-8.04224&lt;/D&gt;&lt;D xsi:type="xsd:double"&gt;-3.4049928&lt;/D&gt;&lt;D xsi:type="xsd:double"&gt;-6.233883&lt;/D&gt;&lt;D xsi:type="xsd:double"&gt;-17.163122&lt;/D&gt;&lt;D xsi:type="xsd:double"&gt;-6.810397&lt;/D&gt;&lt;D xsi:type="xsd:double"&gt;-0.14573336&lt;/D&gt;&lt;D xsi:type="xsd:double"&gt;-3.3174276&lt;/D&gt;&lt;D xsi:type="xsd:double"&gt;-3.357774&lt;/D&gt;&lt;D xsi:type="xsd:double"&gt;2.903378&lt;/D&gt;&lt;D xsi:type="xsd:double"&gt;1.2521982&lt;/D&gt;&lt;D xsi:type="xsd:double"&gt;12.076783&lt;/D&gt;&lt;D xsi:type="xsd:double"&gt;5.2681923&lt;/D&gt;&lt;D xsi:type="xsd:double"&gt;12.732088&lt;/D&gt;&lt;D xsi:type="xsd:double"&gt;8.125603&lt;/D&gt;&lt;D xsi:type="xsd:double"&gt;12.92541&lt;/D&gt;&lt;D xsi:type="xsd:double"&gt;28.268278&lt;/D&gt;&lt;D xsi:type="xsd:double"&gt;7.80946&lt;/D&gt;&lt;D xsi:type="xsd:double"&gt;6.915736&lt;/D&gt;&lt;D xsi:type="xsd:double"&gt;6.4078093&lt;/D&gt;&lt;D xsi:type="xsd:double"&gt;3.5190463&lt;/D&gt;&lt;D xsi:type="xsd:double"&gt;10.301674&lt;/D&gt;&lt;D xsi:type="xsd:double"&gt;7.2466493&lt;/D&gt;&lt;D xsi:type="xsd:double"&gt;12.204254&lt;/D&gt;&lt;D xsi:type="xsd:double"&gt;13.127459&lt;/D&gt;&lt;D xsi:type="xsd:double"&gt;17.507982&lt;/D&gt;&lt;/FQL&gt;&lt;FQL&gt;&lt;Q&gt;QQQ^FMA_DIV_YLD(NTMA,-10AY,0,AM,"PORTAGG","MEANR")&lt;/Q&gt;&lt;R&gt;121&lt;/R&gt;&lt;C&gt;1&lt;/C&gt;&lt;D xsi:type="xsd:double"&gt;1.25295638039516&lt;/D&gt;&lt;D xsi:type="xsd:double"&gt;1.26295065214243&lt;/D&gt;&lt;D xsi:type="xsd:double"&gt;1.21037360522292&lt;/D&gt;&lt;D xsi:type="xsd:double"&gt;1.29897661037713&lt;/D&gt;&lt;D xsi:type="xsd:double"&gt;1.22047053970116&lt;/D&gt;&lt;D xsi:type="xsd:double"&gt;1.22027857920861&lt;/D&gt;&lt;D xsi:type="xsd:double"&gt;1.21236066567382&lt;/D&gt;&lt;D xsi:type="xsd:double"&gt;1.2436272525478&lt;/D&gt;&lt;D xsi:type="xsd:double"&gt;1.27979377167136&lt;/D&gt;&lt;D xsi:type="xsd:double"&gt;1.25309261202606&lt;/D&gt;&lt;D xsi:type="xsd:double"&gt;1.25269521352604&lt;/D&gt;&lt;D xsi:type="xsd:double"&gt;1.24669843572773&lt;/D&gt;&lt;D xsi:type="xsd:double"&gt;1.26815330981798&lt;/D&gt;&lt;D xsi:type="xsd:double"&gt;1.28562219136825&lt;/D&gt;&lt;D xsi:type="xsd:double"&gt;1.34946956388827&lt;/D&gt;&lt;D xsi:type="xsd:double"&gt;1.3388914690956&lt;/D&gt;&lt;D xsi:type="xsd:double"&gt;1.27700322288312&lt;/D&gt;&lt;D xsi:type="xsd:double"&gt;1.31058183502697&lt;/D&gt;&lt;D xsi:type="xsd:double"&gt;1.35368442426508&lt;/D&gt;&lt;D xsi:type="xsd:double"&gt;1.49207259848398&lt;/D&gt;&lt;D xsi:type="xsd:double"&gt;1.36792810606793&lt;/D&gt;&lt;D xsi:type="xsd:double"&gt;1.34383186670129&lt;/D&gt;&lt;D xsi:type="xsd:double"&gt;1.38816296263704&lt;/D&gt;&lt;D xsi:type="xsd:double"&gt;1.3621594770997&lt;/D&gt;&lt;D xsi:type="xsd:double"&gt;1.32770628270816&lt;/D&gt;&lt;D xsi:type="xsd:double"&gt;1.27622703615651&lt;/D&gt;&lt;D xsi:type="xsd:double"&gt;1.31642251813892&lt;/D&gt;&lt;D xsi:type="xsd:double"&gt;1.27561808966151&lt;/D&gt;&lt;D xsi:type="xsd:double"&gt;1.30955856276947&lt;/D&gt;&lt;D xsi:type="xsd:double"&gt;1.28681401466482&lt;/D&gt;&lt;D xsi:type="xsd:double"&gt;1.25559775260767&lt;/D&gt;&lt;D xsi:type="xsd:double"&gt;1.24020759724841&lt;/D&gt;&lt;D xsi:type="xsd:double"&gt;1.21495280909675&lt;/D&gt;&lt;D xsi:type="xsd:double"&gt;1.22006068218115&lt;/D&gt;&lt;D xsi:type="xsd:double"&gt;1.17539598622722&lt;/D&gt;&lt;D xsi:type="xsd:double"&gt;1.17124959059601&lt;/D&gt;&lt;D xsi:type="xsd:double"&gt;1.20431437770814&lt;/D&gt;&lt;D xsi:type="xsd:double"&gt;1.18881283492331&lt;/D&gt;&lt;D xsi:type="xsd:double"&gt;1.1626814868071&lt;/D&gt;&lt;D xsi:type="xsd:double"&gt;1.14460574160504&lt;/D&gt;&lt;D xsi:type="xsd:double"&gt;1.11365373427376&lt;/D&gt;&lt;D xsi:type="xsd:double"&gt;1.10733130112958&lt;/D&gt;&lt;D xsi:type="xsd:double"&gt;1.05297296948924&lt;/D&gt;&lt;D xsi:type="xsd:double"&gt;1.12646340323705&lt;/D&gt;&lt;D xsi:type="xsd:double"&gt;1.03102296146111&lt;/D&gt;&lt;D xsi:type="xsd:double"&gt;1.12574886013076&lt;/D&gt;&lt;D xsi:type="xsd:double"&gt;1.08179633413312&lt;/D&gt;&lt;D xsi:type="xsd:double"&gt;1.05629860663771&lt;/D&gt;&lt;D xsi:type="xsd:double"&gt;1.05016478041227&lt;/D&gt;&lt;D xsi:type="xsd:double"&gt;1.07776980813142&lt;/D&gt;&lt;D xsi:type="xsd:double"&gt;1.07474190503042&lt;/D&gt;&lt;D xsi:type="xsd:double"&gt;1.16626803583183&lt;/D&gt;&lt;D xsi:type="xsd:double"&gt;1.16992239306012&lt;/D&gt;&lt;D xsi:type="xsd:double"&gt;1.24660870765988&lt;/D&gt;&lt;D xsi:type="xsd:double"&gt;1.26893623605216&lt;/D&gt;&lt;D xsi:type="xsd:double"&gt;1.22449541408074&lt;/D&gt;&lt;D xsi:type="xsd:double"&gt;1.16998260637745&lt;/D&gt;&lt;D xsi:type="xsd:double"&gt;1.10932959748614&lt;/D&gt;&lt;D xsi:type="xsd:double"&gt;1.11979029855516&lt;/D&gt;&lt;D xsi:type="xsd:double"&gt;1.14121765196273&lt;/D&gt;&lt;D xsi:type="xsd:double"&gt;1.08387909773571&lt;/D&gt;&lt;D xsi:type="xsd:double"&gt;1.1260832092651&lt;/D&gt;&lt;D xsi:type="xsd:double"&gt;1.0919506643438&lt;/D&gt;&lt;D xsi:type="xsd:double"&gt;1.10539224329674&lt;/D&gt;&lt;D xsi:type="xsd:double"&gt;1.06610027929173&lt;/D&gt;&lt;D xsi:type="xsd:double"&gt;1.07417133964886&lt;/D&gt;&lt;D xsi:type="xsd:double"&gt;1.02233114907502&lt;/D&gt;&lt;D xsi:type="xsd:double"&gt;0.9698568695765&lt;/D&gt;&lt;D xsi:type="xsd:double"&gt;1.15915172891813&lt;/D&gt;&lt;D xsi:type="xsd:double"&gt;1.12674411195429&lt;/D&gt;&lt;D xsi:type="xsd:double"&gt;0.981781387685946&lt;/D&gt;&lt;D xsi:type="xsd:double"&gt;0.947659310511308&lt;/D&gt;&lt;D xsi:type="xsd:double"&gt;0.840603771608302&lt;/D&gt;&lt;D xsi:type="xsd:double"&gt;0.839923271441221&lt;/D&gt;&lt;D xsi:type="xsd:double"&gt;0.825129872897993&lt;/D&gt;&lt;D xsi:type="xsd:double"&gt;0.783905567916722&lt;/D&gt;&lt;D xsi:type="xsd:double"&gt;0.778660186233351&lt;/D&gt;&lt;D xsi:type="xsd:double"&gt;0.753044145578693&lt;/D&gt;&lt;D xsi:type="xsd:double"&gt;0.76364047749816&lt;/D&gt;&lt;D xsi:type="xsd:double"&gt;0.726005958282265&lt;/D&gt;&lt;D xsi:type="xsd:double"&gt;0.768281549410437&lt;/D&gt;&lt;D xsi:type="xsd:double"&gt;0.726699127659704&lt;/D&gt;&lt;D xsi:type="xsd:double"&gt;0.757421363306371&lt;/D&gt;&lt;D xsi:type="xsd:double"&gt;0.729243330712214&lt;/D&gt;&lt;D xsi:type="xsd:double"&gt;0.692488935024732&lt;/D&gt;&lt;D xsi:type="xsd:double"&gt;0.703536748014101&lt;/D&gt;&lt;D xsi:type="xsd:double"&gt;0.687638193436789&lt;/D&gt;&lt;D xsi:type="xsd:double"&gt;0.728397395045765&lt;/D&gt;&lt;D xsi:type="xsd:double"&gt;0.672146254659848&lt;/D&gt;&lt;D xsi:type="xsd:double"&gt;0.66581930577652&lt;/D&gt;&lt;D xsi:type="xsd:double"&gt;0.690494994135972&lt;/D&gt;&lt;D xsi:type="xsd:double"&gt;0.778889564111646&lt;/D&gt;&lt;D xsi:type="xsd:double"&gt;0.845466163098762&lt;/D&gt;&lt;D xsi:type="xsd:double"&gt;0.806591904161703&lt;/D&gt;&lt;D xsi:type="xsd:double"&gt;0.947300134806316&lt;/D&gt;&lt;D xsi:type="xsd:double"&gt;0.965087862658497&lt;/D&gt;&lt;D xsi:type="xsd:double"&gt;0.971829907439586&lt;/D&gt;&lt;D xsi:type="xsd:double"&gt;0.870800602246975&lt;/D&gt;&lt;D xsi:type="xsd:double"&gt;0.926391445838278&lt;/D&gt;&lt;D xsi:type="xsd:double"&gt;1.08975420916359&lt;/D&gt;&lt;D xsi:type="xsd:double"&gt;1.00380449172361&lt;/D&gt;&lt;D xsi:type="xsd:double"&gt;1.02385475103314&lt;/D&gt;&lt;D xsi:type="xsd:double"&gt;0.999043653370023&lt;/D&gt;&lt;D xsi:type="xsd:double"&gt;0.937086734413884&lt;/D&gt;&lt;D xsi:type="xsd:double"&gt;0.980801379408749&lt;/D&gt;&lt;D xsi:type="xsd:double"&gt;0.899375327518415&lt;/D&gt;&lt;D xsi:type="xsd:double"&gt;0.856379950754836&lt;/D&gt;&lt;D xsi:type="xsd:double"&gt;0.795897267784843&lt;/D&gt;&lt;D xsi:type="xsd:double"&gt;0.768264346887029&lt;/D&gt;&lt;D xsi:type="xsd:double"&gt;0.898413038778293&lt;/D&gt;&lt;D xsi:type="xsd:double"&gt;0.876642240036372&lt;/D&gt;&lt;D xsi:type="xsd:double"&gt;0.915525464466179&lt;/D&gt;&lt;D xsi:type="xsd:double"&gt;0.904436827620335&lt;/D&gt;&lt;D xsi:type="xsd:double"&gt;0.879350798821902&lt;/D&gt;&lt;D xsi:type="xsd:double"&gt;0.916161058631477&lt;/D&gt;&lt;D xsi:type="xsd:double"&gt;0.880326793829853&lt;/D&gt;&lt;D xsi:type="xsd:double"&gt;0.88906842531206&lt;/D&gt;&lt;D xsi:type="xsd:double"&gt;0.883690390130162&lt;/D&gt;&lt;D xsi:type="xsd:double"&gt;0.912491979061128&lt;/D&gt;&lt;D xsi:type="xsd:double"&gt;0.866139429200208&lt;/D&gt;&lt;D xsi:type="xsd:double"&gt;0.822567409766997&lt;/D&gt;&lt;/FQL&gt;&lt;FQL&gt;&lt;Q&gt;EWQ^FG_PRICE_MAVG(0,,,,30)&lt;/Q&gt;&lt;R&gt;1&lt;/R&gt;&lt;C&gt;1&lt;/C&gt;&lt;D xsi:type="xsd:double"&gt;39.48567&lt;/D&gt;&lt;/FQL&gt;&lt;FQL&gt;&lt;Q&gt;EWU^FG_TOTAL_RETURNC(0,-3AM)&lt;/Q&gt;&lt;R&gt;1&lt;/R&gt;&lt;C&gt;1&lt;/C&gt;&lt;D xsi:type="xsd:double"&gt;7.012892&lt;/D&gt;&lt;/FQL&gt;&lt;FQL&gt;&lt;Q&gt;ENZL^FG_TOTAL_RETURNC(0,-12AM)&lt;/Q&gt;&lt;R&gt;1&lt;/R&gt;&lt;C&gt;1&lt;/C&gt;&lt;D xsi:type="xsd:double"&gt;-3.0320525&lt;/D&gt;&lt;/FQL&gt;&lt;FQL&gt;&lt;Q&gt;VWO^FMA_COS_UP("EPS","1M",+1,0,,,"PORTAGG","MEANR")&lt;/Q&gt;&lt;R&gt;1&lt;/R&gt;&lt;C&gt;1&lt;/C&gt;&lt;D xsi:type="xsd:double"&gt;1000&lt;/D&gt;&lt;/FQL&gt;&lt;FQL&gt;&lt;Q&gt;EWL^SIZE(FG_CONSTITUENTS)&lt;/Q&gt;&lt;R&gt;1&lt;/R&gt;&lt;C&gt;1&lt;/C&gt;&lt;D xsi:type="xsd:long"&gt;46&lt;/D&gt;&lt;/FQL&gt;&lt;FQL&gt;&lt;Q&gt;QQQ^FG_ROE(0)&lt;/Q&gt;&lt;R&gt;1&lt;/R&gt;&lt;C&gt;1&lt;/C&gt;&lt;D xsi:type="xsd:double"&gt;22.6563099070567&lt;/D&gt;&lt;/FQL&gt;&lt;FQL&gt;&lt;Q&gt;REFAUCASH-FDS^(SUBARRAY(NOT_NA(NO_REPEAT_F(FG_YIELD(NOW,-10AY,D))),0,1)-SUBARRAY(NOT_NA(NO_REPEAT_F(FG_YIELD(NOW,-10AY,D))),1,1))*100&lt;/Q&gt;&lt;R&gt;1&lt;/R&gt;&lt;C&gt;1&lt;/C&gt;&lt;D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xsi:type="xsd:double"&gt;25&lt;/D&gt;&lt;/FQL&gt;&lt;FQL&gt;&lt;Q&gt;TRYJP10Y-FDS^PCTCHG(FG_YIELD(0,,,,"YTM"),FG_YIELD(-1AM,,,,"YTM"))&lt;/Q&gt;&lt;R&gt;1&lt;/R&gt;&lt;C&gt;1&lt;/C&gt;&lt;D xsi:type="xsd:double"&gt;7.3459783&lt;/D&gt;&lt;/FQL&gt;&lt;FQL&gt;&lt;Q&gt;TRYCH10Y-FDS^FG_YIELD(0,,,,"YTM")&lt;/Q&gt;&lt;R&gt;1&lt;/R&gt;&lt;C&gt;1&lt;/C&gt;&lt;D xsi:type="xsd:double"&gt;0.595&lt;/D&gt;&lt;/FQL&gt;&lt;FQL&gt;&lt;Q&gt;CC_CA^IMF_IFS_RCPI_Q(0)&lt;/Q&gt;&lt;R&gt;0&lt;/R&gt;&lt;C&gt;0&lt;/C&gt;&lt;/FQL&gt;&lt;FQL&gt;&lt;Q&gt;VWO^FG_TOTAL_RETURNC(0,-3AM)&lt;/Q&gt;&lt;R&gt;1&lt;/R&gt;&lt;C&gt;1&lt;/C&gt;&lt;D xsi:type="xsd:double"&gt;7.392621&lt;/D&gt;&lt;/FQL&gt;&lt;FQL&gt;&lt;Q&gt;EWU^FMA_ROE(NTMA,-20AY,NOW,FY,"PORTAGG","MEANR")&lt;/Q&gt;&lt;R&gt;20&lt;/R&gt;&lt;C&gt;1&lt;/C&gt;&lt;D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xsi:type="xsd:double"&gt;12.8710545066268&lt;/D&gt;&lt;D xsi:type="xsd:double"&gt;11.2074687408189&lt;/D&gt;&lt;D xsi:type="xsd:double"&gt;13.9227699516468&lt;/D&gt;&lt;D xsi:type="xsd:double"&gt;15.8587443966116&lt;/D&gt;&lt;D xsi:type="xsd:double"&gt;14.7202112757034&lt;/D&gt;&lt;/FQL&gt;&lt;FQL&gt;&lt;Q&gt;USDNZD^FG_PRICE_CHANGE(0,-6AM)&lt;/Q&gt;&lt;R&gt;1&lt;/R&gt;&lt;C&gt;1&lt;/C&gt;&lt;D xsi:type="xsd:double"&gt;1.5692711&lt;/D&gt;&lt;/FQL&gt;&lt;FQL&gt;&lt;Q&gt;SPY^FMA_PE(LTMA,-10AY,0,AM,"PORTAGG","MEANR")&lt;/Q&gt;&lt;R&gt;121&lt;/R&gt;&lt;C&gt;1&lt;/C&gt;&lt;D xsi:type="xsd:double"&gt;16.4061713621471&lt;/D&gt;&lt;D xsi:type="xsd:double"&gt;16.1807746576799&lt;/D&gt;&lt;D xsi:type="xsd:double"&gt;16.5236381699875&lt;/D&gt;&lt;D xsi:type="xsd:double"&gt;15.9764469536286&lt;/D&gt;&lt;D xsi:type="xsd:double"&gt;16.8888765564313&lt;/D&gt;&lt;D xsi:type="xsd:double"&gt;16.9290794505669&lt;/D&gt;&lt;D xsi:type="xsd:double"&gt;17.1803597250845&lt;/D&gt;&lt;D xsi:type="xsd:double"&gt;17.3109513399542&lt;/D&gt;&lt;D xsi:type="xsd:double"&gt;17.4823461897328&lt;/D&gt;&lt;D xsi:type="xsd:double"&gt;17.5603626447011&lt;/D&gt;&lt;D xsi:type="xsd:double"&gt;17.531065808012&lt;/D&gt;&lt;D xsi:type="xsd:double"&gt;17.5135167855186&lt;/D&gt;&lt;D xsi:type="xsd:double"&gt;17.3775374761632&lt;/D&gt;&lt;D xsi:type="xsd:double"&gt;17.4340284254423&lt;/D&gt;&lt;D xsi:type="xsd:double"&gt;16.7380542891142&lt;/D&gt;&lt;D xsi:type="xsd:double"&gt;17.0854389424927&lt;/D&gt;&lt;D xsi:type="xsd:double"&gt;17.3914755813826&lt;/D&gt;&lt;D xsi:type="xsd:double"&gt;16.8741555215366&lt;/D&gt;&lt;D xsi:type="xsd:double"&gt;16.1465991548736&lt;/D&gt;&lt;D xsi:type="xsd:double"&gt;16.2966838906097&lt;/D&gt;&lt;D xsi:type="xsd:double"&gt;16.18819342752&lt;/D&gt;&lt;D xsi:type="xsd:double"&gt;16.4452153070474&lt;/D&gt;&lt;D xsi:type="xsd:double"&gt;16.565182572191&lt;/D&gt;&lt;D xsi:type="xsd:double"&gt;16.7903390909585&lt;/D&gt;&lt;D xsi:type="xsd:double"&gt;17.1258275828842&lt;/D&gt;&lt;D xsi:type="xsd:double"&gt;17.5262633419947&lt;/D&gt;&lt;D xsi:type="xsd:double"&gt;17.3883673167525&lt;/D&gt;&lt;D xsi:type="xsd:double"&gt;17.6135263679888&lt;/D&gt;&lt;D xsi:type="xsd:double"&gt;17.9034217539695&lt;/D&gt;&lt;D xsi:type="xsd:double"&gt;18.7907440942411&lt;/D&gt;&lt;D xsi:type="xsd:double"&gt;19.0646140969249&lt;/D&gt;&lt;D xsi:type="xsd:double"&gt;19.1890335371885&lt;/D&gt;&lt;D xsi:type="xsd:double"&gt;19.4612423775783&lt;/D&gt;&lt;D xsi:type="xsd:double"&gt;19.2714227972503&lt;/D&gt;&lt;D xsi:type="xsd:double"&gt;19.1986653927497&lt;/D&gt;&lt;D xsi:type="xsd:double"&gt;19.1942620012913&lt;/D&gt;&lt;D xsi:type="xsd:double"&gt;19.0599517066698&lt;/D&gt;&lt;D xsi:type="xsd:double"&gt;18.996217932583&lt;/D&gt;&lt;D xsi:type="xsd:double"&gt;19.1373269003786&lt;/D&gt;&lt;D xsi:type="xsd:double"&gt;19.5692697307587&lt;/D&gt;&lt;D xsi:type="xsd:double"&gt;19.5975181931334&lt;/D&gt;&lt;D xsi:type="xsd:double"&gt;20.1302296888281&lt;/D&gt;&lt;D xsi:type="xsd:double"&gt;20.8654453988026&lt;/D&gt;&lt;D xsi:type="xsd:double"&gt;19.2822126347187&lt;/D&gt;&lt;D xsi:type="xsd:double"&gt;19.8054180333876&lt;/D&gt;&lt;D xsi:type="xsd:double"&gt;19.3070416948025&lt;/D&gt;&lt;D xsi:type="xsd:double"&gt;19.1192241658292&lt;/D&gt;&lt;D xsi:type="xsd:double"&gt;18.9711617715758&lt;/D&gt;&lt;D xsi:type="xsd:double"&gt;18.6844319844708&lt;/D&gt;&lt;D xsi:type="xsd:double"&gt;18.5812645833458&lt;/D&gt;&lt;D xsi:type="xsd:double"&gt;18.5639016032075&lt;/D&gt;&lt;D xsi:type="xsd:double"&gt;17.6375108501461&lt;/D&gt;&lt;D xsi:type="xsd:double"&gt;17.5514468335417&lt;/D&gt;&lt;D xsi:type="xsd:double"&gt;16.4556637048479&lt;/D&gt;&lt;D xsi:type="xsd:double"&gt;16.0581802784709&lt;/D&gt;&lt;D xsi:type="xsd:double"&gt;16.6736315159351&lt;/D&gt;&lt;D xsi:type="xsd:double"&gt;17.0877504521642&lt;/D&gt;&lt;D xsi:type="xsd:double"&gt;17.2276721585691&lt;/D&gt;&lt;D xsi:type="xsd:double"&gt;17.1933090638041&lt;/D&gt;&lt;D xsi:type="xsd:double"&gt;17.2064655393021&lt;/D&gt;&lt;D xsi:type="xsd:double"&gt;17.6363787381808&lt;/D&gt;&lt;D xsi:type="xsd:double"&gt;17.4686743723747&lt;/D&gt;&lt;D xsi:type="xsd:double"&gt;17.8688440025189&lt;/D&gt;&lt;D xsi:type="xsd:double"&gt;17.9258770916868&lt;/D&gt;&lt;D xsi:type="xsd:double"&gt;18.6464074649166&lt;/D&gt;&lt;D xsi:type="xsd:double"&gt;19.1691399360206&lt;/D&gt;&lt;D xsi:type="xsd:double"&gt;20.0674133092191&lt;/D&gt;&lt;D xsi:type="xsd:double"&gt;20.3985301743953&lt;/D&gt;&lt;D xsi:type="xsd:double"&gt;17.657307333381&lt;/D&gt;&lt;D xsi:type="xsd:double"&gt;18.2826226606841&lt;/D&gt;&lt;D xsi:type="xsd:double"&gt;19.7198971931536&lt;/D&gt;&lt;D xsi:type="xsd:double"&gt;20.5026407769791&lt;/D&gt;&lt;D xsi:type="xsd:double"&gt;21.7846468873171&lt;/D&gt;&lt;D xsi:type="xsd:double"&gt;22.5301597462518&lt;/D&gt;&lt;D xsi:type="xsd:double"&gt;23.0686106974927&lt;/D&gt;&lt;D xsi:type="xsd:double"&gt;24.347116376059&lt;/D&gt;&lt;D xsi:type="xsd:double"&gt;24.7644074541901&lt;/D&gt;&lt;D xsi:type="xsd:double"&gt;25.7995542692281&lt;/D&gt;&lt;D xsi:type="xsd:double"&gt;27.5353012677924&lt;/D&gt;&lt;D xsi:type="xsd:double"&gt;27.3097599901638&lt;/D&gt;&lt;D xsi:type="xsd:double"&gt;26.2269673463224&lt;/D&gt;&lt;D xsi:type="xsd:double"&gt;26.0871490400614&lt;/D&gt;&lt;D xsi:type="xsd:double"&gt;25.3114899837862&lt;/D&gt;&lt;D xsi:type="xsd:double"&gt;24.9985388825227&lt;/D&gt;&lt;D xsi:type="xsd:double"&gt;24.8770154551134&lt;/D&gt;&lt;D xsi:type="xsd:double"&gt;24.0812403581165&lt;/D&gt;&lt;D xsi:type="xsd:double"&gt;23.6659699782799&lt;/D&gt;&lt;D xsi:type="xsd:double"&gt;22.9325259367386&lt;/D&gt;&lt;D xsi:type="xsd:double"&gt;23.287792654359&lt;/D&gt;&lt;D xsi:type="xsd:double"&gt;23.1564266500092&lt;/D&gt;&lt;D xsi:type="xsd:double"&gt;22.9007443388257&lt;/D&gt;&lt;D xsi:type="xsd:double"&gt;21.0611907677777&lt;/D&gt;&lt;D xsi:type="xsd:double"&gt;20.500497757643&lt;/D&gt;&lt;D xsi:type="xsd:double"&gt;20.5212392896028&lt;/D&gt;&lt;D xsi:type="xsd:double"&gt;19.6069159282749&lt;/D&gt;&lt;D xsi:type="xsd:double"&gt;19.1923119553358&lt;/D&gt;&lt;D xsi:type="xsd:double"&gt;18.7702315103821&lt;/D&gt;&lt;D xsi:type="xsd:double"&gt;19.5122189937512&lt;/D&gt;&lt;D xsi:type="xsd:double"&gt;18.9155022453883&lt;/D&gt;&lt;D xsi:type="xsd:double"&gt;17.1733443117721&lt;/D&gt;&lt;D xsi:type="xsd:double"&gt;18.4569392236944&lt;/D&gt;&lt;D xsi:type="xsd:double"&gt;17.9937709340444&lt;/D&gt;&lt;D xsi:type="xsd:double"&gt;18.0098167593659&lt;/D&gt;&lt;D xsi:type="xsd:double"&gt;18.5840987534112&lt;/D&gt;&lt;D xsi:type="xsd:double"&gt;17.9533947757612&lt;/D&gt;&lt;D xsi:type="xsd:double"&gt;18.2495054053443&lt;/D&gt;&lt;D xsi:type="xsd:double"&gt;18.3045301764856&lt;/D&gt;&lt;D xsi:type="xsd:double"&gt;18.6650708700865&lt;/D&gt;&lt;D xsi:type="xsd:double"&gt;19.2104112404257&lt;/D&gt;&lt;D xsi:type="xsd:double"&gt;19.3625547405133&lt;/D&gt;&lt;D xsi:type="xsd:double"&gt;19.5610437904043&lt;/D&gt;&lt;D xsi:type="xsd:double"&gt;19.4218809312159&lt;/D&gt;&lt;D xsi:type="xsd:double"&gt;19.7380791676758&lt;/D&gt;&lt;D xsi:type="xsd:double"&gt;20.7759566274422&lt;/D&gt;&lt;D xsi:type="xsd:double"&gt;21.7520721458186&lt;/D&gt;&lt;D xsi:type="xsd:double"&gt;22.5991804069456&lt;/D&gt;&lt;D xsi:type="xsd:double"&gt;22.7248516991075&lt;/D&gt;&lt;D xsi:type="xsd:double"&gt;22.68136675174&lt;/D&gt;&lt;D xsi:type="xsd:double"&gt;22.5291070286567&lt;/D&gt;&lt;D xsi:type="xsd:double"&gt;22.6277030042922&lt;/D&gt;&lt;D xsi:type="xsd:double"&gt;23.1314052317502&lt;/D&gt;&lt;/FQL&gt;&lt;FQL&gt;&lt;Q&gt;WL-FDS^FG_PRICE(0)&lt;/Q&gt;&lt;R&gt;1&lt;/R&gt;&lt;C&gt;1&lt;/C&gt;&lt;D xsi:type="xsd:double"&gt;553.4&lt;/D&gt;&lt;/FQL&gt;&lt;FQL&gt;&lt;Q&gt;CPALM-FDS^FG_PRICE_CHANGE(0,-3AM)&lt;/Q&gt;&lt;R&gt;1&lt;/R&gt;&lt;C&gt;1&lt;/C&gt;&lt;D xsi:type="xsd:double"&gt;-11.3349568297543&lt;/D&gt;&lt;/FQL&gt;&lt;FQL&gt;&lt;Q&gt;COPP-FDS^FG_PRICE_MAVG(0,,,,30)&lt;/Q&gt;&lt;R&gt;1&lt;/R&gt;&lt;C&gt;1&lt;/C&gt;&lt;D xsi:type="xsd:double"&gt;4.5466166&lt;/D&gt;&lt;/FQL&gt;&lt;FQL&gt;&lt;Q&gt;EWC^FG_PRICE_MAVG(0,,,,200)&lt;/Q&gt;&lt;R&gt;1&lt;/R&gt;&lt;C&gt;1&lt;/C&gt;&lt;D xsi:type="xsd:double"&gt;36.15035&lt;/D&gt;&lt;/FQL&gt;&lt;FQL&gt;&lt;Q&gt;SPY^P_PRICE(0)/P_PRICE_HIGH_PR(0,,,,,,"PRICE","INTRA","52W")&lt;/Q&gt;&lt;R&gt;1&lt;/R&gt;&lt;C&gt;1&lt;/C&gt;&lt;D xsi:type="xsd:double"&gt;0.9895968&lt;/D&gt;&lt;/FQL&gt;&lt;FQL&gt;&lt;Q&gt;VWO^P_PRICE(0)/P_PRICE_LOW_PR(0,,,,,,"PRICE","INTRA","52W")-1&lt;/Q&gt;&lt;R&gt;1&lt;/R&gt;&lt;C&gt;1&lt;/C&gt;&lt;D xsi:type="xsd:double"&gt;0.21158719&lt;/D&gt;&lt;/FQL&gt;&lt;FQL&gt;&lt;Q&gt;EWI^PERCENT_CHANGE(FMA_EPS(+1,0,,,,"PORTAGG","MEAN"),FMA_EPS(+1,-1AM,,,,"PORTAGG","MEAN"))&lt;/Q&gt;&lt;R&gt;1&lt;/R&gt;&lt;C&gt;1&lt;/C&gt;&lt;D xsi:type="xsd:double"&gt;0.062066455093199&lt;/D&gt;&lt;/FQL&gt;&lt;FQL&gt;&lt;Q&gt;EWQ^FG_TOTAL_RETURNC(0,-1AM)&lt;/Q&gt;&lt;R&gt;1&lt;/R&gt;&lt;C&gt;1&lt;/C&gt;&lt;D xsi:type="xsd:double"&gt;-0.9905994&lt;/D&gt;&lt;/FQL&gt;&lt;FQL&gt;&lt;Q&gt;EWG^P_PRICE(0)/P_PRICE_HIGH_PR(0,,,,,,"PRICE","INTRA","52W")&lt;/Q&gt;&lt;R&gt;1&lt;/R&gt;&lt;C&gt;1&lt;/C&gt;&lt;D xsi:type="xsd:double"&gt;0.9597679&lt;/D&gt;&lt;/FQL&gt;&lt;FQL&gt;&lt;Q&gt;EWD^FMA_EVAL_EBIT(LTMA,NOW,NOW,M,"PORTAGG","MEANR")&lt;/Q&gt;&lt;R&gt;1&lt;/R&gt;&lt;C&gt;1&lt;/C&gt;&lt;D xsi:type="xsd:double"&gt;15.8534745437462&lt;/D&gt;&lt;/FQL&gt;&lt;FQL&gt;&lt;Q&gt;SPY^FMA_EVAL_EBIT(LTMA,NOW,NOW,M,"PORTAGG","MEANR")&lt;/Q&gt;&lt;R&gt;1&lt;/R&gt;&lt;C&gt;1&lt;/C&gt;&lt;D xsi:type="xsd:double"&gt;20.7819367211643&lt;/D&gt;&lt;/FQL&gt;&lt;FQL&gt;&lt;Q&gt;EWL^FMA_EVAL_EBITDA(NTMA,0,,,"PORTAGG","MEANR")&lt;/Q&gt;&lt;R&gt;1&lt;/R&gt;&lt;C&gt;1&lt;/C&gt;&lt;D xsi:type="xsd:double"&gt;12.8385134592933&lt;/D&gt;&lt;/FQL&gt;&lt;FQL&gt;&lt;Q&gt;EWC^FG_FCF_YIELD_NTM(0)&lt;/Q&gt;&lt;R&gt;1&lt;/R&gt;&lt;C&gt;1&lt;/C&gt;&lt;D xsi:type="xsd:double"&gt;5.96235564372738&lt;/D&gt;&lt;/FQL&gt;&lt;FQL&gt;&lt;Q&gt;DBA^FG_TOTAL_RETURNC(0,-6AM)&lt;/Q&gt;&lt;R&gt;1&lt;/R&gt;&lt;C&gt;1&lt;/C&gt;&lt;D xsi:type="xsd:double"&gt;18.194984&lt;/D&gt;&lt;/FQL&gt;&lt;FQL&gt;&lt;Q&gt;USDSEK^STD(FG_PRICE_CHANGE(0,-1AY,AM))&lt;/Q&gt;&lt;R&gt;1&lt;/R&gt;&lt;C&gt;1&lt;/C&gt;&lt;D xsi:type="xsd:double"&gt;2.50511605362806&lt;/D&gt;&lt;/FQL&gt;&lt;FQL&gt;&lt;Q&gt;USDUSD^STD(FG_PRICE_CHANGE(0,-1AY,AM))&lt;/Q&gt;&lt;R&gt;1&lt;/R&gt;&lt;C&gt;1&lt;/C&gt;&lt;D xsi:type="xsd:double"&gt;0&lt;/D&gt;&lt;/FQL&gt;&lt;FQL&gt;&lt;Q&gt;USDEUR^FG_COMPANY_NAME&lt;/Q&gt;&lt;R&gt;1&lt;/R&gt;&lt;C&gt;1&lt;/C&gt;&lt;D xsi:type="xsd:string"&gt;Euro per U.S. Dollar&lt;/D&gt;&lt;/FQL&gt;&lt;FQL&gt;&lt;Q&gt;EWJ^FMA_DIV_YLD(NTMA,-10AY,0,AM,"PORTAGG","MEANR")&lt;/Q&gt;&lt;R&gt;121&lt;/R&gt;&lt;C&gt;1&lt;/C&gt;&lt;D xsi:type="xsd:double"&gt;2.09376186010652&lt;/D&gt;&lt;D xsi:type="xsd:double"&gt;2.11225010624207&lt;/D&gt;&lt;D xsi:type="xsd:double"&gt;2.03669688381247&lt;/D&gt;&lt;D xsi:type="xsd:double"&gt;2.16223506059452&lt;/D&gt;&lt;D xsi:type="xsd:double"&gt;1.96294654736754&lt;/D&gt;&lt;D xsi:type="xsd:double"&gt;1.9852166314743&lt;/D&gt;&lt;D xsi:type="xsd:double"&gt;2.02456223817472&lt;/D&gt;&lt;D xsi:type="xsd:double"&gt;1.99431479589481&lt;/D&gt;&lt;D xsi:type="xsd:double"&gt;1.88823123922511&lt;/D&gt;&lt;D xsi:type="xsd:double"&gt;1.84121609437922&lt;/D&gt;&lt;D xsi:type="xsd:double"&gt;1.87581733308854&lt;/D&gt;&lt;D xsi:type="xsd:double"&gt;1.88277624727378&lt;/D&gt;&lt;D xsi:type="xsd:double"&gt;1.98190899374002&lt;/D&gt;&lt;D xsi:type="xsd:double"&gt;1.87726875301063&lt;/D&gt;&lt;D xsi:type="xsd:double"&gt;2.15276343281783&lt;/D&gt;&lt;D xsi:type="xsd:double"&gt;2.10330704758935&lt;/D&gt;&lt;D xsi:type="xsd:double"&gt;2.00897397631536&lt;/D&gt;&lt;D xsi:type="xsd:double"&gt;2.07737373551735&lt;/D&gt;&lt;D xsi:type="xsd:double"&gt;2.2535110357339&lt;/D&gt;&lt;D xsi:type="xsd:double"&gt;2.5789848815479&lt;/D&gt;&lt;D xsi:type="xsd:double"&gt;2.36690275269492&lt;/D&gt;&lt;D xsi:type="xsd:double"&gt;2.52664634675218&lt;/D&gt;&lt;D xsi:type="xsd:double"&gt;2.40070194602975&lt;/D&gt;&lt;D xsi:type="xsd:double"&gt;2.37928286589849&lt;/D&gt;&lt;D xsi:type="xsd:double"&gt;2.51113122590021&lt;/D&gt;&lt;D xsi:type="xsd:double"&gt;2.39500136738711&lt;/D&gt;&lt;D xsi:type="xsd:double"&gt;2.34644872613198&lt;/D&gt;&lt;D xsi:type="xsd:double"&gt;2.3499917181&lt;/D&gt;&lt;D xsi:type="xsd:double"&gt;2.32742917500156&lt;/D&gt;&lt;D xsi:type="xsd:double"&gt;2.10087054762229&lt;/D&gt;&lt;D xsi:type="xsd:double"&gt;2.08853325667516&lt;/D&gt;&lt;D xsi:type="xsd:double"&gt;2.12416716336401&lt;/D&gt;&lt;D xsi:type="xsd:double"&gt;2.11971840524454&lt;/D&gt;&lt;D xsi:type="xsd:double"&gt;2.24987170835159&lt;/D&gt;&lt;D xsi:type="xsd:double"&gt;2.14780052852705&lt;/D&gt;&lt;D xsi:type="xsd:double"&gt;2.17547450532924&lt;/D&gt;&lt;D xsi:type="xsd:double"&gt;2.15407779329145&lt;/D&gt;&lt;D xsi:type="xsd:double"&gt;2.18696468023619&lt;/D&gt;&lt;D xsi:type="xsd:double"&gt;2.22655419133541&lt;/D&gt;&lt;D xsi:type="xsd:double"&gt;2.13733509698183&lt;/D&gt;&lt;D xsi:type="xsd:double"&gt;2.03834834585761&lt;/D&gt;&lt;D xsi:type="xsd:double"&gt;2.05275898417894&lt;/D&gt;&lt;D xsi:type="xsd:double"&gt;1.98349058196702&lt;/D&gt;&lt;D xsi:type="xsd:double"&gt;2.19981080208256&lt;/D&gt;&lt;D xsi:type="xsd:double"&gt;2.2567325470921&lt;/D&gt;&lt;D xsi:type="xsd:double"&gt;2.26213862620461&lt;/D&gt;&lt;D xsi:type="xsd:double"&gt;2.19318180309022&lt;/D&gt;&lt;D xsi:type="xsd:double"&gt;2.22733058830833&lt;/D&gt;&lt;D xsi:type="xsd:double"&gt;2.33876751942641&lt;/D&gt;&lt;D xsi:type="xsd:double"&gt;2.32917541421516&lt;/D&gt;&lt;D xsi:type="xsd:double"&gt;2.36711755843302&lt;/D&gt;&lt;D xsi:type="xsd:double"&gt;2.3726625216991&lt;/D&gt;&lt;D xsi:type="xsd:double"&gt;2.43389557508879&lt;/D&gt;&lt;D xsi:type="xsd:double"&gt;2.59453140575316&lt;/D&gt;&lt;D xsi:type="xsd:double"&gt;2.69154535046905&lt;/D&gt;&lt;D xsi:type="xsd:double"&gt;2.68588209816238&lt;/D&gt;&lt;D xsi:type="xsd:double"&gt;2.60808579600587&lt;/D&gt;&lt;D xsi:type="xsd:double"&gt;2.5813761381383&lt;/D&gt;&lt;D xsi:type="xsd:double"&gt;2.67362095415688&lt;/D&gt;&lt;D xsi:type="xsd:double"&gt;2.67126126417197&lt;/D&gt;&lt;D xsi:type="xsd:double"&gt;2.64437907850883&lt;/D&gt;&lt;D xsi:type="xsd:double"&gt;2.77226268401635&lt;/D&gt;&lt;D xsi:type="xsd:double"&gt;2.62262971321738&lt;/D&gt;&lt;D xsi:type="xsd:double"&gt;2.61505750109942&lt;/D&gt;&lt;D xsi:type="xsd:double"&gt;2.46237540346446&lt;/D&gt;&lt;D xsi:type="xsd:double"&gt;2.45022508632711&lt;/D&gt;&lt;D xsi:type="xsd:double"&gt;2.42976294931197&lt;/D&gt;&lt;D xsi:type="xsd:double"&gt;2.45029517702953&lt;/D&gt;&lt;D xsi:type="xsd:double"&gt;2.99966821997107&lt;/D&gt;&lt;D xsi:type="xsd:double"&gt;2.91891273090207&lt;/D&gt;&lt;D xsi:type="xsd:double"&gt;2.76577506074882&lt;/D&gt;&lt;D xsi:type="xsd:double"&gt;2.48550592547681&lt;/D&gt;&lt;D xsi:type="xsd:double"&gt;2.54244668125274&lt;/D&gt;&lt;D xsi:type="xsd:double"&gt;2.44622225951406&lt;/D&gt;&lt;D xsi:type="xsd:double"&gt;2.36236672653374&lt;/D&gt;&lt;D xsi:type="xsd:double"&gt;2.36562247409557&lt;/D&gt;&lt;D xsi:type="xsd:double"&gt;2.25249697505842&lt;/D&gt;&lt;D xsi:type="xsd:double"&gt;2.16157402290264&lt;/D&gt;&lt;D xsi:type="xsd:double"&gt;2.08647033943394&lt;/D&gt;&lt;D xsi:type="xsd:double"&gt;2.03061548667467&lt;/D&gt;&lt;D xsi:type="xsd:double"&gt;2.08547565139825&lt;/D&gt;&lt;D xsi:type="xsd:double"&gt;2.06618038289271&lt;/D&gt;&lt;D xsi:type="xsd:double"&gt;2.168948042982&lt;/D&gt;&lt;D xsi:type="xsd:double"&gt;2.16490573247655&lt;/D&gt;&lt;D xsi:type="xsd:double"&gt;2.23588962987143&lt;/D&gt;&lt;D xsi:type="xsd:double"&gt;2.21925472990668&lt;/D&gt;&lt;D xsi:type="xsd:double"&gt;2.12996395018624&lt;/D&gt;&lt;D xsi:type="xsd:double"&gt;2.24909640702047&lt;/D&gt;&lt;D xsi:type="xsd:double"&gt;2.24331217297346&lt;/D&gt;&lt;D xsi:type="xsd:double"&gt;2.31946218507204&lt;/D&gt;&lt;D xsi:type="xsd:double"&gt;2.32504072006442&lt;/D&gt;&lt;D xsi:type="xsd:double"&gt;2.41809456892634&lt;/D&gt;&lt;D xsi:type="xsd:double"&gt;2.70573521098031&lt;/D&gt;&lt;D xsi:type="xsd:double"&gt;2.59540329515533&lt;/D&gt;&lt;D xsi:type="xsd:double"&gt;2.67712152454486&lt;/D&gt;&lt;D xsi:type="xsd:double"&gt;2.58655461015119&lt;/D&gt;&lt;D xsi:type="xsd:double"&gt;2.64944663523925&lt;/D&gt;&lt;D xsi:type="xsd:double"&gt;2.62354212793894&lt;/D&gt;&lt;D xsi:type="xsd:double"&gt;2.59604909184108&lt;/D&gt;&lt;D xsi:type="xsd:double"&gt;2.76325525469252&lt;/D&gt;&lt;D xsi:type="xsd:double"&gt;2.59856578237879&lt;/D&gt;&lt;D xsi:type="xsd:double"&gt;2.64604130361895&lt;/D&gt;&lt;D xsi:type="xsd:double"&gt;2.72986976321454&lt;/D&gt;&lt;D xsi:type="xsd:double"&gt;2.60908499683829&lt;/D&gt;&lt;D xsi:type="xsd:double"&gt;2.57555402676874&lt;/D&gt;&lt;D xsi:type="xsd:double"&gt;2.63635831086817&lt;/D&gt;&lt;D xsi:type="xsd:double"&gt;2.53759309176592&lt;/D&gt;&lt;D xsi:type="xsd:double"&gt;2.37767767992149&lt;/D&gt;&lt;D xsi:type="xsd:double"&gt;2.39912991033994&lt;/D&gt;&lt;D xsi:type="xsd:double"&gt;2.36540009328313&lt;/D&gt;&lt;D xsi:type="xsd:double"&gt;2.33046731054985&lt;/D&gt;&lt;D xsi:type="xsd:double"&gt;2.39977735441431&lt;/D&gt;&lt;D xsi:type="xsd:double"&gt;2.40106163342274&lt;/D&gt;&lt;D xsi:type="xsd:double"&gt;2.42335221009494&lt;/D&gt;&lt;D xsi:type="xsd:double"&gt;2.31181369773937&lt;/D&gt;&lt;D xsi:type="xsd:double"&gt;2.27353232099119&lt;/D&gt;&lt;D xsi:type="xsd:double"&gt;2.2126375378058&lt;/D&gt;&lt;D xsi:type="xsd:double"&gt;2.17635076570484&lt;/D&gt;&lt;D xsi:type="xsd:double"&gt;2.23121794584535&lt;/D&gt;&lt;D xsi:type="xsd:double"&gt;2.23199253570444&lt;/D&gt;&lt;D xsi:type="xsd:double"&gt;2.15086850113039&lt;/D&gt;&lt;/FQL&gt;&lt;FQL&gt;&lt;Q&gt;PLATI-FDS^FG_PRICE_MAVG(0,,,,30)&lt;/Q&gt;&lt;R&gt;1&lt;/R&gt;&lt;C&gt;1&lt;/C&gt;&lt;D xsi:type="xsd:double"&gt;999.3&lt;/D&gt;&lt;/FQL&gt;&lt;FQL&gt;&lt;Q&gt;SPY^FG_PRICE_MAVG(0,,,,200)&lt;/Q&gt;&lt;R&gt;1&lt;/R&gt;&lt;C&gt;1&lt;/C&gt;&lt;D xsi:type="xsd:double"&gt;489.87994&lt;/D&gt;&lt;/FQL&gt;&lt;FQL&gt;&lt;Q&gt;VWO^FG_TOTAL_RETURNC(0,-1AM)&lt;/Q&gt;&lt;R&gt;1&lt;/R&gt;&lt;C&gt;1&lt;/C&gt;&lt;D xsi:type="xsd:double"&gt;5.088699&lt;/D&gt;&lt;/FQL&gt;&lt;FQL&gt;&lt;Q&gt;EWN^PERCENT_CHANGE(FMA_EPS(+1,0,,,,"PORTAGG","MEAN"),FMA_EPS(+1,-3AM,,,,"PORTAGG","MEAN"))&lt;/Q&gt;&lt;R&gt;1&lt;/R&gt;&lt;C&gt;1&lt;/C&gt;&lt;D xsi:type="xsd:double"&gt;-1.62237251329238&lt;/D&gt;&lt;/FQL&gt;&lt;FQL&gt;&lt;Q&gt;EWU^FMA_RBICS_REV_CURRENT(30, LOC, "PORTAGG")&lt;/Q&gt;&lt;R&gt;1&lt;/R&gt;&lt;C&gt;1&lt;/C&gt;&lt;D xsi:type="xsd:double"&gt;19.4049351140879&lt;/D&gt;&lt;/FQL&gt;&lt;FQL&gt;&lt;Q&gt;TRYUS10Y-FDS^PCTCHG(FG_YIELD(0,,,,"YTM"),FG_YIELD(-3AM,,,,"YTM"))&lt;/Q&gt;&lt;R&gt;1&lt;/R&gt;&lt;C&gt;1&lt;/C&gt;&lt;D xsi:type="xsd:double"&gt;-8.100714&lt;/D&gt;&lt;/FQL&gt;&lt;FQL&gt;&lt;Q&gt;VWO^FMA_EVAL_EBITDA(NTMA,0,,,"PORTAGG","MEANR")&lt;/Q&gt;&lt;R&gt;1&lt;/R&gt;&lt;C&gt;1&lt;/C&gt;&lt;D xsi:type="xsd:double"&gt;8.89212430880916&lt;/D&gt;&lt;/FQL&gt;&lt;FQL&gt;&lt;Q&gt;EWU^FMA_PE(NTMA,0,,,"PORTAGG","MEANR")&lt;/Q&gt;&lt;R&gt;1&lt;/R&gt;&lt;C&gt;1&lt;/C&gt;&lt;D xsi:type="xsd:double"&gt;11.3959099502407&lt;/D&gt;&lt;/FQL&gt;&lt;FQL&gt;&lt;Q&gt;EWA^FMA_EVAL_EBITDA(NTMA,0,,,"PORTAGG","MEANR")&lt;/Q&gt;&lt;R&gt;1&lt;/R&gt;&lt;C&gt;1&lt;/C&gt;&lt;D xsi:type="xsd:double"&gt;8.66572194222982&lt;/D&gt;&lt;/FQL&gt;&lt;FQL&gt;&lt;Q&gt;QQQ^FG_TOTAL_RETURNC(0,-6AM)&lt;/Q&gt;&lt;R&gt;1&lt;/R&gt;&lt;C&gt;1&lt;/C&gt;&lt;D xsi:type="xsd:double"&gt;20.5243&lt;/D&gt;&lt;/FQL&gt;&lt;FQL&gt;&lt;Q&gt;EWG^FMA_COS_DOWN("EPS","1M",+1,0,,,"PORTAGG","MEANR")&lt;/Q&gt;&lt;R&gt;1&lt;/R&gt;&lt;C&gt;1&lt;/C&gt;&lt;D xsi:type="xsd:double"&gt;24&lt;/D&gt;&lt;/FQL&gt;&lt;FQL&gt;&lt;Q&gt;EWA^FG_FCF_YIELD_NTM(0)&lt;/Q&gt;&lt;R&gt;1&lt;/R&gt;&lt;C&gt;1&lt;/C&gt;&lt;D xsi:type="xsd:double"&gt;5.00174746164853&lt;/D&gt;&lt;/FQL&gt;&lt;FQL&gt;&lt;Q&gt;USDUSD^FG_COMPANY_NAME&lt;/Q&gt;&lt;R&gt;1&lt;/R&gt;&lt;C&gt;1&lt;/C&gt;&lt;D xsi:type="xsd:string"&gt;U.S. Dollar per U.S. Dollar&lt;/D&gt;&lt;/FQL&gt;&lt;FQL&gt;&lt;Q&gt;DDR3512M-FDS^FG_PRICE_MAVG(0,,,,30)&lt;/Q&gt;&lt;R&gt;1&lt;/R&gt;&lt;C&gt;1&lt;/C&gt;&lt;D xsi:type="xsd:double"&gt;0.9467412&lt;/D&gt;&lt;/FQL&gt;&lt;FQL&gt;&lt;Q&gt;EWN^FMA_PCT_ABOVE_MAVG(200,0,,,,"PORTAGG")&lt;/Q&gt;&lt;R&gt;1&lt;/R&gt;&lt;C&gt;1&lt;/C&gt;&lt;D xsi:type="xsd:double"&gt;58.4905660377358&lt;/D&gt;&lt;/FQL&gt;&lt;FQL&gt;&lt;Q&gt;EWC^PERCENT_CHANGE(FMA_EPS(+1,0,,,,"PORTAGG","MEAN"),FMA_EPS(+1,-3AM,,,,"PORTAGG","MEAN"))&lt;/Q&gt;&lt;R&gt;1&lt;/R&gt;&lt;C&gt;1&lt;/C&gt;&lt;D xsi:type="xsd:double"&gt;0.114502949328731&lt;/D&gt;&lt;/FQL&gt;&lt;FQL&gt;&lt;Q&gt;EWJ^FMA_RBICS_REV_CURRENT(30, LOC, "PORTAGG")&lt;/Q&gt;&lt;R&gt;1&lt;/R&gt;&lt;C&gt;1&lt;/C&gt;&lt;D xsi:type="xsd:double"&gt;18.9424358750144&lt;/D&gt;&lt;/FQL&gt;&lt;FQL&gt;&lt;Q&gt;REFFFUND-FDS^FG_YIELD(NOW,,,0)&lt;/Q&gt;&lt;R&gt;1&lt;/R&gt;&lt;C&gt;1&lt;/C&gt;&lt;D xsi:type="xsd:double"&gt;5.5&lt;/D&gt;&lt;/FQL&gt;&lt;FQL&gt;&lt;Q&gt;SPY^P_PRICE_RETURNS_PR('52W',2,-10AY,0,AM)&lt;/Q&gt;&lt;R&gt;121&lt;/R&gt;&lt;C&gt;1&lt;/C&gt;&lt;D xsi:type="xsd:double"&gt;19.729614&lt;/D&gt;&lt;D xsi:type="xsd:double"&gt;16.711914&lt;/D&gt;&lt;D xsi:type="xsd:double"&gt;20.565426&lt;/D&gt;&lt;D xsi:type="xsd:double"&gt;14.820421&lt;/D&gt;&lt;D xsi:type="xsd:double"&gt;17.381895&lt;/D&gt;&lt;D xsi:type="xsd:double"&gt;16.470945&lt;/D&gt;&lt;D xsi:type="xsd:double"&gt;13.39469&lt;/D&gt;&lt;D xsi:type="xsd:double"&gt;15.93051&lt;/D&gt;&lt;D xsi:type="xsd:double"&gt;11.356556&lt;/D&gt;&lt;D xsi:type="xsd:double"&gt;16.917372&lt;/D&gt;&lt;D xsi:type="xsd:double"&gt;14.234961&lt;/D&gt;&lt;D xsi:type="xsd:double"&gt;10.692108&lt;/D&gt;&lt;D xsi:type="xsd:double"&gt;7.747948&lt;/D&gt;&lt;D xsi:type="xsd:double"&gt;9.789038&lt;/D&gt;&lt;D xsi:type="xsd:double"&gt;0.15053749&lt;/D&gt;&lt;D xsi:type="xsd:double"&gt;6.57146&lt;/D&gt;&lt;D xsi:type="xsd:double"&gt;3.80584&lt;/D&gt;&lt;D xsi:type="xsd:double"&gt;0.87023973&lt;/D&gt;&lt;D xsi:type="xsd:double"&gt;-3.9859772&lt;/D&gt;&lt;D xsi:type="xsd:double"&gt;-9.792625&lt;/D&gt;&lt;D xsi:type="xsd:double"&gt;1.2128592&lt;/D&gt;&lt;D xsi:type="xsd:double"&gt;-0.7740259&lt;/D&gt;&lt;D xsi:type="xsd:double"&gt;0.16263723&lt;/D&gt;&lt;D xsi:type="xsd:double"&gt;1.7276287&lt;/D&gt;&lt;D xsi:type="xsd:double"&gt;5.103612&lt;/D&gt;&lt;D xsi:type="xsd:double"&gt;7.0752144&lt;/D&gt;&lt;D xsi:type="xsd:double"&gt;11.88786&lt;/D&gt;&lt;D xsi:type="xsd:double"&gt;8.306146&lt;/D&gt;&lt;D xsi:type="xsd:double"&gt;6.4347386&lt;/D&gt;&lt;D xsi:type="xsd:double"&gt;12.698973&lt;/D&gt;&lt;D xsi:type="xsd:double"&gt;20.755745&lt;/D&gt;&lt;D xsi:type="xsd:double"&gt;27.64542&lt;/D&gt;&lt;D xsi:type="xsd:double"&gt;21.680677&lt;/D&gt;&lt;D xsi:type="xsd:double"&gt;17.60087&lt;/D&gt;&lt;D xsi:type="xsd:double"&gt;18.323921&lt;/D&gt;&lt;D xsi:type="xsd:double"&gt;17.150318&lt;/D&gt;&lt;D xsi:type="xsd:double"&gt;15.802264&lt;/D&gt;&lt;D xsi:type="xsd:double"&gt;13.922405&lt;/D&gt;&lt;D xsi:type="xsd:double"&gt;19.225895&lt;/D&gt;&lt;D xsi:type="xsd:double"&gt;21.90554&lt;/D&gt;&lt;D xsi:type="xsd:double"&gt;21.38815&lt;/D&gt;&lt;D xsi:type="xsd:double"&gt;19.951248&lt;/D&gt;&lt;D xsi:type="xsd:double"&gt;23.943817&lt;/D&gt;&lt;D xsi:type="xsd:double"&gt;15.599644&lt;/D&gt;&lt;D xsi:type="xsd:double"&gt;20.020163&lt;/D&gt;&lt;D xsi:type="xsd:double"&gt;14.345527&lt;/D&gt;&lt;D xsi:type="xsd:double"&gt;16.15156&lt;/D&gt;&lt;D xsi:type="xsd:double"&gt;16.619003&lt;/D&gt;&lt;D xsi:type="xsd:double"&gt;16.446936&lt;/D&gt;&lt;D xsi:type="xsd:double"&gt;18.329657&lt;/D&gt;&lt;D xsi:type="xsd:double"&gt;18.149412&lt;/D&gt;&lt;D xsi:type="xsd:double"&gt;8.6692095&lt;/D&gt;&lt;D xsi:type="xsd:double"&gt;9.5479965&lt;/D&gt;&lt;D xsi:type="xsd:double"&gt;0.9882331&lt;/D&gt;&lt;D xsi:type="xsd:double"&gt;-4.4139266&lt;/D&gt;&lt;D xsi:type="xsd:double"&gt;5.466461&lt;/D&gt;&lt;D xsi:type="xsd:double"&gt;1.7550707&lt;/D&gt;&lt;D xsi:type="xsd:double"&gt;11.401796&lt;/D&gt;&lt;D xsi:type="xsd:double"&gt;7.9778314&lt;/D&gt;&lt;D xsi:type="xsd:double"&gt;5.7355165&lt;/D&gt;&lt;D xsi:type="xsd:double"&gt;10.259306&lt;/D&gt;&lt;D xsi:type="xsd:double"&gt;4.33259&lt;/D&gt;&lt;D xsi:type="xsd:double"&gt;5.9410453&lt;/D&gt;&lt;D xsi:type="xsd:double"&gt;11.035895&lt;/D&gt;&lt;D xsi:type="xsd:double"&gt;13.233673&lt;/D&gt;&lt;D xsi:type="xsd:double"&gt;21.420992&lt;/D&gt;&lt;D xsi:type="xsd:double"&gt;28.195381&lt;/D&gt;&lt;D xsi:type="xsd:double"&gt;26.229752&lt;/D&gt;&lt;D xsi:type="xsd:double"&gt;0.39891005&lt;/D&gt;&lt;D xsi:type="xsd:double"&gt;-1.1659801&lt;/D&gt;&lt;D xsi:type="xsd:double"&gt;3.6293268&lt;/D&gt;&lt;D xsi:type="xsd:double"&gt;6.2076926&lt;/D&gt;&lt;D xsi:type="xsd:double"&gt;8.51034&lt;/D&gt;&lt;D xsi:type="xsd:double"&gt;16.432608&lt;/D&gt;&lt;D xsi:type="xsd:double"&gt;13.514161&lt;/D&gt;&lt;D xsi:type="xsd:double"&gt;21.422768&lt;/D&gt;&lt;D xsi:type="xsd:double"&gt;17.944252&lt;/D&gt;&lt;D xsi:type="xsd:double"&gt;18.790268&lt;/D&gt;&lt;D xsi:type="xsd:double"&gt;18.478882&lt;/D&gt;&lt;D xsi:type="xsd:double"&gt;18.757462&lt;/D&gt;&lt;D xsi:type="xsd:double"&gt;46.165623&lt;/D&gt;&lt;D xsi:type="xsd:double"&gt;50.297928&lt;/D&gt;&lt;D xsi:type="xsd:double"&gt;43.89498&lt;/D&gt;&lt;D xsi:type="xsd:double"&gt;43.42694&lt;/D&gt;&lt;D xsi:type="xsd:double"&gt;40.612377&lt;/D&gt;&lt;D xsi:type="xsd:double"&gt;35.348927&lt;/D&gt;&lt;D xsi:type="xsd:double"&gt;35.41169&lt;/D&gt;&lt;D xsi:type="xsd:double"&gt;27.102983&lt;/D&gt;&lt;D xsi:type="xsd:double"&gt;31.87239&lt;/D&gt;&lt;D xsi:type="xsd:double"&gt;30.182457&lt;/D&gt;&lt;D xsi:type="xsd:double"&gt;25.71547&lt;/D&gt;&lt;D xsi:type="xsd:double"&gt;14.250398&lt;/D&gt;&lt;D xsi:type="xsd:double"&gt;8.180655&lt;/D&gt;&lt;D xsi:type="xsd:double"&gt;8.325386&lt;/D&gt;&lt;D xsi:type="xsd:double"&gt;-3.9247692&lt;/D&gt;&lt;D xsi:type="xsd:double"&gt;-6.7623196&lt;/D&gt;&lt;D xsi:type="xsd:double"&gt;-10.5193615&lt;/D&gt;&lt;D xsi:type="xsd:double"&gt;-4.011965&lt;/D&gt;&lt;D xsi:type="xsd:double"&gt;-8.148503&lt;/D&gt;&lt;D xsi:type="xsd:double"&gt;-16.454065&lt;/D&gt;&lt;D xsi:type="xsd:double"&gt;-12.768346&lt;/D&gt;&lt;D xsi:type="xsd:double"&gt;-14.389431&lt;/D&gt;&lt;D xsi:type="xsd:double"&gt;-14.432203&lt;/D&gt;&lt;D xsi:type="xsd:double"&gt;-7.7097774&lt;/D&gt;&lt;D xsi:type="xsd:double"&gt;-7.8244867&lt;/D&gt;&lt;D xsi:type="xsd:double"&gt;-5.275202&lt;/D&gt;&lt;D xsi:type="xsd:double"&gt;6.725514&lt;/D&gt;&lt;D xsi:type="xsd:double"&gt;8.917332&lt;/D&gt;&lt;D xsi:type="xsd:double"&gt;17.05265&lt;/D&gt;&lt;D xsi:type="xsd:double"&gt;7.8582883&lt;/D&gt;&lt;D xsi:type="xsd:double"&gt;12.110222&lt;/D&gt;&lt;D xsi:type="xsd:double"&gt;23.905241&lt;/D&gt;&lt;D xsi:type="xsd:double"&gt;13.409721&lt;/D&gt;&lt;D xsi:type="xsd:double"&gt;19.339096&lt;/D&gt;&lt;D xsi:type="xsd:double"&gt;22.280205&lt;/D&gt;&lt;D xsi:type="xsd:double"&gt;25.002611&lt;/D&gt;&lt;D xsi:type="xsd:double"&gt;34.515156&lt;/D&gt;&lt;D xsi:type="xsd:double"&gt;28.269505&lt;/D&gt;&lt;D xsi:type="xsd:double"&gt;27.994955&lt;/D&gt;&lt;D xsi:type="xsd:double"&gt;26.72062&lt;/D&gt;&lt;D xsi:type="xsd:double"&gt;27.538406&lt;/D&gt;&lt;/FQL&gt;&lt;FQL&gt;&lt;Q&gt;SPY^FG_TOTAL_RETURNC(0,-6AM)&lt;/Q&gt;&lt;R&gt;1&lt;/R&gt;&lt;C&gt;1&lt;/C&gt;&lt;D xsi:type="xsd:double"&gt;17.565691&lt;/D&gt;&lt;/FQL&gt;&lt;FQL&gt;&lt;Q&gt;VGK^SIZE(FG_CONSTITUENTS)&lt;/Q&gt;&lt;R&gt;1&lt;/R&gt;&lt;C&gt;1&lt;/C&gt;&lt;D xsi:type="xsd:long"&gt;1278&lt;/D&gt;&lt;/FQL&gt;&lt;FQL&gt;&lt;Q&gt;EWA^FMA_DIV_YLD(NTMA,NOW,NOW,M,"PORTAGG","MEANR")&lt;/Q&gt;&lt;R&gt;1&lt;/R&gt;&lt;C&gt;1&lt;/C&gt;&lt;D xsi:type="xsd:double"&gt;3.93063969750354&lt;/D&gt;&lt;/FQL&gt;&lt;FQL&gt;&lt;Q&gt;QQQ^FG_TOTAL_RETURNC(0,-1AM)&lt;/Q&gt;&lt;R&gt;1&lt;/R&gt;&lt;C&gt;1&lt;/C&gt;&lt;D xsi:type="xsd:double"&gt;5.2776337&lt;/D&gt;&lt;/FQL&gt;&lt;FQL&gt;&lt;Q&gt;TRYGB10Y-FDS^FG_YIELD(-10AY,0,Y,,"YTM")&lt;/Q&gt;&lt;R&gt;10&lt;/R&gt;&lt;C&gt;1&lt;/C&gt;&lt;D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</t>
        </r>
      </text>
    </comment>
    <comment ref="A10" authorId="0" shapeId="0" xr:uid="{1AA77F58-B36E-4635-822D-CD5693657DAB}">
      <text>
        <r>
          <rPr>
            <b/>
            <sz val="9"/>
            <color indexed="81"/>
            <rFont val="Tahoma"/>
            <charset val="1"/>
          </rPr>
          <t>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xsi:type="xsd:double"&gt;3.534&lt;/D&gt;&lt;/FQL&gt;&lt;FQL&gt;&lt;Q&gt;USDGBP^STD(FG_PRICE_CHANGE(0,-3AY,M))&lt;/Q&gt;&lt;R&gt;1&lt;/R&gt;&lt;C&gt;1&lt;/C&gt;&lt;D xsi:type="xsd:double"&gt;2.33840337501068&lt;/D&gt;&lt;/FQL&gt;&lt;FQL&gt;&lt;Q&gt;VGK^PERCENT_CHANGE(FMA_EPS(+1,0,,,,"PORTAGG","MEAN"),FMA_EPS(+1,-3AM,,,,"PORTAGG","MEAN"))&lt;/Q&gt;&lt;R&gt;1&lt;/R&gt;&lt;C&gt;1&lt;/C&gt;&lt;D xsi:type="xsd:double"&gt;3.25353079492154&lt;/D&gt;&lt;/FQL&gt;&lt;FQL&gt;&lt;Q&gt;EWL^P_PRICE(0)/P_PRICE_LOW_PR(0,,,,,,"PRICE","INTRA","52W")-1&lt;/Q&gt;&lt;R&gt;1&lt;/R&gt;&lt;C&gt;1&lt;/C&gt;&lt;D xsi:type="xsd:double"&gt;0.18652225&lt;/D&gt;&lt;/FQL&gt;&lt;FQL&gt;&lt;Q&gt;VGK^FMA_COS_UP("EPS","1M",+1,0,,,"PORTAGG","MEANR")&lt;/Q&gt;&lt;R&gt;1&lt;/R&gt;&lt;C&gt;1&lt;/C&gt;&lt;D xsi:type="xsd:double"&gt;514&lt;/D&gt;&lt;/FQL&gt;&lt;FQL&gt;&lt;Q&gt;EWC^FMA_COS_UP("EPS","1M",+1,0,,,"PORTAGG","MEANR")&lt;/Q&gt;&lt;R&gt;1&lt;/R&gt;&lt;C&gt;1&lt;/C&gt;&lt;D xsi:type="xsd:double"&gt;28&lt;/D&gt;&lt;/FQL&gt;&lt;FQL&gt;&lt;Q&gt;VGK^FMA_EVAL_EBIT(LTMA,NOW,NOW,M,"PORTAGG","MEANR")&lt;/Q&gt;&lt;R&gt;1&lt;/R&gt;&lt;C&gt;1&lt;/C&gt;&lt;D xsi:type="xsd:double"&gt;13.2942347031562&lt;/D&gt;&lt;/FQL&gt;&lt;FQL&gt;&lt;Q&gt;EWQ^FG_FCF_YIELD_NTM(0)&lt;/Q&gt;&lt;R&gt;1&lt;/R&gt;&lt;C&gt;1&lt;/C&gt;&lt;D xsi:type="xsd:double"&gt;6.05159744815414&lt;/D&gt;&lt;/FQL&gt;&lt;FQL&gt;&lt;Q&gt;EWL^FG_FCF_YIELD_NTM(0)&lt;/Q&gt;&lt;R&gt;1&lt;/R&gt;&lt;C&gt;1&lt;/C&gt;&lt;D xsi:type="xsd:double"&gt;4.77096379695367&lt;/D&gt;&lt;/FQL&gt;&lt;FQL&gt;&lt;Q&gt;EWA^JULIAN(FMA_DIV_YLD(NTMA,NOW,NOW,M,"PORTAGG","MEANR").DATES)&lt;/Q&gt;&lt;R&gt;1&lt;/R&gt;&lt;C&gt;1&lt;/C&gt;&lt;D xsi:type="xsd:long"&gt;45471&lt;/D&gt;&lt;/FQL&gt;&lt;FQL&gt;&lt;Q&gt;CAGDPY@GB^EE_ACTUAL_ANNUAL(MED,+1)&lt;/Q&gt;&lt;R&gt;1&lt;/R&gt;&lt;C&gt;1&lt;/C&gt;&lt;D xsi:type="xsd:double"&gt;-2.7&lt;/D&gt;&lt;/FQL&gt;&lt;FQL&gt;&lt;Q&gt;USDAUD^STD(FG_PRICE_CHANGE(0,-3AY,M))&lt;/Q&gt;&lt;R&gt;1&lt;/R&gt;&lt;C&gt;1&lt;/C&gt;&lt;D xsi:type="xsd:double"&gt;3.06129369010948&lt;/D&gt;&lt;/FQL&gt;&lt;FQL&gt;&lt;Q&gt;W-FDS^MAX(FG_PRICE(0,-5AY))&lt;/Q&gt;&lt;R&gt;1&lt;/R&gt;&lt;C&gt;1&lt;/C&gt;&lt;D xsi:type="xsd:double"&gt;14.2525&lt;/D&gt;&lt;/FQL&gt;&lt;FQL&gt;&lt;Q&gt;SPY^FG_TOTAL_RETURNC(0,-3AM)&lt;/Q&gt;&lt;R&gt;1&lt;/R&gt;&lt;C&gt;1&lt;/C&gt;&lt;D xsi:type="xsd:double"&gt;7.7756166&lt;/D&gt;&lt;/FQL&gt;&lt;FQL&gt;&lt;Q&gt;EWA^P_PRICE(0)/P_PRICE_HIGH_PR(0,,,,,,"PRICE","INTRA","52W")&lt;/Q&gt;&lt;R&gt;1&lt;/R&gt;&lt;C&gt;1&lt;/C&gt;&lt;D xsi:type="xsd:double"&gt;0.9948799&lt;/D&gt;&lt;/FQL&gt;&lt;FQL&gt;&lt;Q&gt;EWC^FMA_RBICS_REV_CURRENT(30, LOC, "PORTAGG")&lt;/Q&gt;&lt;R&gt;1&lt;/R&gt;&lt;C&gt;1&lt;/C&gt;&lt;D xsi:type="xsd:double"&gt;39.9570295102958&lt;/D&gt;&lt;/FQL&gt;&lt;FQL&gt;&lt;Q&gt;REFCHMPR-FDS^PROPER_NAME(0,,,"SECURITY","NAME")&lt;/Q&gt;&lt;R&gt;1&lt;/R&gt;&lt;C&gt;1&lt;/C&gt;&lt;D xsi:type="xsd:string"&gt;Swiss Policy Rate - Sight Deposit Rate&lt;/D&gt;&lt;/FQL&gt;&lt;FQL&gt;&lt;Q&gt;TRYJP10Y-FDS^FG_YIELD(0,,,,"YTM")&lt;/Q&gt;&lt;R&gt;1&lt;/R&gt;&lt;C&gt;1&lt;/C&gt;&lt;D xsi:type="xsd:double"&gt;1.0872&lt;/D&gt;&lt;/FQL&gt;&lt;FQL&gt;&lt;Q&gt;VGK^FMA_EVAL_EBITDA(NTMA,0,,,"PORTAGG","MEANR")&lt;/Q&gt;&lt;R&gt;1&lt;/R&gt;&lt;C&gt;1&lt;/C&gt;&lt;D xsi:type="xsd:double"&gt;8.95909587610995&lt;/D&gt;&lt;/FQL&gt;&lt;FQL&gt;&lt;Q&gt;USDGBP^STD(FG_PRICE_CHANGE(0,-1AY,AM))&lt;/Q&gt;&lt;R&gt;1&lt;/R&gt;&lt;C&gt;1&lt;/C&gt;&lt;D xsi:type="xsd:double"&gt;1.73458020958056&lt;/D&gt;&lt;/FQL&gt;&lt;FQL&gt;&lt;Q&gt;EWU^FMA_PE(NTMA,-10AY,0,AM,"PORTAGG","MEANR")&lt;/Q&gt;&lt;R&gt;121&lt;/R&gt;&lt;C&gt;1&lt;/C&gt;&lt;D xsi:type="xsd:double"&gt;13.4705476197054&lt;/D&gt;&lt;D xsi:type="xsd:double"&gt;13.2889465838814&lt;/D&gt;&lt;D xsi:type="xsd:double"&gt;13.3706986723975&lt;/D&gt;&lt;D xsi:type="xsd:double"&gt;12.5069967406504&lt;/D&gt;&lt;D xsi:type="xsd:double"&gt;13.3917479464262&lt;/D&gt;&lt;D xsi:type="xsd:double"&gt;13.5282266126228&lt;/D&gt;&lt;D xsi:type="xsd:double"&gt;13.6574947514962&lt;/D&gt;&lt;D xsi:type="xsd:double"&gt;15.336208644109&lt;/D&gt;&lt;D xsi:type="xsd:double"&gt;15.1335206255697&lt;/D&gt;&lt;D xsi:type="xsd:double"&gt;16.0803042769955&lt;/D&gt;&lt;D xsi:type="xsd:double"&gt;16.2479356209188&lt;/D&gt;&lt;D xsi:type="xsd:double"&gt;15.7159697690335&lt;/D&gt;&lt;D xsi:type="xsd:double"&gt;15.2118083680274&lt;/D&gt;&lt;D xsi:type="xsd:double"&gt;15.3723210295655&lt;/D&gt;&lt;D xsi:type="xsd:double"&gt;14.325634596936&lt;/D&gt;&lt;D xsi:type="xsd:double"&gt;15.3093024904814&lt;/D&gt;&lt;D xsi:type="xsd:double"&gt;15.2086428510713&lt;/D&gt;&lt;D xsi:type="xsd:double"&gt;14.5504639555129&lt;/D&gt;&lt;D xsi:type="xsd:double"&gt;14.4149357757584&lt;/D&gt;&lt;D xsi:type="xsd:double"&gt;14.3459433544902&lt;/D&gt;&lt;D xsi:type="xsd:double"&gt;16.020247807802&lt;/D&gt;&lt;D xsi:type="xsd:double"&gt;16.1041398702929&lt;/D&gt;&lt;D xsi:type="xsd:double"&gt;15.8049922131335&lt;/D&gt;&lt;D xsi:type="xsd:double"&gt;15.456618916032&lt;/D&gt;&lt;D xsi:type="xsd:double"&gt;16.0387945197243&lt;/D&gt;&lt;D xsi:type="xsd:double"&gt;16.3529542493336&lt;/D&gt;&lt;D xsi:type="xsd:double"&gt;15.7862466416168&lt;/D&gt;&lt;D xsi:type="xsd:double"&gt;15.5253735063551&lt;/D&gt;&lt;D xsi:type="xsd:double"&gt;14.3743852810301&lt;/D&gt;&lt;D xsi:type="xsd:double"&gt;14.4597164461922&lt;/D&gt;&lt;D xsi:type="xsd:double"&gt;14.4127411852019&lt;/D&gt;&lt;D xsi:type="xsd:double"&gt;14.5121104342617&lt;/D&gt;&lt;D xsi:type="xsd:double"&gt;14.3415333034341&lt;/D&gt;&lt;D xsi:type="xsd:double"&gt;14.4925347863581&lt;/D&gt;&lt;D xsi:type="xsd:double"&gt;14.5895890380697&lt;/D&gt;&lt;D xsi:type="xsd:double"&gt;14.7216397543999&lt;/D&gt;&lt;D xsi:type="xsd:double"&gt;14.3969144131089&lt;/D&gt;&lt;D xsi:type="xsd:double"&gt;14.4243020492942&lt;/D&gt;&lt;D xsi:type="xsd:double"&gt;14.6419703772834&lt;/D&gt;&lt;D xsi:type="xsd:double"&gt;14.6262773573593&lt;/D&gt;&lt;D xsi:type="xsd:double"&gt;14.3707702445482&lt;/D&gt;&lt;D xsi:type="xsd:double"&gt;14.3561488322185&lt;/D&gt;&lt;D xsi:type="xsd:double"&gt;14.7589401057589&lt;/D&gt;&lt;D xsi:type="xsd:double"&gt;13.3277442334801&lt;/D&gt;&lt;D xsi:type="xsd:double"&gt;13.5669654160062&lt;/D&gt;&lt;D xsi:type="xsd:double"&gt;13.6229763994972&lt;/D&gt;&lt;D xsi:type="xsd:double"&gt;13.9891439125936&lt;/D&gt;&lt;D xsi:type="xsd:double"&gt;13.618191830355&lt;/D&gt;&lt;D xsi:type="xsd:double"&gt;13.1591292439607&lt;/D&gt;&lt;D xsi:type="xsd:double"&gt;13.0323955034441&lt;/D&gt;&lt;D xsi:type="xsd:double"&gt;12.3539425229695&lt;/D&gt;&lt;D xsi:type="xsd:double"&gt;11.8834158727692&lt;/D&gt;&lt;D xsi:type="xsd:double"&gt;11.9317973522365&lt;/D&gt;&lt;D xsi:type="xsd:double"&gt;11.3641677993985&lt;/D&gt;&lt;D xsi:type="xsd:double"&gt;11.8642334111706&lt;/D&gt;&lt;D xsi:type="xsd:double"&gt;12.2991729578137&lt;/D&gt;&lt;D xsi:type="xsd:double"&gt;12.3446009391539&lt;/D&gt;&lt;D xsi:type="xsd:double"&gt;12.7521685424105&lt;/D&gt;&lt;D xsi:type="xsd:double"&gt;12.2672687034365&lt;/D&gt;&lt;D xsi:type="xsd:double"&gt;12.5373441958068&lt;/D&gt;&lt;D xsi:type="xsd:double"&gt;12.6340609798896&lt;/D&gt;&lt;D xsi:type="xsd:double"&gt;11.9961277207802&lt;/D&gt;&lt;D xsi:type="xsd:double"&gt;12.3403694005886&lt;/D&gt;&lt;D xsi:type="xsd:double"&gt;12.4399492691007&lt;/D&gt;&lt;D xsi:type="xsd:double"&gt;12.7848907550662&lt;/D&gt;&lt;D xsi:type="xsd:double"&gt;12.8667540547455&lt;/D&gt;&lt;D xsi:type="xsd:double"&gt;13.4547526246979&lt;/D&gt;&lt;D xsi:type="xsd:double"&gt;13.4331277920806&lt;/D&gt;&lt;D xsi:type="xsd:double"&gt;10.9508504475153&lt;/D&gt;&lt;D xsi:type="xsd:double"&gt;13.2269464740455&lt;/D&gt;&lt;D xsi:type="xsd:double"&gt;15.1278209458202&lt;/D&gt;&lt;D xsi:type="xsd:double"&gt;15.905327873804&lt;/D&gt;&lt;D xsi:type="xsd:double"&gt;15.6119715922575&lt;/D&gt;&lt;D xsi:type="xsd:double"&gt;15.7583812967152&lt;/D&gt;&lt;D xsi:type="xsd:double"&gt;15.0329871236299&lt;/D&gt;&lt;D xsi:type="xsd:double"&gt;14.5779776791155&lt;/D&gt;&lt;D xsi:type="xsd:double"&gt;14.8580833310655&lt;/D&gt;&lt;D xsi:type="xsd:double"&gt;14.7994631566262&lt;/D&gt;&lt;D xsi:type="xsd:double"&gt;14.7098150581016&lt;/D&gt;&lt;D xsi:type="xsd:double"&gt;13.9494768346172&lt;/D&gt;&lt;D xsi:type="xsd:double"&gt;14.0823871362135&lt;/D&gt;&lt;D xsi:type="xsd:double"&gt;13.5394059689414&lt;/D&gt;&lt;D xsi:type="xsd:double"&gt;13.1801255248068&lt;/D&gt;&lt;D xsi:type="xsd:double"&gt;13.2186602423752&lt;/D&gt;&lt;D xsi:type="xsd:double"&gt;12.6549612456171&lt;/D&gt;&lt;D xsi:type="xsd:double"&gt;12.448726122841&lt;/D&gt;&lt;D xsi:type="xsd:double"&gt;11.97631497568&lt;/D&gt;&lt;D xsi:type="xsd:double"&gt;12.1561525105573&lt;/D&gt;&lt;D xsi:type="xsd:double"&gt;12.1852295422597&lt;/D&gt;&lt;D xsi:type="xsd:double"&gt;11.9373582331542&lt;/D&gt;&lt;D xsi:type="xsd:double"&gt;12.3552529626355&lt;/D&gt;&lt;D xsi:type="xsd:double"&gt;12.4026246604778&lt;/D&gt;&lt;D xsi:type="xsd:double"&gt;11.3002413464471&lt;/D&gt;&lt;D xsi:type="xsd:double"&gt;11.2400857069692&lt;/D&gt;&lt;D xsi:type="xsd:double"&gt;10.1903512473172&lt;/D&gt;&lt;D xsi:type="xsd:double"&gt;9.98848076507012&lt;/D&gt;&lt;D xsi:type="xsd:double"&gt;9.46837323128602&lt;/D&gt;&lt;D xsi:type="xsd:double"&gt;9.83355735816903&lt;/D&gt;&lt;D xsi:type="xsd:double"&gt;9.31139858171991&lt;/D&gt;&lt;D xsi:type="xsd:double"&gt;8.57115510830675&lt;/D&gt;&lt;D xsi:type="xsd:double"&gt;9.39165873373761&lt;/D&gt;&lt;D xsi:type="xsd:double"&gt;9.94151917243423&lt;/D&gt;&lt;D xsi:type="xsd:double"&gt;10.209102659803&lt;/D&gt;&lt;D xsi:type="xsd:double"&gt;10.5513876867065&lt;/D&gt;&lt;D xsi:type="xsd:double"&gt;10.3258797280825&lt;/D&gt;&lt;D xsi:type="xsd:double"&gt;10.6396540475034&lt;/D&gt;&lt;D xsi:type="xsd:double"&gt;10.4763236372431&lt;/D&gt;&lt;D xsi:type="xsd:double"&gt;10.2968231838126&lt;/D&gt;&lt;D xsi:type="xsd:double"&gt;10.0947353684752&lt;/D&gt;&lt;D xsi:type="xsd:double"&gt;10.503761804625&lt;/D&gt;&lt;D xsi:type="xsd:double"&gt;10.385466194844&lt;/D&gt;&lt;D xsi:type="xsd:double"&gt;10.4682635231545&lt;/D&gt;&lt;D xsi:type="xsd:double"&gt;10.0702362031538&lt;/D&gt;&lt;D xsi:type="xsd:double"&gt;10.6226045684464&lt;/D&gt;&lt;D xsi:type="xsd:double"&gt;10.9007739796238&lt;/D&gt;&lt;D xsi:type="xsd:double"&gt;11.0051009619906&lt;/D&gt;&lt;D xsi:type="xsd:double"&gt;11.2647907490981&lt;/D&gt;&lt;D xsi:type="xsd:double"&gt;11.4277923734821&lt;/D&gt;&lt;D xsi:type="xsd:double"&gt;11.9273847693777&lt;/D&gt;&lt;D xsi:type="xsd:double"&gt;11.4380312847075&lt;/D&gt;&lt;D xsi:type="xsd:double"&gt;11.3959099502407&lt;/D&gt;&lt;/FQL&gt;&lt;FQL&gt;&lt;Q&gt;EWL^FG_PRICE_MAVG(0,,,,200)&lt;/Q&gt;&lt;R&gt;1&lt;/R&gt;&lt;C&gt;1&lt;/C&gt;&lt;D xsi:type="xsd:double"&gt;46.5193&lt;/D&gt;&lt;/FQL&gt;&lt;FQL&gt;&lt;Q&gt;VGK^PERCENT_CHANGE(FMA_EPS(+1,0,,,,"PORTAGG","MEAN"),FMA_EPS(+1,-1AM,,,,"PORTAGG","MEAN"))&lt;/Q&gt;&lt;R&gt;1&lt;/R&gt;&lt;C&gt;1&lt;/C&gt;&lt;D xsi:type="xsd:double"&gt;0&lt;/D&gt;&lt;/FQL&gt;&lt;FQL&gt;&lt;Q&gt;EWI^SIZE(FG_CONSTITUENTS)&lt;/Q&gt;&lt;R&gt;1&lt;/R&gt;&lt;C&gt;1&lt;/C&gt;&lt;D xsi:type="xsd:long"&gt;26&lt;/D&gt;&lt;/FQL&gt;&lt;FQL&gt;&lt;Q&gt;EWA^FMA_COS_DOWN("EPS","1M",+1,0,,,"PORTAGG","MEANR")&lt;/Q&gt;&lt;R&gt;1&lt;/R&gt;&lt;C&gt;1&lt;/C&gt;&lt;D xsi:type="xsd:double"&gt;33&lt;/D&gt;&lt;/FQL&gt;&lt;FQL&gt;&lt;Q&gt;TRYGB10Y-FDS^PCTCHG(FG_YIELD(0,,,,"YTM"),FG_YIELD(-3AM,,,,"YTM"))&lt;/Q&gt;&lt;R&gt;1&lt;/R&gt;&lt;C&gt;1&lt;/C&gt;&lt;D xsi:type="xsd:double"&gt;-3.382217&lt;/D&gt;&lt;/FQL&gt;&lt;FQL&gt;&lt;Q&gt;EWL^FMA_PE(NTMA,0,,,"PORTAGG","MEANR")&lt;/Q&gt;&lt;R&gt;1&lt;/R&gt;&lt;C&gt;1&lt;/C&gt;&lt;D xsi:type="xsd:double"&gt;17.1573122841002&lt;/D&gt;&lt;/FQL&gt;&lt;FQL&gt;&lt;Q&gt;UUP^FG_TOTAL_RETURNC(0,-1AM)&lt;/Q&gt;&lt;R&gt;1&lt;/R&gt;&lt;C&gt;1&lt;/C&gt;&lt;D xsi:type="xsd:double"&gt;-0.31163096&lt;/D&gt;&lt;/FQL&gt;&lt;FQL&gt;&lt;Q&gt;CAGDPY@GB^EE_ACTUAL_ANNUAL(MED,0)&lt;/Q&gt;&lt;R&gt;1&lt;/R&gt;&lt;C&gt;1&lt;/C&gt;&lt;D xsi:type="xsd:double"&gt;-3.3&lt;/D&gt;&lt;/FQL&gt;&lt;FQL&gt;&lt;Q&gt;EWG^P_PRICE_RETURNS_PR('52W',2,-10AY,0,AM)&lt;/Q&gt;&lt;R&gt;121&lt;/R&gt;&lt;C&gt;1&lt;/C&gt;&lt;D xsi:type="xsd:double"&gt;21.458626&lt;/D&gt;&lt;D xsi:type="xsd:double"&gt;9.004259&lt;/D&gt;&lt;D xsi:type="xsd:double"&gt;9.415865&lt;/D&gt;&lt;D xsi:type="xsd:double"&gt;-6.987423&lt;/D&gt;&lt;D xsi:type="xsd:double"&gt;-5.3343654&lt;/D&gt;&lt;D xsi:type="xsd:double"&gt;-3.4851432&lt;/D&gt;&lt;D xsi:type="xsd:double"&gt;-11.25325&lt;/D&gt;&lt;D xsi:type="xsd:double"&gt;-6.613165&lt;/D&gt;&lt;D xsi:type="xsd:double"&gt;-3.6300242&lt;/D&gt;&lt;D xsi:type="xsd:double"&gt;1.0252237&lt;/D&gt;&lt;D xsi:type="xsd:double"&gt;-2.2809088&lt;/D&gt;&lt;D xsi:type="xsd:double"&gt;-5.527705&lt;/D&gt;&lt;D xsi:type="xsd:double"&gt;-3.9497554&lt;/D&gt;&lt;D xsi:type="xsd:double"&gt;1.4860272&lt;/D&gt;&lt;D xsi:type="xsd:double"&gt;-7.2968063&lt;/D&gt;&lt;D xsi:type="xsd:double"&gt;1.7742157&lt;/D&gt;&lt;D xsi:type="xsd:double"&gt;-0.8107424&lt;/D&gt;&lt;D xsi:type="xsd:double"&gt;-7.126766&lt;/D&gt;&lt;D xsi:type="xsd:double"&gt;-6.897789&lt;/D&gt;&lt;D xsi:type="xsd:double"&gt;-17.92981&lt;/D&gt;&lt;D xsi:type="xsd:double"&gt;-11.941486&lt;/D&gt;&lt;D xsi:type="xsd:double"&gt;-16.380442&lt;/D&gt;&lt;D xsi:type="xsd:double"&gt;-12.333256&lt;/D&gt;&lt;D xsi:type="xsd:double"&gt;-13.44226&lt;/D&gt;&lt;D xsi:type="xsd:double"&gt;-14.801234&lt;/D&gt;&lt;D xsi:type="xsd:double"&gt;-4.586196&lt;/D&gt;&lt;D xsi:type="xsd:double"&gt;2.2338867&lt;/D&gt;&lt;D xsi:type="xsd:double"&gt;1.2987852&lt;/D&gt;&lt;D xsi:type="xsd:double"&gt;-1.43677&lt;/D&gt;&lt;D xsi:type="xsd:double"&gt;1.2271881&lt;/D&gt;&lt;D xsi:type="xsd:double"&gt;13.347912&lt;/D&gt;&lt;D xsi:type="xsd:double"&gt;21.455013&lt;/D&gt;&lt;D xsi:type="xsd:double"&gt;18.521559&lt;/D&gt;&lt;D xsi:type="xsd:double"&gt;15.645671&lt;/D&gt;&lt;D xsi:type="xsd:double"&gt;19.89931&lt;/D&gt;&lt;D xsi:type="xsd:double"&gt;23.226082&lt;/D&gt;&lt;D xsi:type="xsd:double"&gt;30.077589&lt;/D&gt;&lt;D xsi:type="xsd:double"&gt;16.8625&lt;/D&gt;&lt;D xsi:type="xsd:double"&gt;24.945223&lt;/D&gt;&lt;D xsi:type="xsd:double"&gt;29.117668&lt;/D&gt;&lt;D xsi:type="xsd:double"&gt;30.579138&lt;/D&gt;&lt;D xsi:type="xsd:double"&gt;29.461897&lt;/D&gt;&lt;D xsi:type="xsd:double"&gt;28.624094&lt;/D&gt;&lt;D xsi:type="xsd:double"&gt;20.144033&lt;/D&gt;&lt;D xsi:type="xsd:double"&gt;20.593607&lt;/D&gt;&lt;D xsi:type="xsd:double"&gt;17.423748&lt;/D&gt;&lt;D xsi:type="xsd:double"&gt;11.965954&lt;/D&gt;&lt;D xsi:type="xsd:double"&gt;6.060374&lt;/D&gt;&lt;D xsi:type="xsd:double"&gt;1.5004992&lt;/D&gt;&lt;D xsi:type="xsd:double"&gt;1.0410666&lt;/D&gt;&lt;D xsi:type="xsd:double"&gt;-5.6527557&lt;/D&gt;&lt;D xsi:type="xsd:double"&gt;-13.065237&lt;/D&gt;&lt;D xsi:type="xsd:double"&gt;-14.032518&lt;/D&gt;&lt;D xsi:type="xsd:double"&gt;-20.608252&lt;/D&gt;&lt;D xsi:type="xsd:double"&gt;-21.506298&lt;/D&gt;&lt;D xsi:type="xsd:double"&gt;-17.219246&lt;/D&gt;&lt;D xsi:type="xsd:double"&gt;-15.263677&lt;/D&gt;&lt;D xsi:type="xsd:double"&gt;-12.306059&lt;/D&gt;&lt;D xsi:type="xsd:double"&gt;-12.577545&lt;/D&gt;&lt;D xsi:type="xsd:double"&gt;-11.341763&lt;/D&gt;&lt;D xsi:type="xsd:double"&gt;-6.3126745&lt;/D&gt;&lt;D xsi:type="xsd:double"&gt;-11.941314&lt;/D&gt;&lt;D xsi:type="xsd:double"&gt;-4.645407&lt;/D&gt;&lt;D xsi:type="xsd:double"&gt;0.71099997&lt;/D&gt;&lt;D xsi:type="xsd:double"&gt;8.161915&lt;/D&gt;&lt;D xsi:type="xsd:double"&gt;16.661465&lt;/D&gt;&lt;D xsi:type="xsd:double"&gt;15.860701&lt;/D&gt;&lt;D xsi:type="xsd:double"&gt;16.806662&lt;/D&gt;&lt;D xsi:type="xsd:double"&gt;-12.255711&lt;/D&gt;&lt;D xsi:type="xsd:double"&gt;-14.388919&lt;/D&gt;&lt;D xsi:type="xsd:double"&gt;-15.095705&lt;/D&gt;&lt;D xsi:type="xsd:double"&gt;-3.3652246&lt;/D&gt;&lt;D xsi:type="xsd:double"&gt;2.245319&lt;/D&gt;&lt;D xsi:type="xsd:double"&gt;12.774145&lt;/D&gt;&lt;D xsi:type="xsd:double"&gt;12.430584&lt;/D&gt;&lt;D xsi:type="xsd:double"&gt;15.543151&lt;/D&gt;&lt;D xsi:type="xsd:double"&gt;4.5704603&lt;/D&gt;&lt;D xsi:type="xsd:double"&gt;7.366729&lt;/D&gt;&lt;D xsi:type="xsd:double"&gt;11.289144&lt;/D&gt;&lt;D xsi:type="xsd:double"&gt;14.150917&lt;/D&gt;&lt;D xsi:type="xsd:double"&gt;46.960403&lt;/D&gt;&lt;D xsi:type="xsd:double"&gt;53.65143&lt;/D&gt;&lt;D xsi:type="xsd:double"&gt;51.507877&lt;/D&gt;&lt;D xsi:type="xsd:double"&gt;40.235184&lt;/D&gt;&lt;D xsi:type="xsd:double"&gt;29.494976&lt;/D&gt;&lt;D xsi:type="xsd:double"&gt;22.508753&lt;/D&gt;&lt;D xsi:type="xsd:double"&gt;17.926407&lt;/D&gt;&lt;D xsi:type="xsd:double"&gt;10.823274&lt;/D&gt;&lt;D xsi:type="xsd:double"&gt;17.220188&lt;/D&gt;&lt;D xsi:type="xsd:double"&gt;7.7617526&lt;/D&gt;&lt;D xsi:type="xsd:double"&gt;5.3993583&lt;/D&gt;&lt;D xsi:type="xsd:double"&gt;-1.5378892&lt;/D&gt;&lt;D xsi:type="xsd:double"&gt;-17.671728&lt;/D&gt;&lt;D xsi:type="xsd:double"&gt;-18.944805&lt;/D&gt;&lt;D xsi:type="xsd:double"&gt;-25.343317&lt;/D&gt;&lt;D xsi:type="xsd:double"&gt;-27.29029&lt;/D&gt;&lt;D xsi:type="xsd:double"&gt;-34.459133&lt;/D&gt;&lt;D xsi:type="xsd:double"&gt;-28.481215&lt;/D&gt;&lt;D xsi:type="xsd:double"&gt;-32.4842&lt;/D&gt;&lt;D xsi:type="xsd:double"&gt;-36.77775&lt;/D&gt;&lt;D xsi:type="xsd:double"&gt;-24.239391&lt;/D&gt;&lt;D xsi:type="xsd:double"&gt;-19.230175&lt;/D&gt;&lt;D xsi:type="xsd:double"&gt;-15.322018&lt;/D&gt;&lt;D xsi:type="xsd:double"&gt;-11.199135&lt;/D&gt;&lt;D xsi:type="xsd:double"&gt;5.011487&lt;/D&gt;&lt;D xsi:type="xsd:double"&gt;8.068001&lt;/D&gt;&lt;D xsi:type="xsd:double"&gt;18.326008&lt;/D&gt;&lt;D xsi:type="xsd:double"&gt;11.408985&lt;/D&gt;&lt;D xsi:type="xsd:double"&gt;31.639242&lt;/D&gt;&lt;D xsi:type="xsd:double"&gt;20.431746&lt;/D&gt;&lt;D xsi:type="xsd:double"&gt;25.793684&lt;/D&gt;&lt;D xsi:type="xsd:double"&gt;37.474&lt;/D&gt;&lt;D xsi:type="xsd:double"&gt;12.240291&lt;/D&gt;&lt;D xsi:type="xsd:double"&gt;18.160856&lt;/D&gt;&lt;D xsi:type="xsd:double"&gt;9.824586&lt;/D&gt;&lt;D xsi:type="xsd:double"&gt;6.9153666&lt;/D&gt;&lt;D xsi:type="xsd:double"&gt;16.790176&lt;/D&gt;&lt;D xsi:type="xsd:double"&gt;10.641408&lt;/D&gt;&lt;D xsi:type="xsd:double"&gt;13.198757&lt;/D&gt;&lt;D xsi:type="xsd:double"&gt;13.509094&lt;/D&gt;&lt;D xsi:type="xsd:double"&gt;14.249492&lt;/D&gt;&lt;/FQL&gt;&lt;FQL&gt;&lt;Q&gt;EWI^FG_TOTAL_RETURNC(0,-12AM)&lt;/Q&gt;&lt;R&gt;1&lt;/R&gt;&lt;C&gt;1&lt;/C&gt;&lt;D xsi:type="xsd:double"&gt;22.052872&lt;/D&gt;&lt;/FQL&gt;&lt;FQL&gt;&lt;Q&gt;VGK^FG_FCF_YIELD_NTM(0)&lt;/Q&gt;&lt;R&gt;1&lt;/R&gt;&lt;C&gt;1&lt;/C&gt;&lt;D xsi:type="xsd:double"&gt;5.19765408703828&lt;/D&gt;&lt;/FQL&gt;&lt;FQL&gt;&lt;Q&gt;GLD^FG_TOTAL_RETURNC(0,-6AM)&lt;/Q&gt;&lt;R&gt;1&lt;/R&gt;&lt;C&gt;1&lt;/C&gt;&lt;D xsi:type="xsd:double"&gt;18.83217&lt;/D&gt;&lt;/FQL&gt;&lt;FQL&gt;&lt;Q&gt;CAGDPY@NL^EE_ACTUAL_ANNUAL(MED,0)&lt;/Q&gt;&lt;R&gt;1&lt;/R&gt;&lt;C&gt;1&lt;/C&gt;&lt;D xsi:type="xsd:double"&gt;10.1631565168417&lt;/D&gt;&lt;/FQL&gt;&lt;FQL&gt;&lt;Q&gt;USDUSD^FG_PRICE(0)&lt;/Q&gt;&lt;R&gt;1&lt;/R&gt;&lt;C&gt;1&lt;/C&gt;&lt;D xsi:type="xsd:double"&gt;1&lt;/D&gt;&lt;/FQL&gt;&lt;FQL&gt;&lt;Q&gt;USDCAD^FG_PRICE_CHANGE(0,-1AY)&lt;/Q&gt;&lt;R&gt;1&lt;/R&gt;&lt;C&gt;1&lt;/C&gt;&lt;D xsi:type="xsd:double"&gt;2.600336&lt;/D&gt;&lt;/FQL&gt;&lt;FQL&gt;&lt;Q&gt;EWA^JULIAN(FMA_EPS(NTMA,-20AY,0,CY,,"PORTAGG","MEANR").DATES)&lt;/Q&gt;&lt;R&gt;20&lt;/R&gt;&lt;C&gt;1&lt;/C&gt;&lt;D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xsi:type="xsd:long"&gt;45289&lt;/D&gt;&lt;/FQL&gt;&lt;FQL&gt;&lt;Q&gt;DDR3512M-FDS^FG_PRICE_CHANGE(0,-1AM)&lt;/Q&gt;&lt;R&gt;1&lt;/R&gt;&lt;C&gt;1&lt;/C&gt;&lt;D xsi:type="xsd:double"&gt;-2.90457335299322&lt;/D&gt;&lt;/FQL&gt;&lt;FQL&gt;&lt;Q&gt;TIOS-FDS^FG_PRICE_CHANGE(0,-1AM)&lt;/Q&gt;&lt;R&gt;1&lt;/R&gt;&lt;C&gt;1&lt;/C&gt;&lt;D xsi:type="xsd:double"&gt;3.11470781970453&lt;/D&gt;&lt;/FQL&gt;&lt;FQL&gt;&lt;Q&gt;FXI^PERCENT_CHANGE(FMA_EPS(+1,0,,,,"PORTAGG","MEAN"),FMA_EPS(+1,-1AM,,,,"PORTAGG","MEAN"))&lt;/Q&gt;&lt;R&gt;1&lt;/R&gt;&lt;C&gt;1&lt;/C&gt;&lt;D xsi:type="xsd:double"&gt;3.96569316686228&lt;/D&gt;&lt;/FQL&gt;&lt;FQL&gt;&lt;Q&gt;EWU^PERCENT_CHANGE(FMA_EPS(+1,0,,,,"PORTAGG","MEAN"),FMA_EPS(+1,-1AM,,,,"PORTAGG","MEAN"))&lt;/Q&gt;&lt;R&gt;1&lt;/R&gt;&lt;C&gt;1&lt;/C&gt;&lt;D xsi:type="xsd:double"&gt;0.262702760914512&lt;/D&gt;&lt;/FQL&gt;&lt;FQL&gt;&lt;Q&gt;EWC^FG_TOTAL_RETURNC(0,-1AM)&lt;/Q&gt;&lt;R&gt;1&lt;/R&gt;&lt;C&gt;1&lt;/C&gt;&lt;D xsi:type="xsd:double"&gt;4.039037&lt;/D&gt;&lt;/FQL&gt;&lt;FQL&gt;&lt;Q&gt;URTH^FMA_COS_UP("EPS","1M",+1,0,,,"PORTAGG","MEANR")&lt;/Q&gt;&lt;R&gt;1&lt;/R&gt;&lt;C&gt;1&lt;/C&gt;&lt;D xsi:type="xsd:double"&gt;505&lt;/D&gt;&lt;/FQL&gt;&lt;FQL&gt;&lt;Q&gt;EWL^FMA_RBICS_REV_CURRENT(30, LOC, "PORTAGG")&lt;/Q&gt;&lt;R&gt;1&lt;/R&gt;&lt;C&gt;1&lt;/C&gt;&lt;D xsi:type="xsd:double"&gt;17.7952826099753&lt;/D&gt;&lt;/FQL&gt;&lt;FQL&gt;&lt;Q&gt;EWN^FMA_PE(LTM,0,,,"PORTAGG","MEANR")&lt;/Q&gt;&lt;R&gt;1&lt;/R&gt;&lt;C&gt;1&lt;/C&gt;&lt;D xsi:type="xsd:double"&gt;22.8221668402325&lt;/D&gt;&lt;/FQL&gt;&lt;FQL&gt;&lt;Q&gt;EWU^FMA_PE(LTM,0,,,"PORTAGG","MEANR")&lt;/Q&gt;&lt;R&gt;1&lt;/R&gt;&lt;C&gt;1&lt;/C&gt;&lt;D xsi:type="xsd:double"&gt;12.8889889896814&lt;/D&gt;&lt;/FQL&gt;&lt;FQL&gt;&lt;Q&gt;USDSEK^FG_PRICE_CHANGE(0,-6AM)&lt;/Q&gt;&lt;R&gt;1&lt;/R&gt;&lt;C&gt;1&lt;/C&gt;&lt;D xsi:type="xsd:double"&gt;1.7054081&lt;/D&gt;&lt;/FQL&gt;&lt;FQL&gt;&lt;Q&gt;EWQ^P_PRICE_RETURNS_PR('52W',2,-10AY,0,AM)&lt;/Q&gt;&lt;R&gt;121&lt;/R&gt;&lt;C&gt;1&lt;/C&gt;&lt;D xsi:type="xsd:double"&gt;18.745577&lt;/D&gt;&lt;D xsi:type="xsd:double"&gt;5.0943255&lt;/D&gt;&lt;D xsi:type="xsd:double"&gt;7.0653915&lt;/D&gt;&lt;D xsi:type="xsd:double"&gt;-8.188361&lt;/D&gt;&lt;D xsi:type="xsd:double"&gt;-5.2805543&lt;/D&gt;&lt;D xsi:type="xsd:double"&gt;-4.805541&lt;/D&gt;&lt;D xsi:type="xsd:double"&gt;-11.251509&lt;/D&gt;&lt;D xsi:type="xsd:double"&gt;-6.459981&lt;/D&gt;&lt;D xsi:type="xsd:double"&gt;-9.807986&lt;/D&gt;&lt;D xsi:type="xsd:double"&gt;-5.641806&lt;/D&gt;&lt;D xsi:type="xsd:double"&gt;-6.37899&lt;/D&gt;&lt;D xsi:type="xsd:double"&gt;-6.620753&lt;/D&gt;&lt;D xsi:type="xsd:double"&gt;-4.019189&lt;/D&gt;&lt;D xsi:type="xsd:double"&gt;3.474331&lt;/D&gt;&lt;D xsi:type="xsd:double"&gt;-6.918204&lt;/D&gt;&lt;D xsi:type="xsd:double"&gt;6.060374&lt;/D&gt;&lt;D xsi:type="xsd:double"&gt;2.6153088&lt;/D&gt;&lt;D xsi:type="xsd:double"&gt;-1.6541004&lt;/D&gt;&lt;D xsi:type="xsd:double"&gt;-2.603215&lt;/D&gt;&lt;D xsi:type="xsd:double"&gt;-13.221961&lt;/D&gt;&lt;D xsi:type="xsd:double"&gt;-2.125913&lt;/D&gt;&lt;D xsi:type="xsd:double"&gt;-9.346747&lt;/D&gt;&lt;D xsi:type="xsd:double"&gt;-8.539618&lt;/D&gt;&lt;D xsi:type="xsd:double"&gt;-10.406274&lt;/D&gt;&lt;D xsi:type="xsd:double"&gt;-11.550313&lt;/D&gt;&lt;D xsi:type="xsd:double"&gt;-8.04016&lt;/D&gt;&lt;D xsi:type="xsd:double"&gt;0.49573183&lt;/D&gt;&lt;D xsi:type="xsd:double"&gt;-4.6572866&lt;/D&gt;&lt;D xsi:type="xsd:double"&gt;-4.5268774&lt;/D&gt;&lt;D xsi:type="xsd:double"&gt;2.5731921&lt;/D&gt;&lt;D xsi:type="xsd:double"&gt;13.214552&lt;/D&gt;&lt;D xsi:type="xsd:double"&gt;16.234982&lt;/D&gt;&lt;D xsi:type="xsd:double"&gt;12.591446&lt;/D&gt;&lt;D xsi:type="xsd:double"&gt;14.082241&lt;/D&gt;&lt;D xsi:type="xsd:double"&gt;21.353043&lt;/D&gt;&lt;D xsi:type="xsd:double"&gt;22.35366&lt;/D&gt;&lt;D xsi:type="xsd:double"&gt;30.126667&lt;/D&gt;&lt;D xsi:type="xsd:double"&gt;23.501469&lt;/D&gt;&lt;D xsi:type="xsd:double"&gt;28.558815&lt;/D&gt;&lt;D xsi:type="xsd:double"&gt;33.824886&lt;/D&gt;&lt;D xsi:type="xsd:double"&gt;31.355953&lt;/D&gt;&lt;D xsi:type="xsd:double"&gt;30.584085&lt;/D&gt;&lt;D xsi:type="xsd:double"&gt;31.879091&lt;/D&gt;&lt;D xsi:type="xsd:double"&gt;25.613749&lt;/D&gt;&lt;D xsi:type="xsd:double"&gt;28.06828&lt;/D&gt;&lt;D xsi:type="xsd:double"&gt;24.515211&lt;/D&gt;&lt;D xsi:type="xsd:double"&gt;16.838657&lt;/D&gt;&lt;D xsi:type="xsd:double"&gt;12.908781&lt;/D&gt;&lt;D xsi:type="xsd:double"&gt;9.445488&lt;/D&gt;&lt;D xsi:type="xsd:double"&gt;6.2048435&lt;/D&gt;&lt;D xsi:type="xsd:double"&gt;2.3993373&lt;/D&gt;&lt;D xsi:type="xsd:double"&gt;-4.457903&lt;/D&gt;&lt;D xsi:type="xsd:double"&gt;-4.584712&lt;/D&gt;&lt;D xsi:type="xsd:double"&gt;-11.719054&lt;/D&gt;&lt;D xsi:type="xsd:double"&gt;-14.339071&lt;/D&gt;&lt;D xsi:type="xsd:double"&gt;-7.232845&lt;/D&gt;&lt;D xsi:type="xsd:double"&gt;-6.453043&lt;/D&gt;&lt;D xsi:type="xsd:double"&gt;-3.378588&lt;/D&gt;&lt;D xsi:type="xsd:double"&gt;-6.352818&lt;/D&gt;&lt;D xsi:type="xsd:double"&gt;-3.5615504&lt;/D&gt;&lt;D xsi:type="xsd:double"&gt;1.5186667&lt;/D&gt;&lt;D xsi:type="xsd:double"&gt;-3.6295772&lt;/D&gt;&lt;D xsi:type="xsd:double"&gt;2.1722078&lt;/D&gt;&lt;D xsi:type="xsd:double"&gt;7.264042&lt;/D&gt;&lt;D xsi:type="xsd:double"&gt;13.859547&lt;/D&gt;&lt;D xsi:type="xsd:double"&gt;21.401775&lt;/D&gt;&lt;D xsi:type="xsd:double"&gt;22.237814&lt;/D&gt;&lt;D xsi:type="xsd:double"&gt;19.67845&lt;/D&gt;&lt;D xsi:type="xsd:double"&gt;-11.173618&lt;/D&gt;&lt;D xsi:type="xsd:double"&gt;-16.645605&lt;/D&gt;&lt;D xsi:type="xsd:double"&gt;-17.190248&lt;/D&gt;&lt;D xsi:type="xsd:double"&gt;-11.07586&lt;/D&gt;&lt;D xsi:type="xsd:double"&gt;-7.963562&lt;/D&gt;&lt;D xsi:type="xsd:double"&gt;-0.09654164&lt;/D&gt;&lt;D xsi:type="xsd:double"&gt;-1.7392039&lt;/D&gt;&lt;D xsi:type="xsd:double"&gt;-0.4329145&lt;/D&gt;&lt;D xsi:type="xsd:double"&gt;0.99487305&lt;/D&gt;&lt;D xsi:type="xsd:double"&gt;5.1525354&lt;/D&gt;&lt;D xsi:type="xsd:double"&gt;5.411589&lt;/D&gt;&lt;D xsi:type="xsd:double"&gt;6.279528&lt;/D&gt;&lt;D xsi:type="xsd:double"&gt;41.965042&lt;/D&gt;&lt;D xsi:type="xsd:double"&gt;49.79892&lt;/D&gt;&lt;D xsi:type="xsd:double"&gt;57.025826&lt;/D&gt;&lt;D xsi:type="xsd:double"&gt;51.161755&lt;/D&gt;&lt;D xsi:type="xsd:double"&gt;39.72875&lt;/D&gt;&lt;D xsi:type="xsd:double"&gt;37.45166&lt;/D&gt;&lt;D xsi:type="xsd:double"&gt;34.803783&lt;/D&gt;&lt;D xsi:type="xsd:double"&gt;30.436575&lt;/D&gt;&lt;D xsi:type="xsd:double"&gt;27.589691&lt;/D&gt;&lt;D xsi:type="xsd:double"&gt;19.113613&lt;/D&gt;&lt;D xsi:type="xsd:double"&gt;20.773565&lt;/D&gt;&lt;D xsi:type="xsd:double"&gt;14.217067&lt;/D&gt;&lt;D xsi:type="xsd:double"&gt;-4.5960546&lt;/D&gt;&lt;D xsi:type="xsd:double"&gt;-1.6381562&lt;/D&gt;&lt;D xsi:type="xsd:double"&gt;-12.189781&lt;/D&gt;&lt;D xsi:type="xsd:double"&gt;-14.872372&lt;/D&gt;&lt;D xsi:type="xsd:double"&gt;-18.92851&lt;/D&gt;&lt;D xsi:type="xsd:double"&gt;-12.59026&lt;/D&gt;&lt;D xsi:type="xsd:double"&gt;-17.54331&lt;/D&gt;&lt;D xsi:type="xsd:double"&gt;-23.329317&lt;/D&gt;&lt;D xsi:type="xsd:double"&gt;-12.714994&lt;/D&gt;&lt;D xsi:type="xsd:double"&gt;-8.508194&lt;/D&gt;&lt;D xsi:type="xsd:double"&gt;-6.355542&lt;/D&gt;&lt;D xsi:type="xsd:double"&gt;-2.363956&lt;/D&gt;&lt;D xsi:type="xsd:double"&gt;13.574446&lt;/D&gt;&lt;D xsi:type="xsd:double"&gt;15.983009&lt;/D&gt;&lt;D xsi:type="xsd:double"&gt;26.966095&lt;/D&gt;&lt;D xsi:type="xsd:double"&gt;17.667925&lt;/D&gt;&lt;D xsi:type="xsd:double"&gt;34.251045&lt;/D&gt;&lt;D xsi:type="xsd:double"&gt;20.992172&lt;/D&gt;&lt;D xsi:type="xsd:double"&gt;26.08397&lt;/D&gt;&lt;D xsi:type="xsd:double"&gt;35.55459&lt;/D&gt;&lt;D xsi:type="xsd:double"&gt;13.845646&lt;/D&gt;&lt;D xsi:type="xsd:double"&gt;17.03124&lt;/D&gt;&lt;D xsi:type="xsd:double"&gt;10.364819&lt;/D&gt;&lt;D xsi:type="xsd:double"&gt;8.98918&lt;/D&gt;&lt;D xsi:type="xsd:double"&gt;16.893375&lt;/D&gt;&lt;D xsi:type="xsd:double"&gt;8.183325&lt;/D&gt;&lt;D xsi:type="xsd:double"&gt;10.930788&lt;/D&gt;&lt;D xsi:type="xsd:double"&gt;9.972799&lt;/D&gt;&lt;D xsi:type="xsd:double"&gt;5.6177735&lt;/D&gt;&lt;/FQL&gt;&lt;FQL&gt;&lt;Q&gt;EWG^FMA_DIV_YLD(NTMA,-10AY,0,AM,"PORTAGG","MEANR")&lt;/Q&gt;&lt;R&gt;121&lt;/R&gt;&lt;C&gt;1&lt;/C&gt;&lt;D xsi:type="xsd:double"&gt;3.10477820995579&lt;/D&gt;&lt;D xsi:type="xsd:double"&gt;3.26265531550129&lt;/D&gt;&lt;D xsi:type="xsd:double"&gt;3.10944423168624&lt;/D&gt;&lt;D xsi:type="xsd:double"&gt;3.44366313081434&lt;/D&gt;&lt;D xsi:type="xsd:double"&gt;3.29287443282985&lt;/D&gt;&lt;D xsi:type="xsd:double"&gt;3.16942774955146&lt;/D&gt;&lt;D xsi:type="xsd:double"&gt;3.23809334138701&lt;/D&gt;&lt;D xsi:type="xsd:double"&gt;2.9443839503697&lt;/D&gt;&lt;D xsi:type="xsd:double"&gt;2.69424565226019&lt;/D&gt;&lt;D xsi:type="xsd:double"&gt;2.60633719784107&lt;/D&gt;&lt;D xsi:type="xsd:double"&gt;2.83807176161337&lt;/D&gt;&lt;D xsi:type="xsd:double"&gt;2.97359917900191&lt;/D&gt;&lt;D xsi:type="xsd:double"&gt;2.99985936476937&lt;/D&gt;&lt;D xsi:type="xsd:double"&gt;3.02486378795582&lt;/D&gt;&lt;D xsi:type="xsd:double"&gt;3.37282846320245&lt;/D&gt;&lt;D xsi:type="xsd:double"&gt;3.30474400999604&lt;/D&gt;&lt;D xsi:type="xsd:double"&gt;2.97937048237063&lt;/D&gt;&lt;D xsi:type="xsd:double"&gt;3.14603142088753&lt;/D&gt;&lt;D xsi:type="xsd:double"&gt;3.32623645068152&lt;/D&gt;&lt;D xsi:type="xsd:double"&gt;3.74879912317149&lt;/D&gt;&lt;D xsi:type="xsd:double"&gt;3.33529131160523&lt;/D&gt;&lt;D xsi:type="xsd:double"&gt;3.3892853609743&lt;/D&gt;&lt;D xsi:type="xsd:double"&gt;3.33830006876263&lt;/D&gt;&lt;D xsi:type="xsd:double"&gt;3.4186106729556&lt;/D&gt;&lt;D xsi:type="xsd:double"&gt;3.43008711549204&lt;/D&gt;&lt;D xsi:type="xsd:double"&gt;3.1339545408625&lt;/D&gt;&lt;D xsi:type="xsd:double"&gt;3.18462599176139&lt;/D&gt;&lt;D xsi:type="xsd:double"&gt;3.14207783878134&lt;/D&gt;&lt;D xsi:type="xsd:double"&gt;3.17717326560003&lt;/D&gt;&lt;D xsi:type="xsd:double"&gt;3.0388274934947&lt;/D&gt;&lt;D xsi:type="xsd:double"&gt;2.9379228836923&lt;/D&gt;&lt;D xsi:type="xsd:double"&gt;2.97462062373004&lt;/D&gt;&lt;D xsi:type="xsd:double"&gt;2.95471489324386&lt;/D&gt;&lt;D xsi:type="xsd:double"&gt;2.93630368038807&lt;/D&gt;&lt;D xsi:type="xsd:double"&gt;2.87830573476721&lt;/D&gt;&lt;D xsi:type="xsd:double"&gt;2.9050955420522&lt;/D&gt;&lt;D xsi:type="xsd:double"&gt;3.01509007875563&lt;/D&gt;&lt;D xsi:type="xsd:double"&gt;3.13089452200739&lt;/D&gt;&lt;D xsi:type="xsd:double"&gt;3.05871418380932&lt;/D&gt;&lt;D xsi:type="xsd:double"&gt;2.95669364923216&lt;/D&gt;&lt;D xsi:type="xsd:double"&gt;2.92047883043325&lt;/D&gt;&lt;D xsi:type="xsd:double"&gt;2.90490776996785&lt;/D&gt;&lt;D xsi:type="xsd:double"&gt;2.89580749699441&lt;/D&gt;&lt;D xsi:type="xsd:double"&gt;3.19950504726284&lt;/D&gt;&lt;D xsi:type="xsd:double"&gt;3.14791412114316&lt;/D&gt;&lt;D xsi:type="xsd:double"&gt;3.21786092780106&lt;/D&gt;&lt;D xsi:type="xsd:double"&gt;3.09773286075758&lt;/D&gt;&lt;D xsi:type="xsd:double"&gt;3.13359018347147&lt;/D&gt;&lt;D xsi:type="xsd:double"&gt;3.24627203932159&lt;/D&gt;&lt;D xsi:type="xsd:double"&gt;3.25195249270802&lt;/D&gt;&lt;D xsi:type="xsd:double"&gt;3.37012152957509&lt;/D&gt;&lt;D xsi:type="xsd:double"&gt;3.5414034675482&lt;/D&gt;&lt;D xsi:type="xsd:double"&gt;3.58925817903421&lt;/D&gt;&lt;D xsi:type="xsd:double"&gt;3.85813964465166&lt;/D&gt;&lt;D xsi:type="xsd:double"&gt;3.82866141842785&lt;/D&gt;&lt;D xsi:type="xsd:double"&gt;3.76866409502181&lt;/D&gt;&lt;D xsi:type="xsd:double"&gt;3.61164561687488&lt;/D&gt;&lt;D xsi:type="xsd:double"&gt;3.49919011853287&lt;/D&gt;&lt;D xsi:type="xsd:double"&gt;3.50930678667879&lt;/D&gt;&lt;D xsi:type="xsd:double"&gt;3.55330028185207&lt;/D&gt;&lt;D xsi:type="xsd:double"&gt;3.4817423335076&lt;/D&gt;&lt;D xsi:type="xsd:double"&gt;3.60035531819789&lt;/D&gt;&lt;D xsi:type="xsd:double"&gt;3.39568905264812&lt;/D&gt;&lt;D xsi:type="xsd:double"&gt;3.37765149597833&lt;/D&gt;&lt;D xsi:type="xsd:double"&gt;3.14311337538505&lt;/D&gt;&lt;D xsi:type="xsd:double"&gt;3.12017552860434&lt;/D&gt;&lt;D xsi:type="xsd:double"&gt;3.05129721228658&lt;/D&gt;&lt;D xsi:type="xsd:double"&gt;3.03520810114927&lt;/D&gt;&lt;D xsi:type="xsd:double"&gt;3.915838489406&lt;/D&gt;&lt;D xsi:type="xsd:double"&gt;3.58605127018635&lt;/D&gt;&lt;D xsi:type="xsd:double"&gt;3.34377891944796&lt;/D&gt;&lt;D xsi:type="xsd:double"&gt;2.97822866691369&lt;/D&gt;&lt;D xsi:type="xsd:double"&gt;2.85308277595171&lt;/D&gt;&lt;D xsi:type="xsd:double"&gt;2.81637390609678&lt;/D&gt;&lt;D xsi:type="xsd:double"&gt;2.79508690718946&lt;/D&gt;&lt;D xsi:type="xsd:double"&gt;2.81433848698402&lt;/D&gt;&lt;D xsi:type="xsd:double"&gt;2.84406706402069&lt;/D&gt;&lt;D xsi:type="xsd:double"&gt;2.82475335742733&lt;/D&gt;&lt;D xsi:type="xsd:double"&gt;2.71409446068447&lt;/D&gt;&lt;D xsi:type="xsd:double"&gt;2.73024853714693&lt;/D&gt;&lt;D xsi:type="xsd:double"&gt;2.73573731358226&lt;/D&gt;&lt;D xsi:type="xsd:double"&gt;2.68523749582644&lt;/D&gt;&lt;D xsi:type="xsd:double"&gt;2.84985980150436&lt;/D&gt;&lt;D xsi:type="xsd:double"&gt;2.77464175476478&lt;/D&gt;&lt;D xsi:type="xsd:double"&gt;2.79885024823141&lt;/D&gt;&lt;D xsi:type="xsd:double"&gt;2.84114505400025&lt;/D&gt;&lt;D xsi:type="xsd:double"&gt;2.87354650222325&lt;/D&gt;&lt;D xsi:type="xsd:double"&gt;2.99777347610672&lt;/D&gt;&lt;D xsi:type="xsd:double"&gt;2.93858869732076&lt;/D&gt;&lt;D xsi:type="xsd:double"&gt;3.05881481150264&lt;/D&gt;&lt;D xsi:type="xsd:double"&gt;3.05507560350679&lt;/D&gt;&lt;D xsi:type="xsd:double"&gt;3.20265534385878&lt;/D&gt;&lt;D xsi:type="xsd:double"&gt;3.68999096418112&lt;/D&gt;&lt;D xsi:type="xsd:double"&gt;3.59782681502816&lt;/D&gt;&lt;D xsi:type="xsd:double"&gt;3.85970809043873&lt;/D&gt;&lt;D xsi:type="xsd:double"&gt;3.91619842455652&lt;/D&gt;&lt;D xsi:type="xsd:double"&gt;4.1959087941943&lt;/D&gt;&lt;D xsi:type="xsd:double"&gt;3.94198505104168&lt;/D&gt;&lt;D xsi:type="xsd:double"&gt;4.11303520794007&lt;/D&gt;&lt;D xsi:type="xsd:double"&gt;4.44785682486992&lt;/D&gt;&lt;D xsi:type="xsd:double"&gt;3.80626273294324&lt;/D&gt;&lt;D xsi:type="xsd:double"&gt;3.74349959783665&lt;/D&gt;&lt;D xsi:type="xsd:double"&gt;3.56984847267797&lt;/D&gt;&lt;D xsi:type="xsd:double"&gt;3.48208167722459&lt;/D&gt;&lt;D xsi:type="xsd:double"&gt;3.53772356850636&lt;/D&gt;&lt;D xsi:type="xsd:double"&gt;3.53709620316086&lt;/D&gt;&lt;D xsi:type="xsd:double"&gt;3.5805985299456&lt;/D&gt;&lt;D xsi:type="xsd:double"&gt;3.64751341293101&lt;/D&gt;&lt;D xsi:type="xsd:double"&gt;3.72236690037709&lt;/D&gt;&lt;D xsi:type="xsd:double"&gt;3.72068936754222&lt;/D&gt;&lt;D xsi:type="xsd:double"&gt;3.74352325965753&lt;/D&gt;&lt;D xsi:type="xsd:double"&gt;3.84606922528208&lt;/D&gt;&lt;D xsi:type="xsd:double"&gt;3.88352137955856&lt;/D&gt;&lt;D xsi:type="xsd:double"&gt;3.53949209554833&lt;/D&gt;&lt;D xsi:type="xsd:double"&gt;3.62452026363467&lt;/D&gt;&lt;D xsi:type="xsd:double"&gt;3.53877334220308&lt;/D&gt;&lt;D xsi:type="xsd:double"&gt;3.34140813718646&lt;/D&gt;&lt;D xsi:type="xsd:double"&gt;3.3429172391678&lt;/D&gt;&lt;D xsi:type="xsd:double"&gt;3.28456189540082&lt;/D&gt;&lt;D xsi:type="xsd:double"&gt;3.39261322750422&lt;/D&gt;&lt;D xsi:type="xsd:double"&gt;3.39902047369185&lt;/D&gt;&lt;/FQL&gt;&lt;FQL&gt;&lt;Q&gt;SPY^FG_PRICE_MAVG(0,,,,30)&lt;/Q&gt;&lt;R&gt;1&lt;/R&gt;&lt;C&gt;1&lt;/C&gt;&lt;D xsi:type="xsd:double"&gt;542.4977&lt;/D&gt;&lt;/FQL&gt;&lt;FQL&gt;&lt;Q&gt;VWO^PERCENT_CHANGE(FMA_EPS(+1,0,,,,"PORTAGG","MEAN"),FMA_EPS(+1,-3AM,,,,"PORTAGG","MEAN"))&lt;/Q&gt;&lt;R&gt;1&lt;/R&gt;&lt;C&gt;1&lt;/C&gt;&lt;D xsi:type="xsd:double"&gt;-0.347140869626368&lt;/D&gt;&lt;/FQL&gt;&lt;FQL&gt;&lt;Q&gt;EWN^PERCENT_CHANGE(FMA_EPS(+1,0,,,,"PORTAGG","MEAN"),FMA_EPS(+1,-1AM,,,,"PORTAGG","MEAN"))&lt;/Q&gt;&lt;R&gt;1&lt;/R&gt;&lt;C&gt;1&lt;/C&gt;&lt;D xsi:type="xsd:double"&gt;1.18167744624843&lt;/D&gt;&lt;/FQL&gt;&lt;FQL&gt;&lt;Q&gt;VWO^FMA_DIV_YLD(NTMA,NOW,NOW,M,"PORTAGG","MEANR")&lt;/Q&gt;&lt;R&gt;1&lt;/R&gt;&lt;C&gt;1&lt;/C&gt;&lt;D xsi:type="xsd:double"&gt;3.05871245679431&lt;/D&gt;&lt;/FQL&gt;&lt;FQL&gt;&lt;Q&gt;QQQ^FG_TOTAL_RETURNC(0,-3AM)&lt;/Q&gt;&lt;R&gt;1&lt;/R&gt;&lt;C&gt;1&lt;/C&gt;&lt;D xsi:type="xsd:double"&gt;10.631704&lt;/D&gt;&lt;/FQL&gt;&lt;FQL&gt;&lt;Q&gt;USDCAD^FG_PRICE(0)&lt;/Q&gt;&lt;R&gt;1&lt;/R&gt;&lt;C&gt;1&lt;/C&gt;&lt;D xsi:type="xsd:double"&gt;1.36125&lt;/D&gt;&lt;/FQL&gt;&lt;FQL&gt;&lt;Q&gt;EWU^FMA_PCT_ABOVE_MAVG(200,0,,,,"PORTAGG")&lt;/Q&gt;&lt;R&gt;1&lt;/R&gt;&lt;C&gt;1&lt;/C&gt;&lt;D xsi:type="xsd:double"&gt;63.75&lt;/D&gt;&lt;/FQL&gt;&lt;FQL&gt;&lt;Q&gt;VWO^SIZE(FG_CONSTITUENTS)&lt;/Q&gt;&lt;R&gt;1&lt;/R&gt;&lt;C&gt;1&lt;/C&gt;&lt;D xsi:type="xsd:long"&gt;4759&lt;/D&gt;&lt;/FQL&gt;&lt;FQL&gt;&lt;Q&gt;VWO^FG_PE_NTM(0,,,90,0)&lt;/Q&gt;&lt;R&gt;1&lt;/R&gt;&lt;C&gt;1&lt;/C&gt;&lt;D xsi:type="xsd:double"&gt;12.6432693306939&lt;/D&gt;&lt;/FQL&gt;&lt;FQL&gt;&lt;Q&gt;EWQ^FMA_EVAL_EBIT(LTMA,NOW,NOW,M,"PORTAGG","MEANR")&lt;/Q&gt;&lt;R&gt;1&lt;/R&gt;&lt;C&gt;1&lt;/C&gt;&lt;D xsi:type="xsd:double"&gt;13.01836907898&lt;/D&gt;&lt;/FQL&gt;&lt;FQL&gt;&lt;Q&gt;EWU^JULIAN(FMA_DIV_YLD(NTMA,NOW,NOW,M,"PORTAGG","MEANR").DATES)&lt;/Q&gt;&lt;R&gt;1&lt;/R&gt;&lt;C&gt;1&lt;/C&gt;&lt;D xsi:type="xsd:long"&gt;45471&lt;/D&gt;&lt;/FQL&gt;&lt;FQL&gt;&lt;Q&gt;USDSEK^FG_PRICE_CHANGE(0,-3AM)&lt;/Q&gt;&lt;R&gt;1&lt;/R&gt;&lt;C&gt;1&lt;/C&gt;&lt;D xsi:type="xsd:double"&gt;-2.8862596&lt;/D&gt;&lt;/FQL&gt;&lt;FQL&gt;&lt;Q&gt;USDCAD^FG_COMPANY_NAME&lt;/Q&gt;&lt;R&gt;1&lt;/R&gt;&lt;C&gt;1&lt;/C&gt;&lt;D xsi:type="xsd:string"&gt;Canadian Dollar per U.S. Dollar&lt;/D&gt;&lt;/FQL&gt;&lt;FQL&gt;&lt;Q&gt;EWC^FMA_DIV_YLD(NTMA,-10AY,0,AM,"PORTAGG","MEANR")&lt;/Q&gt;&lt;R&gt;121&lt;/R&gt;&lt;C&gt;1&lt;/C&gt;&lt;D xsi:type="xsd:double"&gt;2.80717271384625&lt;/D&gt;&lt;D xsi:type="xsd:double"&gt;2.80653905569787&lt;/D&gt;&lt;D xsi:type="xsd:double"&gt;2.76066052060937&lt;/D&gt;&lt;D xsi:type="xsd:double"&gt;3.03806498908146&lt;/D&gt;&lt;D xsi:type="xsd:double"&gt;2.93925382097613&lt;/D&gt;&lt;D xsi:type="xsd:double"&gt;3.09324637642975&lt;/D&gt;&lt;D xsi:type="xsd:double"&gt;2.99801577403161&lt;/D&gt;&lt;D xsi:type="xsd:double"&gt;2.86750868149039&lt;/D&gt;&lt;D xsi:type="xsd:double"&gt;2.94967590743087&lt;/D&gt;&lt;D xsi:type="xsd:double"&gt;2.82223793524456&lt;/D&gt;&lt;D xsi:type="xsd:double"&gt;2.86134963540995&lt;/D&gt;&lt;D xsi:type="xsd:double"&gt;2.93508337505854&lt;/D&gt;&lt;D xsi:type="xsd:double"&gt;3.04958986768268&lt;/D&gt;&lt;D xsi:type="xsd:double"&gt;3.07734746774373&lt;/D&gt;&lt;D xsi:type="xsd:double"&gt;3.25702790268895&lt;/D&gt;&lt;D xsi:type="xsd:double"&gt;3.15505015639616&lt;/D&gt;&lt;D xsi:type="xsd:double"&gt;3.31215830557563&lt;/D&gt;&lt;D xsi:type="xsd:double"&gt;3.4645427904955&lt;/D&gt;&lt;D xsi:type="xsd:double"&gt;3.567185841731&lt;/D&gt;&lt;D xsi:type="xsd:double"&gt;3.55264490961262&lt;/D&gt;&lt;D xsi:type="xsd:double"&gt;3.13247927740252&lt;/D&gt;&lt;D xsi:type="xsd:double"&gt;3.18071353395438&lt;/D&gt;&lt;D xsi:type="xsd:double"&gt;3.10042399759906&lt;/D&gt;&lt;D xsi:type="xsd:double"&gt;3.06615960829041&lt;/D&gt;&lt;D xsi:type="xsd:double"&gt;3.0261737322198&lt;/D&gt;&lt;D xsi:type="xsd:double"&gt;2.93621492598905&lt;/D&gt;&lt;D xsi:type="xsd:double"&gt;2.98454648841571&lt;/D&gt;&lt;D xsi:type="xsd:double"&gt;2.96567856493312&lt;/D&gt;&lt;D xsi:type="xsd:double"&gt;2.96792492493677&lt;/D&gt;&lt;D xsi:type="xsd:double"&gt;2.83367271891927&lt;/D&gt;&lt;D xsi:type="xsd:double"&gt;2.81356442475077&lt;/D&gt;&lt;D xsi:type="xsd:double"&gt;2.79808431904578&lt;/D&gt;&lt;D xsi:type="xsd:double"&gt;2.90463250433504&lt;/D&gt;&lt;D xsi:type="xsd:double"&gt;2.89756081141542&lt;/D&gt;&lt;D xsi:type="xsd:double"&gt;2.9496373738213&lt;/D&gt;&lt;D xsi:type="xsd:double"&gt;2.97693865529526&lt;/D&gt;&lt;D xsi:type="xsd:double"&gt;3.05024282723742&lt;/D&gt;&lt;D xsi:type="xsd:double"&gt;3.07048197542642&lt;/D&gt;&lt;D xsi:type="xsd:double"&gt;3.10469505389206&lt;/D&gt;&lt;D xsi:type="xsd:double"&gt;2.95275537175236&lt;/D&gt;&lt;D xsi:type="xsd:double"&gt;2.91112632064467&lt;/D&gt;&lt;D xsi:type="xsd:double"&gt;2.91009506508518&lt;/D&gt;&lt;D xsi:type="xsd:double"&gt;2.89893677001768&lt;/D&gt;&lt;D xsi:type="xsd:double"&gt;3.17889950624327&lt;/D&gt;&lt;D xsi:type="xsd:double"&gt;3.13244549703684&lt;/D&gt;&lt;D xsi:type="xsd:double"&gt;3.21961858273646&lt;/D&gt;&lt;D xsi:type="xsd:double"&gt;3.08208078040371&lt;/D&gt;&lt;D xsi:type="xsd:double"&gt;3.05898310784388&lt;/D&gt;&lt;D xsi:type="xsd:double"&gt;3.04997337169144&lt;/D&gt;&lt;D xsi:type="xsd:double"&gt;3.08437433543814&lt;/D&gt;&lt;D xsi:type="xsd:double"&gt;3.16484600225701&lt;/D&gt;&lt;D xsi:type="xsd:double"&gt;3.35222287185315&lt;/D&gt;&lt;D xsi:type="xsd:double"&gt;3.36301143524639&lt;/D&gt;&lt;D xsi:type="xsd:double"&gt;3.51745120489153&lt;/D&gt;&lt;D xsi:type="xsd:double"&gt;3.4558842174348&lt;/D&gt;&lt;D xsi:type="xsd:double"&gt;3.33836753101993&lt;/D&gt;&lt;D xsi:type="xsd:double"&gt;3.27113108113238&lt;/D&gt;&lt;D xsi:type="xsd:double"&gt;3.21745552901106&lt;/D&gt;&lt;D xsi:type="xsd:double"&gt;3.27174218037938&lt;/D&gt;&lt;D xsi:type="xsd:double"&gt;3.34125324973601&lt;/D&gt;&lt;D xsi:type="xsd:double"&gt;3.2969730841125&lt;/D&gt;&lt;D xsi:type="xsd:double"&gt;3.39060779978917&lt;/D&gt;&lt;D xsi:type="xsd:double"&gt;3.33926226332514&lt;/D&gt;&lt;D xsi:type="xsd:double"&gt;3.36744233887423&lt;/D&gt;&lt;D xsi:type="xsd:double"&gt;3.26669211278742&lt;/D&gt;&lt;D xsi:type="xsd:double"&gt;3.27338458375229&lt;/D&gt;&lt;D xsi:type="xsd:double"&gt;3.23733811628138&lt;/D&gt;&lt;D xsi:type="xsd:double"&gt;3.20516708364281&lt;/D&gt;&lt;D xsi:type="xsd:double"&gt;4.0797483726464&lt;/D&gt;&lt;D xsi:type="xsd:double"&gt;4.06022600286676&lt;/D&gt;&lt;D xsi:type="xsd:double"&gt;3.6974358517574&lt;/D&gt;&lt;D xsi:type="xsd:double"&gt;3.6553825423074&lt;/D&gt;&lt;D xsi:type="xsd:double"&gt;3.51201113177813&lt;/D&gt;&lt;D xsi:type="xsd:double"&gt;3.34428428667756&lt;/D&gt;&lt;D xsi:type="xsd:double"&gt;3.40981523896615&lt;/D&gt;&lt;D xsi:type="xsd:double"&gt;3.36038868810288&lt;/D&gt;&lt;D xsi:type="xsd:double"&gt;3.3063557193261&lt;/D&gt;&lt;D xsi:type="xsd:double"&gt;3.11411761245382&lt;/D&gt;&lt;D xsi:type="xsd:double"&gt;3.03220310685112&lt;/D&gt;&lt;D xsi:type="xsd:double"&gt;2.9435265984731&lt;/D&gt;&lt;D xsi:type="xsd:double"&gt;2.8430957626242&lt;/D&gt;&lt;D xsi:type="xsd:double"&gt;2.7647229883792&lt;/D&gt;&lt;D xsi:type="xsd:double"&gt;2.75146242279438&lt;/D&gt;&lt;D xsi:type="xsd:double"&gt;2.57534671046452&lt;/D&gt;&lt;D xsi:type="xsd:double"&gt;2.70442158023575&lt;/D&gt;&lt;D xsi:type="xsd:double"&gt;2.66980746913633&lt;/D&gt;&lt;D xsi:type="xsd:double"&gt;2.74572303100371&lt;/D&gt;&lt;D xsi:type="xsd:double"&gt;2.78703140537808&lt;/D&gt;&lt;D xsi:type="xsd:double"&gt;2.68097822114948&lt;/D&gt;&lt;D xsi:type="xsd:double"&gt;2.83914609760133&lt;/D&gt;&lt;D xsi:type="xsd:double"&gt;2.77185081815018&lt;/D&gt;&lt;D xsi:type="xsd:double"&gt;2.76645078205049&lt;/D&gt;&lt;D xsi:type="xsd:double"&gt;2.8501377418735&lt;/D&gt;&lt;D xsi:type="xsd:double"&gt;2.85394697884767&lt;/D&gt;&lt;D xsi:type="xsd:double"&gt;3.23161166324824&lt;/D&gt;&lt;D xsi:type="xsd:double"&gt;3.18696515705101&lt;/D&gt;&lt;D xsi:type="xsd:double"&gt;3.44512370067601&lt;/D&gt;&lt;D xsi:type="xsd:double"&gt;3.27275221321365&lt;/D&gt;&lt;D xsi:type="xsd:double"&gt;3.37802835544338&lt;/D&gt;&lt;D xsi:type="xsd:double"&gt;3.68529778704806&lt;/D&gt;&lt;D xsi:type="xsd:double"&gt;3.32398466028586&lt;/D&gt;&lt;D xsi:type="xsd:double"&gt;3.36797165354136&lt;/D&gt;&lt;D xsi:type="xsd:double"&gt;3.3562911354241&lt;/D&gt;&lt;D xsi:type="xsd:double"&gt;3.26675190945964&lt;/D&gt;&lt;D xsi:type="xsd:double"&gt;3.41785590300032&lt;/D&gt;&lt;D xsi:type="xsd:double"&gt;3.28491810282271&lt;/D&gt;&lt;D xsi:type="xsd:double"&gt;3.262377180</t>
        </r>
      </text>
    </comment>
    <comment ref="A11" authorId="0" shapeId="0" xr:uid="{5D91334B-4600-41D7-96B2-18CB0DF8E239}">
      <text>
        <r>
          <rPr>
            <b/>
            <sz val="9"/>
            <color indexed="81"/>
            <rFont val="Tahoma"/>
            <charset val="1"/>
          </rPr>
          <t>44014&lt;/D&gt;&lt;D xsi:type="xsd:double"&gt;3.32182105895244&lt;/D&gt;&lt;D xsi:type="xsd:double"&gt;3.28971596844942&lt;/D&gt;&lt;D xsi:type="xsd:double"&gt;3.42131480981552&lt;/D&gt;&lt;D xsi:type="xsd:double"&gt;3.51128457811656&lt;/D&gt;&lt;D xsi:type="xsd:double"&gt;3.61998389040813&lt;/D&gt;&lt;D xsi:type="xsd:double"&gt;3.59801980680816&lt;/D&gt;&lt;D xsi:type="xsd:double"&gt;3.46729348036537&lt;/D&gt;&lt;D xsi:type="xsd:double"&gt;3.35833857732757&lt;/D&gt;&lt;D xsi:type="xsd:double"&gt;3.32552836827338&lt;/D&gt;&lt;D xsi:type="xsd:double"&gt;3.17311941609186&lt;/D&gt;&lt;D xsi:type="xsd:double"&gt;3.10555205510649&lt;/D&gt;&lt;D xsi:type="xsd:double"&gt;3.05824220542869&lt;/D&gt;&lt;D xsi:type="xsd:double"&gt;3.3353278684497&lt;/D&gt;&lt;D xsi:type="xsd:double"&gt;3.28351599911298&lt;/D&gt;&lt;/FQL&gt;&lt;FQL&gt;&lt;Q&gt;CPALM-FDS^FG_PRICE(0)&lt;/Q&gt;&lt;R&gt;1&lt;/R&gt;&lt;C&gt;1&lt;/C&gt;&lt;D xsi:type="xsd:double"&gt;4005&lt;/D&gt;&lt;/FQL&gt;&lt;FQL&gt;&lt;Q&gt;EWG^FMA_COS_UP("EPS","1M",+1,0,,,"PORTAGG","MEANR")&lt;/Q&gt;&lt;R&gt;1&lt;/R&gt;&lt;C&gt;1&lt;/C&gt;&lt;D xsi:type="xsd:double"&gt;24&lt;/D&gt;&lt;/FQL&gt;&lt;FQL&gt;&lt;Q&gt;WL-FDS^FG_PRICE_CHANGE(0,-1AY)&lt;/Q&gt;&lt;R&gt;1&lt;/R&gt;&lt;C&gt;1&lt;/C&gt;&lt;D xsi:type="xsd:double"&gt;-18.4617651392368&lt;/D&gt;&lt;/FQL&gt;&lt;FQL&gt;&lt;Q&gt;QQQ^FG_PRICE(0)&lt;/Q&gt;&lt;R&gt;1&lt;/R&gt;&lt;C&gt;1&lt;/C&gt;&lt;D xsi:type="xsd:double"&gt;491.93&lt;/D&gt;&lt;/FQL&gt;&lt;FQL&gt;&lt;Q&gt;EWQ^P_PRICE(0)/P_PRICE_HIGH_PR(0,,,,,,"PRICE","INTRA","52W")&lt;/Q&gt;&lt;R&gt;1&lt;/R&gt;&lt;C&gt;1&lt;/C&gt;&lt;D xsi:type="xsd:double"&gt;0.9150235&lt;/D&gt;&lt;/FQL&gt;&lt;FQL&gt;&lt;Q&gt;EWA^P_PRICE(0)/P_PRICE_LOW_PR(0,,,,,,"PRICE","INTRA","52W")-1&lt;/Q&gt;&lt;R&gt;1&lt;/R&gt;&lt;C&gt;1&lt;/C&gt;&lt;D xsi:type="xsd:double"&gt;0.23460412&lt;/D&gt;&lt;/FQL&gt;&lt;FQL&gt;&lt;Q&gt;EWG^FMA_RBICS_REV_CURRENT(30, LOC, "PORTAGG")&lt;/Q&gt;&lt;R&gt;1&lt;/R&gt;&lt;C&gt;1&lt;/C&gt;&lt;D xsi:type="xsd:double"&gt;23.0594534932325&lt;/D&gt;&lt;/FQL&gt;&lt;FQL&gt;&lt;Q&gt;USDSEK^FG_PRICE_CHANGE(0,-1AM)&lt;/Q&gt;&lt;R&gt;1&lt;/R&gt;&lt;C&gt;1&lt;/C&gt;&lt;D xsi:type="xsd:double"&gt;-0.46396852&lt;/D&gt;&lt;/FQL&gt;&lt;FQL&gt;&lt;Q&gt;EWJ^P_PRICE_RETURNS_PR('52W',2,-10AY,0,AM)&lt;/Q&gt;&lt;R&gt;121&lt;/R&gt;&lt;C&gt;1&lt;/C&gt;&lt;D xsi:type="xsd:double"&gt;1.9407988&lt;/D&gt;&lt;D xsi:type="xsd:double"&gt;4.697585&lt;/D&gt;&lt;D xsi:type="xsd:double"&gt;3.26159&lt;/D&gt;&lt;D xsi:type="xsd:double"&gt;-6.229651&lt;/D&gt;&lt;D xsi:type="xsd:double"&gt;1.6886115&lt;/D&gt;&lt;D xsi:type="xsd:double"&gt;-1.8240154&lt;/D&gt;&lt;D xsi:type="xsd:double"&gt;-6.065649&lt;/D&gt;&lt;D xsi:type="xsd:double"&gt;2.6798844&lt;/D&gt;&lt;D xsi:type="xsd:double"&gt;7.722616&lt;/D&gt;&lt;D xsi:type="xsd:double"&gt;20.896996&lt;/D&gt;&lt;D xsi:type="xsd:double"&gt;17.550325&lt;/D&gt;&lt;D xsi:type="xsd:double"&gt;12.501144&lt;/D&gt;&lt;D xsi:type="xsd:double"&gt;7.3720574&lt;/D&gt;&lt;D xsi:type="xsd:double"&gt;10.053825&lt;/D&gt;&lt;D xsi:type="xsd:double"&gt;0.32684803&lt;/D&gt;&lt;D xsi:type="xsd:double"&gt;9.415138&lt;/D&gt;&lt;D xsi:type="xsd:double"&gt;7.990825&lt;/D&gt;&lt;D xsi:type="xsd:double"&gt;5.855489&lt;/D&gt;&lt;D xsi:type="xsd:double"&gt;4.783559&lt;/D&gt;&lt;D xsi:type="xsd:double"&gt;-10.78074&lt;/D&gt;&lt;D xsi:type="xsd:double"&gt;-4.3235006&lt;/D&gt;&lt;D xsi:type="xsd:double"&gt;-11.907297&lt;/D&gt;&lt;D xsi:type="xsd:double"&gt;-9.177124&lt;/D&gt;&lt;D xsi:type="xsd:double"&gt;-9.066952&lt;/D&gt;&lt;D xsi:type="xsd:double"&gt;-4.968536&lt;/D&gt;&lt;D xsi:type="xsd:double"&gt;-2.4865806&lt;/D&gt;&lt;D xsi:type="xsd:double"&gt;6.629598&lt;/D&gt;&lt;D xsi:type="xsd:double"&gt;3.8766623&lt;/D&gt;&lt;D xsi:type="xsd:double"&gt;0.2713561&lt;/D&gt;&lt;D xsi:type="xsd:double"&gt;7.5945616&lt;/D&gt;&lt;D xsi:type="xsd:double"&gt;12.089157&lt;/D&gt;&lt;D xsi:type="xsd:double"&gt;24.394835&lt;/D&gt;&lt;D xsi:type="xsd:double"&gt;16.550123&lt;/D&gt;&lt;D xsi:type="xsd:double"&gt;15.945255&lt;/D&gt;&lt;D xsi:type="xsd:double"&gt;14.810551&lt;/D&gt;&lt;D xsi:type="xsd:double"&gt;16.27034&lt;/D&gt;&lt;D xsi:type="xsd:double"&gt;14.284182&lt;/D&gt;&lt;D xsi:type="xsd:double"&gt;11.090732&lt;/D&gt;&lt;D xsi:type="xsd:double"&gt;14.005602&lt;/D&gt;&lt;D xsi:type="xsd:double"&gt;16.691185&lt;/D&gt;&lt;D xsi:type="xsd:double"&gt;21.703386&lt;/D&gt;&lt;D xsi:type="xsd:double"&gt;18.811953&lt;/D&gt;&lt;D xsi:type="xsd:double"&gt;26.543152&lt;/D&gt;&lt;D xsi:type="xsd:double"&gt;17.304718&lt;/D&gt;&lt;D xsi:type="xsd:double"&gt;20.500887&lt;/D&gt;&lt;D xsi:type="xsd:double"&gt;19.362402&lt;/D&gt;&lt;D xsi:type="xsd:double"&gt;18.85146&lt;/D&gt;&lt;D xsi:type="xsd:double"&gt;14.318192&lt;/D&gt;&lt;D xsi:type="xsd:double"&gt;8.648264&lt;/D&gt;&lt;D xsi:type="xsd:double"&gt;7.735193&lt;/D&gt;&lt;D xsi:type="xsd:double"&gt;4.5819283&lt;/D&gt;&lt;D xsi:type="xsd:double"&gt;1.190269&lt;/D&gt;&lt;D xsi:type="xsd:double"&gt;-6.0759487&lt;/D&gt;&lt;D xsi:type="xsd:double"&gt;-9.925938&lt;/D&gt;&lt;D xsi:type="xsd:double"&gt;-15.164638&lt;/D&gt;&lt;D xsi:type="xsd:double"&gt;-9.250194&lt;/D&gt;&lt;D xsi:type="xsd:double"&gt;-9.643835&lt;/D&gt;&lt;D xsi:type="xsd:double"&gt;-7.778555&lt;/D&gt;&lt;D xsi:type="xsd:double"&gt;-9.707183&lt;/D&gt;&lt;D xsi:type="xsd:double"&gt;-8.786368&lt;/D&gt;&lt;D xsi:type="xsd:double"&gt;-1.700908&lt;/D&gt;&lt;D xsi:type="xsd:double"&gt;-6.623864&lt;/D&gt;&lt;D xsi:type="xsd:double"&gt;-0.23890734&lt;/D&gt;&lt;D xsi:type="xsd:double"&gt;2.67874&lt;/D&gt;&lt;D xsi:type="xsd:double"&gt;10.327816&lt;/D&gt;&lt;D xsi:type="xsd:double"&gt;15.730715&lt;/D&gt;&lt;D xsi:type="xsd:double"&gt;13.680649&lt;/D&gt;&lt;D xsi:type="xsd:double"&gt;15.493488&lt;/D&gt;&lt;D xsi:type="xsd:double"&gt;-5.959213&lt;/D&gt;&lt;D xsi:type="xsd:double"&gt;-6.368482&lt;/D&gt;&lt;D xsi:type="xsd:double"&gt;-0.21644235&lt;/D&gt;&lt;D xsi:type="xsd:double"&gt;2.7396917&lt;/D&gt;&lt;D xsi:type="xsd:double"&gt;3.5203695&lt;/D&gt;&lt;D xsi:type="xsd:double"&gt;8.015549&lt;/D&gt;&lt;D xsi:type="xsd:double"&gt;6.9489717&lt;/D&gt;&lt;D xsi:type="xsd:double"&gt;7.3044896&lt;/D&gt;&lt;D xsi:type="xsd:double"&gt;8.294845&lt;/D&gt;&lt;D xsi:type="xsd:double"&gt;11.33436&lt;/D&gt;&lt;D xsi:type="xsd:double"&gt;16.702663&lt;/D&gt;&lt;D xsi:type="xsd:double"&gt;20.537674&lt;/D&gt;&lt;D xsi:type="xsd:double"&gt;38.62343&lt;/D&gt;&lt;D xsi:type="xsd:double"&gt;39.94392&lt;/D&gt;&lt;D xsi:type="xsd:double"&gt;29.751646&lt;/D&gt;&lt;D xsi:type="xsd:double"&gt;27.318108&lt;/D&gt;&lt;D xsi:type="xsd:double"&gt;25.662601&lt;/D&gt;&lt;D xsi:type="xsd:double"&gt;22.395563&lt;/D&gt;&lt;D xsi:type="xsd:double"&gt;27.390718&lt;/D&gt;&lt;D xsi:type="xsd:double"&gt;15.925598&lt;/D&gt;&lt;D xsi:type="xsd:double"&gt;10.067344&lt;/D&gt;&lt;D xsi:type="xsd:double"&gt;5.154836&lt;/D&gt;&lt;D xsi:type="xsd:double"&gt;-0.3226459&lt;/D&gt;&lt;D xsi:type="xsd:double"&gt;-8.1916275&lt;/D&gt;&lt;D xsi:type="xsd:double"&gt;-12.180096&lt;/D&gt;&lt;D xsi:type="xsd:double"&gt;-14.293337&lt;/D&gt;&lt;D xsi:type="xsd:double"&gt;-17.785358&lt;/D&gt;&lt;D xsi:type="xsd:double"&gt;-18.492859&lt;/D&gt;&lt;D xsi:type="xsd:double"&gt;-20.767397&lt;/D&gt;&lt;D xsi:type="xsd:double"&gt;-16.115063&lt;/D&gt;&lt;D xsi:type="xsd:double"&gt;-25.503195&lt;/D&gt;&lt;D xsi:type="xsd:double"&gt;-26.293056&lt;/D&gt;&lt;D xsi:type="xsd:double"&gt;-18.624657&lt;/D&gt;&lt;D xsi:type="xsd:double"&gt;-17.25229&lt;/D&gt;&lt;D xsi:type="xsd:double"&gt;-16.658342&lt;/D&gt;&lt;D xsi:type="xsd:double"&gt;-8.779425&lt;/D&gt;&lt;D xsi:type="xsd:double"&gt;-3.4236789&lt;/D&gt;&lt;D xsi:type="xsd:double"&gt;0.13016462&lt;/D&gt;&lt;D xsi:type="xsd:double"&gt;11.106038&lt;/D&gt;&lt;D xsi:type="xsd:double"&gt;12.542152&lt;/D&gt;&lt;D xsi:type="xsd:double"&gt;17.74826&lt;/D&gt;&lt;D xsi:type="xsd:double"&gt;10.0384&lt;/D&gt;&lt;D xsi:type="xsd:double"&gt;18.521667&lt;/D&gt;&lt;D xsi:type="xsd:double"&gt;23.705805&lt;/D&gt;&lt;D xsi:type="xsd:double"&gt;13.295436&lt;/D&gt;&lt;D xsi:type="xsd:double"&gt;15.322256&lt;/D&gt;&lt;D xsi:type="xsd:double"&gt;21.736467&lt;/D&gt;&lt;D xsi:type="xsd:double"&gt;17.747295&lt;/D&gt;&lt;D xsi:type="xsd:double"&gt;25.18369&lt;/D&gt;&lt;D xsi:type="xsd:double"&gt;23.492706&lt;/D&gt;&lt;D xsi:type="xsd:double"&gt;16.160381&lt;/D&gt;&lt;D xsi:type="xsd:double"&gt;11.756861&lt;/D&gt;&lt;D xsi:type="xsd:double"&gt;17.355324&lt;/D&gt;&lt;/FQL&gt;&lt;FQL&gt;&lt;Q&gt;TRYJP10Y-FDS^FG_YIELD(-10AY,0,Y,,"YTM")&lt;/Q&gt;&lt;R&gt;10&lt;/R&gt;&lt;C&gt;1&lt;/C&gt;&lt;D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xsi:type="xsd:double"&gt;0.6127&lt;/D&gt;&lt;/FQL&gt;&lt;FQL&gt;&lt;Q&gt;EWQ^FG_TOTAL_RETURNC(0,-6AM)&lt;/Q&gt;&lt;R&gt;1&lt;/R&gt;&lt;C&gt;1&lt;/C&gt;&lt;D xsi:type="xsd:double"&gt;4.139793&lt;/D&gt;&lt;/FQL&gt;&lt;FQL&gt;&lt;Q&gt;EWL^P_PRICE(0)/P_PRICE_HIGH_PR(0,,,,,,"PRICE","INTRA","52W")&lt;/Q&gt;&lt;R&gt;1&lt;/R&gt;&lt;C&gt;1&lt;/C&gt;&lt;D xsi:type="xsd:double"&gt;0.973731&lt;/D&gt;&lt;/FQL&gt;&lt;FQL&gt;&lt;Q&gt;EWQ^FMA_DIV_YLD(NTMA,NOW,NOW,M,"PORTAGG","MEANR")&lt;/Q&gt;&lt;R&gt;1&lt;/R&gt;&lt;C&gt;1&lt;/C&gt;&lt;D xsi:type="xsd:double"&gt;3.39405110502247&lt;/D&gt;&lt;/FQL&gt;&lt;FQL&gt;&lt;Q&gt;ENZL^FMA_EVAL_EBITDA(NTMA,0,,,"PORTAGG","MEANR")&lt;/Q&gt;&lt;R&gt;1&lt;/R&gt;&lt;C&gt;1&lt;/C&gt;&lt;D xsi:type="xsd:double"&gt;11.7411157713953&lt;/D&gt;&lt;/FQL&gt;&lt;FQL&gt;&lt;Q&gt;USDSEK^FG_PRICE(0)&lt;/Q&gt;&lt;R&gt;1&lt;/R&gt;&lt;C&gt;1&lt;/C&gt;&lt;D xsi:type="xsd:double"&gt;10.46925&lt;/D&gt;&lt;/FQL&gt;&lt;FQL&gt;&lt;Q&gt;USDGBP^FG_PRICE_CHANGE(0,-1AY)&lt;/Q&gt;&lt;R&gt;1&lt;/R&gt;&lt;C&gt;1&lt;/C&gt;&lt;D xsi:type="xsd:double"&gt;-0.21277666&lt;/D&gt;&lt;/FQL&gt;&lt;FQL&gt;&lt;Q&gt;USDAUD^STD(FG_PRICE_CHANGE(0,-1AY,AM))&lt;/Q&gt;&lt;R&gt;1&lt;/R&gt;&lt;C&gt;1&lt;/C&gt;&lt;D xsi:type="xsd:double"&gt;1.81387454779539&lt;/D&gt;&lt;/FQL&gt;&lt;FQL&gt;&lt;Q&gt;WL-FDS^FG_PRICE_CHANGE(0,-3AM)&lt;/Q&gt;&lt;R&gt;1&lt;/R&gt;&lt;C&gt;1&lt;/C&gt;&lt;D xsi:type="xsd:double"&gt;-11.8930106670912&lt;/D&gt;&lt;/FQL&gt;&lt;FQL&gt;&lt;Q&gt;W-FDS^FG_PRICE_CHANGE(0,-1AY)&lt;/Q&gt;&lt;R&gt;1&lt;/R&gt;&lt;C&gt;1&lt;/C&gt;&lt;D xsi:type="xsd:double"&gt;-14.6651270207852&lt;/D&gt;&lt;/FQL&gt;&lt;FQL&gt;&lt;Q&gt;FC0000AU^FG_PRICE(0)&lt;/Q&gt;&lt;R&gt;1&lt;/R&gt;&lt;C&gt;1&lt;/C&gt;&lt;D xsi:type="xsd:double"&gt;374.31332&lt;/D&gt;&lt;/FQL&gt;&lt;FQL&gt;&lt;Q&gt;EWL^FG_PRICE_MAVG(0,,,,60)&lt;/Q&gt;&lt;R&gt;1&lt;/R&gt;&lt;C&gt;1&lt;/C&gt;&lt;D xsi:type="xsd:double"&gt;47.956333&lt;/D&gt;&lt;/FQL&gt;&lt;FQL&gt;&lt;Q&gt;EWL^PERCENT_CHANGE(FMA_EPS(+1,0,,,,"PORTAGG","MEAN"),FMA_EPS(+1,-3AM,,,,"PORTAGG","MEAN"))&lt;/Q&gt;&lt;R&gt;1&lt;/R&gt;&lt;C&gt;1&lt;/C&gt;&lt;D xsi:type="xsd:double"&gt;2.44227031283475&lt;/D&gt;&lt;/FQL&gt;&lt;FQL&gt;&lt;Q&gt;EWA^FG_TOTAL_RETURNC(0,-6AM)&lt;/Q&gt;&lt;R&gt;1&lt;/R&gt;&lt;C&gt;1&lt;/C&gt;&lt;D xsi:type="xsd:double"&gt;8.84285&lt;/D&gt;&lt;/FQL&gt;&lt;FQL&gt;&lt;Q&gt;EWA^FMA_RBICS_REV_CURRENT(30, LOC, "PORTAGG")&lt;/Q&gt;&lt;R&gt;1&lt;/R&gt;&lt;C&gt;1&lt;/C&gt;&lt;D xsi:type="xsd:double"&gt;42.4062571267776&lt;/D&gt;&lt;/FQL&gt;&lt;FQL&gt;&lt;Q&gt;REFJPTON-FDS^(SUBARRAY(NOT_NA(NO_REPEAT_F(FG_YIELD(NOW,-10AY,D))),0,1)-SUBARRAY(NOT_NA(NO_REPEAT_F(FG_YIELD(NOW,-10AY,D))),1,1))*100&lt;/Q&gt;&lt;R&gt;1&lt;/R&gt;&lt;C&gt;1&lt;/C&gt;&lt;D xsi:type="xsd:double"&gt;20&lt;/D&gt;&lt;/FQL&gt;&lt;FQL&gt;&lt;Q&gt;ENZL^FMA_ROE(NTMA,-20AY,NOW,FY,"PORTAGG","MEANR")&lt;/Q&gt;&lt;R&gt;20&lt;/R&gt;&lt;C&gt;1&lt;/C&gt;&lt;D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xsi:type="xsd:double"&gt;6.44400181202056&lt;/D&gt;&lt;D xsi:type="xsd:double"&gt;7.7689690341127&lt;/D&gt;&lt;D xsi:type="xsd:double"&gt;6.57910753918315&lt;/D&gt;&lt;/FQL&gt;&lt;FQL&gt;&lt;Q&gt;USDJPY^STD(FG_PRICE_CHANGE(0,-1AY,AM))&lt;/Q&gt;&lt;R&gt;1&lt;/R&gt;&lt;C&gt;1&lt;/C&gt;&lt;D xsi:type="xsd:double"&gt;1.95814947860724&lt;/D&gt;&lt;/FQL&gt;&lt;FQL&gt;&lt;Q&gt;EWI^FMA_PE(LTMA,-10AY,0,AM,"PORTAGG","MEANR")&lt;/Q&gt;&lt;R&gt;121&lt;/R&gt;&lt;C&gt;1&lt;/C&gt;&lt;D xsi:type="xsd:double"&gt;17.0932738479799&lt;/D&gt;&lt;D xsi:type="xsd:double"&gt;16.7033651826421&lt;/D&gt;&lt;D xsi:type="xsd:double"&gt;17.9830045738979&lt;/D&gt;&lt;D xsi:type="xsd:double"&gt;16.6057970202461&lt;/D&gt;&lt;D xsi:type="xsd:double"&gt;17.2294615351006&lt;/D&gt;&lt;D xsi:type="xsd:double"&gt;18.2529943238869&lt;/D&gt;&lt;D xsi:type="xsd:double"&gt;17.9847340611129&lt;/D&gt;&lt;D xsi:type="xsd:double"&gt;32.0534942857612&lt;/D&gt;&lt;D xsi:type="xsd:double"&gt;44.2671378927617&lt;/D&gt;&lt;D xsi:type="xsd:double"&gt;41.630709008208&lt;/D&gt;&lt;D xsi:type="xsd:double"&gt;38.7064316763568&lt;/D&gt;&lt;D xsi:type="xsd:double"&gt;35.6603115385191&lt;/D&gt;&lt;D xsi:type="xsd:double"&gt;32.8268562504785&lt;/D&gt;&lt;D xsi:type="xsd:double"&gt;30.485346399749&lt;/D&gt;&lt;D xsi:type="xsd:double"&gt;26.8197849684988&lt;/D&gt;&lt;D xsi:type="xsd:double"&gt;24.7980715969217&lt;/D&gt;&lt;D xsi:type="xsd:double"&gt;22.5530256906716&lt;/D&gt;&lt;D xsi:type="xsd:double"&gt;19.3443437809919&lt;/D&gt;&lt;D xsi:type="xsd:double"&gt;16.8249210502295&lt;/D&gt;&lt;D xsi:type="xsd:double"&gt;13.9975632101423&lt;/D&gt;&lt;D xsi:type="xsd:double"&gt;15.491198863705&lt;/D&gt;&lt;D xsi:type="xsd:double"&gt;15.1872468823823&lt;/D&gt;&lt;D xsi:type="xsd:double"&gt;15.2188763923141&lt;/D&gt;&lt;D xsi:type="xsd:double"&gt;14.7941789169836&lt;/D&gt;&lt;D xsi:type="xsd:double"&gt;14.3551876580649&lt;/D&gt;&lt;D xsi:type="xsd:double"&gt;15.1500544707604&lt;/D&gt;&lt;D xsi:type="xsd:double"&gt;15.0932806233599&lt;/D&gt;&lt;D xsi:type="xsd:double"&gt;14.6147285756586&lt;/D&gt;&lt;D xsi:type="xsd:double"&gt;14.4928546227796&lt;/D&gt;&lt;D xsi:type="xsd:double"&gt;15.600308867887&lt;/D&gt;&lt;D xsi:type="xsd:double"&gt;28.0705914329345&lt;/D&gt;&lt;D xsi:type="xsd:double"&gt;20.2113008032908&lt;/D&gt;&lt;D xsi:type="xsd:double"&gt;83.6936885776985&lt;/D&gt;&lt;D xsi:type="xsd:double"&gt;76.1445083543372&lt;/D&gt;&lt;D xsi:type="xsd:double"&gt;69.3685409616605&lt;/D&gt;&lt;D xsi:type="xsd:double"&gt;62.4456491444949&lt;/D&gt;&lt;D xsi:type="xsd:double"&gt;54.9651922057747&lt;/D&gt;&lt;D xsi:type="xsd:double"&gt;47.6640328840124&lt;/D&gt;&lt;D xsi:type="xsd:double"&gt;40.6551742872961&lt;/D&gt;&lt;D xsi:type="xsd:double"&gt;33.9245521525938&lt;/D&gt;&lt;D xsi:type="xsd:double"&gt;27.0356986220154&lt;/D&gt;&lt;D xsi:type="xsd:double"&gt;20.2598566345016&lt;/D&gt;&lt;D xsi:type="xsd:double"&gt;15.8715529519577&lt;/D&gt;&lt;D xsi:type="xsd:double"&gt;14.2880606067901&lt;/D&gt;&lt;D xsi:type="xsd:double"&gt;14.213166354276&lt;/D&gt;&lt;D xsi:type="xsd:double"&gt;14.105870203086&lt;/D&gt;&lt;D xsi:type="xsd:double"&gt;14.1342325651946&lt;/D&gt;&lt;D xsi:type="xsd:double"&gt;13.5013598616347&lt;/D&gt;&lt;D xsi:type="xsd:double"&gt;13.221974672977&lt;/D&gt;&lt;D xsi:type="xsd:double"&gt;12.9147783640993&lt;/D&gt;&lt;D xsi:type="xsd:double"&gt;12.5224998590438&lt;/D&gt;&lt;D xsi:type="xsd:double"&gt;11.7041343931501&lt;/D&gt;&lt;D xsi:type="xsd:double"&gt;11.4554618129675&lt;/D&gt;&lt;D xsi:type="xsd:double"&gt;10.7283946613168&lt;/D&gt;&lt;D xsi:type="xsd:double"&gt;10.9245469207095&lt;/D&gt;&lt;D xsi:type="xsd:double"&gt;10.8969590323238&lt;/D&gt;&lt;D xsi:type="xsd:double"&gt;11.2747853136852&lt;/D&gt;&lt;D xsi:type="xsd:double"&gt;11.3344615174932&lt;/D&gt;&lt;D xsi:type="xsd:double"&gt;11.1527200179335&lt;/D&gt;&lt;D xsi:type="xsd:double"&gt;10.9842201088956&lt;/D&gt;&lt;D xsi:type="xsd:double"&gt;11.3540032008515&lt;/D&gt;&lt;D xsi:type="xsd:double"&gt;10.8206329945518&lt;/D&gt;&lt;D xsi:type="xsd:double"&gt;11.2737088570381&lt;/D&gt;&lt;D xsi:type="xsd:double"&gt;11.4178771454536&lt;/D&gt;&lt;D xsi:type="xsd:double"&gt;11.9643130468678&lt;/D&gt;&lt;D xsi:type="xsd:double"&gt;11.8678634970201&lt;/D&gt;&lt;D xsi:type="xsd:double"&gt;12.3495105864705&lt;/D&gt;&lt;D xsi:type="xsd:double"&gt;12.7138930251127&lt;/D&gt;&lt;D xsi:type="xsd:double"&gt;10.9819137612749&lt;/D&gt;&lt;D xsi:type="xsd:double"&gt;11.3594125527211&lt;/D&gt;&lt;D xsi:type="xsd:double"&gt;13.5039917164123&lt;/D&gt;&lt;D xsi:type="xsd:double"&gt;15.5136867638008&lt;/D&gt;&lt;D xsi:type="xsd:double"&gt;16.8457097275075&lt;/D&gt;&lt;D xsi:type="xsd:double"&gt;17.8451354807535&lt;/D&gt;&lt;D xsi:type="xsd:double"&gt;18.2445832226643&lt;/D&gt;&lt;D xsi:type="xsd:double"&gt;18.7647342688994&lt;/D&gt;&lt;D xsi:type="xsd:double"&gt;20.5573324271127&lt;/D&gt;&lt;D xsi:type="xsd:double"&gt;22.2710727259828&lt;/D&gt;&lt;D xsi:type="xsd:double"&gt;23.6152581957571&lt;/D&gt;&lt;D xsi:type="xsd:double"&gt;20.6554767037076&lt;/D&gt;&lt;D xsi:type="xsd:double"&gt;20.1495513516651&lt;/D&gt;&lt;D xsi:type="xsd:double"&gt;19.5983226751671&lt;/D&gt;&lt;D xsi:type="xsd:double"&gt;18.768233333425&lt;/D&gt;&lt;D xsi:type="xsd:double"&gt;18.4783752081425&lt;/D&gt;&lt;D xsi:type="xsd:double"&gt;17.703134076901&lt;/D&gt;&lt;D xsi:type="xsd:double"&gt;16.4175237255488&lt;/D&gt;&lt;D xsi:type="xsd:double"&gt;15.2641800257466&lt;/D&gt;&lt;D xsi:type="xsd:double"&gt;14.4441755308437&lt;/D&gt;&lt;D xsi:type="xsd:double"&gt;13.91922246715&lt;/D&gt;&lt;D xsi:type="xsd:double"&gt;12.3618843121288&lt;/D&gt;&lt;D xsi:type="xsd:double"&gt;12.2069172441674&lt;/D&gt;&lt;D xsi:type="xsd:double"&gt;11.7749939214889&lt;/D&gt;&lt;D xsi:type="xsd:double"&gt;10.4997690057126&lt;/D&gt;&lt;D xsi:type="xsd:double"&gt;10.5228216394677&lt;/D&gt;&lt;D xsi:type="xsd:double"&gt;10.2563673925551&lt;/D&gt;&lt;D xsi:type="xsd:double"&gt;9.67727762348045&lt;/D&gt;&lt;D xsi:type="xsd:double"&gt;9.26417747472071&lt;/D&gt;&lt;D xsi:type="xsd:double"&gt;8.89248816099702&lt;/D&gt;&lt;D xsi:type="xsd:double"&gt;8.47891126965454&lt;/D&gt;&lt;D xsi:type="xsd:double"&gt;7.9287247942919&lt;/D&gt;&lt;D xsi:type="xsd:double"&gt;8.46508007121735&lt;/D&gt;&lt;D xsi:type="xsd:double"&gt;7.71614793984135&lt;/D&gt;&lt;D xsi:type="xsd:double"&gt;7.93485220472971&lt;/D&gt;&lt;D xsi:type="xsd:double"&gt;8.26053351230494&lt;/D&gt;&lt;D xsi:type="xsd:double"&gt;8.29206594207187&lt;/D&gt;&lt;D xsi:type="xsd:double"&gt;8.36101445676482&lt;/D&gt;&lt;D xsi:type="xsd:double"&gt;8.27646216511997&lt;/D&gt;&lt;D xsi:type="xsd:double"&gt;8.44372267252691&lt;/D&gt;&lt;D xsi:type="xsd:double"&gt;8.56615293413867&lt;/D&gt;&lt;D xsi:type="xsd:double"&gt;8.24483947741719&lt;/D&gt;&lt;D xsi:type="xsd:double"&gt;8.37125967596516&lt;/D&gt;&lt;D xsi:type="xsd:double"&gt;8.24298651710843&lt;/D&gt;&lt;D xsi:type="xsd:double"&gt;8.11106250986129&lt;/D&gt;&lt;D xsi:type="xsd:double"&gt;8.80614436298899&lt;/D&gt;&lt;D xsi:type="xsd:double"&gt;8.8861426365603&lt;/D&gt;&lt;D xsi:type="xsd:double"&gt;9.0846110574636&lt;/D&gt;&lt;D xsi:type="xsd:double"&gt;9.37985210480597&lt;/D&gt;&lt;D xsi:type="xsd:double"&gt;9.41356365429272&lt;/D&gt;&lt;D xsi:type="xsd:double"&gt;9.55541123445786&lt;/D&gt;&lt;D xsi:type="xsd:double"&gt;9.50805059294778&lt;/D&gt;&lt;D xsi:type="xsd:double"&gt;9.63302444419207&lt;/D&gt;&lt;/FQL&gt;&lt;FQL&gt;&lt;Q&gt;NI-FDS^FG_PRICE(0)/MAX(FG_PRICE(0,-1AY))&lt;/Q&gt;&lt;R&gt;1&lt;/R&gt;&lt;C&gt;1&lt;/C&gt;&lt;D xsi:type="xsd:double"&gt;0.743905166629389&lt;/D&gt;&lt;/FQL&gt;&lt;FQL&gt;&lt;Q&gt;BRENT-FDS^FG_PRICE_CHANGE(0,-1AM)&lt;/Q&gt;&lt;R&gt;1&lt;/R&gt;&lt;C&gt;1&lt;/C&gt;&lt;D xsi:type="xsd:double"&gt;0&lt;/D&gt;&lt;/FQL&gt;&lt;FQL&gt;&lt;Q&gt;EWD^FG_PRICE_MAVG(0,,,,60)&lt;/Q&gt;&lt;R&gt;1&lt;/R&gt;&lt;C&gt;1&lt;/C&gt;&lt;D xsi:type="xsd:double"&gt;40.463585&lt;/D&gt;&lt;/FQL&gt;&lt;FQL&gt;&lt;Q&gt;URTH^P_PRICE(0)/P_PRICE_HIGH_PR(0,,,,,,"PRICE","INTRA","52W")&lt;/Q&gt;&lt;R&gt;1&lt;/R&gt;&lt;C&gt;1&lt;/C&gt;&lt;D xsi:type="xsd:double"&gt;0.99160933&lt;/D&gt;&lt;/FQL&gt;&lt;FQL&gt;&lt;Q&gt;TRYNZ10Y-FDS^PCTCHG(FG_YIELD(0,,,,"YTM"),FG_YIELD(-1AM,,,,"YTM"))&lt;/Q&gt;&lt;R&gt;1&lt;/R&gt;&lt;C&gt;1&lt;/C&gt;&lt;D xsi:type="xsd:double"&gt;-3.3461761&lt;/D&gt;&lt;/FQL&gt;&lt;FQL&gt;&lt;Q&gt;EWI^FMA_PE(LTM,0,,,"PORTAGG","MEANR")&lt;/Q&gt;&lt;R&gt;1&lt;/R&gt;&lt;C&gt;1&lt;/C&gt;&lt;D xsi:type="xsd:double"&gt;10.1625873961814&lt;/D&gt;&lt;/FQL&gt;&lt;FQL&gt;&lt;Q&gt;SPY^FMA_PE(LTM,0,,,"PORTAGG","MEANR")&lt;/Q&gt;&lt;R&gt;1&lt;/R&gt;&lt;C&gt;1&lt;/C&gt;&lt;D xsi:type="xsd:double"&gt;26.9892454463216&lt;/D&gt;&lt;/FQL&gt;&lt;FQL&gt;&lt;Q&gt;EWG^FG_FCF_YIELD_NTM(0)&lt;/Q&gt;&lt;R&gt;1&lt;/R&gt;&lt;C&gt;1&lt;/C&gt;&lt;D xsi:type="xsd:double"&gt;5.86736028777066&lt;/D&gt;&lt;/FQL&gt;&lt;FQL&gt;&lt;Q&gt;TRYTW10Y-FDS^FG_YIELD(-10AY,0,Y,,"YTM")&lt;/Q&gt;&lt;R&gt;10&lt;/R&gt;&lt;C&gt;1&lt;/C&gt;&lt;D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xsi:type="xsd:double"&gt;1.211&lt;/D&gt;&lt;/FQL&gt;&lt;FQL&gt;&lt;Q&gt;CC_GB^FG_COMPANY_NAME&lt;/Q&gt;&lt;R&gt;1&lt;/R&gt;&lt;C&gt;1&lt;/C&gt;&lt;D xsi:type="xsd:string"&gt;United Kingdom&lt;/D&gt;&lt;/FQL&gt;&lt;FQL&gt;&lt;Q&gt;USDUSD^STD(FG_PRICE_CHANGE(0,-3AY,M))&lt;/Q&gt;&lt;R&gt;1&lt;/R&gt;&lt;C&gt;1&lt;/C&gt;&lt;D xsi:type="xsd:double"&gt;0&lt;/D&gt;&lt;/FQL&gt;&lt;FQL&gt;&lt;Q&gt;EWI^FMA_EPS(NTMA,-20AY,0,CY,,"PORTAGG","MEANR")&lt;/Q&gt;&lt;R&gt;20&lt;/R&gt;&lt;C&gt;1&lt;/C&gt;&lt;D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xsi:type="xsd:double"&gt;3.81180271683843&lt;/D&gt;&lt;/FQL&gt;&lt;FQL&gt;&lt;Q&gt;EWA^FG_TOTAL_RETURNC(-10AY,0,AM)&lt;/Q&gt;&lt;R&gt;121&lt;/R&gt;&lt;C&gt;1&lt;/C&gt;&lt;D xsi:type="xsd:double"&gt;1.4294624&lt;/D&gt;&lt;D xsi:type="xsd:double"&gt;-1.9962311&lt;/D&gt;&lt;D xsi:type="xsd:double"&gt;0.65333843&lt;/D&gt;&lt;D xsi:type="xsd:double"&gt;-11.492938&lt;/D&gt;&lt;D xsi:type="xsd:double"&gt;8.110439&lt;/D&gt;&lt;D xsi:type="xsd:double"&gt;-9.936153&lt;/D&gt;&lt;D xsi:type="xsd:double"&gt;2.9292226&lt;/D&gt;&lt;D xsi:type="xsd:double"&gt;0.48888922&lt;/D&gt;&lt;D xsi:type="xsd:double"&gt;-0.6634295&lt;/D&gt;&lt;D xsi:type="xsd:double"&gt;4.85307&lt;/D&gt;&lt;D xsi:type="xsd:double"&gt;-4.3736696&lt;/D&gt;&lt;D xsi:type="xsd:double"&gt;-1.7761946&lt;/D&gt;&lt;D xsi:type="xsd:double"&gt;-4.1517076&lt;/D&gt;&lt;D xsi:type="xsd:double"&gt;-3.671497&lt;/D&gt;&lt;D xsi:type="xsd:double"&gt;-8.074224&lt;/D&gt;&lt;D xsi:type="xsd:double"&gt;7.146752&lt;/D&gt;&lt;D xsi:type="xsd:double"&gt;-6.6191435&lt;/D&gt;&lt;D xsi:type="xsd:double"&gt;-1.3631403&lt;/D&gt;&lt;D xsi:type="xsd:double"&gt;-3.2874346&lt;/D&gt;&lt;D xsi:type="xsd:double"&gt;-1.7626405&lt;/D&gt;&lt;D xsi:type="xsd:double"&gt;18.241632&lt;/D&gt;&lt;D xsi:type="xsd:double"&gt;-5.8674755&lt;/D&gt;&lt;D xsi:type="xsd:double"&gt;6.018269&lt;/D&gt;&lt;D xsi:type="xsd:double"&gt;-1.5205204&lt;/D&gt;&lt;D xsi:type="xsd:double"&gt;3.923285&lt;/D&gt;&lt;D xsi:type="xsd:double"&gt;5.9769034&lt;/D&gt;&lt;D xsi:type="xsd:double"&gt;-6.303316&lt;/D&gt;&lt;D xsi:type="xsd:double"&gt;4.1476965&lt;/D&gt;&lt;D xsi:type="xsd:double"&gt;-0.7770777&lt;/D&gt;&lt;D xsi:type="xsd:double"&gt;3.52422&lt;/D&gt;&lt;D xsi:type="xsd:double"&gt;4.033184&lt;/D&gt;&lt;D xsi:type="xsd:double"&gt;1.9598722&lt;/D&gt;&lt;D xsi:type="xsd:double"&gt;0.9153247&lt;/D&gt;&lt;D xsi:type="xsd:double"&gt;2.2675753&lt;/D&gt;&lt;D xsi:type="xsd:double"&gt;-3.10421&lt;/D&gt;&lt;D xsi:type="xsd:double"&gt;-1.2814701&lt;/D&gt;&lt;D xsi:type="xsd:double"&gt;2.2460938&lt;/D&gt;&lt;D xsi:type="xsd:double"&gt;3.0583858&lt;/D&gt;&lt;D xsi:type="xsd:double"&gt;3.4622312&lt;/D&gt;&lt;D xsi:type="xsd:double"&gt;-2.3468077&lt;/D&gt;&lt;D xsi:type="xsd:double"&gt;3.1152725&lt;/D&gt;&lt;D xsi:type="xsd:double"&gt;-1.9853294&lt;/D&gt;&lt;D xsi:type="xsd:double"&gt;6.207061&lt;/D&gt;&lt;D xsi:type="xsd:double"&gt;-6.032288&lt;/D&gt;&lt;D xsi:type="xsd:double"&gt;5.3797364&lt;/D&gt;&lt;D xsi:type="xsd:double"&gt;-4.290003&lt;/D&gt;&lt;D xsi:type="xsd:double"&gt;2.4204493&lt;/D&gt;&lt;D xsi:type="xsd:double"&gt;0.70022345&lt;/D&gt;&lt;D xsi:type="xsd:double"&gt;-0.39247274&lt;/D&gt;&lt;D xsi:type="xsd:double"&gt;0&lt;/D&gt;&lt;D xsi:type="xsd:double"&gt;-3.603202&lt;/D&gt;&lt;D xsi:type="xsd:double"&gt;-5.4914656&lt;/D&gt;&lt;D xsi:type="xsd:double"&gt;3.515637&lt;/D&gt;&lt;D xsi:type="xsd:double"&gt;-4.7169805&lt;/D&gt;&lt;D xsi:type="xsd:double"&gt;3.9107919&lt;/D&gt;&lt;D xsi:type="xsd:double"&gt;2.5235057&lt;/D&gt;&lt;D xsi:type="xsd:double"&gt;3.523171&lt;/D&gt;&lt;D xsi:type="xsd:double"&gt;0.93239546&lt;/D&gt;&lt;D xsi:type="xsd:double"&gt;0.27713776&lt;/D&gt;&lt;D xsi:type="xsd:double"&gt;4.0073752&lt;/D&gt;&lt;D xsi:type="xsd:double"&gt;1.9976258&lt;/D&gt;&lt;D xsi:type="xsd:double"&gt;-4.7851143&lt;/D&gt;&lt;D xsi:type="xsd:double"&gt;4.2345285&lt;/D&gt;&lt;D xsi:type="xsd:double"&gt;-1.160717&lt;/D&gt;&lt;D xsi:type="xsd:double"&gt;3.432703&lt;/D&gt;&lt;D xsi:type="xsd:double"&gt;-0.6550193&lt;/D&gt;&lt;D xsi:type="xsd:double"&gt;2.4475813&lt;/D&gt;&lt;D xsi:type="xsd:double"&gt;-0.08752942&lt;/D&gt;&lt;D xsi:type="xsd:double"&gt;-23.521687&lt;/D&gt;&lt;D xsi:type="xsd:double"&gt;-4.7537208&lt;/D&gt;&lt;D xsi:type="xsd:double"&gt;2.044499&lt;/D&gt;&lt;D xsi:type="xsd:double"&gt;11.078382&lt;/D&gt;&lt;D xsi:type="xsd:double"&gt;5.681753&lt;/D&gt;&lt;D xsi:type="xsd:double"&gt;5.094242&lt;/D&gt;&lt;D xsi:type="xsd:double"&gt;-2.326709&lt;/D&gt;&lt;D xsi:type="xsd:double"&gt;3.325057&lt;/D&gt;&lt;D xsi:type="xsd:double"&gt;7.2526455&lt;/D&gt;&lt;D xsi:type="xsd:double"&gt;6.35916&lt;/D&gt;&lt;D xsi:type="xsd:double"&gt;3.6936045&lt;/D&gt;&lt;D xsi:type="xsd:double"&gt;2.7846098&lt;/D&gt;&lt;D xsi:type="xsd:double"&gt;0.35856962&lt;/D&gt;&lt;D xsi:type="xsd:double"&gt;1.3100386&lt;/D&gt;&lt;D xsi:type="xsd:double"&gt;4.2319775&lt;/D&gt;&lt;D xsi:type="xsd:double"&gt;2.8803945&lt;/D&gt;&lt;D xsi:type="xsd:double"&gt;-3.2234132&lt;/D&gt;&lt;D xsi:type="xsd:double"&gt;1.4931083&lt;/D&gt;&lt;D xsi:type="xsd:double"&gt;-2.6782393&lt;/D&gt;&lt;D xsi:type="xsd:double"&gt;-1.2015462&lt;/D&gt;&lt;D xsi:type="xsd:double"&gt;1.3730884&lt;/D&gt;&lt;D xsi:type="xsd:double"&gt;-2.3219824&lt;/D&gt;&lt;D xsi:type="xsd:double"&gt;1.591289&lt;/D&gt;&lt;D xsi:type="xsd:double"&gt;-4.365402&lt;/D&gt;&lt;D xsi:type="xsd:double"&gt;3.0431032&lt;/D&gt;&lt;D xsi:type="xsd:double"&gt;7.7112436&lt;/D&gt;&lt;D xsi:type="xsd:double"&gt;-11.500382&lt;/D&gt;&lt;D xsi:type="xsd:double"&gt;-0.5893767&lt;/D&gt;&lt;D xsi:type="xsd:double"&gt;-7.2832823&lt;/D&gt;&lt;D xsi:type="xsd:double"&gt;11.036146&lt;/D&gt;&lt;D xsi:type="xsd:double"&gt;-2.9947937&lt;/D&gt;&lt;D xsi:type="xsd:double"&gt;-12.214762&lt;/D&gt;&lt;D xsi:type="xsd:double"&gt;16.207945&lt;/D&gt;&lt;D xsi:type="xsd:double"&gt;1.622808&lt;/D&gt;&lt;D xsi:type="xsd:double"&gt;2.697444&lt;/D&gt;&lt;D xsi:type="xsd:double"&gt;3.4674644&lt;/D&gt;&lt;D xsi:type="xsd:double"&gt;-7.9437313&lt;/D&gt;&lt;D xsi:type="xsd:double"&gt;4.494381&lt;/D&gt;&lt;D xsi:type="xsd:double"&gt;-1.1612952&lt;/D&gt;&lt;D xsi:type="xsd:double"&gt;-0.8588135&lt;/D&gt;&lt;D xsi:type="xsd:double"&gt;-0.2683401&lt;/D&gt;&lt;D xsi:type="xsd:double"&gt;-0.22421479&lt;/D&gt;&lt;D xsi:type="xsd:double"&gt;-0.89887977&lt;/D&gt;&lt;D xsi:type="xsd:double"&gt;-1.4512479&lt;/D&gt;&lt;D xsi:type="xsd:double"&gt;-1.6106784&lt;/D&gt;&lt;D xsi:type="xsd:double"&gt;6.6884995&lt;/D&gt;&lt;D xsi:type="xsd:double"&gt;5.8635473&lt;/D&gt;&lt;D xsi:type="xsd:double"&gt;-0.042265654&lt;/D&gt;&lt;D xsi:type="xsd:double"&gt;3.2135367&lt;/D&gt;&lt;D xsi:type="xsd:double"&gt;-0.24579763&lt;/D&gt;&lt;D xsi:type="xsd:double"&gt;0.5338788&lt;/D&gt;&lt;D xsi:type="xsd:double"&gt;0.1578331&lt;/D&gt;&lt;D xsi:type="xsd:double"&gt;5.0311923&lt;/D&gt;&lt;/FQL&gt;&lt;FQL&gt;&lt;Q&gt;EWG^FG_PRICE_MAVG(0,,,,30)&lt;/Q&gt;&lt;R&gt;1&lt;/R&gt;&lt;C&gt;1&lt;/C&gt;&lt;D xsi:type="xsd:double"&gt;31.086&lt;/D&gt;&lt;/FQL&gt;&lt;FQL&gt;&lt;Q&gt;EWD^P_PRICE(0)/P_PRICE_LOW_PR(0,,,,,,"PRICE","INTRA","52W")-1&lt;/Q&gt;&lt;R&gt;1&lt;/R&gt;&lt;C&gt;1&lt;/C&gt;&lt;D xsi:type="xsd:double"&gt;0.33094347&lt;/D&gt;&lt;/FQL&gt;&lt;FQL&gt;&lt;Q&gt;QQQ^P_PRICE(0)/P_PRICE_HIGH_PR(0,,,,,,"PRICE","INTRA","52W")&lt;/Q&gt;&lt;R&gt;1&lt;/R&gt;&lt;C&gt;1&lt;/C&gt;&lt;D xsi:type="xsd:double"&gt;0.97698206&lt;/D&gt;&lt;/FQL&gt;&lt;FQL&gt;&lt;Q&gt;ENZL^FG_TOTAL_RETURNC(0,-1AM)&lt;/Q&gt;&lt;R&gt;1&lt;/R&gt;&lt;C&gt;1&lt;/C&gt;&lt;D xsi:type="xsd:double"&gt;1.5601039&lt;/D&gt;&lt;/FQL&gt;&lt;FQL&gt;&lt;Q&gt;SPY^FMA_COS_DOWN("EPS","1M",+1,0,,,"PORTAGG","MEANR")&lt;/Q&gt;&lt;R&gt;1&lt;/R&gt;&lt;C&gt;1&lt;/C&gt;&lt;D xsi:type="xsd:double"&gt;191&lt;/D&gt;&lt;/FQL&gt;&lt;FQL&gt;&lt;Q&gt;EWC^FG_ROE(0)&lt;/Q&gt;&lt;R&gt;1&lt;/R&gt;&lt;C&gt;1&lt;/C&gt;&lt;D xsi:type="xsd:double"&gt;11.0265715544175&lt;/D&gt;&lt;/FQL&gt;&lt;FQL&gt;&lt;Q&gt;REFSEREPO-FDS^FG_YIELD(NOW,,,0)&lt;/Q&gt;&lt;R&gt;1&lt;/R&gt;&lt;C&gt;1&lt;/C&gt;&lt;D xsi:type="xsd:double"&gt;3.75&lt;/D&gt;&lt;/FQL&gt;&lt;FQL&gt;&lt;Q&gt;REFAUCASH-FDS^FG_YIELD(NOW,,,0)&lt;/Q&gt;&lt;R&gt;1&lt;/R&gt;&lt;C&gt;1&lt;/C&gt;&lt;D xsi:type="xsd:double"&gt;4.35&lt;/D&gt;&lt;/FQL&gt;&lt;FQL&gt;&lt;Q&gt;CC_NL^IMF_IFS_RCPI_Q(0)&lt;/Q&gt;&lt;R&gt;0&lt;/R&gt;&lt;C&gt;0&lt;/C&gt;&lt;/FQL&gt;&lt;FQL&gt;&lt;Q&gt;TLT^FG_TOTAL_RETURNC(0,-1AM)&lt;/Q&gt;&lt;R&gt;1&lt;/R&gt;&lt;C&gt;1&lt;/C&gt;&lt;D xsi:type="xsd:double"&gt;2.191937&lt;/D&gt;&lt;/FQL&gt;&lt;FQL&gt;&lt;Q&gt;EWA^JULIAN(FMA_ROE(NTMA,-20AY,NOW,FY,"PORTAGG","MEANR").DATES)&lt;/Q&gt;&lt;R&gt;20&lt;/R&gt;&lt;C&gt;1&lt;/C&gt;&lt;D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xsi:type="xsd:double"&gt;3.1928&lt;/D&gt;&lt;/FQL&gt;&lt;FQL&gt;&lt;Q&gt;USDJPY^FG_PRICE_CHANGE(0,-6AM)&lt;/Q&gt;&lt;R&gt;1&lt;/R&gt;&lt;C&gt;1&lt;/C&gt;&lt;D xsi:type="xsd:double"&gt;8.62565&lt;/D&gt;&lt;/FQL&gt;&lt;FQL&gt;&lt;Q&gt;NI-FDS^FG_PRICE_MAVG(0,,,,30)&lt;/Q&gt;&lt;R&gt;1&lt;/R&gt;&lt;C&gt;1&lt;/C&gt;&lt;D xsi:type="xsd:double"&gt;17639.166&lt;/D&gt;&lt;/FQL&gt;&lt;FQL&gt;&lt;Q&gt;BRENT-FDS^FG_PRICE_MAVG(0,,,,30)&lt;/Q&gt;&lt;R&gt;1&lt;/R&gt;&lt;C&gt;1&lt;/C&gt;&lt;D xsi:type="xsd:double"&gt;85.86&lt;/D&gt;&lt;/FQL&gt;&lt;FQL&gt;&lt;Q&gt;EWD^FG_PRICE_MAVG(0,,,,30)&lt;/Q&gt;&lt;R&gt;1&lt;/R&gt;&lt;C&gt;1&lt;/C&gt;&lt;D xsi:type="xsd:double"&gt;40.93133&lt;/D&gt;&lt;/FQL&gt;&lt;FQL&gt;&lt;Q&gt;URTH^FG_TOTAL_RETURNC(0,-6AM)&lt;/Q&gt;&lt;R&gt;1&lt;/R&gt;&lt;C&gt;1&lt;/C&gt;&lt;D xsi:type="xsd:double"&gt;14.818931&lt;/D&gt;&lt;/FQL&gt;&lt;FQL&gt;&lt;Q&gt;EWG^FG_TOTAL_RETURNC(0,-12AM)&lt;/Q&gt;&lt;R&gt;1&lt;/R&gt;&lt;C&gt;1&lt;/C&gt;&lt;D xsi:type="xsd:double"&gt;14.249492&lt;/D&gt;&lt;/FQL&gt;&lt;FQL&gt;&lt;Q&gt;TRYSE10Y-FDS^FG_YIELD_NAME&lt;/Q&gt;&lt;R&gt;1&lt;/R&gt;&lt;C&gt;1&lt;/C&gt;&lt;D xsi:type="xsd:string"&gt;Sweden Benchmark Bond - 10 Year&lt;/D&gt;&lt;/FQL&gt;&lt;FQL&gt;&lt;Q&gt;TRYIT10Y-FDS^FG_YIELD(0,,,,"YTM")&lt;/Q&gt;&lt;R&gt;1&lt;/R&gt;&lt;C&gt;1&lt;/C&gt;&lt;D xsi:type="xsd:double"&gt;3.773&lt;/D&gt;&lt;/FQL&gt;&lt;FQL&gt;&lt;Q&gt;EWD^FMA_EVAL_EBITDA(NTMA,0,,,"PORTAGG","MEANR")&lt;/Q&gt;&lt;R&gt;1&lt;/R&gt;&lt;C&gt;1&lt;/C&gt;&lt;D xsi:type="xsd:double"&gt;10.8769834425639&lt;/D&gt;&lt;/FQL&gt;&lt;FQL&gt;&lt;Q&gt;QQQ^FMA_PE(LTM,0,,,"PORTAGG","MEANR")&lt;/Q&gt;&lt;R&gt;1&lt;/R&gt;&lt;C&gt;1&lt;/C&gt;&lt;D xsi:type="xsd:double"&gt;36.1674139079856&lt;/D&gt;&lt;/FQL&gt;&lt;FQL&gt;&lt;Q&gt;EWG^FMA_DIV_YLD(NTMA,NOW,NOW,M,"PORTAGG","MEANR")&lt;/Q&gt;&lt;R&gt;1&lt;/R&gt;&lt;C&gt;1&lt;/C&gt;&lt;D xsi:type="xsd:double"&gt;3.41879576952376&lt;/D&gt;&lt;/FQL&gt;&lt;FQL&gt;&lt;Q&gt;CC_CH^FG_COMPANY_NAME&lt;/Q&gt;&lt;R&gt;1&lt;/R&gt;&lt;C&gt;1&lt;/C&gt;&lt;D xsi:type="xsd:string"&gt;Switzerland&lt;/D&gt;&lt;/FQL&gt;&lt;FQL&gt;&lt;Q&gt;EWD^FMA_EPS(NTMA,-20AY,0,CY,,"PORTAGG","MEANR")&lt;/Q&gt;&lt;R&gt;20&lt;/R&gt;&lt;C&gt;1&lt;/C&gt;&lt;D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xsi:type="xsd:double"&gt;2.51009258677616&lt;/D&gt;&lt;/FQL&gt;&lt;FQL&gt;&lt;Q&gt;ENZL^FG_TOTAL_RETURNC(-10AY,0,AM)&lt;/Q&gt;&lt;R&gt;121&lt;/R&gt;&lt;C&gt;1&lt;/C&gt;&lt;D xsi:type="xsd:double"&gt;1.5358686&lt;/D&gt;&lt;D xsi:type="xsd:double"&gt;-5.2969933&lt;/D&gt;&lt;D xsi:type="xsd:double"&gt;1.2317777&lt;/D&gt;&lt;D xsi:type="xsd:double"&gt;-5.3886294&lt;/D&gt;&lt;D xsi:type="xsd:double"&gt;6.5879345&lt;/D&gt;&lt;D xsi:type="xsd:double"&gt;-0.19699931&lt;/D&gt;&lt;D xsi:type="xsd:double"&gt;2.1203876&lt;/D&gt;&lt;D xsi:type="xsd:double"&gt;-1.8380463&lt;/D&gt;&lt;D xsi:type="xsd:double"&gt;-1.5938818&lt;/D&gt;&lt;D xsi:type="xsd:double"&gt;4.482889&lt;/D&gt;&lt;D xsi:type="xsd:double"&gt;-3.921634&lt;/D&gt;&lt;D xsi:type="xsd:double"&gt;-2.9457033&lt;/D&gt;&lt;D xsi:type="xsd:double"&gt;-6.6452026&lt;/D&gt;&lt;D xsi:type="xsd:double"&gt;-1.7691433&lt;/D&gt;&lt;D xsi:type="xsd:double"&gt;-5.8458805&lt;/D&gt;&lt;D xsi:type="xsd:double"&gt;5.926621&lt;/D&gt;&lt;D xsi:type="xsd:double"&gt;4.381287&lt;/D&gt;&lt;D xsi:type="xsd:double"&gt;2.4673939&lt;/D&gt;&lt;D xsi:type="xsd:double"&gt;-1.5007198&lt;/D&gt;&lt;D xsi:type="xsd:double"&gt;0.34335852&lt;/D&gt;&lt;D xsi:type="xsd:double"&gt;10.502279&lt;/D&gt;&lt;D xsi:type="xsd:double"&gt;5.0103307&lt;/D&gt;&lt;D xsi:type="xsd:double"&gt;2.5823832&lt;/D&gt;&lt;D xsi:type="xsd:double"&gt;3.620243&lt;/D&gt;&lt;D xsi:type="xsd:double"&gt;4.7432303&lt;/D&gt;&lt;D xsi:type="xsd:double"&gt;4.116559&lt;/D&gt;&lt;D xsi:type="xsd:double"&gt;2.363336&lt;/D&gt;&lt;D xsi:type="xsd:double"&gt;-8.753145&lt;/D&gt;&lt;D xsi:type="xsd:double"&gt;-5.590063&lt;/D&gt;&lt;D xsi:type="xsd:double"&gt;3.7889838&lt;/D&gt;&lt;D xsi:type="xsd:double"&gt;1.1108637&lt;/D&gt;&lt;D xsi:type="xsd:double"&gt;3.0987144&lt;/D&gt;&lt;D xsi:type="xsd:double"&gt;-3.4715712&lt;/D&gt;&lt;D xsi:type="xsd:double"&gt;1.7861366&lt;/D&gt;&lt;D xsi:type="xsd:double"&gt;2.8693438&lt;/D&gt;&lt;D xsi:type="xsd:double"&gt;4.103267&lt;/D&gt;&lt;D xsi:type="xsd:double"&gt;2.6796222&lt;/D&gt;&lt;D xsi:type="xsd:double"&gt;2.5043964&lt;/D&gt;&lt;D xsi:type="xsd:double"&gt;1.1358738&lt;/D&gt;&lt;D xsi:type="xsd:double"&gt;-0.89001656&lt;/D&gt;&lt;D xsi:type="xsd:double"&gt;-3.709644&lt;/D&gt;&lt;D xsi:type="xsd:double"&gt;3.4972787&lt;/D&gt;&lt;D xsi:type="xsd:double"&gt;4.45745&lt;/D&gt;&lt;D xsi:type="xsd:double"&gt;-2.2399008&lt;/D&gt;&lt;D xsi:type="xsd:double"&gt;6.1670303&lt;/D&gt;&lt;D xsi:type="xsd:double"&gt;1.2908459&lt;/D&gt;&lt;D xsi:type="xsd:double"&gt;-2.9669464&lt;/D&gt;&lt;D xsi:type="xsd:double"&gt;4.063201&lt;/D&gt;&lt;D xsi:type="xsd:double"&gt;-3.06499&lt;/D&gt;&lt;D xsi:type="xsd:double"&gt;-2.9622257&lt;/D&gt;&lt;D xsi:type="xsd:double"&gt;1.7053962&lt;/D&gt;&lt;D xsi:type="xsd:double"&gt;-6.287992&lt;/D&gt;&lt;D xsi:type="xsd:double"&gt;6.240213&lt;/D&gt;&lt;D xsi:type="xsd:double"&gt;0.2105236&lt;/D&gt;&lt;D xsi:type="xsd:double"&gt;2.0766497&lt;/D&gt;&lt;D xsi:type="xsd:double"&gt;1.990366&lt;/D&gt;&lt;D xsi:type="xsd:double"&gt;3.0608058&lt;/D&gt;&lt;D xsi:type="xsd:double"&gt;2.3121476&lt;/D&gt;&lt;D xsi:type="xsd:double"&gt;1.2078643&lt;/D&gt;&lt;D xsi:type="xsd:double"&gt;-0.94321966&lt;/D&gt;&lt;D xsi:type="xsd:double"&gt;7.07469&lt;/D&gt;&lt;D xsi:type="xsd:double"&gt;-1.3448775&lt;/D&gt;&lt;D xsi:type="xsd:double"&gt;0.6349206&lt;/D&gt;&lt;D xsi:type="xsd:double"&gt;-2.1710873&lt;/D&gt;&lt;D xsi:type="xsd:double"&gt;0.49316883&lt;/D&gt;&lt;D xsi:type="xsd:double"&gt;7.266903&lt;/D&gt;&lt;D xsi:type="xsd:double"&gt;2.8859138&lt;/D&gt;&lt;D xsi:type="xsd:double"&gt;-0.873363&lt;/D&gt;&lt;D xsi:type="xsd:double"&gt;-10.114538&lt;/D&gt;&lt;D xsi:type="xsd:double"&gt;-8.860999&lt;/D&gt;&lt;D xsi:type="xsd:double"&gt;6.883192&lt;/D&gt;&lt;D xsi:type="xsd:double"&gt;5.8563113&lt;/D&gt;&lt;D xsi:type="xsd:double"&gt;9.77&lt;/D&gt;&lt;D xsi:type="xsd:double"&gt;1.168263&lt;/D&gt;&lt;D xsi:type="xsd:double"&gt;0.39641857&lt;/D&gt;&lt;D xsi:type="xsd:double"&gt;5.3562164&lt;/D&gt;&lt;D xsi:type="xsd:double"&gt;6.3060164&lt;/D&gt;&lt;D xsi:type="xsd:double"&gt;3.908646&lt;/D&gt;&lt;D xsi:type="xsd:double"&gt;2.0949244&lt;/D&gt;&lt;D xsi:type="xsd:double"&gt;-3.032732&lt;/D&gt;&lt;D xsi:type="xsd:double"&gt;-4.273123&lt;/D&gt;&lt;D xsi:type="xsd:double"&gt;-0.6613076&lt;/D&gt;&lt;D xsi:type="xsd:double"&gt;1.8227935&lt;/D&gt;&lt;D xsi:type="xsd:double"&gt;-2.519226&lt;/D&gt;&lt;D xsi:type="xsd:double"&gt;-0.12891293&lt;/D&gt;&lt;D xsi:type="xsd:double"&gt;-0.46789646&lt;/D&gt;&lt;D xsi:type="xsd:double"&gt;2.7232885&lt;/D&gt;&lt;D xsi:type="xsd:double"&gt;-3.0298233&lt;/D&gt;&lt;D xsi:type="xsd:double"&gt;1.0740399&lt;/D&gt;&lt;D xsi:type="xsd:double"&gt;-5.0635996&lt;/D&gt;&lt;D xsi:type="xsd:double"&gt;-0.54324865&lt;/D&gt;&lt;D xsi:type="xsd:double"&gt;-7.323408&lt;/D&gt;&lt;D xsi:type="xsd:double"&gt;0.6538391&lt;/D&gt;&lt;D xsi:type="xsd:double"&gt;-0.519681&lt;/D&gt;&lt;D xsi:type="xsd:double"&gt;-13.264918&lt;/D&gt;&lt;D xsi:type="xsd:double"&gt;-0.56984425&lt;/D&gt;&lt;D xsi:type="xsd:double"&gt;-2.4053931&lt;/D&gt;&lt;D xsi:type="xsd:double"&gt;11.594522&lt;/D&gt;&lt;D xsi:type="xsd:double"&gt;-3.7781298&lt;/D&gt;&lt;D xsi:type="xsd:double"&gt;-15.350884&lt;/D&gt;&lt;D xsi:type="xsd:double"&gt;13.200104&lt;/D&gt;&lt;D xsi:type="xsd:double"&gt;8.06452&lt;/D&gt;&lt;D xsi:type="xsd:double"&gt;0.91047287&lt;/D&gt;&lt;D xsi:type="xsd:double"&gt;3.5147667&lt;/D&gt;&lt;D xsi:type="xsd:double"&gt;-7.217699&lt;/D&gt;&lt;D xsi:type="xsd:double"&gt;3.7222862&lt;/D&gt;&lt;D xsi:type="xsd:double"&gt;1.8749952&lt;/D&gt;&lt;D xsi:type="xsd:double"&gt;-4.840165&lt;/D&gt;&lt;D xsi:type="xsd:double"&gt;2.9875398&lt;/D&gt;&lt;D xsi:type="xsd:double"&gt;-3.9363682&lt;/D&gt;&lt;D xsi:type="xsd:double"&gt;-5.5626335&lt;/D&gt;&lt;D xsi:type="xsd:double"&gt;1.2589931&lt;/D&gt;&lt;D xsi:type="xsd:double"&gt;-2.975136&lt;/D&gt;&lt;D xsi:type="xsd:double"&gt;6.6132665&lt;/D&gt;&lt;D xsi:type="xsd:double"&gt;4.8198223&lt;/D&gt;&lt;D xsi:type="xsd:double"&gt;-2.6964903&lt;/D&gt;&lt;D xsi:type="xsd:double"&gt;-1.1707783&lt;/D&gt;&lt;D xsi:type="xsd:double"&gt;-1.4237642&lt;/D&gt;&lt;D xsi:type="xsd:double"&gt;-0.15435219&lt;/D&gt;&lt;D xsi:type="xsd:double"&gt;1.2781024&lt;/D&gt;&lt;D xsi:type="xsd:double"&gt;1.5601039&lt;/D&gt;&lt;/FQL&gt;&lt;FQL&gt;&lt;Q&gt;EWL^FMA_PE(LTMA,-10AY,0,AM,"PORTAGG","MEANR")&lt;/Q&gt;&lt;R&gt;121&lt;/R&gt;&lt;C&gt;1&lt;/C&gt;&lt;D xsi:type="xsd:double"&gt;17.0572744019681&lt;/D&gt;&lt;D xsi:type="xsd:double"&gt;17.0201943865286&lt;/D&gt;&lt;D xsi:type="xsd:double"&gt;17.4383490665364&lt;/D&gt;&lt;D xsi:type="xsd:double"&gt;16.6282282876558&lt;/D&gt;&lt;D xsi:type="xsd:double"&gt;17.4659508185089&lt;/D&gt;&lt;D xsi:type="xsd:double"&gt;17.367672942273&lt;/D&gt;&lt;D xsi:type="xsd:double"&gt;17.2204408039944&lt;/D&gt;&lt;D xsi:type="xsd:double"&gt;17.0895644953238&lt;/D&gt;&lt;D xsi:type="xsd:double"&gt;17.9577365532647&lt;/D&gt;&lt;D xsi:type="xsd:double"&gt;18.2018605615944&lt;/D&gt;&lt;D xsi:type="xsd:double"&gt;18.0148205741411&lt;/D&gt;&lt;D xsi:type="xsd:double"&gt;18.0059261268862&lt;/D&gt;&lt;D xsi:type="xsd:double"&gt;17.9707290652863&lt;/D&gt;&lt;D xsi:type="xsd:double"&gt;18.073800099185&lt;/D&gt;&lt;D xsi:type="xsd:double"&gt;17.304875112429&lt;/D&gt;&lt;D xsi:type="xsd:double"&gt;17.4293642447104&lt;/D&gt;&lt;D xsi:type="xsd:double"&gt;17.586716598037&lt;/D&gt;&lt;D xsi:type="xsd:double"&gt;17.009780886121&lt;/D&gt;&lt;D xsi:type="xsd:double"&gt;16.21699574218&lt;/D&gt;&lt;D xsi:type="xsd:double"&gt;15.7553271668349&lt;/D&gt;&lt;D xsi:type="xsd:double"&gt;16.6658410291933&lt;/D&gt;&lt;D xsi:type="xsd:double"&gt;16.654973376306&lt;/D&gt;&lt;D xsi:type="xsd:double"&gt;16.867741129858&lt;/D&gt;&lt;D xsi:type="xsd:double"&gt;16.9699568280293&lt;/D&gt;&lt;D xsi:type="xsd:double"&gt;17.2562268892292&lt;/D&gt;&lt;D xsi:type="xsd:double"&gt;17.9366084140957&lt;/D&gt;&lt;D xsi:type="xsd:double"&gt;18.0029716744111&lt;/D&gt;&lt;D xsi:type="xsd:double"&gt;17.9517492132187&lt;/D&gt;&lt;D xsi:type="xsd:double"&gt;17.6093166174343&lt;/D&gt;&lt;D xsi:type="xsd:double"&gt;17.8654886768&lt;/D&gt;&lt;D xsi:type="xsd:double"&gt;18.581290538774</t>
        </r>
      </text>
    </comment>
    <comment ref="A12" authorId="0" shapeId="0" xr:uid="{0C3508CE-638D-4909-A18B-609DED033908}">
      <text>
        <r>
          <rPr>
            <b/>
            <sz val="9"/>
            <color indexed="81"/>
            <rFont val="Tahoma"/>
            <charset val="1"/>
          </rPr>
          <t>&lt;/D&gt;&lt;D xsi:type="xsd:double"&gt;18.6964860850329&lt;/D&gt;&lt;D xsi:type="xsd:double"&gt;19.6418627422661&lt;/D&gt;&lt;D xsi:type="xsd:double"&gt;19.4235754471795&lt;/D&gt;&lt;D xsi:type="xsd:double"&gt;19.5193426661781&lt;/D&gt;&lt;D xsi:type="xsd:double"&gt;19.4440607452971&lt;/D&gt;&lt;D xsi:type="xsd:double"&gt;19.2546954714736&lt;/D&gt;&lt;D xsi:type="xsd:double"&gt;19.1066122872748&lt;/D&gt;&lt;D xsi:type="xsd:double"&gt;19.2584885629572&lt;/D&gt;&lt;D xsi:type="xsd:double"&gt;19.6818603774438&lt;/D&gt;&lt;D xsi:type="xsd:double"&gt;20.0782577995439&lt;/D&gt;&lt;D xsi:type="xsd:double"&gt;20.4135400265499&lt;/D&gt;&lt;D xsi:type="xsd:double"&gt;20.9909598295731&lt;/D&gt;&lt;D xsi:type="xsd:double"&gt;19.9728933721012&lt;/D&gt;&lt;D xsi:type="xsd:double"&gt;21.0915390608396&lt;/D&gt;&lt;D xsi:type="xsd:double"&gt;20.5115136336468&lt;/D&gt;&lt;D xsi:type="xsd:double"&gt;20.2243768769774&lt;/D&gt;&lt;D xsi:type="xsd:double"&gt;19.573803109059&lt;/D&gt;&lt;D xsi:type="xsd:double"&gt;19.2323214747624&lt;/D&gt;&lt;D xsi:type="xsd:double"&gt;19.0094286970982&lt;/D&gt;&lt;D xsi:type="xsd:double"&gt;18.5832341078204&lt;/D&gt;&lt;D xsi:type="xsd:double"&gt;17.6376097795367&lt;/D&gt;&lt;D xsi:type="xsd:double"&gt;17.9999144029141&lt;/D&gt;&lt;D xsi:type="xsd:double"&gt;17.0229272260667&lt;/D&gt;&lt;D xsi:type="xsd:double"&gt;16.970166277382&lt;/D&gt;&lt;D xsi:type="xsd:double"&gt;17.5633297962591&lt;/D&gt;&lt;D xsi:type="xsd:double"&gt;18.2801141625831&lt;/D&gt;&lt;D xsi:type="xsd:double"&gt;18.2988873417235&lt;/D&gt;&lt;D xsi:type="xsd:double"&gt;18.096693669386&lt;/D&gt;&lt;D xsi:type="xsd:double"&gt;18.2954897191905&lt;/D&gt;&lt;D xsi:type="xsd:double"&gt;18.3043027541262&lt;/D&gt;&lt;D xsi:type="xsd:double"&gt;18.1917427011976&lt;/D&gt;&lt;D xsi:type="xsd:double"&gt;18.5000476945669&lt;/D&gt;&lt;D xsi:type="xsd:double"&gt;18.4238054997665&lt;/D&gt;&lt;D xsi:type="xsd:double"&gt;18.855282770609&lt;/D&gt;&lt;D xsi:type="xsd:double"&gt;19.0747208015079&lt;/D&gt;&lt;D xsi:type="xsd:double"&gt;19.6126700682027&lt;/D&gt;&lt;D xsi:type="xsd:double"&gt;20.1813322520407&lt;/D&gt;&lt;D xsi:type="xsd:double"&gt;17.7865305864309&lt;/D&gt;&lt;D xsi:type="xsd:double"&gt;18.1273033007994&lt;/D&gt;&lt;D xsi:type="xsd:double"&gt;18.6941145583302&lt;/D&gt;&lt;D xsi:type="xsd:double"&gt;19.1599178522134&lt;/D&gt;&lt;D xsi:type="xsd:double"&gt;19.87898308013&lt;/D&gt;&lt;D xsi:type="xsd:double"&gt;20.2565752698563&lt;/D&gt;&lt;D xsi:type="xsd:double"&gt;20.8774630508209&lt;/D&gt;&lt;D xsi:type="xsd:double"&gt;20.9920117800959&lt;/D&gt;&lt;D xsi:type="xsd:double"&gt;21.2111521857934&lt;/D&gt;&lt;D xsi:type="xsd:double"&gt;21.0825476094379&lt;/D&gt;&lt;D xsi:type="xsd:double"&gt;22.0515718137131&lt;/D&gt;&lt;D xsi:type="xsd:double"&gt;21.2022557455181&lt;/D&gt;&lt;D xsi:type="xsd:double"&gt;20.488170063551&lt;/D&gt;&lt;D xsi:type="xsd:double"&gt;20.6298686066957&lt;/D&gt;&lt;D xsi:type="xsd:double"&gt;20.375835607984&lt;/D&gt;&lt;D xsi:type="xsd:double"&gt;20.8677443041449&lt;/D&gt;&lt;D xsi:type="xsd:double"&gt;20.894420909583&lt;/D&gt;&lt;D xsi:type="xsd:double"&gt;21.1068133772982&lt;/D&gt;&lt;D xsi:type="xsd:double"&gt;20.8101064904038&lt;/D&gt;&lt;D xsi:type="xsd:double"&gt;20.2151664231137&lt;/D&gt;&lt;D xsi:type="xsd:double"&gt;20.9452498457163&lt;/D&gt;&lt;D xsi:type="xsd:double"&gt;21.0987971381865&lt;/D&gt;&lt;D xsi:type="xsd:double"&gt;21.0652878438929&lt;/D&gt;&lt;D xsi:type="xsd:double"&gt;18.6843066457989&lt;/D&gt;&lt;D xsi:type="xsd:double"&gt;18.3477996915388&lt;/D&gt;&lt;D xsi:type="xsd:double"&gt;18.7112642392478&lt;/D&gt;&lt;D xsi:type="xsd:double"&gt;18.1488779555304&lt;/D&gt;&lt;D xsi:type="xsd:double"&gt;17.7423271552821&lt;/D&gt;&lt;D xsi:type="xsd:double"&gt;17.7259797990964&lt;/D&gt;&lt;D xsi:type="xsd:double"&gt;18.4347254525806&lt;/D&gt;&lt;D xsi:type="xsd:double"&gt;17.9840443064741&lt;/D&gt;&lt;D xsi:type="xsd:double"&gt;16.7412266473744&lt;/D&gt;&lt;D xsi:type="xsd:double"&gt;19.7506849150101&lt;/D&gt;&lt;D xsi:type="xsd:double"&gt;20.350156298494&lt;/D&gt;&lt;D xsi:type="xsd:double"&gt;21.1454829308094&lt;/D&gt;&lt;D xsi:type="xsd:double"&gt;21.1586703077434&lt;/D&gt;&lt;D xsi:type="xsd:double"&gt;20.5237710255832&lt;/D&gt;&lt;D xsi:type="xsd:double"&gt;20.3925097652976&lt;/D&gt;&lt;D xsi:type="xsd:double"&gt;20.2033334670339&lt;/D&gt;&lt;D xsi:type="xsd:double"&gt;19.4821536798564&lt;/D&gt;&lt;D xsi:type="xsd:double"&gt;19.049803697643&lt;/D&gt;&lt;D xsi:type="xsd:double"&gt;18.9493671581674&lt;/D&gt;&lt;D xsi:type="xsd:double"&gt;18.6192594211764&lt;/D&gt;&lt;D xsi:type="xsd:double"&gt;18.5039230415476&lt;/D&gt;&lt;D xsi:type="xsd:double"&gt;17.6171861317345&lt;/D&gt;&lt;D xsi:type="xsd:double"&gt;18.2582204846621&lt;/D&gt;&lt;D xsi:type="xsd:double"&gt;18.2829523425113&lt;/D&gt;&lt;D xsi:type="xsd:double"&gt;18.6877126428436&lt;/D&gt;&lt;D xsi:type="xsd:double"&gt;19.2152330819594&lt;/D&gt;&lt;D xsi:type="xsd:double"&gt;18.9855034555814&lt;/D&gt;&lt;D xsi:type="xsd:double"&gt;18.8862665224575&lt;/D&gt;&lt;D xsi:type="xsd:double"&gt;18.8689936313858&lt;/D&gt;&lt;D xsi:type="xsd:double"&gt;18.7773584771174&lt;/D&gt;&lt;/FQL&gt;&lt;FQL&gt;&lt;Q&gt;EWN^FG_PRICE_MAVG(0,,,,200)&lt;/Q&gt;&lt;R&gt;1&lt;/R&gt;&lt;C&gt;1&lt;/C&gt;&lt;D xsi:type="xsd:double"&gt;45.77581&lt;/D&gt;&lt;/FQL&gt;&lt;FQL&gt;&lt;Q&gt;EWA^FG_PRICE_MAVG(0,,,,60)&lt;/Q&gt;&lt;R&gt;1&lt;/R&gt;&lt;C&gt;1&lt;/C&gt;&lt;D xsi:type="xsd:double"&gt;24.3895&lt;/D&gt;&lt;/FQL&gt;&lt;FQL&gt;&lt;Q&gt;FXI^FMA_COS_DOWN("EPS","1M",+1,0,,,"PORTAGG","MEANR")&lt;/Q&gt;&lt;R&gt;1&lt;/R&gt;&lt;C&gt;1&lt;/C&gt;&lt;D xsi:type="xsd:double"&gt;21&lt;/D&gt;&lt;/FQL&gt;&lt;FQL&gt;&lt;Q&gt;REFSEREPO-FDS^PROPER_NAME(0,,,"SECURITY","NAME")&lt;/Q&gt;&lt;R&gt;1&lt;/R&gt;&lt;C&gt;1&lt;/C&gt;&lt;D xsi:type="xsd:string"&gt;Sweden Repo Rate&lt;/D&gt;&lt;/FQL&gt;&lt;FQL&gt;&lt;Q&gt;REFNZOCR-FDS^(SUBARRAY(NOT_NA(NO_REPEAT_F(FG_YIELD(NOW,-10AY,D))),0,1)-SUBARRAY(NOT_NA(NO_REPEAT_F(FG_YIELD(NOW,-10AY,D))),1,1))*100&lt;/Q&gt;&lt;R&gt;1&lt;/R&gt;&lt;C&gt;1&lt;/C&gt;&lt;D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xsi:type="xsd:double"&gt;25&lt;/D&gt;&lt;/FQL&gt;&lt;FQL&gt;&lt;Q&gt;USO^P_PRICE(0)/P_PRICE_HIGH_PR(0,,,USD,,,"PRICE","INTRA","52W")&lt;/Q&gt;&lt;R&gt;1&lt;/R&gt;&lt;C&gt;1&lt;/C&gt;&lt;D xsi:type="xsd:double"&gt;0.9703872&lt;/D&gt;&lt;/FQL&gt;&lt;FQL&gt;&lt;Q&gt;TRYID10Y-FDS^FG_YIELD(-10AY,0,Y,,"YTM")&lt;/Q&gt;&lt;R&gt;10&lt;/R&gt;&lt;C&gt;1&lt;/C&gt;&lt;D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xsi:type="xsd:double"&gt;5.1912&lt;/D&gt;&lt;/FQL&gt;&lt;FQL&gt;&lt;Q&gt;NI-FDS^FG_PRICE(0)&lt;/Q&gt;&lt;R&gt;1&lt;/R&gt;&lt;C&gt;1&lt;/C&gt;&lt;D xsi:type="xsd:double"&gt;16630&lt;/D&gt;&lt;/FQL&gt;&lt;FQL&gt;&lt;Q&gt;URTH^FG_TOTAL_RETURNC(0,-3AM)&lt;/Q&gt;&lt;R&gt;1&lt;/R&gt;&lt;C&gt;1&lt;/C&gt;&lt;D xsi:type="xsd:double"&gt;6.481302&lt;/D&gt;&lt;/FQL&gt;&lt;FQL&gt;&lt;Q&gt;EWD^FG_TOTAL_RETURNC(0,-3AM)&lt;/Q&gt;&lt;R&gt;1&lt;/R&gt;&lt;C&gt;1&lt;/C&gt;&lt;D xsi:type="xsd:double"&gt;4.8990607&lt;/D&gt;&lt;/FQL&gt;&lt;FQL&gt;&lt;Q&gt;EWG^FG_TOTAL_RETURNC(0,-6AM)&lt;/Q&gt;&lt;R&gt;1&lt;/R&gt;&lt;C&gt;1&lt;/C&gt;&lt;D xsi:type="xsd:double"&gt;10.329735&lt;/D&gt;&lt;/FQL&gt;&lt;FQL&gt;&lt;Q&gt;QQQ^SIZE(FG_CONSTITUENTS)&lt;/Q&gt;&lt;R&gt;1&lt;/R&gt;&lt;C&gt;1&lt;/C&gt;&lt;D xsi:type="xsd:long"&gt;102&lt;/D&gt;&lt;/FQL&gt;&lt;FQL&gt;&lt;Q&gt;TRYNL10Y-FDS^FG_YIELD_NAME&lt;/Q&gt;&lt;R&gt;1&lt;/R&gt;&lt;C&gt;1&lt;/C&gt;&lt;D xsi:type="xsd:string"&gt;Netherlands Benchmark Bond - 10 Year&lt;/D&gt;&lt;/FQL&gt;&lt;FQL&gt;&lt;Q&gt;EWD^FG_FCF_YIELD_NTM(0)&lt;/Q&gt;&lt;R&gt;1&lt;/R&gt;&lt;C&gt;1&lt;/C&gt;&lt;D xsi:type="xsd:double"&gt;5.14939397507916&lt;/D&gt;&lt;/FQL&gt;&lt;FQL&gt;&lt;Q&gt;QQQ^JULIAN(FMA_DIV_YLD(NTMA,NOW,NOW,M,"PORTAGG","MEANR").DATES)&lt;/Q&gt;&lt;R&gt;1&lt;/R&gt;&lt;C&gt;1&lt;/C&gt;&lt;D xsi:type="xsd:long"&gt;45471&lt;/D&gt;&lt;/FQL&gt;&lt;FQL&gt;&lt;Q&gt;EWG^FMA_PE(NTMA,0,,,"PORTAGG","MEANR")&lt;/Q&gt;&lt;R&gt;1&lt;/R&gt;&lt;C&gt;1&lt;/C&gt;&lt;D xsi:type="xsd:double"&gt;11.807159539009&lt;/D&gt;&lt;/FQL&gt;&lt;FQL&gt;&lt;Q&gt;USDJPY^FG_COMPANY_NAME&lt;/Q&gt;&lt;R&gt;1&lt;/R&gt;&lt;C&gt;1&lt;/C&gt;&lt;D xsi:type="xsd:string"&gt;Japanese Yen per U.S. Dollar&lt;/D&gt;&lt;/FQL&gt;&lt;FQL&gt;&lt;Q&gt;EWU^FMA_EPS(NTMA,-20AY,0,CY,,"PORTAGG","MEANR")&lt;/Q&gt;&lt;R&gt;20&lt;/R&gt;&lt;C&gt;1&lt;/C&gt;&lt;D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xsi:type="xsd:double"&gt;2.53485794644246&lt;/D&gt;&lt;D xsi:type="xsd:double"&gt;2.03507562384137&lt;/D&gt;&lt;D xsi:type="xsd:double"&gt;2.71427224340632&lt;/D&gt;&lt;D xsi:type="xsd:double"&gt;3.12760121442787&lt;/D&gt;&lt;D xsi:type="xsd:double"&gt;3.00269886912718&lt;/D&gt;&lt;/FQL&gt;&lt;FQL&gt;&lt;Q&gt;ENZL^JULIAN(FG_TOTAL_RETURNC(-10AY,0,AM).DATES)&lt;/Q&gt;&lt;R&gt;121&lt;/R&gt;&lt;C&gt;1&lt;/C&gt;&lt;D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xsi:type="xsd:long"&gt;45393&lt;/D&gt;&lt;D xsi:type="xsd:long"&gt;45422&lt;/D&gt;&lt;D xsi:type="xsd:long"&gt;45454&lt;/D&gt;&lt;D xsi:type="xsd:long"&gt;45484&lt;/D&gt;&lt;/FQL&gt;&lt;FQL&gt;&lt;Q&gt;EWJ^FMA_PE(LTMA,-10AY,0,AM,"PORTAGG","MEANR")&lt;/Q&gt;&lt;R&gt;121&lt;/R&gt;&lt;C&gt;1&lt;/C&gt;&lt;D xsi:type="xsd:double"&gt;15.1876667938493&lt;/D&gt;&lt;D xsi:type="xsd:double"&gt;14.9660388038514&lt;/D&gt;&lt;D xsi:type="xsd:double"&gt;15.2328550519898&lt;/D&gt;&lt;D xsi:type="xsd:double"&gt;14.6983497259631&lt;/D&gt;&lt;D xsi:type="xsd:double"&gt;15.7437846241602&lt;/D&gt;&lt;D xsi:type="xsd:double"&gt;15.6419922454167&lt;/D&gt;&lt;D xsi:type="xsd:double"&gt;15.5625901440065&lt;/D&gt;&lt;D xsi:type="xsd:double"&gt;15.775651640085&lt;/D&gt;&lt;D xsi:type="xsd:double"&gt;16.8778533600497&lt;/D&gt;&lt;D xsi:type="xsd:double"&gt;16.9086024667639&lt;/D&gt;&lt;D xsi:type="xsd:double"&gt;16.9595808291801&lt;/D&gt;&lt;D xsi:type="xsd:double"&gt;17.0082793018715&lt;/D&gt;&lt;D xsi:type="xsd:double"&gt;16.4777221502367&lt;/D&gt;&lt;D xsi:type="xsd:double"&gt;16.9513512083092&lt;/D&gt;&lt;D xsi:type="xsd:double"&gt;15.4554872071275&lt;/D&gt;&lt;D xsi:type="xsd:double"&gt;15.6083422029541&lt;/D&gt;&lt;D xsi:type="xsd:double"&gt;16.1923365552196&lt;/D&gt;&lt;D xsi:type="xsd:double"&gt;15.7344265555179&lt;/D&gt;&lt;D xsi:type="xsd:double"&gt;14.6395682307881&lt;/D&gt;&lt;D xsi:type="xsd:double"&gt;13.0545657044529&lt;/D&gt;&lt;D xsi:type="xsd:double"&gt;13.8980621957561&lt;/D&gt;&lt;D xsi:type="xsd:double"&gt;13.6258164058338&lt;/D&gt;&lt;D xsi:type="xsd:double"&gt;13.8376359310508&lt;/D&gt;&lt;D xsi:type="xsd:double"&gt;14.0301570735055&lt;/D&gt;&lt;D xsi:type="xsd:double"&gt;13.7526772907481&lt;/D&gt;&lt;D xsi:type="xsd:double"&gt;14.0870045472117&lt;/D&gt;&lt;D xsi:type="xsd:double"&gt;14.4021382193022&lt;/D&gt;&lt;D xsi:type="xsd:double"&gt;14.4541319662101&lt;/D&gt;&lt;D xsi:type="xsd:double"&gt;14.726368354767&lt;/D&gt;&lt;D xsi:type="xsd:double"&gt;16.4007547075462&lt;/D&gt;&lt;D xsi:type="xsd:double"&gt;16.7136866081716&lt;/D&gt;&lt;D xsi:type="xsd:double"&gt;16.3935407048128&lt;/D&gt;&lt;D xsi:type="xsd:double"&gt;15.9556360058039&lt;/D&gt;&lt;D xsi:type="xsd:double"&gt;15.6079172909583&lt;/D&gt;&lt;D xsi:type="xsd:double"&gt;15.7228038425008&lt;/D&gt;&lt;D xsi:type="xsd:double"&gt;15.6504208498473&lt;/D&gt;&lt;D xsi:type="xsd:double"&gt;15.5345717234751&lt;/D&gt;&lt;D xsi:type="xsd:double"&gt;15.1952121941301&lt;/D&gt;&lt;D xsi:type="xsd:double"&gt;14.7850834332444&lt;/D&gt;&lt;D xsi:type="xsd:double"&gt;15.05692787685&lt;/D&gt;&lt;D xsi:type="xsd:double"&gt;15.8660551661815&lt;/D&gt;&lt;D xsi:type="xsd:double"&gt;16.2671424816563&lt;/D&gt;&lt;D xsi:type="xsd:double"&gt;17.0347338282773&lt;/D&gt;&lt;D xsi:type="xsd:double"&gt;15.18742475902&lt;/D&gt;&lt;D xsi:type="xsd:double"&gt;14.3828924480937&lt;/D&gt;&lt;D xsi:type="xsd:double"&gt;14.2361664154318&lt;/D&gt;&lt;D xsi:type="xsd:double"&gt;14.3065771505919&lt;/D&gt;&lt;D xsi:type="xsd:double"&gt;14.1753839717359&lt;/D&gt;&lt;D xsi:type="xsd:double"&gt;13.7674428918904&lt;/D&gt;&lt;D xsi:type="xsd:double"&gt;13.6898952277831&lt;/D&gt;&lt;D xsi:type="xsd:double"&gt;13.4049735973249&lt;/D&gt;&lt;D xsi:type="xsd:double"&gt;13.2581926299185&lt;/D&gt;&lt;D xsi:type="xsd:double"&gt;12.9243749325811&lt;/D&gt;&lt;D xsi:type="xsd:double"&gt;12.1755550802937&lt;/D&gt;&lt;D xsi:type="xsd:double"&gt;11.7916340124008&lt;/D&gt;&lt;D xsi:type="xsd:double"&gt;12.054706773505&lt;/D&gt;&lt;D xsi:type="xsd:double"&gt;12.6577263890739&lt;/D&gt;&lt;D xsi:type="xsd:double"&gt;12.7281548725462&lt;/D&gt;&lt;D xsi:type="xsd:double"&gt;12.6222250240842&lt;/D&gt;&lt;D xsi:type="xsd:double"&gt;12.828834508555&lt;/D&gt;&lt;D xsi:type="xsd:double"&gt;12.9937825057202&lt;/D&gt;&lt;D xsi:type="xsd:double"&gt;12.7371439939319&lt;/D&gt;&lt;D xsi:type="xsd:double"&gt;13.3407385929292&lt;/D&gt;&lt;D xsi:type="xsd:double"&gt;13.5026269659587&lt;/D&gt;&lt;D xsi:type="xsd:double"&gt;14.4452325080344&lt;/D&gt;&lt;D xsi:type="xsd:double"&gt;15.0425610863395&lt;/D&gt;&lt;D xsi:type="xsd:double"&gt;15.4591429465003&lt;/D&gt;&lt;D xsi:type="xsd:double"&gt;15.3569144018523&lt;/D&gt;&lt;D xsi:type="xsd:double"&gt;13.7683132310539&lt;/D&gt;&lt;D xsi:type="xsd:double"&gt;13.8930910407238&lt;/D&gt;&lt;D xsi:type="xsd:double"&gt;14.5102030294009&lt;/D&gt;&lt;D xsi:type="xsd:double"&gt;16.3212899851035&lt;/D&gt;&lt;D xsi:type="xsd:double"&gt;17.1175849154485&lt;/D&gt;&lt;D xsi:type="xsd:double"&gt;18.2981509478946&lt;/D&gt;&lt;D xsi:type="xsd:double"&gt;19.5249453103872&lt;/D&gt;&lt;D xsi:type="xsd:double"&gt;20.471041769395&lt;/D&gt;&lt;D xsi:type="xsd:double"&gt;21.917619296594&lt;/D&gt;&lt;D xsi:type="xsd:double"&gt;22.7323814467418&lt;/D&gt;&lt;D xsi:type="xsd:double"&gt;23.9895118380375&lt;/D&gt;&lt;D xsi:type="xsd:double"&gt;23.7397587357309&lt;/D&gt;&lt;D xsi:type="xsd:double"&gt;21.5502239323026&lt;/D&gt;&lt;D xsi:type="xsd:double"&gt;21.2109845573332&lt;/D&gt;&lt;D xsi:type="xsd:double"&gt;20.5639757946942&lt;/D&gt;&lt;D xsi:type="xsd:double"&gt;20.1178243068643&lt;/D&gt;&lt;D xsi:type="xsd:double"&gt;19.4675772307452&lt;/D&gt;&lt;D xsi:type="xsd:double"&gt;19.030019008139&lt;/D&gt;&lt;D xsi:type="xsd:double"&gt;18.8208438959828&lt;/D&gt;&lt;D xsi:type="xsd:double"&gt;17.7358889344209&lt;/D&gt;&lt;D xsi:type="xsd:double"&gt;17.4165364360668&lt;/D&gt;&lt;D xsi:type="xsd:double"&gt;16.4080912074262&lt;/D&gt;&lt;D xsi:type="xsd:double"&gt;16.0102304309239&lt;/D&gt;&lt;D xsi:type="xsd:double"&gt;15.411752175885&lt;/D&gt;&lt;D xsi:type="xsd:double"&gt;14.5151455437849&lt;/D&gt;&lt;D xsi:type="xsd:double"&gt;14.4562681843291&lt;/D&gt;&lt;D xsi:type="xsd:double"&gt;14.1452240417267&lt;/D&gt;&lt;D xsi:type="xsd:double"&gt;14.2245688782032&lt;/D&gt;&lt;D xsi:type="xsd:double"&gt;13.9318939732331&lt;/D&gt;&lt;D xsi:type="xsd:double"&gt;13.874513912424&lt;/D&gt;&lt;D xsi:type="xsd:double"&gt;13.7644467787486&lt;/D&gt;&lt;D xsi:type="xsd:double"&gt;13.0475058319507&lt;/D&gt;&lt;D xsi:type="xsd:double"&gt;13.5397538741566&lt;/D&gt;&lt;D xsi:type="xsd:double"&gt;13.3748552408007&lt;/D&gt;&lt;D xsi:type="xsd:double"&gt;12.8774996711906&lt;/D&gt;&lt;D xsi:type="xsd:double"&gt;13.5554160303936&lt;/D&gt;&lt;D xsi:type="xsd:double"&gt;13.6807169779577&lt;/D&gt;&lt;D xsi:type="xsd:double"&gt;13.6354496326516&lt;/D&gt;&lt;D xsi:type="xsd:double"&gt;13.829465157894&lt;/D&gt;&lt;D xsi:type="xsd:double"&gt;14.3042008761821&lt;/D&gt;&lt;D xsi:type="xsd:double"&gt;14.4233598679109&lt;/D&gt;&lt;D xsi:type="xsd:double"&gt;14.6602819335812&lt;/D&gt;&lt;D xsi:type="xsd:double"&gt;14.922409470097&lt;/D&gt;&lt;D xsi:type="xsd:double"&gt;14.7693548336566&lt;/D&gt;&lt;D xsi:type="xsd:double"&gt;14.9993647668234&lt;/D&gt;&lt;D xsi:type="xsd:double"&gt;15.1340172205093&lt;/D&gt;&lt;D xsi:type="xsd:double"&gt;16.1172310837829&lt;/D&gt;&lt;D xsi:type="xsd:double"&gt;16.4645883214584&lt;/D&gt;&lt;D xsi:type="xsd:double"&gt;16.9747502560684&lt;/D&gt;&lt;D xsi:type="xsd:double"&gt;16.9435867734082&lt;/D&gt;&lt;D xsi:type="xsd:double"&gt;16.7404496622138&lt;/D&gt;&lt;D xsi:type="xsd:double"&gt;16.7584992200207&lt;/D&gt;&lt;D xsi:type="xsd:double"&gt;17.107169725677&lt;/D&gt;&lt;/FQL&gt;&lt;FQL&gt;&lt;Q&gt;COPP-FDS^FG_PRICE_CHANGE(0,-3AM)&lt;/Q&gt;&lt;R&gt;1&lt;/R&gt;&lt;C&gt;1&lt;/C&gt;&lt;D xsi:type="xsd:double"&gt;6.03245531514582&lt;/D&gt;&lt;/FQL&gt;&lt;FQL&gt;&lt;Q&gt;EWN^FG_PRICE_MAVG(0,,,,60)&lt;/Q&gt;&lt;R&gt;1&lt;/R&gt;&lt;C&gt;1&lt;/C&gt;&lt;D xsi:type="xsd:double"&gt;50.429&lt;/D&gt;&lt;/FQL&gt;&lt;FQL&gt;&lt;Q&gt;EWA^FG_PRICE_MAVG(0,,,,30)&lt;/Q&gt;&lt;R&gt;1&lt;/R&gt;&lt;C&gt;1&lt;/C&gt;&lt;D xsi:type="xsd:double"&gt;24.567667&lt;/D&gt;&lt;/FQL&gt;&lt;FQL&gt;&lt;Q&gt;EWG^FG_TOTAL_RETURNC(0,-3AM)&lt;/Q&gt;&lt;R&gt;1&lt;/R&gt;&lt;C&gt;1&lt;/C&gt;&lt;D xsi:type="xsd:double"&gt;4.393029&lt;/D&gt;&lt;/FQL&gt;&lt;FQL&gt;&lt;Q&gt;REFNZOCR-FDS^FG_YIELD(NOW,,,0)&lt;/Q&gt;&lt;R&gt;1&lt;/R&gt;&lt;C&gt;1&lt;/C&gt;&lt;D xsi:type="xsd:double"&gt;5.5&lt;/D&gt;&lt;/FQL&gt;&lt;FQL&gt;&lt;Q&gt;USO^FG_TOTAL_RETURNC(0,-6AM)&lt;/Q&gt;&lt;R&gt;1&lt;/R&gt;&lt;C&gt;1&lt;/C&gt;&lt;D xsi:type="xsd:double"&gt;19.645237&lt;/D&gt;&lt;/FQL&gt;&lt;FQL&gt;&lt;Q&gt;TRYAE10Y-FDS^FG_YIELD(-10AY,0,Y,,"YTM")&lt;/Q&gt;&lt;R&gt;10&lt;/R&gt;&lt;C&gt;1&lt;/C&gt;&lt;D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xsi:type="xsd:double"&gt;11.358896&lt;/D&gt;&lt;/FQL&gt;&lt;FQL&gt;&lt;Q&gt;CC_DE^FG_COMPANY_NAME&lt;/Q&gt;&lt;R&gt;1&lt;/R&gt;&lt;C&gt;1&lt;/C&gt;&lt;D xsi:type="xsd:string"&gt;Germany&lt;/D&gt;&lt;/FQL&gt;&lt;FQL&gt;&lt;Q&gt;TIOS-FDS^FG_PRICE_CHANGE(0,-6AM)&lt;/Q&gt;&lt;R&gt;1&lt;/R&gt;&lt;C&gt;1&lt;/C&gt;&lt;D xsi:type="xsd:double"&gt;-21.0803024846957&lt;/D&gt;&lt;/FQL&gt;&lt;FQL&gt;&lt;Q&gt;EWQ^FG_PRICE_MAVG(0,,,,200)&lt;/Q&gt;&lt;R&gt;1&lt;/R&gt;&lt;C&gt;1&lt;/C&gt;&lt;D xsi:type="xsd:double"&gt;38.795074&lt;/D&gt;&lt;/FQL&gt;&lt;FQL&gt;&lt;Q&gt;EWD^PERCENT_CHANGE(FMA_EPS(+1,0,,,,"PORTAGG","MEAN"),FMA_EPS(+1,-1AM,,,,"PORTAGG","MEAN"))&lt;/Q&gt;&lt;R&gt;1&lt;/R&gt;&lt;C&gt;1&lt;/C&gt;&lt;D xsi:type="xsd:double"&gt;-0.548961214453935&lt;/D&gt;&lt;/FQL&gt;&lt;FQL&gt;&lt;Q&gt;EWJ^FG_TOTAL_RETURNC(0,-3AM)&lt;/Q&gt;&lt;R&gt;1&lt;/R&gt;&lt;C&gt;1&lt;/C&gt;&lt;D xsi:type="xsd:double"&gt;2.2156&lt;/D&gt;&lt;/FQL&gt;&lt;FQL&gt;&lt;Q&gt;REFJPTON-FDS^PROPER_NAME(0,,,"SECURITY","NAME")&lt;/Q&gt;&lt;R&gt;1&lt;/R&gt;&lt;C&gt;1&lt;/C&gt;&lt;D xsi:type="xsd:string"&gt;Japan Policy Rate&lt;/D&gt;&lt;/FQL&gt;&lt;FQL&gt;&lt;Q&gt;CAGDPY@CH^EE_ACTUAL_ANNUAL(MED,0)&lt;/Q&gt;&lt;R&gt;1&lt;/R&gt;&lt;C&gt;1&lt;/C&gt;&lt;D xsi:type="xsd:double"&gt;6.98087557861584&lt;/D&gt;&lt;/FQL&gt;&lt;FQL&gt;&lt;Q&gt;EWC^P_PRICE_RETURNS_PR('52W',2,-10AY,0,AM)&lt;/Q&gt;&lt;R&gt;121&lt;/R&gt;&lt;C&gt;1&lt;/C&gt;&lt;D xsi:type="xsd:double"&gt;19.659496&lt;/D&gt;&lt;D xsi:type="xsd:double"&gt;17.686546&lt;/D&gt;&lt;D xsi:type="xsd:double"&gt;16.146778&lt;/D&gt;&lt;D xsi:type="xsd:double"&gt;4.855728&lt;/D&gt;&lt;D xsi:type="xsd:double"&gt;4.668963&lt;/D&gt;&lt;D xsi:type="xsd:double"&gt;0.11059046&lt;/D&gt;&lt;D xsi:type="xsd:double"&gt;-1.0877728&lt;/D&gt;&lt;D xsi:type="xsd:double"&gt;-1.7581522&lt;/D&gt;&lt;D xsi:type="xsd:double"&gt;-6.9610596&lt;/D&gt;&lt;D xsi:type="xsd:double"&gt;-3.016603&lt;/D&gt;&lt;D xsi:type="xsd:double"&gt;-3.0089676&lt;/D&gt;&lt;D xsi:type="xsd:double"&gt;-8.855396&lt;/D&gt;&lt;D xsi:type="xsd:double"&gt;-17.612808&lt;/D&gt;&lt;D xsi:type="xsd:double"&gt;-18.808758&lt;/D&gt;&lt;D xsi:type="xsd:double"&gt;-25.861835&lt;/D&gt;&lt;D xsi:type="xsd:double"&gt;-14.33844&lt;/D&gt;&lt;D xsi:type="xsd:double"&gt;-20.987488&lt;/D&gt;&lt;D xsi:type="xsd:double"&gt;-20.903772&lt;/D&gt;&lt;D xsi:type="xsd:double"&gt;-26.906717&lt;/D&gt;&lt;D xsi:type="xsd:double"&gt;-26.513784&lt;/D&gt;&lt;D xsi:type="xsd:double"&gt;-10.187304&lt;/D&gt;&lt;D xsi:type="xsd:double"&gt;-14.239872&lt;/D&gt;&lt;D xsi:type="xsd:double"&gt;-13.858307&lt;/D&gt;&lt;D xsi:type="xsd:double"&gt;-8.393568&lt;/D&gt;&lt;D xsi:type="xsd:double"&gt;-3.2511353&lt;/D&gt;&lt;D xsi:type="xsd:double"&gt;4.016149&lt;/D&gt;&lt;D xsi:type="xsd:double"&gt;9.925008&lt;/D&gt;&lt;D xsi:type="xsd:double"&gt;3.3929348&lt;/D&gt;&lt;D xsi:type="xsd:double"&gt;9.381807&lt;/D&gt;&lt;D xsi:type="xsd:double"&gt;24.650024&lt;/D&gt;&lt;D xsi:type="xsd:double"&gt;38.908733&lt;/D&gt;&lt;D xsi:type="xsd:double"&gt;40.505028&lt;/D&gt;&lt;D xsi:type="xsd:double"&gt;17.835342&lt;/D&gt;&lt;D xsi:type="xsd:double"&gt;16.178703&lt;/D&gt;&lt;D xsi:type="xsd:double"&gt;9.371471&lt;/D&gt;&lt;D xsi:type="xsd:double"&gt;5.9164166&lt;/D&gt;&lt;D xsi:type="xsd:double"&gt;10.9995365&lt;/D&gt;&lt;D xsi:type="xsd:double"&gt;7.314205&lt;/D&gt;&lt;D xsi:type="xsd:double"&gt;14.405513&lt;/D&gt;&lt;D xsi:type="xsd:double"&gt;18.225443&lt;/D&gt;&lt;D xsi:type="xsd:double"&gt;18.012608&lt;/D&gt;&lt;D xsi:type="xsd:double"&gt;10.223663&lt;/D&gt;&lt;D xsi:type="xsd:double"&gt;13.542151&lt;/D&gt;&lt;D xsi:type="xsd:double"&gt;2.7895808&lt;/D&gt;&lt;D xsi:type="xsd:double"&gt;7.9732656&lt;/D&gt;&lt;D xsi:type="xsd:double"&gt;5.662&lt;/D&gt;&lt;D xsi:type="xsd:double"&gt;13.323426&lt;/D&gt;&lt;D xsi:type="xsd:double"&gt;11.861563&lt;/D&gt;&lt;D xsi:type="xsd:double"&gt;9.072817&lt;/D&gt;&lt;D xsi:type="xsd:double"&gt;8.134068&lt;/D&gt;&lt;D xsi:type="xsd:double"&gt;1.475513&lt;/D&gt;&lt;D xsi:type="xsd:double"&gt;-5.411124&lt;/D&gt;&lt;D xsi:type="xsd:double"&gt;-7.0441065&lt;/D&gt;&lt;D xsi:type="xsd:double"&gt;-10.938305&lt;/D&gt;&lt;D xsi:type="xsd:double"&gt;-12.168371&lt;/D&gt;&lt;D xsi:type="xsd:double"&gt;-0.39099455&lt;/D&gt;&lt;D xsi:type="xsd:double"&gt;0.799191&lt;/D&gt;&lt;D xsi:type="xsd:double"&gt;3.3963203&lt;/D&gt;&lt;D xsi:type="xsd:double"&gt;-1.2591004&lt;/D&gt;&lt;D xsi:type="xsd:double"&gt;-0.4827261&lt;/D&gt;&lt;D xsi:type="xsd:double"&gt;3.5627246&lt;/D&gt;&lt;D xsi:type="xsd:double"&gt;-0.7489443&lt;/D&gt;&lt;D xsi:type="xsd:double"&gt;4.4464707&lt;/D&gt;&lt;D xsi:type="xsd:double"&gt;7.968235&lt;/D&gt;&lt;D xsi:type="xsd:double"&gt;12.789047&lt;/D&gt;&lt;D xsi:type="xsd:double"&gt;19.334911&lt;/D&gt;&lt;D xsi:type="xsd:double"&gt;19.079935&lt;/D&gt;&lt;D xsi:type="xsd:double"&gt;16.540718&lt;/D&gt;&lt;D xsi:type="xsd:double"&gt;-13.105022&lt;/D&gt;&lt;D xsi:type="xsd:double"&gt;-16.062647&lt;/D&gt;&lt;D xsi:type="xsd:double"&gt;-9.950769&lt;/D&gt;&lt;D xsi:type="xsd:double"&gt;-8.477634&lt;/D&gt;&lt;D xsi:type="xsd:double"&gt;-7.5025854&lt;/D&gt;&lt;D xsi:type="xsd:double"&gt;2.2095084&lt;/D&gt;&lt;D xsi:type="xsd:double"&gt;-0.98357797&lt;/D&gt;&lt;D xsi:type="xsd:double"&gt;4.028034&lt;/D&gt;&lt;D xsi:type="xsd:double"&gt;1.2423038&lt;/D&gt;&lt;D xsi:type="xsd:double"&gt;8.719599&lt;/D&gt;&lt;D xsi:type="xsd:double"&gt;8.302641&lt;/D&gt;&lt;D xsi:type="xsd:double"&gt;10.202301&lt;/D&gt;&lt;D xsi:type="xsd:double"&gt;49.737907&lt;/D&gt;&lt;D xsi:type="xsd:double"&gt;54.99711&lt;/D&gt;&lt;D xsi:type="xsd:double"&gt;51.870323&lt;/D&gt;&lt;D xsi:type="xsd:double"&gt;54.187214&lt;/D&gt;&lt;D xsi:type="xsd:double"&gt;46.55806&lt;/D&gt;&lt;D xsi:type="xsd:double"&gt;36.931564&lt;/D&gt;&lt;D xsi:type="xsd:double"&gt;36.46822&lt;/D&gt;&lt;D xsi:type="xsd:double"&gt;33.96888&lt;/D&gt;&lt;D xsi:type="xsd:double"&gt;38.048683&lt;/D&gt;&lt;D xsi:type="xsd:double"&gt;22.643148&lt;/D&gt;&lt;D xsi:type="xsd:double"&gt;24.623322&lt;/D&gt;&lt;D xsi:type="xsd:double"&gt;20.722507&lt;/D&gt;&lt;D xsi:type="xsd:double"&gt;14.490461&lt;/D&gt;&lt;D xsi:type="xsd:double"&gt;14.99548&lt;/D&gt;&lt;D xsi:type="xsd:double"&gt;-1.9816697&lt;/D&gt;&lt;D xsi:type="xsd:double"&gt;-2.3698807&lt;/D&gt;&lt;D xsi:type="xsd:double"&gt;-8.878523&lt;/D&gt;&lt;D xsi:type="xsd:double"&gt;-3.1326234&lt;/D&gt;&lt;D xsi:type="xsd:double"&gt;-5.0531683&lt;/D&gt;&lt;D xsi:type="xsd:double"&gt;-17.40532&lt;/D&gt;&lt;D xsi:type="xsd:double"&gt;-9.381306&lt;/D&gt;&lt;D xsi:type="xsd:double"&gt;-9.262556&lt;/D&gt;&lt;D xsi:type="xsd:double"&gt;-9.912252&lt;/D&gt;&lt;D xsi:type="xsd:double"&gt;-6.794584&lt;/D&gt;&lt;D xsi:type="xsd:double"&gt;-13.22946&lt;/D&gt;&lt;D xsi:type="xsd:double"&gt;-9.875506&lt;/D&gt;&lt;D xsi:type="xsd:double"&gt;1.4872789&lt;/D&gt;&lt;D xsi:type="xsd:double"&gt;-5.598557&lt;/D&gt;&lt;D xsi:type="xsd:double"&gt;6.1199784&lt;/D&gt;&lt;D xsi:type="xsd:double"&gt;-0.17054677&lt;/D&gt;&lt;D xsi:type="xsd:double"&gt;0.9576559&lt;/D&gt;&lt;D xsi:type="xsd:double"&gt;13.326157&lt;/D&gt;&lt;D xsi:type="xsd:double"&gt;-1.6509354&lt;/D&gt;&lt;D xsi:type="xsd:double"&gt;6.3604593&lt;/D&gt;&lt;D xsi:type="xsd:double"&gt;8.398354&lt;/D&gt;&lt;D xsi:type="xsd:double"&gt;6.067121&lt;/D&gt;&lt;D xsi:type="xsd:double"&gt;17.497206&lt;/D&gt;&lt;D xsi:type="xsd:double"&gt;10.811925&lt;/D&gt;&lt;D xsi:type="xsd:double"&gt;10.58414&lt;/D&gt;&lt;D xsi:type="xsd:double"&gt;10.694075&lt;/D&gt;&lt;D xsi:type="xsd:double"&gt;13.995004&lt;/D&gt;&lt;/FQL&gt;&lt;FQL&gt;&lt;Q&gt;WL-FDS^FG_PRICE_CHANGE(0,-1AM)&lt;/Q&gt;&lt;R&gt;1&lt;/R&gt;&lt;C&gt;1&lt;/C&gt;&lt;D xsi:type="xsd:double"&gt;1.26258005489479&lt;/D&gt;&lt;/FQL&gt;&lt;FQL&gt;&lt;Q&gt;EWQ^FG_PRICE(0)&lt;/Q&gt;&lt;R&gt;1&lt;/R&gt;&lt;C&gt;1&lt;/C&gt;&lt;D xsi:type="xsd:double"&gt;38.98&lt;/D&gt;&lt;/FQL&gt;&lt;FQL&gt;&lt;Q&gt;EWN^FG_TOTAL_RETURNC(0,-6AM)&lt;/Q&gt;&lt;R&gt;1&lt;/R&gt;&lt;C&gt;1&lt;/C&gt;&lt;D xsi:type="xsd:double"&gt;20.52319&lt;/D&gt;&lt;/FQL&gt;&lt;FQL&gt;&lt;Q&gt;EWQ^FMA_COS_UP("EPS","1M",+1,0,,,"PORTAGG","MEANR")&lt;/Q&gt;&lt;R&gt;1&lt;/R&gt;&lt;C&gt;1&lt;/C&gt;&lt;D xsi:type="xsd:double"&gt;19&lt;/D&gt;&lt;/FQL&gt;&lt;FQL&gt;&lt;Q&gt;EWL^FG_ROE(0)&lt;/Q&gt;&lt;R&gt;1&lt;/R&gt;&lt;C&gt;1&lt;/C&gt;&lt;D xsi:type="xsd:double"&gt;23.934743222721&lt;/D&gt;&lt;/FQL&gt;&lt;FQL&gt;&lt;Q&gt;TRYDE10Y-FDS^FG_YIELD(0,,,,"YTM")&lt;/Q&gt;&lt;R&gt;1&lt;/R&gt;&lt;C&gt;1&lt;/C&gt;&lt;D xsi:type="xsd:double"&gt;2.469&lt;/D&gt;&lt;/FQL&gt;&lt;FQL&gt;&lt;Q&gt;EWN^FMA_PE(NTMA,0,,,"PORTAGG","MEANR")&lt;/Q&gt;&lt;R&gt;1&lt;/R&gt;&lt;C&gt;1&lt;/C&gt;&lt;D xsi:type="xsd:double"&gt;16.5948510136679&lt;/D&gt;&lt;/FQL&gt;&lt;FQL&gt;&lt;Q&gt;EWC^FMA_DIV_YLD(NTMA,NOW,NOW,M,"PORTAGG","MEANR")&lt;/Q&gt;&lt;R&gt;1&lt;/R&gt;&lt;C&gt;1&lt;/C&gt;&lt;D xsi:type="xsd:double"&gt;3.34930642781892&lt;/D&gt;&lt;/FQL&gt;&lt;FQL&gt;&lt;Q&gt;EWI^FMA_ROE(NTMA,-20AY,NOW,FY,"PORTAGG","MEANR")&lt;/Q&gt;&lt;R&gt;20&lt;/R&gt;&lt;C&gt;1&lt;/C&gt;&lt;D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xsi:type="xsd:double"&gt;13.3572149047324&lt;/D&gt;&lt;/FQL&gt;&lt;FQL&gt;&lt;Q&gt;FXI^FG_TOTAL_RETURNC(0,-6AM)&lt;/Q&gt;&lt;R&gt;1&lt;/R&gt;&lt;C&gt;1&lt;/C&gt;&lt;D xsi:type="xsd:double"&gt;18.380665&lt;/D&gt;&lt;/FQL&gt;&lt;FQL&gt;&lt;Q&gt;EWQ^FMA_PE(NTMA,0,,,"PORTAGG","MEANR")&lt;/Q&gt;&lt;R&gt;1&lt;/R&gt;&lt;C&gt;1&lt;/C&gt;&lt;D xsi:type="xsd:double"&gt;13.5655338316322&lt;/D&gt;&lt;/FQL&gt;&lt;FQL&gt;&lt;Q&gt;EWN^FMA_ROE(NTMA,-20AY,NOW,FY,"PORTAGG","MEANR")&lt;/Q&gt;&lt;R&gt;20&lt;/R&gt;&lt;C&gt;1&lt;/C&gt;&lt;D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xsi:type="xsd:double"&gt;12.7459856653411&lt;/D&gt;&lt;/FQL&gt;&lt;FQL&gt;&lt;Q&gt;CAGDPY@JP^EE_ACTUAL_ANNUAL(MED,0)&lt;/Q&gt;&lt;R&gt;1&lt;/R&gt;&lt;C&gt;1&lt;/C&gt;&lt;D xsi:type="xsd:double"&gt;3.61295912215857&lt;/D&gt;&lt;/FQL&gt;&lt;FQL&gt;&lt;Q&gt;EWA^P_PRICE_RETURNS_PR('52W',2,-10AY,0,AM)&lt;/Q&gt;&lt;R&gt;121&lt;/R&gt;&lt;C&gt;1&lt;/C&gt;&lt;D xsi:type="xsd:double"&gt;17.63792&lt;/D&gt;&lt;D xsi:type="xsd:double"&gt;13.693047&lt;/D&gt;&lt;D xsi:type="xsd:double"&gt;7.489419&lt;/D&gt;&lt;D xsi:type="xsd:double"&gt;-5.645293&lt;/D&gt;&lt;D xsi:type="xsd:double"&gt;-1.5341043&lt;/D&gt;&lt;D xsi:type="xsd:double"&gt;-2.5672615&lt;/D&gt;&lt;D xsi:type="xsd:double"&gt;-2.1942973&lt;/D&gt;&lt;D xsi:type="xsd:double"&gt;-2.7247965&lt;/D&gt;&lt;D xsi:type="xsd:double"&gt;-5.541599&lt;/D&gt;&lt;D xsi:type="xsd:double"&gt;-6.5098467&lt;/D&gt;&lt;D xsi:type="xsd:double"&gt;-11.0704&lt;/D&gt;&lt;D xsi:type="xsd:double"&gt;-12.748587&lt;/D&gt;&lt;D xsi:type="xsd:double"&gt;-16.6708&lt;/D&gt;&lt;D xsi:type="xsd:double"&gt;-18.959003&lt;/D&gt;&lt;D xsi:type="xsd:double"&gt;-25.985998&lt;/D&gt;&lt;D xsi:type="xsd:double"&gt;-12.988639&lt;/D&gt;&lt;D xsi:type="xsd:double"&gt;-22.606373&lt;/D&gt;&lt;D xsi:type="xsd:double"&gt;-15.239411&lt;/D&gt;&lt;D xsi:type="xsd:double"&gt;-20.358742&lt;/D&gt;&lt;D xsi:type="xsd:double"&gt;-22.143162&lt;/D&gt;&lt;D xsi:type="xsd:double"&gt;-7.325971&lt;/D&gt;&lt;D xsi:type="xsd:double"&gt;-16.801292&lt;/D&gt;&lt;D xsi:type="xsd:double"&gt;-7.759893&lt;/D&gt;&lt;D xsi:type="xsd:double"&gt;-6.8883896&lt;/D&gt;&lt;D xsi:type="xsd:double"&gt;0.27142763&lt;/D&gt;&lt;D xsi:type="xsd:double"&gt;10.314751&lt;/D&gt;&lt;D xsi:type="xsd:double"&gt;12.747455&lt;/D&gt;&lt;D xsi:type="xsd:double"&gt;9.292698&lt;/D&gt;&lt;D xsi:type="xsd:double"&gt;16.130245&lt;/D&gt;&lt;D xsi:type="xsd:double"&gt;18.542385&lt;/D&gt;&lt;D xsi:type="xsd:double"&gt;31.11036&lt;/D&gt;&lt;D xsi:type="xsd:double"&gt;35.59195&lt;/D&gt;&lt;D xsi:type="xsd:double"&gt;19.151974&lt;/D&gt;&lt;D xsi:type="xsd:double"&gt;26.175367&lt;/D&gt;&lt;D xsi:type="xsd:double"&gt;15.318453&lt;/D&gt;&lt;D xsi:type="xsd:double"&gt;12.69828&lt;/D&gt;&lt;D xsi:type="xsd:double"&gt;13.732791&lt;/D&gt;&lt;D xsi:type="xsd:double"&gt;10.600698&lt;/D&gt;&lt;D xsi:type="xsd:double"&gt;22.128057&lt;/D&gt;&lt;D xsi:type="xsd:double"&gt;14.512324&lt;/D&gt;&lt;D xsi:type="xsd:double"&gt;18.655968&lt;/D&gt;&lt;D xsi:type="xsd:double"&gt;12.6710415&lt;/D&gt;&lt;D xsi:type="xsd:double"&gt;15.0254135&lt;/D&gt;&lt;D xsi:type="xsd:double"&gt;7.4350357&lt;/D&gt;&lt;D xsi:type="xsd:double"&gt;11.661029&lt;/D&gt;&lt;D xsi:type="xsd:double"&gt;3.600669&lt;/D&gt;&lt;D xsi:type="xsd:double"&gt;9.507608&lt;/D&gt;&lt;D xsi:type="xsd:double"&gt;11.705875&lt;/D&gt;&lt;D xsi:type="xsd:double"&gt;8.823168&lt;/D&gt;&lt;D xsi:type="xsd:double"&gt;5.8793545&lt;/D&gt;&lt;D xsi:type="xsd:double"&gt;-1.6172767&lt;/D&gt;&lt;D xsi:type="xsd:double"&gt;-4.785424&lt;/D&gt;&lt;D xsi:type="xsd:double"&gt;-4.4157386&lt;/D&gt;&lt;D xsi:type="xsd:double"&gt;-7.079649&lt;/D&gt;&lt;D xsi:type="xsd:double"&gt;-9.088654&lt;/D&gt;&lt;D xsi:type="xsd:double"&gt;-0.8111477&lt;/D&gt;&lt;D xsi:type="xsd:double"&gt;-2.5586486&lt;/D&gt;&lt;D xsi:type="xsd:double"&gt;2.7582288&lt;/D&gt;&lt;D xsi:type="xsd:double"&gt;0.47593117&lt;/D&gt;&lt;D xsi:type="xsd:double"&gt;3.911972&lt;/D&gt;&lt;D xsi:type="xsd:double"&gt;6.4053535&lt;/D&gt;&lt;D xsi:type="xsd:double"&gt;-0.3267944&lt;/D&gt;&lt;D xsi:type="xsd:double"&gt;9.55125&lt;/D&gt;&lt;D xsi:type="xsd:double"&gt;14.5713215&lt;/D&gt;&lt;D xsi:type="xsd:double"&gt;14.479518&lt;/D&gt;&lt;D xsi:type="xsd:double"&gt;19.359838&lt;/D&gt;&lt;D xsi:type="xsd:double"&gt;17.679083&lt;/D&gt;&lt;D xsi:type="xsd:double"&gt;14.682078&lt;/D&gt;&lt;D xsi:type="xsd:double"&gt;-15.277982&lt;/D&gt;&lt;D xsi:type="xsd:double"&gt;-19.717138&lt;/D&gt;&lt;D xsi:type="xsd:double"&gt;-18.641794&lt;/D&gt;&lt;D xsi:type="xsd:double"&gt;-13.110601&lt;/D&gt;&lt;D xsi:type="xsd:double"&gt;-9.692097&lt;/D&gt;&lt;D xsi:type="xsd:double"&gt;-0.6310284&lt;/D&gt;&lt;D xsi:type="xsd:double"&gt;-6.8860054&lt;/D&gt;&lt;D xsi:type="xsd:double"&gt;-0.68635345&lt;/D&gt;&lt;D xsi:type="xsd:double"&gt;0.9348631&lt;/D&gt;&lt;D xsi:type="xsd:double"&gt;8.06129&lt;/D&gt;&lt;D xsi:type="xsd:double"&gt;9.375596&lt;/D&gt;&lt;D xsi:type="xsd:double"&gt;12.519765&lt;/D&gt;&lt;D xsi:type="xsd:double"&gt;47.653915&lt;/D&gt;&lt;D xsi:type="xsd:double"&gt;57.05415&lt;/D&gt;&lt;D xsi:type="xsd:double"&gt;60.420834&lt;/D&gt;&lt;D xsi:type="xsd:double"&gt;48.581196&lt;/D&gt;&lt;D xsi:type="xsd:double"&gt;37.603317&lt;/D&gt;&lt;D xsi:type="xsd:double"&gt;31.398916&lt;/D&gt;&lt;D xsi:type="xsd:double"&gt;32.238533&lt;/D&gt;&lt;D xsi:type="xsd:double"&gt;25.190199&lt;/D&gt;&lt;D xsi:type="xsd:double"&gt;18.327332&lt;/D&gt;&lt;D xsi:type="xsd:double"&gt;8.16834&lt;/D&gt;&lt;D xsi:type="xsd:double"&gt;6.4661384&lt;/D&gt;&lt;D xsi:type="xsd:double"&gt;-0.9399712&lt;/D&gt;&lt;D xsi:type="xsd:double"&gt;1.7098308&lt;/D&gt;&lt;D xsi:type="xsd:double"&gt;8.136309&lt;/D&gt;&lt;D xsi:type="xsd:double"&gt;-8.185357&lt;/D&gt;&lt;D xsi:type="xsd:double"&gt;-11.347616&lt;/D&gt;&lt;D xsi:type="xsd:double"&gt;-15.003735&lt;/D&gt;&lt;D xsi:type="xsd:double"&gt;-7.0118246&lt;/D&gt;&lt;D xsi:type="xsd:double"&gt;-7.991868&lt;/D&gt;&lt;D xsi:type="xsd:double"&gt;-17.646105&lt;/D&gt;&lt;D xsi:type="xsd:double"&gt;-5.5944977&lt;/D&gt;&lt;D xsi:type="xsd:double"&gt;-1.625973&lt;/D&gt;&lt;D xsi:type="xsd:double"&gt;-0.7124424&lt;/D&gt;&lt;D xsi:type="xsd:double"&gt;6.340921&lt;/D&gt;&lt;D xsi:type="xsd:double"&gt;-5.046499&lt;/D&gt;&lt;D xsi:type="xsd:double"&gt;-6.899953&lt;/D&gt;&lt;D xsi:type="xsd:double"&gt;3.9765954&lt;/D&gt;&lt;D xsi:type="xsd:double"&gt;0.85567236&lt;/D&gt;&lt;D xsi:type="xsd:double"&gt;11.540306&lt;/D&gt;&lt;D xsi:type="xsd:double"&gt;0.22882223&lt;/D&gt;&lt;D xsi:type="xsd:double"&gt;2.39439&lt;/D&gt;&lt;D xsi:type="xsd:double"&gt;14.949155&lt;/D&gt;&lt;D xsi:type="xsd:double"&gt;-0.6279826&lt;/D&gt;&lt;D xsi:type="xsd:double"&gt;2.1749258&lt;/D&gt;&lt;D xsi:type="xsd:double"&gt;5.324936&lt;/D&gt;&lt;D xsi:type="xsd:double"&gt;1.2912035&lt;/D&gt;&lt;D xsi:type="xsd:double"&gt;14.084614&lt;/D&gt;&lt;D xsi:type="xsd:double"&gt;8.909392&lt;/D&gt;&lt;D xsi:type="xsd:double"&gt;9.537947&lt;/D&gt;&lt;D xsi:type="xsd:double"&gt;11.913252&lt;/D&gt;&lt;D xsi:type="xsd:double"&gt;17.860104&lt;/D&gt;&lt;/FQL&gt;&lt;FQL&gt;&lt;Q&gt;PASP-FDS^MAX(FG_PRICE(0,-5AY))&lt;/Q&gt;&lt;R&gt;1&lt;/R&gt;&lt;C&gt;1&lt;/C&gt;&lt;D xsi:type="xsd:double"&gt;3158.12&lt;/D&gt;&lt;/FQL&gt;&lt;FQL&gt;&lt;Q&gt;EWN^FG_TOTAL_RETURNC(0,-3AM)&lt;/Q&gt;&lt;R&gt;1&lt;/R&gt;&lt;C&gt;1&lt;/C&gt;&lt;D xsi:type="xsd:double"&gt;6.1120152&lt;/D&gt;&lt;/FQL&gt;&lt;FQL&gt;&lt;Q&gt;EWG^FG_TOTAL_RETURNC(0,-1AM)&lt;/Q&gt;&lt;R&gt;1&lt;/R&gt;&lt;C&gt;1&lt;/C&gt;&lt;D xsi:type="xsd:double"&gt;2.21138&lt;/D&gt;&lt;/FQL&gt;&lt;FQL&gt;&lt;Q&gt;EWJ^FG_ROE(0)&lt;/Q&gt;&lt;R&gt;1&lt;/R&gt;&lt;C&gt;1&lt;/C&gt;&lt;D xsi:type="xsd:double"&gt;9.7510523375743&lt;/D&gt;&lt;/FQL&gt;&lt;FQL&gt;&lt;Q&gt;EWA^FMA_EVAL_EBIT(LTMA,NOW,NOW,M,"PORTAGG","MEANR")&lt;/Q&gt;&lt;R&gt;1&lt;/R&gt;&lt;C&gt;1&lt;/C&gt;&lt;D xsi:type="xsd:double"&gt;12.3960715432455&lt;/D&gt;&lt;/FQL&gt;&lt;FQL&gt;&lt;Q&gt;EWL^FG_PRICE_MAVG(0,,,,30)&lt;/Q&gt;&lt;R&gt;1&lt;/R&gt;&lt;C&gt;1&lt;/C&gt;&lt;D xsi:type="xsd:double"&gt;48.93833&lt;/D&gt;&lt;/FQL&gt;&lt;FQL&gt;&lt;Q&gt;FXI^PERCENT_CHANGE(FMA_EPS(+1,0,,,,"PORTAGG","MEAN"),FMA_EPS(+1,-3AM,,,,"PORTAGG","MEAN"))&lt;/Q&gt;&lt;R&gt;1&lt;/R&gt;&lt;C&gt;1&lt;/C&gt;&lt;D xsi:type="xsd:double"&gt;4.59938511841831&lt;/D&gt;&lt;/FQL&gt;&lt;FQL&gt;</t>
        </r>
      </text>
    </comment>
    <comment ref="A13" authorId="0" shapeId="0" xr:uid="{CC374E0F-8BE5-4D4E-BE0C-E3BCC222D2E3}">
      <text>
        <r>
          <rPr>
            <b/>
            <sz val="9"/>
            <color indexed="81"/>
            <rFont val="Tahoma"/>
            <charset val="1"/>
          </rPr>
          <t>&lt;Q&gt;ENZL^FG_FCF_YIELD_NTM(0)&lt;/Q&gt;&lt;R&gt;1&lt;/R&gt;&lt;C&gt;1&lt;/C&gt;&lt;D xsi:type="xsd:double"&gt;-0.0949933781065295&lt;/D&gt;&lt;/FQL&gt;&lt;FQL&gt;&lt;Q&gt;EWD^FG_TOTAL_RETURNC(-10AY,0,AM)&lt;/Q&gt;&lt;R&gt;121&lt;/R&gt;&lt;C&gt;1&lt;/C&gt;&lt;D xsi:type="xsd:double"&gt;-4.009211&lt;/D&gt;&lt;D xsi:type="xsd:double"&gt;-1.7171144&lt;/D&gt;&lt;D xsi:type="xsd:double"&gt;-1.6582787&lt;/D&gt;&lt;D xsi:type="xsd:double"&gt;-7.979524&lt;/D&gt;&lt;D xsi:type="xsd:double"&gt;8.049738&lt;/D&gt;&lt;D xsi:type="xsd:double"&gt;-0.60569644&lt;/D&gt;&lt;D xsi:type="xsd:double"&gt;-5.6805077&lt;/D&gt;&lt;D xsi:type="xsd:double"&gt;5.727315&lt;/D&gt;&lt;D xsi:type="xsd:double"&gt;1.4773726&lt;/D&gt;&lt;D xsi:type="xsd:double"&gt;1.8804908&lt;/D&gt;&lt;D xsi:type="xsd:double"&gt;1.6076207&lt;/D&gt;&lt;D xsi:type="xsd:double"&gt;1.6993761&lt;/D&gt;&lt;D xsi:type="xsd:double"&gt;-3.5796285&lt;/D&gt;&lt;D xsi:type="xsd:double"&gt;-1.3919055&lt;/D&gt;&lt;D xsi:type="xsd:double"&gt;-2.540779&lt;/D&gt;&lt;D xsi:type="xsd:double"&gt;0.096559525&lt;/D&gt;&lt;D xsi:type="xsd:double"&gt;-3.9871395&lt;/D&gt;&lt;D xsi:type="xsd:double"&gt;-5.257869&lt;/D&gt;&lt;D xsi:type="xsd:double"&gt;-3.4138322&lt;/D&gt;&lt;D xsi:type="xsd:double"&gt;-5.274719&lt;/D&gt;&lt;D xsi:type="xsd:double"&gt;13.805103&lt;/D&gt;&lt;D xsi:type="xsd:double"&gt;0.8154988&lt;/D&gt;&lt;D xsi:type="xsd:double"&gt;-1.6852021&lt;/D&gt;&lt;D xsi:type="xsd:double"&gt;-2.3311615&lt;/D&gt;&lt;D xsi:type="xsd:double"&gt;-0.8210659&lt;/D&gt;&lt;D xsi:type="xsd:double"&gt;6.512141&lt;/D&gt;&lt;D xsi:type="xsd:double"&gt;-0.41450858&lt;/D&gt;&lt;D xsi:type="xsd:double"&gt;-0.9018421&lt;/D&gt;&lt;D xsi:type="xsd:double"&gt;-3.7101865&lt;/D&gt;&lt;D xsi:type="xsd:double"&gt;4.616499&lt;/D&gt;&lt;D xsi:type="xsd:double"&gt;0.67733526&lt;/D&gt;&lt;D xsi:type="xsd:double"&gt;5.315852&lt;/D&gt;&lt;D xsi:type="xsd:double"&gt;0.8521795&lt;/D&gt;&lt;D xsi:type="xsd:double"&gt;1.2999654&lt;/D&gt;&lt;D xsi:type="xsd:double"&gt;7.9563737&lt;/D&gt;&lt;D xsi:type="xsd:double"&gt;1.9316435&lt;/D&gt;&lt;D xsi:type="xsd:double"&gt;2.6587963&lt;/D&gt;&lt;D xsi:type="xsd:double"&gt;-1.829803&lt;/D&gt;&lt;D xsi:type="xsd:double"&gt;3.8461566&lt;/D&gt;&lt;D xsi:type="xsd:double"&gt;3.5612583&lt;/D&gt;&lt;D xsi:type="xsd:double"&gt;-3.9064586&lt;/D&gt;&lt;D xsi:type="xsd:double"&gt;-2.662468&lt;/D&gt;&lt;D xsi:type="xsd:double"&gt;5.75397&lt;/D&gt;&lt;D xsi:type="xsd:double"&gt;-6.1797676&lt;/D&gt;&lt;D xsi:type="xsd:double"&gt;3.1736493&lt;/D&gt;&lt;D xsi:type="xsd:double"&gt;-4.3818893&lt;/D&gt;&lt;D xsi:type="xsd:double"&gt;3.8239717&lt;/D&gt;&lt;D xsi:type="xsd:double"&gt;-2.3384929&lt;/D&gt;&lt;D xsi:type="xsd:double"&gt;-4.1741667&lt;/D&gt;&lt;D xsi:type="xsd:double"&gt;1.7979741&lt;/D&gt;&lt;D xsi:type="xsd:double"&gt;1.1239529&lt;/D&gt;&lt;D xsi:type="xsd:double"&gt;-4.0012717&lt;/D&gt;&lt;D xsi:type="xsd:double"&gt;-1.8193841&lt;/D&gt;&lt;D xsi:type="xsd:double"&gt;-4.54852&lt;/D&gt;&lt;D xsi:type="xsd:double"&gt;2.885282&lt;/D&gt;&lt;D xsi:type="xsd:double"&gt;1.0298729&lt;/D&gt;&lt;D xsi:type="xsd:double"&gt;1.2911916&lt;/D&gt;&lt;D xsi:type="xsd:double"&gt;7.0446134&lt;/D&gt;&lt;D xsi:type="xsd:double"&gt;-3.8232505&lt;/D&gt;&lt;D xsi:type="xsd:double"&gt;0&lt;/D&gt;&lt;D xsi:type="xsd:double"&gt;2.697146&lt;/D&gt;&lt;D xsi:type="xsd:double"&gt;-7.0399523&lt;/D&gt;&lt;D xsi:type="xsd:double"&gt;5.3892255&lt;/D&gt;&lt;D xsi:type="xsd:double"&gt;-1.1363626&lt;/D&gt;&lt;D xsi:type="xsd:double"&gt;8.350229&lt;/D&gt;&lt;D xsi:type="xsd:double"&gt;1.435256&lt;/D&gt;&lt;D xsi:type="xsd:double"&gt;1.5026927&lt;/D&gt;&lt;D xsi:type="xsd:double"&gt;4.234433&lt;/D&gt;&lt;D xsi:type="xsd:double"&gt;-20.194292&lt;/D&gt;&lt;D xsi:type="xsd:double"&gt;-1.8443406&lt;/D&gt;&lt;D xsi:type="xsd:double"&gt;2.9688&lt;/D&gt;&lt;D xsi:type="xsd:double"&gt;7.7007294&lt;/D&gt;&lt;D xsi:type="xsd:double"&gt;10.342455&lt;/D&gt;&lt;D xsi:type="xsd:double"&gt;8.687615&lt;/D&gt;&lt;D xsi:type="xsd:double"&gt;0.65193176&lt;/D&gt;&lt;D xsi:type="xsd:double"&gt;2.7879477&lt;/D&gt;&lt;D xsi:type="xsd:double"&gt;5.178082&lt;/D&gt;&lt;D xsi:type="xsd:double"&gt;2.94348&lt;/D&gt;&lt;D xsi:type="xsd:double"&gt;5.005729&lt;/D&gt;&lt;D xsi:type="xsd:double"&gt;3.3988833&lt;/D&gt;&lt;D xsi:type="xsd:double"&gt;5.9168816&lt;/D&gt;&lt;D xsi:type="xsd:double"&gt;4.389274&lt;/D&gt;&lt;D xsi:type="xsd:double"&gt;0.08494854&lt;/D&gt;&lt;D xsi:type="xsd:double"&gt;4.608476&lt;/D&gt;&lt;D xsi:type="xsd:double"&gt;-1.888752&lt;/D&gt;&lt;D xsi:type="xsd:double"&gt;2.89824&lt;/D&gt;&lt;D xsi:type="xsd:double"&gt;-2.0764768&lt;/D&gt;&lt;D xsi:type="xsd:double"&gt;-6.7184567&lt;/D&gt;&lt;D xsi:type="xsd:double"&gt;9.047937&lt;/D&gt;&lt;D xsi:type="xsd:double"&gt;-4.4169245&lt;/D&gt;&lt;D xsi:type="xsd:double"&gt;1.629591&lt;/D&gt;&lt;D xsi:type="xsd:double"&gt;-10.365987&lt;/D&gt;&lt;D xsi:type="xsd:double"&gt;-12.004889&lt;/D&gt;&lt;D xsi:type="xsd:double"&gt;6.112802&lt;/D&gt;&lt;D xsi:type="xsd:double"&gt;-12.463993&lt;/D&gt;&lt;D xsi:type="xsd:double"&gt;2.648306&lt;/D&gt;&lt;D xsi:type="xsd:double"&gt;-9.355318&lt;/D&gt;&lt;D xsi:type="xsd:double"&gt;12.173343&lt;/D&gt;&lt;D xsi:type="xsd:double"&gt;-9.171337&lt;/D&gt;&lt;D xsi:type="xsd:double"&gt;-13.051945&lt;/D&gt;&lt;D xsi:type="xsd:double"&gt;27.408504&lt;/D&gt;&lt;D xsi:type="xsd:double"&gt;-0.6154716&lt;/D&gt;&lt;D xsi:type="xsd:double"&gt;3.9824247&lt;/D&gt;&lt;D xsi:type="xsd:double"&gt;-0.34227967&lt;/D&gt;&lt;D xsi:type="xsd:double"&gt;-4.092729&lt;/D&gt;&lt;D xsi:type="xsd:double"&gt;5.849004&lt;/D&gt;&lt;D xsi:type="xsd:double"&gt;2.3118138&lt;/D&gt;&lt;D xsi:type="xsd:double"&gt;-2.7555823&lt;/D&gt;&lt;D xsi:type="xsd:double"&gt;-0.68008304&lt;/D&gt;&lt;D xsi:type="xsd:double"&gt;-2.8530657&lt;/D&gt;&lt;D xsi:type="xsd:double"&gt;-2.5550604&lt;/D&gt;&lt;D xsi:type="xsd:double"&gt;1.7179012&lt;/D&gt;&lt;D xsi:type="xsd:double"&gt;-2.4000049&lt;/D&gt;&lt;D xsi:type="xsd:double"&gt;14.51124&lt;/D&gt;&lt;D xsi:type="xsd:double"&gt;2.523756&lt;/D&gt;&lt;D xsi:type="xsd:double"&gt;-0.2649784&lt;/D&gt;&lt;D xsi:type="xsd:double"&gt;7.8374147&lt;/D&gt;&lt;D xsi:type="xsd:double"&gt;-2.5375664&lt;/D&gt;&lt;D xsi:type="xsd:double"&gt;3.2608628&lt;/D&gt;&lt;D xsi:type="xsd:double"&gt;1.7605901&lt;/D&gt;&lt;D xsi:type="xsd:double"&gt;-0.17110705&lt;/D&gt;&lt;/FQL&gt;&lt;FQL&gt;&lt;Q&gt;PASP-FDS^FG_PRICE_CHANGE(0,-1AY)&lt;/Q&gt;&lt;R&gt;1&lt;/R&gt;&lt;C&gt;1&lt;/C&gt;&lt;D xsi:type="xsd:double"&gt;-18.714859437751&lt;/D&gt;&lt;/FQL&gt;&lt;FQL&gt;&lt;Q&gt;SPY^FMA_EVAL_EBITDA(NTMA,0,,,"PORTAGG","MEANR")&lt;/Q&gt;&lt;R&gt;1&lt;/R&gt;&lt;C&gt;1&lt;/C&gt;&lt;D xsi:type="xsd:double"&gt;14.8985858175315&lt;/D&gt;&lt;/FQL&gt;&lt;FQL&gt;&lt;Q&gt;EWL^FMA_ROE(NTMA,-20AY,NOW,FY,"PORTAGG","MEANR")&lt;/Q&gt;&lt;R&gt;20&lt;/R&gt;&lt;C&gt;1&lt;/C&gt;&lt;D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xsi:type="xsd:double"&gt;19.3024636413407&lt;/D&gt;&lt;/FQL&gt;&lt;FQL&gt;&lt;Q&gt;EWL^FG_PRICE(0)&lt;/Q&gt;&lt;R&gt;1&lt;/R&gt;&lt;C&gt;1&lt;/C&gt;&lt;D xsi:type="xsd:double"&gt;49.3&lt;/D&gt;&lt;/FQL&gt;&lt;FQL&gt;&lt;Q&gt;TRYFR10Y-FDS^FG_YIELD_NAME&lt;/Q&gt;&lt;R&gt;1&lt;/R&gt;&lt;C&gt;1&lt;/C&gt;&lt;D xsi:type="xsd:string"&gt;France Benchmark Bond - 10 Year&lt;/D&gt;&lt;/FQL&gt;&lt;FQL&gt;&lt;Q&gt;SPY^FG_FCF_YIELD_NTM(0)&lt;/Q&gt;&lt;R&gt;1&lt;/R&gt;&lt;C&gt;1&lt;/C&gt;&lt;D xsi:type="xsd:double"&gt;4.01036194270253&lt;/D&gt;&lt;/FQL&gt;&lt;FQL&gt;&lt;Q&gt;CAGDPY@NZ^EE_ACTUAL_ANNUAL(MED,+1)&lt;/Q&gt;&lt;R&gt;1&lt;/R&gt;&lt;C&gt;1&lt;/C&gt;&lt;D xsi:type="xsd:double"&gt;-5.5&lt;/D&gt;&lt;/FQL&gt;&lt;FQL&gt;&lt;Q&gt;EWJ^P_PRICE(0)/P_PRICE_LOW_PR(0,,,,,,"PRICE","INTRA","52W")-1&lt;/Q&gt;&lt;R&gt;1&lt;/R&gt;&lt;C&gt;1&lt;/C&gt;&lt;D xsi:type="xsd:double"&gt;0.24143362&lt;/D&gt;&lt;/FQL&gt;&lt;FQL&gt;&lt;Q&gt;EWQ^PERCENT_CHANGE(FMA_EPS(+1,0,,,,"PORTAGG","MEAN"),FMA_EPS(+1,-3AM,,,,"PORTAGG","MEAN"))&lt;/Q&gt;&lt;R&gt;1&lt;/R&gt;&lt;C&gt;1&lt;/C&gt;&lt;D xsi:type="xsd:double"&gt;-1.05565543630967&lt;/D&gt;&lt;/FQL&gt;&lt;FQL&gt;&lt;Q&gt;EWC^FG_TOTAL_RETURNC(0,-12AM)&lt;/Q&gt;&lt;R&gt;1&lt;/R&gt;&lt;C&gt;1&lt;/C&gt;&lt;D xsi:type="xsd:double"&gt;13.995004&lt;/D&gt;&lt;/FQL&gt;&lt;FQL&gt;&lt;Q&gt;EWL^FMA_COS_DOWN("EPS","1M",+1,0,,,"PORTAGG","MEANR")&lt;/Q&gt;&lt;R&gt;1&lt;/R&gt;&lt;C&gt;1&lt;/C&gt;&lt;D xsi:type="xsd:double"&gt;20&lt;/D&gt;&lt;/FQL&gt;&lt;FQL&gt;&lt;Q&gt;CC_IT^IMF_IFS_RCPI_Q(0)&lt;/Q&gt;&lt;R&gt;0&lt;/R&gt;&lt;C&gt;0&lt;/C&gt;&lt;/FQL&gt;&lt;FQL&gt;&lt;Q&gt;EWJ^P_PRICE(0)/P_PRICE_HIGH_PR(0,,,USD,,,"PRICE","INTRA","52W")&lt;/Q&gt;&lt;R&gt;1&lt;/R&gt;&lt;C&gt;1&lt;/C&gt;&lt;D xsi:type="xsd:double"&gt;0.98536044&lt;/D&gt;&lt;/FQL&gt;&lt;FQL&gt;&lt;Q&gt;EWJ^FMA_ROE(NTMA,-20AY,NOW,FY,"PORTAGG","MEANR")&lt;/Q&gt;&lt;R&gt;20&lt;/R&gt;&lt;C&gt;1&lt;/C&gt;&lt;D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xsi:type="xsd:double"&gt;7.43859929800855&lt;/D&gt;&lt;D xsi:type="xsd:double"&gt;9.22076567390078&lt;/D&gt;&lt;D xsi:type="xsd:double"&gt;9.22544557136733&lt;/D&gt;&lt;D xsi:type="xsd:double"&gt;9.29976871138421&lt;/D&gt;&lt;/FQL&gt;&lt;FQL&gt;&lt;Q&gt;QQQ^FG_TOTAL_RETURNC(-10AY,0,AM)&lt;/Q&gt;&lt;R&gt;121&lt;/R&gt;&lt;C&gt;1&lt;/C&gt;&lt;D xsi:type="xsd:double"&gt;2.8375626&lt;/D&gt;&lt;D xsi:type="xsd:double"&gt;0.19943714&lt;/D&gt;&lt;D xsi:type="xsd:double"&gt;4.7454476&lt;/D&gt;&lt;D xsi:type="xsd:double"&gt;-5.3259077&lt;/D&gt;&lt;D xsi:type="xsd:double"&gt;8.301568&lt;/D&gt;&lt;D xsi:type="xsd:double"&gt;1.4861226&lt;/D&gt;&lt;D xsi:type="xsd:double"&gt;-0.7702172&lt;/D&gt;&lt;D xsi:type="xsd:double"&gt;2.1048546&lt;/D&gt;&lt;D xsi:type="xsd:double"&gt;0.31495094&lt;/D&gt;&lt;D xsi:type="xsd:double"&gt;2.7459621&lt;/D&gt;&lt;D xsi:type="xsd:double"&gt;0.48259497&lt;/D&gt;&lt;D xsi:type="xsd:double"&gt;1.2745976&lt;/D&gt;&lt;D xsi:type="xsd:double"&gt;-1.5969157&lt;/D&gt;&lt;D xsi:type="xsd:double"&gt;2.3130536&lt;/D&gt;&lt;D xsi:type="xsd:double"&gt;-4.1492643&lt;/D&gt;&lt;D xsi:type="xsd:double"&gt;1.1584044&lt;/D&gt;&lt;D xsi:type="xsd:double"&gt;6.2048197&lt;/D&gt;&lt;D xsi:type="xsd:double"&gt;-2.0770729&lt;/D&gt;&lt;D xsi:type="xsd:double"&gt;-5.537331&lt;/D&gt;&lt;D xsi:type="xsd:double"&gt;-7.4571075&lt;/D&gt;&lt;D xsi:type="xsd:double"&gt;10.2951765&lt;/D&gt;&lt;D xsi:type="xsd:double"&gt;2.2832513&lt;/D&gt;&lt;D xsi:type="xsd:double"&gt;-2.0626128&lt;/D&gt;&lt;D xsi:type="xsd:double"&gt;2.4257302&lt;/D&gt;&lt;D xsi:type="xsd:double"&gt;2.1007895&lt;/D&gt;&lt;D xsi:type="xsd:double"&gt;5.5801034&lt;/D&gt;&lt;D xsi:type="xsd:double"&gt;-2.424866&lt;/D&gt;&lt;D xsi:type="xsd:double"&gt;3.0927896&lt;/D&gt;&lt;D xsi:type="xsd:double"&gt;-1.4635742&lt;/D&gt;&lt;D xsi:type="xsd:double"&gt;3.1951666&lt;/D&gt;&lt;D xsi:type="xsd:double"&gt;3.1755924&lt;/D&gt;&lt;D xsi:type="xsd:double"&gt;3.619945&lt;/D&gt;&lt;D xsi:type="xsd:double"&gt;3.148067&lt;/D&gt;&lt;D xsi:type="xsd:double"&gt;0.25393963&lt;/D&gt;&lt;D xsi:type="xsd:double"&gt;5.2034974&lt;/D&gt;&lt;D xsi:type="xsd:double"&gt;1.222074&lt;/D&gt;&lt;D xsi:type="xsd:double"&gt;-0.392282&lt;/D&gt;&lt;D xsi:type="xsd:double"&gt;2.1934628&lt;/D&gt;&lt;D xsi:type="xsd:double"&gt;2.6530504&lt;/D&gt;&lt;D xsi:type="xsd:double"&gt;1.7103195&lt;/D&gt;&lt;D xsi:type="xsd:double"&gt;3.8097858&lt;/D&gt;&lt;D xsi:type="xsd:double"&gt;1.4445662&lt;/D&gt;&lt;D xsi:type="xsd:double"&gt;4.9577117&lt;/D&gt;&lt;D xsi:type="xsd:double"&gt;-4.403204&lt;/D&gt;&lt;D xsi:type="xsd:double"&gt;10.928893&lt;/D&gt;&lt;D xsi:type="xsd:double"&gt;-7.285017&lt;/D&gt;&lt;D xsi:type="xsd:double"&gt;5.727482&lt;/D&gt;&lt;D xsi:type="xsd:double"&gt;3.2160997&lt;/D&gt;&lt;D xsi:type="xsd:double"&gt;1.0795236&lt;/D&gt;&lt;D xsi:type="xsd:double"&gt;2.324009&lt;/D&gt;&lt;D xsi:type="xsd:double"&gt;1.4402747&lt;/D&gt;&lt;D xsi:type="xsd:double"&gt;-7.2170553&lt;/D&gt;&lt;D xsi:type="xsd:double"&gt;1.132071&lt;/D&gt;&lt;D xsi:type="xsd:double"&gt;-4.6117067&lt;/D&gt;&lt;D xsi:type="xsd:double"&gt;-1.4968574&lt;/D&gt;&lt;D xsi:type="xsd:double"&gt;4.7980547&lt;/D&gt;&lt;D xsi:type="xsd:double"&gt;3.7589073&lt;/D&gt;&lt;D xsi:type="xsd:double"&gt;6.087196&lt;/D&gt;&lt;D xsi:type="xsd:double"&gt;-0.016212463&lt;/D&gt;&lt;D xsi:type="xsd:double"&gt;-0.86486936&lt;/D&gt;&lt;D xsi:type="xsd:double"&gt;5.1499367&lt;/D&gt;&lt;D xsi:type="xsd:double"&gt;-3.0817986&lt;/D&gt;&lt;D xsi:type="xsd:double"&gt;3.185153&lt;/D&gt;&lt;D xsi:type="xsd:double"&gt;-0.48568845&lt;/D&gt;&lt;D xsi:type="xsd:double"&gt;5.154097&lt;/D&gt;&lt;D xsi:type="xsd:double"&gt;2.0003915&lt;/D&gt;&lt;D xsi:type="xsd:double"&gt;6.791854&lt;/D&gt;&lt;D xsi:type="xsd:double"&gt;6.217098&lt;/D&gt;&lt;D xsi:type="xsd:double"&gt;-15.857071&lt;/D&gt;&lt;D xsi:type="xsd:double"&gt;3.107965&lt;/D&gt;&lt;D xsi:type="xsd:double"&gt;12.949312&lt;/D&gt;&lt;D xsi:type="xsd:double"&gt;3.1515837&lt;/D&gt;&lt;D xsi:type="xsd:double"&gt;12.992001&lt;/D&gt;&lt;D xsi:type="xsd:double"&gt;0.46217442&lt;/D&gt;&lt;D xsi:type="xsd:double"&gt;1.9834876&lt;/D&gt;&lt;D xsi:type="xsd:double"&gt;5.795765&lt;/D&gt;&lt;D xsi:type="xsd:double"&gt;1.4175296&lt;/D&gt;&lt;D xsi:type="xsd:double"&gt;4.1724205&lt;/D&gt;&lt;D xsi:type="xsd:double"&gt;4.353595&lt;/D&gt;&lt;D xsi:type="xsd:double"&gt;6.411803&lt;/D&gt;&lt;D xsi:type="xsd:double"&gt;-4.943502&lt;/D&gt;&lt;D xsi:type="xsd:double"&gt;6.1273932&lt;/D&gt;&lt;D xsi:type="xsd:double"&gt;-3.5003364&lt;/D&gt;&lt;D xsi:type="xsd:double"&gt;4.8968673&lt;/D&gt;&lt;D xsi:type="xsd:double"&gt;5.915487&lt;/D&gt;&lt;D xsi:type="xsd:double"&gt;1.4403939&lt;/D&gt;&lt;D xsi:type="xsd:double"&gt;2.8344393&lt;/D&gt;&lt;D xsi:type="xsd:double"&gt;-4.725128&lt;/D&gt;&lt;D xsi:type="xsd:double"&gt;8.984625&lt;/D&gt;&lt;D xsi:type="xsd:double"&gt;1.8996954&lt;/D&gt;&lt;D xsi:type="xsd:double"&gt;-2.937609&lt;/D&gt;&lt;D xsi:type="xsd:double"&gt;-10.046137&lt;/D&gt;&lt;D xsi:type="xsd:double"&gt;-6.5291286&lt;/D&gt;&lt;D xsi:type="xsd:double"&gt;5.2134156&lt;/D&gt;&lt;D xsi:type="xsd:double"&gt;-14.388811&lt;/D&gt;&lt;D xsi:type="xsd:double"&gt;-1.0279596&lt;/D&gt;&lt;D xsi:type="xsd:double"&gt;0.25701523&lt;/D&gt;&lt;D xsi:type="xsd:double"&gt;12.122881&lt;/D&gt;&lt;D xsi:type="xsd:double"&gt;-5.2425327&lt;/D&gt;&lt;D xsi:type="xsd:double"&gt;-14.286322&lt;/D&gt;&lt;D xsi:type="xsd:double"&gt;9.594667&lt;/D&gt;&lt;D xsi:type="xsd:double"&gt;-2.0558357&lt;/D&gt;&lt;D xsi:type="xsd:double"&gt;-1.3528764&lt;/D&gt;&lt;D xsi:type="xsd:double"&gt;7.9805493&lt;/D&gt;&lt;D xsi:type="xsd:double"&gt;-3.7203968&lt;/D&gt;&lt;D xsi:type="xsd:double"&gt;9.62311&lt;/D&gt;&lt;D xsi:type="xsd:double"&gt;3.2834172&lt;/D&gt;&lt;D xsi:type="xsd:double"&gt;8.675659&lt;/D&gt;&lt;D xsi:type="xsd:double"&gt;3.9987922&lt;/D&gt;&lt;D xsi:type="xsd:double"&gt;-0.52422285&lt;/D&gt;&lt;D xsi:type="xsd:double"&gt;2.929771&lt;/D&gt;&lt;D xsi:type="xsd:double"&gt;-1.3830304&lt;/D&gt;&lt;D xsi:type="xsd:double"&gt;1.9314766&lt;/D&gt;&lt;D xsi:type="xsd:double"&gt;4.527068&lt;/D&gt;&lt;D xsi:type="xsd:double"&gt;3.756559&lt;/D&gt;&lt;D xsi:type="xsd:double"&gt;6.76682&lt;/D&gt;&lt;D xsi:type="xsd:double"&gt;0.07779598&lt;/D&gt;&lt;D xsi:type="xsd:double"&gt;1.9579291&lt;/D&gt;&lt;D xsi:type="xsd:double"&gt;-0.74320436&lt;/D&gt;&lt;D xsi:type="xsd:double"&gt;5.8725&lt;/D&gt;&lt;D xsi:type="xsd:double"&gt;5.2776337&lt;/D&gt;&lt;/FQL&gt;&lt;FQL&gt;&lt;Q&gt;EWC^FG_TOTAL_RETURNC(0,-3AM)&lt;/Q&gt;&lt;R&gt;1&lt;/R&gt;&lt;C&gt;1&lt;/C&gt;&lt;D xsi:type="xsd:double"&gt;2.6043296&lt;/D&gt;&lt;/FQL&gt;&lt;FQL&gt;&lt;Q&gt;ENZL^FMA_PE(NTMA,0,,,"PORTAGG","MEANR")&lt;/Q&gt;&lt;R&gt;1&lt;/R&gt;&lt;C&gt;1&lt;/C&gt;&lt;D xsi:type="xsd:double"&gt;24.4156236107302&lt;/D&gt;&lt;/FQL&gt;&lt;FQL&gt;&lt;Q&gt;CAGDPY@NZ^EE_ACTUAL_ANNUAL(MED,0)&lt;/Q&gt;&lt;R&gt;1&lt;/R&gt;&lt;C&gt;1&lt;/C&gt;&lt;D xsi:type="xsd:double"&gt;-6.9&lt;/D&gt;&lt;/FQL&gt;&lt;FQL&gt;&lt;Q&gt;CC_SE^IMF_IFS_RCPI_Q(0)&lt;/Q&gt;&lt;R&gt;0&lt;/R&gt;&lt;C&gt;0&lt;/C&gt;&lt;/FQL&gt;&lt;FQL&gt;&lt;Q&gt;USDEUR^FG_PRICE_CHANGE(0,-3AM)&lt;/Q&gt;&lt;R&gt;1&lt;/R&gt;&lt;C&gt;1&lt;/C&gt;&lt;D xsi:type="xsd:double"&gt;-1.5948176&lt;/D&gt;&lt;/FQL&gt;&lt;FQL&gt;&lt;Q&gt;TRYSE10Y-FDS^PCTCHG(FG_YIELD(0,,,,"YTM"),FG_YIELD(-3AM,,,,"YTM"))&lt;/Q&gt;&lt;R&gt;1&lt;/R&gt;&lt;C&gt;1&lt;/C&gt;&lt;D xsi:type="xsd:double"&gt;-14.551208&lt;/D&gt;&lt;/FQL&gt;&lt;FQL&gt;&lt;Q&gt;CC_NZ^FG_COMPANY_NAME&lt;/Q&gt;&lt;R&gt;1&lt;/R&gt;&lt;C&gt;1&lt;/C&gt;&lt;D xsi:type="xsd:string"&gt;New Zealand&lt;/D&gt;&lt;/FQL&gt;&lt;FQL&gt;&lt;Q&gt;EWJ^FG_PRICE_MAVG(0,,,,30)&lt;/Q&gt;&lt;R&gt;1&lt;/R&gt;&lt;C&gt;1&lt;/C&gt;&lt;D xsi:type="xsd:double"&gt;68.391335&lt;/D&gt;&lt;/FQL&gt;&lt;FQL&gt;&lt;Q&gt;USDITL^FG_PRICE_CHANGE(0,-6AM)&lt;/Q&gt;&lt;R&gt;1&lt;/R&gt;&lt;C&gt;1&lt;/C&gt;&lt;D xsi:type="xsd:double"&gt;0.6204605&lt;/D&gt;&lt;/FQL&gt;&lt;FQL&gt;&lt;Q&gt;EWG^FG_PRICE_MAVG(0,,,,60)&lt;/Q&gt;&lt;R&gt;1&lt;/R&gt;&lt;C&gt;1&lt;/C&gt;&lt;D xsi:type="xsd:double"&gt;31.234667&lt;/D&gt;&lt;/FQL&gt;&lt;FQL&gt;&lt;Q&gt;EWU^FMA_EVAL_EBIT(LTMA,NOW,NOW,M,"PORTAGG","MEANR")&lt;/Q&gt;&lt;R&gt;1&lt;/R&gt;&lt;C&gt;1&lt;/C&gt;&lt;D xsi:type="xsd:double"&gt;10.5028463223621&lt;/D&gt;&lt;/FQL&gt;&lt;FQL&gt;&lt;Q&gt;ENZL^JULIAN(FMA_DIV_YLD(NTMA,NOW,NOW,M,"PORTAGG","MEANR").DATES)&lt;/Q&gt;&lt;R&gt;1&lt;/R&gt;&lt;C&gt;1&lt;/C&gt;&lt;D xsi:type="xsd:long"&gt;45471&lt;/D&gt;&lt;/FQL&gt;&lt;FQL&gt;&lt;Q&gt;URTH^P_PRICE(0)/P_PRICE_LOW_PR(0,,,,,,"PRICE","INTRA","52W")-1&lt;/Q&gt;&lt;R&gt;1&lt;/R&gt;&lt;C&gt;1&lt;/C&gt;&lt;D xsi:type="xsd:double"&gt;0.3188318&lt;/D&gt;&lt;/FQL&gt;&lt;FQL&gt;&lt;Q&gt;ENZL^P_PRICE(0)/P_PRICE_LOW_PR(0,,,,,,"PRICE","INTRA","52W")-1&lt;/Q&gt;&lt;R&gt;1&lt;/R&gt;&lt;C&gt;1&lt;/C&gt;&lt;D xsi:type="xsd:double"&gt;0.12649&lt;/D&gt;&lt;/FQL&gt;&lt;FQL&gt;&lt;Q&gt;ENZL^FMA_COS_DOWN("EPS","1M",+1,0,,,"PORTAGG","MEANR")&lt;/Q&gt;&lt;R&gt;1&lt;/R&gt;&lt;C&gt;1&lt;/C&gt;&lt;D xsi:type="xsd:double"&gt;6&lt;/D&gt;&lt;/FQL&gt;&lt;FQL&gt;&lt;Q&gt;TRYFR10Y-FDS^PCTCHG(FG_YIELD(0,,,,"YTM"),FG_YIELD(-1AM,,,,"YTM"))&lt;/Q&gt;&lt;R&gt;1&lt;/R&gt;&lt;C&gt;1&lt;/C&gt;&lt;D xsi:type="xsd:double"&gt;-3.998766&lt;/D&gt;&lt;/FQL&gt;&lt;FQL&gt;&lt;Q&gt;CC_AU^IMF_IFS_RCPI_Q(0)&lt;/Q&gt;&lt;R&gt;0&lt;/R&gt;&lt;C&gt;0&lt;/C&gt;&lt;/FQL&gt;&lt;FQL&gt;&lt;Q&gt;USDEUR^FG_PRICE(0)&lt;/Q&gt;&lt;R&gt;1&lt;/R&gt;&lt;C&gt;1&lt;/C&gt;&lt;D xsi:type="xsd:double"&gt;0.91920215&lt;/D&gt;&lt;/FQL&gt;&lt;FQL&gt;&lt;Q&gt;PLATI-FDS^FG_PRICE_CHANGE(0,-3AM)&lt;/Q&gt;&lt;R&gt;1&lt;/R&gt;&lt;C&gt;1&lt;/C&gt;&lt;D xsi:type="xsd:double"&gt;3.05810397553516&lt;/D&gt;&lt;/FQL&gt;&lt;FQL&gt;&lt;Q&gt;EWA^FG_PRICE(0)&lt;/Q&gt;&lt;R&gt;1&lt;/R&gt;&lt;C&gt;1&lt;/C&gt;&lt;D xsi:type="xsd:double"&gt;25.26&lt;/D&gt;&lt;/FQL&gt;&lt;FQL&gt;&lt;Q&gt;ENZL^FMA_COS_UP("EPS","1M",+1,0,,,"PORTAGG","MEANR")&lt;/Q&gt;&lt;R&gt;1&lt;/R&gt;&lt;C&gt;1&lt;/C&gt;&lt;D xsi:type="xsd:double"&gt;2&lt;/D&gt;&lt;/FQL&gt;&lt;FQL&gt;&lt;Q&gt;EWU^FMA_EVAL_EBITDA(NTMA,0,,,"PORTAGG","MEANR")&lt;/Q&gt;&lt;R&gt;1&lt;/R&gt;&lt;C&gt;1&lt;/C&gt;&lt;D xsi:type="xsd:double"&gt;7.38593704875779&lt;/D&gt;&lt;/FQL&gt;&lt;FQL&gt;&lt;Q&gt;TRYAU10Y-FDS^FG_YIELD(-10AY,0,Y,,"YTM")&lt;/Q&gt;&lt;R&gt;10&lt;/R&gt;&lt;C&gt;1&lt;/C&gt;&lt;D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xsi:type="xsd:double"&gt;3.955&lt;/D&gt;&lt;/FQL&gt;&lt;FQL&gt;&lt;Q&gt;EWL^FMA_PE(NTMA,-10AY,0,AM,"PORTAGG","MEANR")&lt;/Q&gt;&lt;R&gt;121&lt;/R&gt;&lt;C&gt;1&lt;/C&gt;&lt;D xsi:type="xsd:double"&gt;15.8759194942779&lt;/D&gt;&lt;D xsi:type="xsd:double"&gt;15.6850965645641&lt;/D&gt;&lt;D xsi:type="xsd:double"&gt;16.1996202242473&lt;/D&gt;&lt;D xsi:type="xsd:double"&gt;15.1180215919904&lt;/D&gt;&lt;D xsi:type="xsd:double"&gt;16.0171699386595&lt;/D&gt;&lt;D xsi:type="xsd:double"&gt;15.8844671221898&lt;/D&gt;&lt;D xsi:type="xsd:double"&gt;15.7565158369341&lt;/D&gt;&lt;D xsi:type="xsd:double"&gt;16.7688405585768&lt;/D&gt;&lt;D xsi:type="xsd:double"&gt;17.4307842939274&lt;/D&gt;&lt;D xsi:type="xsd:double"&gt;18.2873658413189&lt;/D&gt;&lt;D xsi:type="xsd:double"&gt;17.58207468929&lt;/D&gt;&lt;D xsi:type="xsd:double"&gt;17.4507722124497&lt;/D&gt;&lt;D xsi:type="xsd:double"&gt;17.3141890608346&lt;/D&gt;&lt;D xsi:type="xsd:double"&gt;17.5329748261516&lt;/D&gt;&lt;D xsi:type="xsd:double"&gt;16.4383634756011&lt;/D&gt;&lt;D xsi:type="xsd:double"&gt;16.5148429239243&lt;/D&gt;&lt;D xsi:type="xsd:double"&gt;16.9195713641884&lt;/D&gt;&lt;D xsi:type="xsd:double"&gt;16.3629039781085&lt;/D&gt;&lt;D xsi:type="xsd:double"&gt;15.8714021057983&lt;/D&gt;&lt;D xsi:type="xsd:double"&gt;15.3438078232223&lt;/D&gt;&lt;D xsi:type="xsd:double"&gt;16.6850509645926&lt;/D&gt;&lt;D xsi:type="xsd:double"&gt;16.3693736019375&lt;/D&gt;&lt;D xsi:type="xsd:double"&gt;16.7218410765325&lt;/D&gt;&lt;D xsi:type="xsd:double"&gt;16.6654060352742&lt;/D&gt;&lt;D xsi:type="xsd:double"&gt;16.8909296158977&lt;/D&gt;&lt;D xsi:type="xsd:double"&gt;17.632974680332&lt;/D&gt;&lt;D xsi:type="xsd:double"&gt;17.3492168529548&lt;/D&gt;&lt;D xsi:type="xsd:double"&gt;16.9472844163371&lt;/D&gt;&lt;D xsi:type="xsd:double"&gt;16.4589581239384&lt;/D&gt;&lt;D xsi:type="xsd:double"&gt;16.6379478574713&lt;/D&gt;&lt;D xsi:type="xsd:double"&gt;17.1329667105597&lt;/D&gt;&lt;D xsi:type="xsd:double"&gt;17.3800024830095&lt;/D&gt;&lt;D xsi:type="xsd:double"&gt;17.6390374546385&lt;/D&gt;&lt;D xsi:type="xsd:double"&gt;17.3655432380124&lt;/D&gt;&lt;D xsi:type="xsd:double"&gt;17.9636342430407&lt;/D&gt;&lt;D xsi:type="xsd:double"&gt;17.85127543502&lt;/D&gt;&lt;D xsi:type="xsd:double"&gt;17.5884797474274&lt;/D&gt;&lt;D xsi:type="xsd:double"&gt;17.4298361216625&lt;/D&gt;&lt;D xsi:type="xsd:double"&gt;17.6244891823348&lt;/D&gt;&lt;D xsi:type="xsd:double"&gt;17.9228212917989&lt;/D&gt;&lt;D xsi:type="xsd:double"&gt;17.6132197782747&lt;/D&gt;&lt;D xsi:type="xsd:double"&gt;17.5684426919503&lt;/D&gt;&lt;D xsi:type="xsd:double"&gt;17.8194456158752&lt;/D&gt;&lt;D xsi:type="xsd:double"&gt;16.2648856057421&lt;/D&gt;&lt;D xsi:type="xsd:double"&gt;16.4759389556176&lt;/D&gt;&lt;D xsi:type="xsd:double"&gt;15.9882902806959&lt;/D&gt;&lt;D xsi:type="xsd:double"&gt;16.3319589528541&lt;/D&gt;&lt;D xsi:type="xsd:double"&gt;15.7177299246148&lt;/D&gt;&lt;D xsi:type="xsd:double"&gt;15.7493936931123&lt;/D&gt;&lt;D xsi:type="xsd:double"&gt;16.0272555606498&lt;/D&gt;&lt;D xsi:type="xsd:double"&gt;15.8603191003457&lt;/D&gt;&lt;D xsi:type="xsd:double"&gt;15.099561828975&lt;/D&gt;&lt;D xsi:type="xsd:double"&gt;15.7763992586422&lt;/D&gt;&lt;D xsi:type="xsd:double"&gt;15.0717087920287&lt;/D&gt;&lt;D xsi:type="xsd:double"&gt;15.2151961802266&lt;/D&gt;&lt;D xsi:type="xsd:double"&gt;15.642013385746&lt;/D&gt;&lt;D xsi:type="xsd:double"&gt;16.2407004674962&lt;/D&gt;&lt;D xsi:type="xsd:double"&gt;16.8214935924938&lt;/D&gt;&lt;D xsi:type="xsd:double"&gt;16.4548542669117&lt;/D&gt;&lt;D xsi:type="xsd:double"&gt;17.0332851121985&lt;/D&gt;&lt;D xsi:type="xsd:double"&gt;17.0478071474615&lt;/D&gt;&lt;D xsi:type="xsd:double"&gt;16.8454919914567&lt;/D&gt;&lt;D xsi:type="xsd:double"&gt;17.2416350055733&lt;/D&gt;&lt;D xsi:type="xsd:double"&gt;17.0625929798254&lt;/D&gt;&lt;D xsi:type="xsd:double"&gt;17.39759123594&lt;/D&gt;&lt;D xsi:type="xsd:double"&gt;17.4475663713257&lt;/D&gt;&lt;D xsi:type="xsd:double"&gt;17.7647889301834&lt;/D&gt;&lt;D xsi:type="xsd:double"&gt;18.4564089491856&lt;/D&gt;&lt;D xsi:type="xsd:double"&gt;15.5532674730645&lt;/D&gt;&lt;D xsi:type="xsd:double"&gt;17.201386624659&lt;/D&gt;&lt;D xsi:type="xsd:double"&gt;18.4684854374838&lt;/D&gt;&lt;D xsi:type="xsd:double"&gt;18.9415663556914&lt;/D&gt;&lt;D xsi:type="xsd:double"&gt;19.627224632589&lt;/D&gt;&lt;D xsi:type="xsd:double"&gt;19.4476161836401&lt;/D&gt;&lt;D xsi:type="xsd:double"&gt;19.5541471928664&lt;/D&gt;&lt;D xsi:type="xsd:double"&gt;19.1489146370552&lt;/D&gt;&lt;D xsi:type="xsd:double"&gt;19.0489408517571&lt;/D&gt;&lt;D xsi:type="xsd:double"&gt;18.4091986008489&lt;/D&gt;&lt;D xsi:type="xsd:double"&gt;19.0330054440361&lt;/D&gt;&lt;D xsi:type="xsd:double"&gt;18.9427240000447&lt;/D&gt;&lt;D xsi:type="xsd:double"&gt;18.6366898886815&lt;/D&gt;&lt;D xsi:type="xsd:double"&gt;19.4318662139275&lt;/D&gt;&lt;D xsi:type="xsd:double"&gt;18.7563549514869&lt;/D&gt;&lt;D xsi:type="xsd:double"&gt;19.8934381358954&lt;/D&gt;&lt;D xsi:type="xsd:double"&gt;19.7674143893801&lt;/D&gt;&lt;D xsi:type="xsd:double"&gt;19.9125652537489&lt;/D&gt;&lt;D xsi:type="xsd:double"&gt;19.2911374042742&lt;/D&gt;&lt;D xsi:type="xsd:double"&gt;18.440787499336&lt;/D&gt;&lt;D xsi:type="xsd:double"&gt;19.3351641334146&lt;/D&gt;&lt;D xsi:type="xsd:double"&gt;19.3398855423122&lt;/D&gt;&lt;D xsi:type="xsd:double"&gt;19.154052139713&lt;/D&gt;&lt;D xsi:type="xsd:double"&gt;18.345573487205&lt;/D&gt;&lt;D xsi:type="xsd:double"&gt;17.2783782289093&lt;/D&gt;&lt;D xsi:type="xsd:double"&gt;18.6817404342863&lt;/D&gt;&lt;D xsi:type="xsd:double"&gt;16.8409878148009&lt;/D&gt;&lt;D xsi:type="xsd:double"&gt;15.9733284461668&lt;/D&gt;&lt;D xsi:type="xsd:double"&gt;16.1077690013462&lt;/D&gt;&lt;D xsi:type="xsd:double"&gt;17.0128718569753&lt;/D&gt;&lt;D xsi:type="xsd:double"&gt;16.20173530647&lt;/D&gt;&lt;D xsi:type="xsd:double"&gt;14.796269903738&lt;/D&gt;&lt;D xsi:type="xsd:double"&gt;16.9796219447775&lt;/D&gt;&lt;D xsi:type="xsd:double"&gt;16.781087288449&lt;/D&gt;&lt;D xsi:type="xsd:double"&gt;17.1235785879537&lt;/D&gt;&lt;D xsi:type="xsd:double"&gt;17.0338052116019&lt;/D&gt;&lt;D xsi:type="xsd:double"&gt;16.6508081957951&lt;/D&gt;&lt;D xsi:type="xsd:double"&gt;17.3460177269749&lt;/D&gt;&lt;D xsi:type="xsd:double"&gt;17.5288419446636&lt;/D&gt;&lt;D xsi:type="xsd:double"&gt;16.4810585049268&lt;/D&gt;&lt;D xsi:type="xsd:double"&gt;16.2413186963177&lt;/D&gt;&lt;D xsi:type="xsd:double"&gt;16.5933964586186&lt;/D&gt;&lt;D xsi:type="xsd:double"&gt;16.3982269830488&lt;/D&gt;&lt;D xsi:type="xsd:double"&gt;16.3155522802944&lt;/D&gt;&lt;D xsi:type="xsd:double"&gt;15.7195907330994&lt;/D&gt;&lt;D xsi:type="xsd:double"&gt;16.60565919173&lt;/D&gt;&lt;D xsi:type="xsd:double"&gt;16.883163278205&lt;/D&gt;&lt;D xsi:type="xsd:double"&gt;17.0331664846492&lt;/D&gt;&lt;D xsi:type="xsd:double"&gt;17.7433276188432&lt;/D&gt;&lt;D xsi:type="xsd:double"&gt;17.1640966935201&lt;/D&gt;&lt;D xsi:type="xsd:double"&gt;17.160922402842&lt;/D&gt;&lt;D xsi:type="xsd:double"&gt;17.2651156912581&lt;/D&gt;&lt;D xsi:type="xsd:double"&gt;17.1573122841002&lt;/D&gt;&lt;/FQL&gt;&lt;FQL&gt;&lt;Q&gt;ENZL^FG_TOTAL_RETURNC(0,-6AM)&lt;/Q&gt;&lt;R&gt;1&lt;/R&gt;&lt;C&gt;1&lt;/C&gt;&lt;D xsi:type="xsd:double"&gt;-2.6459634&lt;/D&gt;&lt;/FQL&gt;&lt;FQL&gt;&lt;Q&gt;TRYCH10Y-FDS^PCTCHG(FG_YIELD(0,,,,"YTM"),FG_YIELD(-1AM,,,,"YTM"))&lt;/Q&gt;&lt;R&gt;1&lt;/R&gt;&lt;C&gt;1&lt;/C&gt;&lt;D xsi:type="xsd:double"&gt;-29.41874&lt;/D&gt;&lt;/FQL&gt;&lt;FQL&gt;&lt;Q&gt;USO^FG_TOTAL_RETURNC(0,-1AM)&lt;/Q&gt;&lt;R&gt;1&lt;/R&gt;&lt;C&gt;1&lt;/C&gt;&lt;D xsi:type="xsd:double"&gt;7.1910977&lt;/D&gt;&lt;/FQL&gt;&lt;FQL&gt;&lt;Q&gt;EWQ^FMA_PE(LTM,0,,,"PORTAGG","MEANR")&lt;/Q&gt;&lt;R&gt;1&lt;/R&gt;&lt;C&gt;1&lt;/C&gt;&lt;D xsi:type="xsd:double"&gt;15.8628633238993&lt;/D&gt;&lt;/FQL&gt;&lt;FQL&gt;&lt;Q&gt;CAGDPY@CA^EE_ACTUAL_ANNUAL(MED,+1)&lt;/Q&gt;&lt;R&gt;1&lt;/R&gt;&lt;C&gt;1&lt;/C&gt;&lt;D xsi:type="xsd:double"&gt;-0.6&lt;/D&gt;&lt;/FQL&gt;&lt;FQL&gt;&lt;Q&gt;EWN^FG_TOTAL_RETURNC(0,-1AM)&lt;/Q&gt;&lt;R&gt;1&lt;/R&gt;&lt;C&gt;1&lt;/C&gt;&lt;D xsi:type="xsd:double"&gt;1.9827247&lt;/D&gt;&lt;/FQL&gt;&lt;FQL&gt;&lt;Q&gt;EWU^SIZE(FG_CONSTITUENTS)&lt;/Q&gt;&lt;R&gt;1&lt;/R&gt;&lt;C&gt;1&lt;/C&gt;&lt;D xsi:type="xsd:long"&gt;81&lt;/D&gt;&lt;/FQL&gt;&lt;FQL&gt;&lt;Q&gt;EWG^FG_ROE(0)&lt;/Q&gt;&lt;R&gt;1&lt;/R&gt;&lt;C&gt;1&lt;/C&gt;&lt;D xsi:type="xsd:double"&gt;9.48226216222866&lt;/D&gt;&lt;/FQL&gt;&lt;FQL&gt;&lt;Q&gt;TRYNZ10Y-FDS^FG_YIELD(0,,,,"YTM")&lt;/Q&gt;&lt;R&gt;1&lt;/R&gt;&lt;C&gt;1&lt;/C&gt;&lt;D xsi:type="xsd:double"&gt;4.5667&lt;/D&gt;&lt;/FQL&gt;&lt;FQL&gt;&lt;Q&gt;SPY^FG_TOTAL_RETURNC(-10AY,0,AM)&lt;/Q&gt;&lt;R&gt;121&lt;/R&gt;&lt;C&gt;1&lt;/C&gt;&lt;D xsi:type="xsd:double"&gt;1.3492107&lt;/D&gt;&lt;D xsi:type="xsd:double"&gt;-1.4317691&lt;/D&gt;&lt;D xsi:type="xsd:double"&gt;3.3566475&lt;/D&gt;&lt;D xsi:type="xsd:double"&gt;-4.427534&lt;/D&gt;&lt;D xsi:type="xsd:double"&gt;7.1559787&lt;/D&gt;&lt;D xsi:type="xsd:double"&gt;0.0073432922&lt;/D&gt;&lt;D xsi:type="xsd:double"&gt;0.5790949&lt;/D&gt;&lt;D xsi:type="xsd:double"&gt;1.3121128&lt;/D&gt;&lt;D xsi:type="xsd:double"&gt;-1.1743069&lt;/D&gt;&lt;D xsi:type="xsd:double"&gt;3.1634092&lt;/D&gt;&lt;D xsi:type="xsd:double"&gt;0.26899576&lt;/D&gt;&lt;D xsi:type="xsd:double"&gt;0.48669577&lt;/D&gt;&lt;D xsi:type="xsd:double"&gt;-1.4819324&lt;/D&gt;&lt;D xsi:type="xsd:double"&gt;0.57355165&lt;/D&gt;&lt;D xsi:type="xsd:double"&gt;-5.7171583&lt;/D&gt;&lt;D xsi:type="xsd:double"&gt;2.8741121&lt;/D&gt;&lt;D xsi:type="xsd:double"&gt;3.1838298&lt;/D&gt;&lt;D xsi:type="xsd:double"&gt;-2.8208315&lt;/D&gt;&lt;D xsi:type="xsd:double"&gt;-4.263115&lt;/D&gt;&lt;D xsi:type="xsd:double"&gt;-4.814953&lt;/D&gt;&lt;D xsi:type="xsd:double"&gt;10.88264&lt;/D&gt;&lt;D xsi:type="xsd:double"&gt;1.1382222&lt;/D&gt;&lt;D xsi:type="xsd:double"&gt;1.2155175&lt;/D&gt;&lt;D xsi:type="xsd:double"&gt;1.7288208&lt;/D&gt;&lt;D xsi:type="xsd:double"&gt;2.115643&lt;/D&gt;&lt;D xsi:type="xsd:double"&gt;2.4601698&lt;/D&gt;&lt;D xsi:type="xsd:double"&gt;-2.4559796&lt;/D&gt;&lt;D xsi:type="xsd:double"&gt;0.57781935&lt;/D&gt;&lt;D xsi:type="xsd:double"&gt;1.4009356&lt;/D&gt;&lt;D xsi:type="xsd:double"&gt;4.6622276&lt;/D&gt;&lt;D xsi:type="xsd:double"&gt;0.85253716&lt;/D&gt;&lt;D xsi:type="xsd:double"&gt;1.9418716&lt;/D&gt;&lt;D xsi:type="xsd:double"&gt;2.6694298&lt;/D&gt;&lt;D xsi:type="xsd:double"&gt;-0.67545176&lt;/D&gt;&lt;D xsi:type="xsd:double"&gt;1.8378377&lt;/D&gt;&lt;D xsi:type="xsd:double"&gt;1.6835093&lt;/D&gt;&lt;D xsi:type="xsd:double"&gt;-0.016057491&lt;/D&gt;&lt;D xsi:type="xsd:double"&gt;0.79689026&lt;/D&gt;&lt;D xsi:type="xsd:double"&gt;2.085042&lt;/D&gt;&lt;D xsi:type="xsd:double"&gt;2.8383493&lt;/D&gt;&lt;D xsi:type="xsd:double"&gt;1.2038231&lt;/D&gt;&lt;D xsi:type="xsd:double"&gt;3.1849384&lt;/D&gt;&lt;D xsi:type="xsd:double"&gt;4.209399&lt;/D&gt;&lt;D xsi:type="xsd:double"&gt;-5.2948&lt;/D&gt;&lt;D xsi:type="xsd:double"&gt;6.642449&lt;/D&gt;&lt;D xsi:type="xsd:double"&gt;-5.039978&lt;/D&gt;&lt;D xsi:type="xsd:double"&gt;3.4463167&lt;/D&gt;&lt;D xsi:type="xsd:double"&gt;2.092719&lt;/D&gt;&lt;D xsi:type="xsd:double"&gt;-0.16357899&lt;/D&gt;&lt;D xsi:type="xsd:double"&gt;2.2755265&lt;/D&gt;&lt;D xsi:type="xsd:double"&gt;2.0800948&lt;/D&gt;&lt;D xsi:type="xsd:double"&gt;-5.413294&lt;/D&gt;&lt;D xsi:type="xsd:double"&gt;2.0538568&lt;/D&gt;&lt;D xsi:type="xsd:double"&gt;-4.907113&lt;/D&gt;&lt;D xsi:type="xsd:double"&gt;-1.3650656&lt;/D&gt;&lt;D xsi:type="xsd:double"&gt;4.494548&lt;/D&gt;&lt;D xsi:type="xsd:double"&gt;2.889669&lt;/D&gt;&lt;D xsi:type="xsd:double"&gt;3.9625525&lt;/D&gt;&lt;D xsi:type="xsd:double"&gt;-0.038158894&lt;/D&gt;&lt;D xsi:type="xsd:double"&gt;0.2776742&lt;/D&gt;&lt;D xsi:type="xsd:double"&gt;4.107821&lt;/D&gt;&lt;D xsi:type="xsd:double"&gt;-2.5692463&lt;/D&gt;&lt;D xsi:type="xsd:double"&gt;2.9593349&lt;/D&gt;&lt;D xsi:type="xsd:double"&gt;-0.8644998&lt;/D&gt;&lt;D xsi:type="xsd:double"&gt;4.0738463&lt;/D&gt;&lt;D xsi:type="xsd:double"&gt;1.9685388&lt;/D&gt;&lt;D xsi:type="xsd:double"&gt;4.0978074&lt;/D&gt;&lt;D xsi:type="xsd:double"&gt;2.9320598&lt;/D&gt;&lt;D xsi:type="xsd:double"&gt;-18.16501&lt;/D&gt;&lt;D xsi:type="xsd:double"&gt;2.0225525&lt;/D&gt;&lt;D xsi:type="xsd:double"&gt;5.1401854&lt;/D&gt;&lt;D xsi:type="xsd:double"&gt;2.7726412&lt;/D&gt;&lt;D xsi:type="xsd:double"&gt;6.1161876&lt;/D&gt;&lt;D xsi:type="xsd:double"&gt;4.7891855&lt;/D&gt;&lt;D xsi:type="xsd:double"&gt;0.3786087&lt;/D&gt;&lt;D xsi:type="xsd:double"&gt;4.2491913&lt;/D&gt;&lt;D xsi:type="xsd:double"&gt;2.8311968&lt;/D&gt;&lt;D xsi:type="xsd:double"&gt;2.6999712&lt;/D&gt;&lt;D xsi:type="xsd:double"&gt;3.8249373&lt;/D&gt;&lt;D xsi:type="xsd:double"&gt;3.1741023&lt;/D&gt;&lt;D xsi:type="xsd:double"&gt;0.72176456&lt;/D&gt;&lt;D xsi:type="xsd:double"&gt;4.906857&lt;/D&gt;&lt;D xsi:type="xsd:double"&gt;0.6610155&lt;/D&gt;&lt;D xsi:type="xsd:double"&gt;2.4383783&lt;/D&gt;&lt;D xsi:type="xsd:double"&gt;2.9822946&lt;/D&gt;&lt;D xsi:type="xsd:double"&gt;1.896584&lt;/D&gt;&lt;D xsi:type="xsd:double"&gt;0.3740549&lt;/D&gt;&lt;D xsi:type="xsd:double"&gt;-2.0976067&lt;/D&gt;&lt;D xsi:type="xsd:double"&gt;6.6898227&lt;/D&gt;&lt;D xsi:type="xsd:double"&gt;1.5028954&lt;/D&gt;&lt;D xsi:type="xsd:double"&gt;0.1447916&lt;/D&gt;&lt;D xsi:type="xsd:double"&gt;-6.235236&lt;/D&gt;&lt;D xsi:type="xsd:double"&gt;-4.6292486&lt;/D&gt;&lt;D xsi:type="xsd:double"&gt;5.047226&lt;/D&gt;&lt;D xsi:type="xsd:double"&gt;-10.7224045&lt;/D&gt;&lt;D xsi:type="xsd:double"&gt;-0.75111985&lt;/D&gt;&lt;D xsi:type="xsd:double"&gt;-1.0040879&lt;/D&gt;&lt;D xsi:type="xsd:double"&gt;9.306919&lt;/D&gt;&lt;D xsi:type="xsd:double"&gt;-3.188169&lt;/D&gt;&lt;D xsi:type="xsd:double"&gt;-11.652433&lt;/D&gt;&lt;D xsi:type="xsd:double"&gt;11.396551&lt;/D&gt;&lt;D xsi:type="xsd:double"&gt;-1.312393&lt;/D&gt;&lt;D xsi:type="xsd:double"&gt;1.0370016&lt;/D&gt;&lt;D xsi:type="xsd:double"&gt;3.1654596&lt;/D&gt;&lt;D xsi:type="xsd:double"&gt;-5.423486&lt;/D&gt;&lt;D xsi:type="xsd:double"&gt;6.579888&lt;/D&gt;&lt;D xsi:type="xsd:double"&gt;0.5882025&lt;/D&gt;&lt;D xsi:type="xsd:double"&gt;4.3117404&lt;/D&gt;&lt;D xsi:type="xsd:double"&gt;3.305316&lt;/D&gt;&lt;D xsi:type="xsd:double"&gt;0.72096586&lt;/D&gt;&lt;D xsi:type="xsd:double"&gt;0.6283045&lt;/D&gt;&lt;D xsi:type="xsd:double"&gt;-2.357453&lt;/D&gt;&lt;D xsi:type="xsd:double"&gt;0.9832144&lt;/D&gt;&lt;D xsi:type="xsd:double"&gt;4.8523664&lt;/D&gt;&lt;D xsi:type="xsd:double"&gt;3.5270452&lt;/D&gt;&lt;D xsi:type="xsd:double"&gt;5.2167535&lt;/D&gt;&lt;D xsi:type="xsd:double"&gt;2.011168&lt;/D&gt;&lt;D xsi:type="xsd:double"&gt;1.6312957&lt;/D&gt;&lt;D xsi:type="xsd:double"&gt;0.54826736&lt;/D&gt;&lt;D xsi:type="xsd:double"&gt;3.0930758&lt;/D&gt;&lt;D xsi:type="xsd:double"&gt;3.9720058&lt;/D&gt;&lt;/FQL&gt;&lt;FQL&gt;&lt;Q&gt;EWG^FMA_PCT_ABOVE_MAVG(200,0,,,,"PORTAGG")&lt;/Q&gt;&lt;R&gt;1&lt;/R&gt;&lt;C&gt;1&lt;/C&gt;&lt;D xsi:type="xsd:double"&gt;58.6206896551724&lt;/D&gt;&lt;/FQL&gt;&lt;FQL&gt;&lt;Q&gt;REFCATARG-FDS^(SUBARRAY(NOT_NA(NO_REPEAT_F(FG_YIELD(NOW,-10AY,D))),0,1)-SUBARRAY(NOT_NA(NO_REPEAT_F(FG_YIELD(NOW,-10AY,D))),1,1))*100&lt;/Q&gt;&lt;R&gt;1&lt;/R&gt;&lt;C&gt;1&lt;/C&gt;&lt;D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xsi:type="xsd:double"&gt;-25&lt;/D&gt;&lt;/FQL&gt;&lt;FQL&gt;&lt;Q&gt;ENZL^FMA_DIV_YLD(NTMA,NOW,NOW,M,"PORTAGG","MEANR")&lt;/Q&gt;&lt;R&gt;1&lt;/R&gt;&lt;C&gt;1&lt;/C&gt;&lt;D xsi:type="xsd:double"&gt;2.762752008838&lt;/D&gt;&lt;/FQL&gt;&lt;FQL&gt;&lt;Q&gt;PASP-FDS^FG_PRICE_MAVG(0,,,,30)&lt;/Q&gt;&lt;R&gt;1&lt;/R&gt;&lt;C&gt;1&lt;/C&gt;&lt;D xsi:type="xsd:double"&gt;961.9667&lt;/D&gt;&lt;/FQL&gt;&lt;FQL&gt;&lt;Q&gt;REFNZOCR-FDS^PROPER_NAME(0,,,"SECURITY","NAME")&lt;/Q&gt;&lt;R&gt;1&lt;/R&gt;&lt;C&gt;1&lt;/C&gt;&lt;D xsi:type="xsd:string"&gt;New Zealand Official Cash Rate&lt;/D&gt;&lt;/FQL&gt;&lt;FQL&gt;&lt;Q&gt;SPY^FMA_DIV_YLD(NTMA,NOW,NOW,M,"PORTAGG","MEANR")&lt;/Q&gt;&lt;R&gt;1&lt;/R&gt;&lt;C&gt;1&lt;/C&gt;&lt;D xsi:type="xsd:double"&gt;1.40168721755284&lt;/D&gt;&lt;/FQL&gt;&lt;FQL&gt;&lt;Q&gt;EWJ^FG_PRICE_MAVG(0,,,,60)&lt;/Q&gt;&lt;R&gt;1&lt;/R&gt;&lt;C&gt;1&lt;/C&gt;&lt;D xsi:type="xsd:double"&gt;68.192&lt;/D&gt;&lt;/FQL&gt;&lt;FQL&gt;&lt;Q&gt;EWL^FMA_COS_UP("EPS","1M",+1,0,,,"PORTAGG","MEANR")&lt;/Q&gt;&lt;R&gt;1&lt;/R&gt;&lt;C&gt;1&lt;/C&gt;&lt;D xsi:type="xsd:double"&gt;15&lt;/D&gt;&lt;/FQL&gt;&lt;FQL&gt;&lt;Q&gt;EWI^FMA_DIV_YLD(NTMA,-10AY,0,AM,"PORTAGG","MEANR")&lt;/Q&gt;&lt;R&gt;121&lt;/R&gt;&lt;C&gt;1&lt;/C&gt;&lt;D xsi:type="xsd:double"&gt;3.50256229449532&lt;/D&gt;&lt;D xsi:type="xsd:double"&gt;3.76100974459839&lt;/D&gt;&lt;D xsi:type="xsd:double"&gt;3.50867566499921&lt;/D&gt;&lt;D xsi:type="xsd:double"&gt;3.97519122118323&lt;/D&gt;&lt;D xsi:type="xsd:double"&gt;3.96500096243937&lt;/D&gt;&lt;D xsi:type="xsd:double"&gt;3.99531393602561&lt;/D&gt;&lt;D xsi:type="xsd:double"&gt;4.27218270378016&lt;/D&gt;&lt;D xsi:type="xsd:double"&gt;3.73714986584717&lt;/D&gt;&lt;D xsi:type="xsd:double"&gt;3.39361964990979&lt;/D&gt;&lt;D xsi:type="xsd:double"&gt;3.08211052344215&lt;/D&gt;&lt;D xsi:type="xsd:double"&gt;3.17529418561015&lt;/D&gt;&lt;D xsi:type="xsd:double"&gt;3.25948103308547&lt;/D&gt;&lt;D xsi:type="xsd:double"&gt;3.27861299320685&lt;/D&gt;&lt;D xsi:type="xsd:double"&gt;3.10047477499865&lt;/D&gt;&lt;D xsi:type="xsd:double"&gt;3.41146122623376&lt;/D&gt;&lt;D xsi:type="xsd:double"&gt;3.55995799370087&lt;/D&gt;&lt;D xsi:type="xsd:double"&gt;3.59009917998346&lt;/D&gt;&lt;D xsi:type="xsd:double"&gt;3.86957175168544&lt;/D&gt;&lt;D xsi:type="xsd:double"&gt;4.16618055213125&lt;/D&gt;&lt;D xsi:type="xsd:double"&gt;5.08168473647802&lt;/D&gt;&lt;D xsi:type="xsd:double"&gt;4.17694949415063&lt;/D&gt;&lt;D xsi:type="xsd:double"&gt;4.53000704125564&lt;/D&gt;&lt;D xsi:type="xsd:double"&gt;4.54673457015378&lt;/D&gt;&lt;D xsi:type="xsd:double"&gt;4.78788731735719&lt;/D&gt;&lt;D xsi:type="xsd:double"&gt;4.95816910205306&lt;/D&gt;&lt;D xsi:type="xsd:double"&gt;4.69444623522132&lt;/D&gt;&lt;D xsi:type="xsd:double"&gt;4.71948698640769&lt;/D&gt;&lt;D xsi:type="xsd:double"&gt;4.96865928423915&lt;/D&gt;&lt;D xsi:type="xsd:double"&gt;4.78241754393465&lt;/D&gt;&lt;D xsi:type="xsd:double"&gt;4.53550667294587&lt;/D&gt;&lt;D xsi:type="xsd:double"&gt;4.30591893685429&lt;/D&gt;&lt;D xsi:type="xsd:double"&gt;4.44599975976405&lt;/D&gt;&lt;D xsi:type="xsd:double"&gt;4.06750207002043&lt;/D&gt;&lt;D xsi:type="xsd:double"&gt;3.98330615193518&lt;/D&gt;&lt;D xsi:type="xsd:double"&gt;3.77460950413415&lt;/D&gt;&lt;D xsi:type="xsd:double"&gt;3.75897859432636&lt;/D&gt;&lt;D xsi:type="xsd:double"&gt;3.81447013713593&lt;/D&gt;&lt;D xsi:type="xsd:double"&gt;3.83046937246452&lt;/D&gt;&lt;D xsi:type="xsd:double"&gt;3.73479012407187&lt;/D&gt;&lt;D xsi:type="xsd:double"&gt;3.78124180585251&lt;/D&gt;&lt;D xsi:type="xsd:double"&gt;3.82206993493439&lt;/D&gt;&lt;D xsi:type="xsd:double"&gt;3.83021663243235&lt;/D&gt;&lt;D xsi:type="xsd:double"&gt;3.77688907453437&lt;/D&gt;&lt;D xsi:type="xsd:double"&gt;4.0296985547953&lt;/D&gt;&lt;D xsi:type="xsd:double"&gt;4.00243749414389&lt;/D&gt;&lt;D xsi:type="xsd:double"&gt;4.0058427649528&lt;/D&gt;&lt;D xsi:type="xsd:double"&gt;3.89538532686457&lt;/D&gt;&lt;D xsi:type="xsd:double"&gt;4.3751583803581&lt;/D&gt;&lt;D xsi:type="xsd:double"&gt;4.49157151742712&lt;/D&gt;&lt;D xsi:type="xsd:double"&gt;4.5769263603456&lt;/D&gt;&lt;D xsi:type="xsd:double"&gt;4.64571448812626&lt;/D&gt;&lt;D xsi:type="xsd:double"&gt;5.01240557759704&lt;/D&gt;&lt;D xsi:type="xsd:double"&gt;5.07712974022427&lt;/D&gt;&lt;D xsi:type="xsd:double"&gt;5.36064786589972&lt;/D&gt;&lt;D xsi:type="xsd:double"&gt;5.17574795645191&lt;/D&gt;&lt;D xsi:type="xsd:double"&gt;5.05567952268158&lt;/D&gt;&lt;D xsi:type="xsd:double"&gt;4.80552436506738&lt;/D&gt;&lt;D xsi:type="xsd:double"&gt;4.63862358887392&lt;/D&gt;&lt;D xsi:type="xsd:double"&gt;4.86556204899233&lt;/D&gt;&lt;D xsi:type="xsd:double"&gt;4.97485594177417&lt;/D&gt;&lt;D xsi:type="xsd:double"&gt;4.62791958293277&lt;/D&gt;&lt;D xsi:type="xsd:double"&gt;5.09412920189894&lt;/D&gt;&lt;D xsi:type="xsd:double"&gt;4.76957636127331&lt;/D&gt;&lt;D xsi:type="xsd:double"&gt;4.7333996357681&lt;/D&gt;&lt;D xsi:type="xsd:double"&gt;4.5375116113783&lt;/D&gt;&lt;D xsi:type="xsd:double"&gt;4.57583085406024&lt;/D&gt;&lt;D xsi:type="xsd:double"&gt;4.42752191483507&lt;/D&gt;&lt;D xsi:type="xsd:double"&gt;4.44898149167586&lt;/D&gt;&lt;D xsi:type="xsd:double"&gt;6.07553002107541&lt;/D&gt;&lt;D xsi:type="xsd:double"&gt;5.87672825081317&lt;/D&gt;&lt;D xsi:type="xsd:double"&gt;5.02906068230253&lt;/D&gt;&lt;D xsi:type="xsd:double"&gt;4.39776882412816&lt;/D&gt;&lt;D xsi:type="xsd:double"&gt;4.31542851825517&lt;/D&gt;&lt;D xsi:type="xsd:double"&gt;3.89400499923041&lt;/D&gt;&lt;D xsi:type="xsd:double"&gt;4.02482703489546&lt;/D&gt;&lt;D xsi:type="xsd:double"&gt;4.11721819137055&lt;/D&gt;&lt;D xsi:type="xsd:double"&gt;3.9837175960642&lt;/D&gt;&lt;D xsi:type="xsd:double"&gt;3.9945362949049&lt;/D&gt;&lt;D xsi:type="xsd:double"&gt;3.89127337530589&lt;/D&gt;&lt;D xsi:type="xsd:double"&gt;3.92170587177807&lt;/D&gt;&lt;D xsi:type="xsd:double"&gt;4.0701118391927&lt;/D&gt;&lt;D xsi:type="xsd:double"&gt;4.06191685254827&lt;/D&gt;&lt;D xsi:type="xsd:double"&gt;4.22257974919112&lt;/D&gt;&lt;D xsi:type="xsd:double"&gt;4.03764201616479&lt;/D&gt;&lt;D xsi:type="xsd:double"&gt;4.19602155604014&lt;/D&gt;&lt;D xsi:type="xsd:double"&gt;4.25863124992048&lt;/D&gt;&lt;D xsi:type="xsd:double"&gt;4.50177636052082&lt;/D&gt;&lt;D xsi:type="xsd:double"&gt;4.48191805079678&lt;/D&gt;&lt;D xsi:type="xsd:double"&gt;4.31844762971948&lt;/D&gt;&lt;D xsi:type="xsd:double"&gt;4.6461787413316&lt;/D&gt;&lt;D xsi:type="xsd:double"&gt;4.59632376301831&lt;/D&gt;&lt;D xsi:type="xsd:double"&gt;4.79913352155837&lt;/D&gt;&lt;D xsi:type="xsd:double"&gt;5.46323114399036&lt;/D&gt;&lt;D xsi:type="xsd:double"&gt;5.05428039019065&lt;/D&gt;&lt;D xsi:type="xsd:double"&gt;5.22122821831669&lt;/D&gt;&lt;D xsi:type="xsd:double"&gt;5.64574914330444&lt;/D&gt;&lt;D xsi:type="xsd:double"&gt;5.87745185781511&lt;/D&gt;&lt;D xsi:type="xsd:double"&gt;5.71324678684768&lt;/D&gt;&lt;D xsi:type="xsd:double"&gt;5.64700883993288&lt;/D&gt;&lt;D xsi:type="xsd:double"&gt;6.20209425822692&lt;/D&gt;&lt;D xsi:type="xsd:double"&gt;5.40669456173364&lt;/D&gt;&lt;D xsi:type="xsd:double"&gt;5.78300982870231&lt;/D&gt;&lt;D xsi:type="xsd:double"&gt;5.47233589346091&lt;/D&gt;&lt;D xsi:type="xsd:double"&gt;5.43309386819878&lt;/D&gt;&lt;D xsi:type="xsd:double"&gt;5.36210540883119&lt;/D&gt;&lt;D xsi:type="xsd:double"&gt;5.3563814853148&lt;/D&gt;&lt;D xsi:type="xsd:double"&gt;5.55641636431235&lt;/D&gt;&lt;D xsi:type="xsd:double"&gt;5.44352507918498&lt;/D&gt;&lt;D xsi:type="xsd:double"&gt;5.34419973749124&lt;/D&gt;&lt;D xsi:type="xsd:double"&gt;5.53065548535624&lt;/D&gt;&lt;D xsi:type="xsd:double"&gt;5.</t>
        </r>
      </text>
    </comment>
    <comment ref="A14" authorId="0" shapeId="0" xr:uid="{FC01B9F3-D05F-4E82-BEB2-F257C6A3BE0B}">
      <text>
        <r>
          <rPr>
            <b/>
            <sz val="9"/>
            <color indexed="81"/>
            <rFont val="Tahoma"/>
            <charset val="1"/>
          </rPr>
          <t>41277414681384&lt;/D&gt;&lt;D xsi:type="xsd:double"&gt;5.53241411791793&lt;/D&gt;&lt;D xsi:type="xsd:double"&gt;5.65643669854102&lt;/D&gt;&lt;D xsi:type="xsd:double"&gt;5.37287706150491&lt;/D&gt;&lt;D xsi:type="xsd:double"&gt;5.48262286890946&lt;/D&gt;&lt;D xsi:type="xsd:double"&gt;5.51378261351968&lt;/D&gt;&lt;D xsi:type="xsd:double"&gt;5.23493471158441&lt;/D&gt;&lt;D xsi:type="xsd:double"&gt;5.28431533873666&lt;/D&gt;&lt;D xsi:type="xsd:double"&gt;5.18614223012314&lt;/D&gt;&lt;D xsi:type="xsd:double"&gt;5.36351486719824&lt;/D&gt;&lt;D xsi:type="xsd:double"&gt;5.32603762699543&lt;/D&gt;&lt;/FQL&gt;&lt;FQL&gt;&lt;Q&gt;PLATI-FDS^FG_PRICE_CHANGE(0,-1AY)&lt;/Q&gt;&lt;R&gt;1&lt;/R&gt;&lt;C&gt;1&lt;/C&gt;&lt;D xsi:type="xsd:double"&gt;8.70967741935484&lt;/D&gt;&lt;/FQL&gt;&lt;FQL&gt;&lt;Q&gt;EWA^FG_TOTAL_RETURNC(0,-3AM)&lt;/Q&gt;&lt;R&gt;1&lt;/R&gt;&lt;C&gt;1&lt;/C&gt;&lt;D xsi:type="xsd:double"&gt;5.7585835&lt;/D&gt;&lt;/FQL&gt;&lt;FQL&gt;&lt;Q&gt;CC_CH^IMF_IFS_RCPI_Q(0)&lt;/Q&gt;&lt;R&gt;0&lt;/R&gt;&lt;C&gt;0&lt;/C&gt;&lt;/FQL&gt;&lt;FQL&gt;&lt;Q&gt;SPY^FMA_PE(NTMA,0,,,"PORTAGG","MEANR")&lt;/Q&gt;&lt;R&gt;1&lt;/R&gt;&lt;C&gt;1&lt;/C&gt;&lt;D xsi:type="xsd:double"&gt;21.5904132546223&lt;/D&gt;&lt;/FQL&gt;&lt;FQL&gt;&lt;Q&gt;ENZL^FMA_PE(LTM,0,,,"PORTAGG","MEANR")&lt;/Q&gt;&lt;R&gt;1&lt;/R&gt;&lt;C&gt;1&lt;/C&gt;&lt;D xsi:type="xsd:double"&gt;33.5620506752072&lt;/D&gt;&lt;/FQL&gt;&lt;FQL&gt;&lt;Q&gt;TRYMY10Y-FDS^FG_YIELD(-10AY,0,Y,,"YTM")&lt;/Q&gt;&lt;R&gt;10&lt;/R&gt;&lt;C&gt;1&lt;/C&gt;&lt;D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xsi:type="xsd:double"&gt;3.727505&lt;/D&gt;&lt;/FQL&gt;&lt;FQL&gt;&lt;Q&gt;EWA^FMA_COS_UP("EPS","1M",+1,0,,,"PORTAGG","MEANR")&lt;/Q&gt;&lt;R&gt;1&lt;/R&gt;&lt;C&gt;1&lt;/C&gt;&lt;D xsi:type="xsd:double"&gt;17&lt;/D&gt;&lt;/FQL&gt;&lt;FQL&gt;&lt;Q&gt;TRYMX10Y-FDS^FG_YIELD(-10AY,0,Y,,"YTM")&lt;/Q&gt;&lt;R&gt;10&lt;/R&gt;&lt;C&gt;1&lt;/C&gt;&lt;D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xsi:type="xsd:double"&gt;8.95&lt;/D&gt;&lt;/FQL&gt;&lt;FQL&gt;&lt;Q&gt;USDEUR^FG_PRICE_CHANGE(0,-1AM)&lt;/Q&gt;&lt;R&gt;1&lt;/R&gt;&lt;C&gt;1&lt;/C&gt;&lt;D xsi:type="xsd:double"&gt;-1.4339566&lt;/D&gt;&lt;/FQL&gt;&lt;FQL&gt;&lt;Q&gt;PLATI-FDS^FG_PRICE_CHANGE(0,-6AM)&lt;/Q&gt;&lt;R&gt;1&lt;/R&gt;&lt;C&gt;1&lt;/C&gt;&lt;D xsi:type="xsd:double"&gt;8.70967741935484&lt;/D&gt;&lt;/FQL&gt;&lt;FQL&gt;&lt;Q&gt;EWA^FG_TOTAL_RETURNC(0,-1AM)&lt;/Q&gt;&lt;R&gt;1&lt;/R&gt;&lt;C&gt;1&lt;/C&gt;&lt;D xsi:type="xsd:double"&gt;5.0311923&lt;/D&gt;&lt;/FQL&gt;&lt;FQL&gt;&lt;Q&gt;CC_JP^IMF_IFS_RCPI_Q(0)&lt;/Q&gt;&lt;R&gt;0&lt;/R&gt;&lt;C&gt;0&lt;/C&gt;&lt;/FQL&gt;&lt;FQL&gt;&lt;Q&gt;EWU^FMA_DIV_YLD(NTMA,-10AY,0,AM,"PORTAGG","MEANR")&lt;/Q&gt;&lt;R&gt;121&lt;/R&gt;&lt;C&gt;1&lt;/C&gt;&lt;D xsi:type="xsd:double"&gt;3.9071045523781&lt;/D&gt;&lt;D xsi:type="xsd:double"&gt;3.98068742082602&lt;/D&gt;&lt;D xsi:type="xsd:double"&gt;3.93156341240818&lt;/D&gt;&lt;D xsi:type="xsd:double"&gt;4.24200475035231&lt;/D&gt;&lt;D xsi:type="xsd:double"&gt;4.06204798552656&lt;/D&gt;&lt;D xsi:type="xsd:double"&gt;4.18276157261068&lt;/D&gt;&lt;D xsi:type="xsd:double"&gt;4.22313167959041&lt;/D&gt;&lt;D xsi:type="xsd:double"&gt;4.01662749865851&lt;/D&gt;&lt;D xsi:type="xsd:double"&gt;4.05278046445944&lt;/D&gt;&lt;D xsi:type="xsd:double"&gt;3.89618276633237&lt;/D&gt;&lt;D xsi:type="xsd:double"&gt;3.85448538187116&lt;/D&gt;&lt;D xsi:type="xsd:double"&gt;3.98066573366638&lt;/D&gt;&lt;D xsi:type="xsd:double"&gt;4.1361340750538&lt;/D&gt;&lt;D xsi:type="xsd:double"&gt;4.0927454563587&lt;/D&gt;&lt;D xsi:type="xsd:double"&gt;4.48866255992631&lt;/D&gt;&lt;D xsi:type="xsd:double"&gt;4.21592468068719&lt;/D&gt;&lt;D xsi:type="xsd:double"&gt;4.27104550176788&lt;/D&gt;&lt;D xsi:type="xsd:double"&gt;4.47156315389068&lt;/D&gt;&lt;D xsi:type="xsd:double"&gt;4.58995960511796&lt;/D&gt;&lt;D xsi:type="xsd:double"&gt;4.84996341487956&lt;/D&gt;&lt;D xsi:type="xsd:double"&gt;4.37186829960877&lt;/D&gt;&lt;D xsi:type="xsd:double"&gt;4.34767089422538&lt;/D&gt;&lt;D xsi:type="xsd:double"&gt;4.35279928818214&lt;/D&gt;&lt;D xsi:type="xsd:double"&gt;4.38729510758901&lt;/D&gt;&lt;D xsi:type="xsd:double"&gt;4.1813138025016&lt;/D&gt;&lt;D xsi:type="xsd:double"&gt;4.05422628037877&lt;/D&gt;&lt;D xsi:type="xsd:double"&gt;4.16058799419207&lt;/D&gt;&lt;D xsi:type="xsd:double"&gt;4.21732784346167&lt;/D&gt;&lt;D xsi:type="xsd:double"&gt;4.44036754672159&lt;/D&gt;&lt;D xsi:type="xsd:double"&gt;4.32940806620778&lt;/D&gt;&lt;D xsi:type="xsd:double"&gt;4.24712450575692&lt;/D&gt;&lt;D xsi:type="xsd:double"&gt;4.2569869973864&lt;/D&gt;&lt;D xsi:type="xsd:double"&gt;4.3278016601037&lt;/D&gt;&lt;D xsi:type="xsd:double"&gt;4.3230777522226&lt;/D&gt;&lt;D xsi:type="xsd:double"&gt;4.28697725820012&lt;/D&gt;&lt;D xsi:type="xsd:double"&gt;4.25510615883469&lt;/D&gt;&lt;D xsi:type="xsd:double"&gt;4.36363991368454&lt;/D&gt;&lt;D xsi:type="xsd:double"&gt;4.36570533902133&lt;/D&gt;&lt;D xsi:type="xsd:double"&gt;4.30978587991614&lt;/D&gt;&lt;D xsi:type="xsd:double"&gt;4.2641743516809&lt;/D&gt;&lt;D xsi:type="xsd:double"&gt;4.34450700548192&lt;/D&gt;&lt;D xsi:type="xsd:double"&gt;4.33375451359651&lt;/D&gt;&lt;D xsi:type="xsd:double"&gt;4.16874661460578&lt;/D&gt;&lt;D xsi:type="xsd:double"&gt;4.52648762818742&lt;/D&gt;&lt;D xsi:type="xsd:double"&gt;4.46575346016303&lt;/D&gt;&lt;D xsi:type="xsd:double"&gt;4.42528558298073&lt;/D&gt;&lt;D xsi:type="xsd:double"&gt;4.2620540999122&lt;/D&gt;&lt;D xsi:type="xsd:double"&gt;4.3157173372341&lt;/D&gt;&lt;D xsi:type="xsd:double"&gt;4.43409875550564&lt;/D&gt;&lt;D xsi:type="xsd:double"&gt;4.45522852636632&lt;/D&gt;&lt;D xsi:type="xsd:double"&gt;4.66603497267666&lt;/D&gt;&lt;D xsi:type="xsd:double"&gt;4.83695684430861&lt;/D&gt;&lt;D xsi:type="xsd:double"&gt;4.82620639031375&lt;/D&gt;&lt;D xsi:type="xsd:double"&gt;5.15900682752731&lt;/D&gt;&lt;D xsi:type="xsd:double"&gt;5.17625245358321&lt;/D&gt;&lt;D xsi:type="xsd:double"&gt;5.01327270209293&lt;/D&gt;&lt;D xsi:type="xsd:double"&gt;4.99838406746535&lt;/D&gt;&lt;D xsi:type="xsd:double"&gt;4.82906729127487&lt;/D&gt;&lt;D xsi:type="xsd:double"&gt;4.98737567884278&lt;/D&gt;&lt;D xsi:type="xsd:double"&gt;4.78597450143352&lt;/D&gt;&lt;D xsi:type="xsd:double"&gt;4.78796503087733&lt;/D&gt;&lt;D xsi:type="xsd:double"&gt;5.07586236457466&lt;/D&gt;&lt;D xsi:type="xsd:double"&gt;4.94743865539014&lt;/D&gt;&lt;D xsi:type="xsd:double"&gt;4.91664859853503&lt;/D&gt;&lt;D xsi:type="xsd:double"&gt;4.80167726218684&lt;/D&gt;&lt;D xsi:type="xsd:double"&gt;4.78994647475308&lt;/D&gt;&lt;D xsi:type="xsd:double"&gt;4.57525459313119&lt;/D&gt;&lt;D xsi:type="xsd:double"&gt;4.65721174397384&lt;/D&gt;&lt;D xsi:type="xsd:double"&gt;5.95882155005484&lt;/D&gt;&lt;D xsi:type="xsd:double"&gt;5.76937965612166&lt;/D&gt;&lt;D xsi:type="xsd:double"&gt;4.60125670609141&lt;/D&gt;&lt;D xsi:type="xsd:double"&gt;4.15630942673202&lt;/D&gt;&lt;D xsi:type="xsd:double"&gt;4.14671353568214&lt;/D&gt;&lt;D xsi:type="xsd:double"&gt;3.93161258868403&lt;/D&gt;&lt;D xsi:type="xsd:double"&gt;4.11042161433814&lt;/D&gt;&lt;D xsi:type="xsd:double"&gt;4.18217387042461&lt;/D&gt;&lt;D xsi:type="xsd:double"&gt;4.00461731504129&lt;/D&gt;&lt;D xsi:type="xsd:double"&gt;3.91369002132342&lt;/D&gt;&lt;D xsi:type="xsd:double"&gt;3.82093134217586&lt;/D&gt;&lt;D xsi:type="xsd:double"&gt;4.02501919208787&lt;/D&gt;&lt;D xsi:type="xsd:double"&gt;3.95753992094394&lt;/D&gt;&lt;D xsi:type="xsd:double"&gt;3.95446355246998&lt;/D&gt;&lt;D xsi:type="xsd:double"&gt;3.94122757077517&lt;/D&gt;&lt;D xsi:type="xsd:double"&gt;3.88337557890241&lt;/D&gt;&lt;D xsi:type="xsd:double"&gt;4.00699699112042&lt;/D&gt;&lt;D xsi:type="xsd:double"&gt;4.10183737474932&lt;/D&gt;&lt;D xsi:type="xsd:double"&gt;4.22521501543159&lt;/D&gt;&lt;D xsi:type="xsd:double"&gt;4.10945465735877&lt;/D&gt;&lt;D xsi:type="xsd:double"&gt;3.99891280885453&lt;/D&gt;&lt;D xsi:type="xsd:double"&gt;4.02122919390466&lt;/D&gt;&lt;D xsi:type="xsd:double"&gt;3.86128317245345&lt;/D&gt;&lt;D xsi:type="xsd:double"&gt;3.76214169445237&lt;/D&gt;&lt;D xsi:type="xsd:double"&gt;4.16608307017141&lt;/D&gt;&lt;D xsi:type="xsd:double"&gt;3.94329303754305&lt;/D&gt;&lt;D xsi:type="xsd:double"&gt;4.20007621763991&lt;/D&gt;&lt;D xsi:type="xsd:double"&gt;4.21898078252048&lt;/D&gt;&lt;D xsi:type="xsd:double"&gt;4.32411748209806&lt;/D&gt;&lt;D xsi:type="xsd:double"&gt;4.17932171819133&lt;/D&gt;&lt;D xsi:type="xsd:double"&gt;4.39687625061829&lt;/D&gt;&lt;D xsi:type="xsd:double"&gt;4.71137606076592&lt;/D&gt;&lt;D xsi:type="xsd:double"&gt;4.38093656749229&lt;/D&gt;&lt;D xsi:type="xsd:double"&gt;4.21930981713332&lt;/D&gt;&lt;D xsi:type="xsd:double"&gt;4.13297592964115&lt;/D&gt;&lt;D xsi:type="xsd:double"&gt;4.09535307383303&lt;/D&gt;&lt;D xsi:type="xsd:double"&gt;4.21483976992072&lt;/D&gt;&lt;D xsi:type="xsd:double"&gt;4.13765619830735&lt;/D&gt;&lt;D xsi:type="xsd:double"&gt;4.27612805744305&lt;/D&gt;&lt;D xsi:type="xsd:double"&gt;4.34197318095396&lt;/D&gt;&lt;D xsi:type="xsd:double"&gt;4.49126602839213&lt;/D&gt;&lt;D xsi:type="xsd:double"&gt;4.42687625577262&lt;/D&gt;&lt;D xsi:type="xsd:double"&gt;4.48157215376414&lt;/D&gt;&lt;D xsi:type="xsd:double"&gt;4.42052911373763&lt;/D&gt;&lt;D xsi:type="xsd:double"&gt;4.6163423421354&lt;/D&gt;&lt;D xsi:type="xsd:double"&gt;4.39937887137016&lt;/D&gt;&lt;D xsi:type="xsd:double"&gt;4.34956520944625&lt;/D&gt;&lt;D xsi:type="xsd:double"&gt;4.31515344401398&lt;/D&gt;&lt;D xsi:type="xsd:double"&gt;4.15271318555561&lt;/D&gt;&lt;D xsi:type="xsd:double"&gt;4.04419697964455&lt;/D&gt;&lt;D xsi:type="xsd:double"&gt;3.81877673501896&lt;/D&gt;&lt;D xsi:type="xsd:double"&gt;3.97033646459412&lt;/D&gt;&lt;D xsi:type="xsd:double"&gt;3.96466474018233&lt;/D&gt;&lt;/FQL&gt;&lt;FQL&gt;&lt;Q&gt;TRYGB10Y-FDS^PCTCHG(FG_YIELD(0,,,,"YTM"),FG_YIELD(-1AM,,,,"YTM"))&lt;/Q&gt;&lt;R&gt;1&lt;/R&gt;&lt;C&gt;1&lt;/C&gt;&lt;D xsi:type="xsd:double"&gt;-4.5337644&lt;/D&gt;&lt;/FQL&gt;&lt;FQL&gt;&lt;Q&gt;TLT^P_PRICE(0)/P_PRICE_HIGH_PR(0,,,USD,,,"PRICE","INTRA","52W")&lt;/Q&gt;&lt;R&gt;1&lt;/R&gt;&lt;C&gt;1&lt;/C&gt;&lt;D xsi:type="xsd:double"&gt;0.9083317&lt;/D&gt;&lt;/FQL&gt;&lt;FQL&gt;&lt;Q&gt;ENZL^FG_PRICE_MAVG(0,,,,200)&lt;/Q&gt;&lt;R&gt;1&lt;/R&gt;&lt;C&gt;1&lt;/C&gt;&lt;D xsi:type="xsd:double"&gt;45.423954&lt;/D&gt;&lt;/FQL&gt;&lt;FQL&gt;&lt;Q&gt;QQQ^P_PRICE(0)/P_PRICE_LOW_PR(0,,,,,,"PRICE","INTRA","52W")-1&lt;/Q&gt;&lt;R&gt;1&lt;/R&gt;&lt;C&gt;1&lt;/C&gt;&lt;D xsi:type="xsd:double"&gt;0.43692124&lt;/D&gt;&lt;/FQL&gt;&lt;FQL&gt;&lt;Q&gt;EWU^FG_FCF_YIELD_NTM(0)&lt;/Q&gt;&lt;R&gt;1&lt;/R&gt;&lt;C&gt;1&lt;/C&gt;&lt;D xsi:type="xsd:double"&gt;6.18015345749268&lt;/D&gt;&lt;/FQL&gt;&lt;FQL&gt;&lt;Q&gt;USO^FG_TOTAL_RETURNC(0,-3AM)&lt;/Q&gt;&lt;R&gt;1&lt;/R&gt;&lt;C&gt;1&lt;/C&gt;&lt;D xsi:type="xsd:double"&gt;-0.7480085&lt;/D&gt;&lt;/FQL&gt;&lt;FQL&gt;&lt;Q&gt;W-FDS^FG_PRICE_CHANGE(0,-6AM)&lt;/Q&gt;&lt;R&gt;1&lt;/R&gt;&lt;C&gt;1&lt;/C&gt;&lt;D xsi:type="xsd:double"&gt;-8.19875776397514&lt;/D&gt;&lt;/FQL&gt;&lt;FQL&gt;&lt;Q&gt;EWJ^FMA_PE(NTMA,-10AY,0,AM,"PORTAGG","MEANR")&lt;/Q&gt;&lt;R&gt;121&lt;/R&gt;&lt;C&gt;1&lt;/C&gt;&lt;D xsi:type="xsd:double"&gt;13.6263013982414&lt;/D&gt;&lt;D xsi:type="xsd:double"&gt;13.4362957669993&lt;/D&gt;&lt;D xsi:type="xsd:double"&gt;13.9109548893139&lt;/D&gt;&lt;D xsi:type="xsd:double"&gt;13.1596564540028&lt;/D&gt;&lt;D xsi:type="xsd:double"&gt;14.4133810712487&lt;/D&gt;&lt;D xsi:type="xsd:double"&gt;14.222929110903&lt;/D&gt;&lt;D xsi:type="xsd:double"&gt;13.9224536986246&lt;/D&gt;&lt;D xsi:type="xsd:double"&gt;14.1709914550793&lt;/D&gt;&lt;D xsi:type="xsd:double"&gt;15.0933031416665&lt;/D&gt;&lt;D xsi:type="xsd:double"&gt;15.6172877626872&lt;/D&gt;&lt;D xsi:type="xsd:double"&gt;15.8649527554514&lt;/D&gt;&lt;D xsi:type="xsd:double"&gt;15.8944301363612&lt;/D&gt;&lt;D xsi:type="xsd:double"&gt;14.9094105664143&lt;/D&gt;&lt;D xsi:type="xsd:double"&gt;15.6907434557002&lt;/D&gt;&lt;D xsi:type="xsd:double"&gt;13.6481190642019&lt;/D&gt;&lt;D xsi:type="xsd:double"&gt;14.0086136298185&lt;/D&gt;&lt;D xsi:type="xsd:double"&gt;14.7293037420449&lt;/D&gt;&lt;D xsi:type="xsd:double"&gt;14.1751031803682&lt;/D&gt;&lt;D xsi:type="xsd:double"&gt;13.0969597168254&lt;/D&gt;&lt;D xsi:type="xsd:double"&gt;11.6158565025075&lt;/D&gt;&lt;D xsi:type="xsd:double"&gt;12.9482155711046&lt;/D&gt;&lt;D xsi:type="xsd:double"&gt;12.1774226877574&lt;/D&gt;&lt;D xsi:type="xsd:double"&gt;12.9782613040338&lt;/D&gt;&lt;D xsi:type="xsd:double"&gt;13.3577855484663&lt;/D&gt;&lt;D xsi:type="xsd:double"&gt;12.7816112765091&lt;/D&gt;&lt;D xsi:type="xsd:double"&gt;13.3559872883805&lt;/D&gt;&lt;D xsi:type="xsd:double"&gt;13.6231945826808&lt;/D&gt;&lt;D xsi:type="xsd:double"&gt;13.5587549899267&lt;/D&gt;&lt;D xsi:type="xsd:double"&gt;13.6887554780824&lt;/D&gt;&lt;D xsi:type="xsd:double"&gt;14.9883334209233&lt;/D&gt;&lt;D xsi:type="xsd:double"&gt;14.9310463794758&lt;/D&gt;&lt;D xsi:type="xsd:double"&gt;14.4869528859572&lt;/D&gt;&lt;D xsi:type="xsd:double"&gt;14.403819184986&lt;/D&gt;&lt;D xsi:type="xsd:double"&gt;13.5847484796143&lt;/D&gt;&lt;D xsi:type="xsd:double"&gt;14.3665066117731&lt;/D&gt;&lt;D xsi:type="xsd:double"&gt;14.354416422436&lt;/D&gt;&lt;D xsi:type="xsd:double"&gt;14.3388340762752&lt;/D&gt;&lt;D xsi:type="xsd:double"&gt;13.9592770856528&lt;/D&gt;&lt;D xsi:type="xsd:double"&gt;13.577881022662&lt;/D&gt;&lt;D xsi:type="xsd:double"&gt;14.0988393887013&lt;/D&gt;&lt;D xsi:type="xsd:double"&gt;14.8770236369231&lt;/D&gt;&lt;D xsi:type="xsd:double"&gt;14.7463238676892&lt;/D&gt;&lt;D xsi:type="xsd:double"&gt;15.3895464285226&lt;/D&gt;&lt;D xsi:type="xsd:double"&gt;13.7244013862978&lt;/D&gt;&lt;D xsi:type="xsd:double"&gt;12.8410379803821&lt;/D&gt;&lt;D xsi:type="xsd:double"&gt;12.8396618595364&lt;/D&gt;&lt;D xsi:type="xsd:double"&gt;13.3479615239113&lt;/D&gt;&lt;D xsi:type="xsd:double"&gt;13.2141139861734&lt;/D&gt;&lt;D xsi:type="xsd:double"&gt;12.5869207000207&lt;/D&gt;&lt;D xsi:type="xsd:double"&gt;12.6502865565222&lt;/D&gt;&lt;D xsi:type="xsd:double"&gt;12.4188164443487&lt;/D&gt;&lt;D xsi:type="xsd:double"&gt;12.4206107536519&lt;/D&gt;&lt;D xsi:type="xsd:double"&gt;12.1830320458456&lt;/D&gt;&lt;D xsi:type="xsd:double"&gt;11.628603927807&lt;/D&gt;&lt;D xsi:type="xsd:double"&gt;11.4645766704021&lt;/D&gt;&lt;D xsi:type="xsd:double"&gt;11.7866121654903&lt;/D&gt;&lt;D xsi:type="xsd:double"&gt;12.3342802695027&lt;/D&gt;&lt;D xsi:type="xsd:double"&gt;12.6101607693382&lt;/D&gt;&lt;D xsi:type="xsd:double"&gt;12.2375211438426&lt;/D&gt;&lt;D xsi:type="xsd:double"&gt;12.7114930420534&lt;/D&gt;&lt;D xsi:type="xsd:double"&gt;12.9477206358184&lt;/D&gt;&lt;D xsi:type="xsd:double"&gt;12.3916945396858&lt;/D&gt;&lt;D xsi:type="xsd:double"&gt;13.2140156323714&lt;/D&gt;&lt;D xsi:type="xsd:double"&gt;13.2674942504699&lt;/D&gt;&lt;D xsi:type="xsd:double"&gt;14.1576828007768&lt;/D&gt;&lt;D xsi:type="xsd:double"&gt;14.4741880309421&lt;/D&gt;&lt;D xsi:type="xsd:double"&gt;14.6490007714047&lt;/D&gt;&lt;D xsi:type="xsd:double"&gt;14.4689547416391&lt;/D&gt;&lt;D xsi:type="xsd:double"&gt;12.0433411635927&lt;/D&gt;&lt;D xsi:type="xsd:double"&gt;12.8765987539974&lt;/D&gt;&lt;D xsi:type="xsd:double"&gt;14.4032325981871&lt;/D&gt;&lt;D xsi:type="xsd:double"&gt;17.3356004645859&lt;/D&gt;&lt;D xsi:type="xsd:double"&gt;17.4938280818626&lt;/D&gt;&lt;D xsi:type="xsd:double"&gt;17.9964216666048&lt;/D&gt;&lt;D xsi:type="xsd:double"&gt;18.3689634145497&lt;/D&gt;&lt;D xsi:type="xsd:double"&gt;18.2031712999812&lt;/D&gt;&lt;D xsi:type="xsd:double"&gt;18.5160882375815&lt;/D&gt;&lt;D xsi:type="xsd:double"&gt;18.4829223578737&lt;/D&gt;&lt;D xsi:type="xsd:double"&gt;18.7209638893683&lt;/D&gt;&lt;D xsi:type="xsd:double"&gt;18.9175726399273&lt;/D&gt;&lt;D xsi:type="xsd:double"&gt;17.7027289073404&lt;/D&gt;&lt;D xsi:type="xsd:double"&gt;17.4869297138605&lt;/D&gt;&lt;D xsi:type="xsd:double"&gt;16.6088307590778&lt;/D&gt;&lt;D xsi:type="xsd:double"&gt;16.4803932349415&lt;/D&gt;&lt;D xsi:type="xsd:double"&gt;15.8682687959974&lt;/D&gt;&lt;D xsi:type="xsd:double"&gt;15.8135862294264&lt;/D&gt;&lt;D xsi:type="xsd:double"&gt;16.1230625216707&lt;/D&gt;&lt;D xsi:type="xsd:double"&gt;15.1710522402891&lt;/D&gt;&lt;D xsi:type="xsd:double"&gt;15.2131548410908&lt;/D&gt;&lt;D xsi:type="xsd:double"&gt;14.5322842511999&lt;/D&gt;&lt;D xsi:type="xsd:double"&gt;14.4476579481745&lt;/D&gt;&lt;D xsi:type="xsd:double"&gt;13.9109997209209&lt;/D&gt;&lt;D xsi:type="xsd:double"&gt;12.3255869243885&lt;/D&gt;&lt;D xsi:type="xsd:double"&gt;12.8436398543164&lt;/D&gt;&lt;D xsi:type="xsd:double"&gt;12.4213160174412&lt;/D&gt;&lt;D xsi:type="xsd:double"&gt;12.9388352819487&lt;/D&gt;&lt;D xsi:type="xsd:double"&gt;12.6038858136794&lt;/D&gt;&lt;D xsi:type="xsd:double"&gt;12.6949211882797&lt;/D&gt;&lt;D xsi:type="xsd:double"&gt;12.849589190331&lt;/D&gt;&lt;D xsi:type="xsd:double"&gt;12.0974591836804&lt;/D&gt;&lt;D xsi:type="xsd:double"&gt;12.8816887797732&lt;/D&gt;&lt;D xsi:type="xsd:double"&gt;12.7500405955229&lt;/D&gt;&lt;D xsi:type="xsd:double"&gt;12.3443907474526&lt;/D&gt;&lt;D xsi:type="xsd:double"&gt;13.0462945148309&lt;/D&gt;&lt;D xsi:type="xsd:double"&gt;13.2766275162845&lt;/D&gt;&lt;D xsi:type="xsd:double"&gt;13.093367918261&lt;/D&gt;&lt;D xsi:type="xsd:double"&gt;13.6351573960198&lt;/D&gt;&lt;D xsi:type="xsd:double"&gt;14.556397133743&lt;/D&gt;&lt;D xsi:type="xsd:double"&gt;14.4427337766431&lt;/D&gt;&lt;D xsi:type="xsd:double"&gt;14.5307347833241&lt;/D&gt;&lt;D xsi:type="xsd:double"&gt;14.6719995013771&lt;/D&gt;&lt;D xsi:type="xsd:double"&gt;14.2546497717044&lt;/D&gt;&lt;D xsi:type="xsd:double"&gt;14.2218305339527&lt;/D&gt;&lt;D xsi:type="xsd:double"&gt;14.0741546184337&lt;/D&gt;&lt;D xsi:type="xsd:double"&gt;14.7111985333405&lt;/D&gt;&lt;D xsi:type="xsd:double"&gt;15.0151271914245&lt;/D&gt;&lt;D xsi:type="xsd:double"&gt;15.3784518777419&lt;/D&gt;&lt;D xsi:type="xsd:double"&gt;15.6779164311256&lt;/D&gt;&lt;D xsi:type="xsd:double"&gt;15.3188262712535&lt;/D&gt;&lt;D xsi:type="xsd:double"&gt;15.5093934945879&lt;/D&gt;&lt;D xsi:type="xsd:double"&gt;16.2004343354854&lt;/D&gt;&lt;/FQL&gt;&lt;FQL&gt;&lt;Q&gt;ENZL^FG_TOTAL_RETURNC(0,-3AM)&lt;/Q&gt;&lt;R&gt;1&lt;/R&gt;&lt;C&gt;1&lt;/C&gt;&lt;D xsi:type="xsd:double"&gt;2.699387&lt;/D&gt;&lt;/FQL&gt;&lt;FQL&gt;&lt;Q&gt;TRYDE10Y-FDS^PCTCHG(FG_YIELD(0,,,,"YTM"),FG_YIELD(-3AM,,,,"YTM"))&lt;/Q&gt;&lt;R&gt;1&lt;/R&gt;&lt;C&gt;1&lt;/C&gt;&lt;D xsi:type="xsd:double"&gt;-0.28271282&lt;/D&gt;&lt;/FQL&gt;&lt;FQL&gt;&lt;Q&gt;VGK^FMA_DIV_YLD(NTMA,NOW,NOW,M,"PORTAGG","MEANR")&lt;/Q&gt;&lt;R&gt;1&lt;/R&gt;&lt;C&gt;1&lt;/C&gt;&lt;D xsi:type="xsd:double"&gt;3.44346989340332&lt;/D&gt;&lt;/FQL&gt;&lt;FQL&gt;&lt;Q&gt;USDANG^FG_PRICE_CHANGE(0,-1AY)&lt;/Q&gt;&lt;R&gt;1&lt;/R&gt;&lt;C&gt;1&lt;/C&gt;&lt;D xsi:type="xsd:double"&gt;0&lt;/D&gt;&lt;/FQL&gt;&lt;FQL&gt;&lt;Q&gt;USDAUD^FG_PRICE_CHANGE(0,-3AM)&lt;/Q&gt;&lt;R&gt;1&lt;/R&gt;&lt;C&gt;1&lt;/C&gt;&lt;D xsi:type="xsd:double"&gt;-3.9141953&lt;/D&gt;&lt;/FQL&gt;&lt;FQL&gt;&lt;Q&gt;QQQ^PERCENT_CHANGE(FMA_EPS(+1,0,,,,"PORTAGG","MEAN"),FMA_EPS(+1,-3AM,,,,"PORTAGG","MEAN"))&lt;/Q&gt;&lt;R&gt;1&lt;/R&gt;&lt;C&gt;1&lt;/C&gt;&lt;D xsi:type="xsd:double"&gt;0.342961100982364&lt;/D&gt;&lt;/FQL&gt;&lt;FQL&gt;&lt;Q&gt;VGK^JULIAN(FMA_DIV_YLD(NTMA,NOW,NOW,M,"PORTAGG","MEANR").DATES)&lt;/Q&gt;&lt;R&gt;1&lt;/R&gt;&lt;C&gt;1&lt;/C&gt;&lt;D xsi:type="xsd:long"&gt;45443&lt;/D&gt;&lt;/FQL&gt;&lt;FQL&gt;&lt;Q&gt;EWL^FMA_PE(LTM,0,,,"PORTAGG","MEANR")&lt;/Q&gt;&lt;R&gt;1&lt;/R&gt;&lt;C&gt;1&lt;/C&gt;&lt;D xsi:type="xsd:double"&gt;16.9568997873486&lt;/D&gt;&lt;/FQL&gt;&lt;FQL&gt;&lt;Q&gt;TRYGR10Y-FDS^FG_YIELD(-10AY,0,Y,,"YTM")&lt;/Q&gt;&lt;R&gt;10&lt;/R&gt;&lt;C&gt;1&lt;/C&gt;&lt;D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xsi:type="xsd:double"&gt;3.099&lt;/D&gt;&lt;/FQL&gt;&lt;FQL&gt;&lt;Q&gt;EWC^FMA_PE(NTMA,-10AY,0,AM,"PORTAGG","MEANR")&lt;/Q&gt;&lt;R&gt;121&lt;/R&gt;&lt;C&gt;1&lt;/C&gt;&lt;D xsi:type="xsd:double"&gt;14.9990897095961&lt;/D&gt;&lt;D xsi:type="xsd:double"&gt;14.9275366338774&lt;/D&gt;&lt;D xsi:type="xsd:double"&gt;15.1253873944008&lt;/D&gt;&lt;D xsi:type="xsd:double"&gt;13.7566973440183&lt;/D&gt;&lt;D xsi:type="xsd:double"&gt;14.5445853863277&lt;/D&gt;&lt;D xsi:type="xsd:double"&gt;14.3577632428945&lt;/D&gt;&lt;D xsi:type="xsd:double"&gt;15.3149830697429&lt;/D&gt;&lt;D xsi:type="xsd:double"&gt;17.242852979671&lt;/D&gt;&lt;D xsi:type="xsd:double"&gt;16.89470694095&lt;/D&gt;&lt;D xsi:type="xsd:double"&gt;17.3889493103798&lt;/D&gt;&lt;D xsi:type="xsd:double"&gt;16.933720739617&lt;/D&gt;&lt;D xsi:type="xsd:double"&gt;16.3277979571452&lt;/D&gt;&lt;D xsi:type="xsd:double"&gt;15.6507552079045&lt;/D&gt;&lt;D xsi:type="xsd:double"&gt;15.5731427351293&lt;/D&gt;&lt;D xsi:type="xsd:double"&gt;14.6495285211832&lt;/D&gt;&lt;D xsi:type="xsd:double"&gt;15.2171116414363&lt;/D&gt;&lt;D xsi:type="xsd:double"&gt;14.5905254796864&lt;/D&gt;&lt;D xsi:type="xsd:double"&gt;13.9753990109654&lt;/D&gt;&lt;D xsi:type="xsd:double"&gt;13.4299471660693&lt;/D&gt;&lt;D xsi:type="xsd:double"&gt;13.8540433656348&lt;/D&gt;&lt;D xsi:type="xsd:double"&gt;15.764855796024&lt;/D&gt;&lt;D xsi:type="xsd:double"&gt;15.8029088203313&lt;/D&gt;&lt;D xsi:type="xsd:double"&gt;16.2961891778304&lt;/D&gt;&lt;D xsi:type="xsd:double"&gt;16.5638660182303&lt;/D&gt;&lt;D xsi:type="xsd:double"&gt;16.4951442550702&lt;/D&gt;&lt;D xsi:type="xsd:double"&gt;16.5977833046823&lt;/D&gt;&lt;D xsi:type="xsd:double"&gt;16.10554107775&lt;/D&gt;&lt;D xsi:type="xsd:double"&gt;15.942254304831&lt;/D&gt;&lt;D xsi:type="xsd:double"&gt;15.6758626920737&lt;/D&gt;&lt;D xsi:type="xsd:double"&gt;15.9969482324079&lt;/D&gt;&lt;D xsi:type="xsd:double"&gt;15.9306054538742&lt;/D&gt;&lt;D xsi:type="xsd:double"&gt;16.2379249672495&lt;/D&gt;&lt;D xsi:type="xsd:double"&gt;15.9114596927576&lt;/D&gt;&lt;D xsi:type="xsd:double"&gt;15.9734362876492&lt;/D&gt;&lt;D xsi:type="xsd:double"&gt;15.6186457774618&lt;/D&gt;&lt;D xsi:type="xsd:double"&gt;15.5265470273275&lt;/D&gt;&lt;D xsi:type="xsd:double"&gt;15.2544340936924&lt;/D&gt;&lt;D xsi:type="xsd:double"&gt;15.4348748627939&lt;/D&gt;&lt;D xsi:type="xsd:double"&gt;15.1808900406953&lt;/D&gt;&lt;D xsi:type="xsd:double"&gt;15.8415611904095&lt;/D&gt;&lt;D xsi:type="xsd:double"&gt;15.9309487680888&lt;/D&gt;&lt;D xsi:type="xsd:double"&gt;15.9856566269587&lt;/D&gt;&lt;D xsi:type="xsd:double"&gt;15.8600884984492&lt;/D&gt;&lt;D xsi:type="xsd:double"&gt;14.2710920811937&lt;/D&gt;&lt;D xsi:type="xsd:double"&gt;14.4567043259723&lt;/D&gt;&lt;D xsi:type="xsd:double"&gt;13.9631541236636&lt;/D&gt;&lt;D xsi:type="xsd:double"&gt;14.3439645129227&lt;/D&gt;&lt;D xsi:type="xsd:double"&gt;14.3856922031861&lt;/D&gt;&lt;D xsi:type="xsd:double"&gt;14.2384652717835&lt;/D&gt;&lt;D xsi:type="xsd:double"&gt;14.0206898622599&lt;/D&gt;&lt;D xsi:type="xsd:double"&gt;13.5875683893646&lt;/D&gt;&lt;D xsi:type="xsd:double"&gt;12.8070533140333&lt;/D&gt;&lt;D xsi:type="xsd:double"&gt;12.6934806330384&lt;/D&gt;&lt;D xsi:type="xsd:double"&gt;12.3666107161248&lt;/D&gt;&lt;D xsi:type="xsd:double"&gt;12.9128227284111&lt;/D&gt;&lt;D xsi:type="xsd:double"&gt;13.714506295609&lt;/D&gt;&lt;D xsi:type="xsd:double"&gt;14.185150615117&lt;/D&gt;&lt;D xsi:type="xsd:double"&gt;14.2463381785534&lt;/D&gt;&lt;D xsi:type="xsd:double"&gt;13.600233920858&lt;/D&gt;&lt;D xsi:type="xsd:double"&gt;13.5230760525806&lt;/D&gt;&lt;D xsi:type="xsd:double"&gt;13.7223338957749&lt;/D&gt;&lt;D xsi:type="xsd:double"&gt;13.5866796270719&lt;/D&gt;&lt;D xsi:type="xsd:double"&gt;13.8810436342627&lt;/D&gt;&lt;D xsi:type="xsd:double"&gt;13.769537392674&lt;/D&gt;&lt;D xsi:type="xsd:double"&gt;14.295945242106&lt;/D&gt;&lt;D xsi:type="xsd:double"&gt;14.2739681310682&lt;/D&gt;&lt;D xsi:type="xsd:double"&gt;14.4543699521625&lt;/D&gt;&lt;D xsi:type="xsd:double"&gt;14.8830097279104&lt;/D&gt;&lt;D xsi:type="xsd:double"&gt;12.3609884938578&lt;/D&gt;&lt;D xsi:type="xsd:double"&gt;14.6933365726659&lt;/D&gt;&lt;D xsi:type="xsd:double"&gt;17.6747450695753&lt;/D&gt;&lt;D xsi:type="xsd:double"&gt;17.5365475514038&lt;/D&gt;&lt;D xsi:type="xsd:double"&gt;17.5855953562723&lt;/D&gt;&lt;D xsi:type="xsd:double"&gt;17.570813337292&lt;/D&gt;&lt;D xsi:type="xsd:double"&gt;16.747630176199&lt;/D&gt;&lt;D xsi:type="xsd:double"&gt;16.4952905868174&lt;/D&gt;&lt;D xsi:type="xsd:double"&gt;16.1457604429991&lt;/D&gt;&lt;D xsi:type="xsd:double"&gt;16.1704747839626&lt;/D&gt;&lt;D xsi:type="xsd:double"&gt;16.1667006994007&lt;/D&gt;&lt;D xsi:type="xsd:double"&gt;16.1822307636254&lt;/D&gt;&lt;D xsi:type="xsd:double"&gt;15.5852539170192&lt;/D&gt;&lt;D xsi:type="xsd:double"&gt;15.6017763665735&lt;/D&gt;&lt;D xsi:type="xsd:double"&gt;15.4382275574268&lt;/D&gt;&lt;D xsi:type="xsd:double"&gt;15.5821467785511&lt;/D&gt;&lt;D xsi:type="xsd:double"&gt;15.5256302553181&lt;/D&gt;&lt;D xsi:type="xsd:double"&gt;15.1078359664142&lt;/D&gt;&lt;D xsi:type="xsd:double"&gt;14.8635048609444&lt;/D&gt;&lt;D xsi:type="xsd:double"&gt;14.5578412872593&lt;/D&gt;&lt;D xsi:type="xsd:double"&gt;14.9812373941129&lt;/D&gt;&lt;D xsi:type="xsd:double"&gt;14.2121602392571&lt;/D&gt;&lt;D xsi:type="xsd:double"&gt;14.3944731564101&lt;/D&gt;&lt;D xsi:type="xsd:double"&gt;14.3682561642342&lt;/D&gt;&lt;D xsi:type="xsd:double"&gt;13.5264539867456&lt;/D&gt;&lt;D xsi:type="xsd:double"&gt;13.3920569808281&lt;/D&gt;&lt;D xsi:type="xsd:double"&gt;11.92074747716&lt;/D&gt;&lt;D xsi:type="xsd:double"&gt;12.0595160011186&lt;/D&gt;&lt;D xsi:type="xsd:double"&gt;11.0921535577953&lt;/D&gt;&lt;D xsi:type="xsd:double"&gt;11.7380472699879&lt;/D&gt;&lt;D xsi:type="xsd:double"&gt;11.6262405811149&lt;/D&gt;&lt;D xsi:type="xsd:double"&gt;10.6334838230127&lt;/D&gt;&lt;D xsi:type="xsd:double"&gt;11.9564720953478&lt;/D&gt;&lt;D xsi:type="xsd:double"&gt;12.1594861715241&lt;/D&gt;&lt;D xsi:type="xsd:double"&gt;12.3983011768509&lt;/D&gt;&lt;D xsi:type="xsd:double"&gt;12.8805298121319&lt;/D&gt;&lt;D xsi:type="xsd:double"&gt;12.4714298839436&lt;/D&gt;&lt;D xsi:type="xsd:double"&gt;12.8849376191797&lt;/D&gt;&lt;D xsi:type="xsd:double"&gt;13.0102907485771&lt;/D&gt;&lt;D xsi:type="xsd:double"&gt;12.8537991261849&lt;/D&gt;&lt;D xsi:type="xsd:double"&gt;12.8591963102926&lt;/D&gt;&lt;D xsi:type="xsd:double"&gt;13.2612575674658&lt;/D&gt;&lt;D xsi:type="xsd:double"&gt;13.0550904354086&lt;/D&gt;&lt;D xsi:type="xsd:double"&gt;12.6471443457444&lt;/D&gt;&lt;D xsi:type="xsd:double"&gt;12.4872963005758&lt;/D&gt;&lt;D xsi:type="xsd:double"&gt;13.1611396916657&lt;/D&gt;&lt;D xsi:type="xsd:double"&gt;13.5955195424149&lt;/D&gt;&lt;D xsi:type="xsd:double"&gt;13.8937712614625&lt;/D&gt;&lt;D xsi:type="xsd:double"&gt;14.4639649026527&lt;/D&gt;&lt;D xsi:type="xsd:double"&gt;14.4626862124261&lt;/D&gt;&lt;D xsi:type="xsd:double"&gt;14.470233614894&lt;/D&gt;&lt;D xsi:type="xsd:double"&gt;14.0085091155645&lt;/D&gt;&lt;D xsi:type="xsd:double"&gt;14.1869990153247&lt;/D&gt;&lt;/FQL&gt;&lt;FQL&gt;&lt;Q&gt;BRENT-FDS^FG_PRICE_CHANGE(0,-1AY)&lt;/Q&gt;&lt;R&gt;1&lt;/R&gt;&lt;C&gt;1&lt;/C&gt;&lt;D xsi:type="xsd:double"&gt;7.64794383149447&lt;/D&gt;&lt;/FQL&gt;&lt;FQL&gt;&lt;Q&gt;USDANG^FG_PRICE(0)&lt;/Q&gt;&lt;R&gt;1&lt;/R&gt;&lt;C&gt;1&lt;/C&gt;&lt;D xsi:type="xsd:double"&gt;1.79&lt;/D&gt;&lt;/FQL&gt;&lt;FQL&gt;&lt;Q&gt;USDAUD^FG_PRICE(0)&lt;/Q&gt;&lt;R&gt;1&lt;/R&gt;&lt;C&gt;1&lt;/C&gt;&lt;D xsi:type="xsd:double"&gt;1.4742739&lt;/D&gt;&lt;/FQL&gt;&lt;FQL&gt;&lt;Q&gt;EWU^FG_TOTAL_RETURNC(0,-12AM)&lt;/Q&gt;&lt;R&gt;1&lt;/R&gt;&lt;C&gt;1&lt;/C&gt;&lt;D xsi:type="xsd:double"&gt;17.507982&lt;/D&gt;&lt;/FQL&gt;&lt;FQL&gt;&lt;Q&gt;TRYAU10Y-FDS^PCTCHG(FG_YIELD(0,,,,"YTM"),FG_YIELD(-1AM,,,,"YTM"))&lt;/Q&gt;&lt;R&gt;1&lt;/R&gt;&lt;C&gt;1&lt;/C&gt;&lt;D xsi:type="xsd:double"&gt;1.1563411&lt;/D&gt;&lt;/FQL&gt;&lt;FQL&gt;&lt;Q&gt;EWI^FMA_EVAL_EBIT(LTMA,NOW,NOW,M,"PORTAGG","MEANR")&lt;/Q&gt;&lt;R&gt;1&lt;/R&gt;&lt;C&gt;1&lt;/C&gt;&lt;D xsi:type="xsd:double"&gt;10.8318043945352&lt;/D&gt;&lt;/FQL&gt;&lt;FQL&gt;&lt;Q&gt;EWJ^FG_FCF_YIELD_NTM(0)&lt;/Q&gt;&lt;R&gt;1&lt;/R&gt;&lt;C&gt;1&lt;/C&gt;&lt;D xsi:type="xsd:double"&gt;3.67847559538706&lt;/D&gt;&lt;/FQL&gt;&lt;FQL&gt;&lt;Q&gt;DBA^FG_TOTAL_RETURNC(0,-1AM)&lt;/Q&gt;&lt;R&gt;1&lt;/R&gt;&lt;C&gt;1&lt;/C&gt;&lt;D xsi:type="xsd:double"&gt;-3.0866683&lt;/D&gt;&lt;/FQL&gt;&lt;FQL&gt;&lt;Q&gt;EWA^FMA_PE(NTMA,-10AY,0,AM,"PORTAGG","MEANR")&lt;/Q&gt;&lt;R&gt;121&lt;/R&gt;&lt;C&gt;1&lt;/C&gt;&lt;D xsi:type="xsd:double"&gt;14.6345834112356&lt;/D&gt;&lt;D xsi:type="xsd:double"&gt;14.4824954408226&lt;/D&gt;&lt;D xsi:type="xsd:double"&gt;14.6519973626464&lt;/D&gt;&lt;D xsi:type="xsd:double"&gt;13.6405203794069&lt;/D&gt;&lt;D xsi:type="xsd:double"&gt;14.5153528099667&lt;/D&gt;&lt;D xsi:type="xsd:double"&gt;13.8229396404654&lt;/D&gt;&lt;D xsi:type="xsd:double"&gt;14.7910246106693&lt;/D&gt;&lt;D xsi:type="xsd:double"&gt;15.7533452056629&lt;/D&gt;&lt;D xsi:type="xsd:double"&gt;15.8074675603033&lt;/D&gt;&lt;D xsi:type="xsd:double"&gt;16.5830151988825&lt;/D&gt;&lt;D xsi:type="xsd:double"&gt;15.7693163286506&lt;/D&gt;&lt;D xsi:type="xsd:double"&gt;15.3122804398733&lt;/D&gt;&lt;D xsi:type="xsd:double"&gt;15.1095200696876&lt;/D&gt;&lt;D xsi:type="xsd:double"&gt;15.1347073694528&lt;/D&gt;&lt;D xsi:type="xsd:double"&gt;14.3028006920765&lt;/D&gt;&lt;D xsi:type="xsd:double"&gt;15.1554685743865&lt;/D&gt;&lt;D xsi:type="xsd:double"&gt;14.7288041770361&lt;/D&gt;&lt;D xsi:type="xsd:double"&gt;14.7746093515713&lt;/D&gt;&lt;D xsi:type="xsd:double"&gt;14.6514987708418&lt;/D&gt;&lt;D xsi:type="xsd:double"&gt;14.7578984991763&lt;/D&gt;&lt;D xsi:type="xsd:double"&gt;16.1166036707772&lt;/D&gt;&lt;D xsi:type="xsd:double"&gt;15.1590831350238&lt;/D&gt;&lt;D xsi:type="xsd:double"&gt;16.5732530353264&lt;/D&gt;&lt;D xsi:type="xsd:double"&gt;16.2466950378194&lt;/D&gt;&lt;D xsi:type="xsd:double"&gt;16.1366157028891&lt;/D&gt;&lt;D xsi:type="xsd:double"&gt;16.7145837992522&lt;/D&gt;&lt;D xsi:type="xsd:double"&gt;16.0677382127277&lt;/D&gt;&lt;D xsi:type="xsd:double"&gt;16.3355035757947&lt;/D&gt;&lt;D xsi:type="xsd:double"&gt;15.9164664958631&lt;/D&gt;&lt;D xsi:type="xsd:double"&gt;15.902515362013&lt;/D&gt;&lt;D xsi:type="xsd:double"&gt;16.0240467975403&lt;/D&gt;&lt;D xsi:type="xsd:double"&gt;15.8687074156165&lt;/D&gt;&lt;D xsi:type="xsd:double"&gt;15.8277049015119&lt;/D&gt;&lt;D xsi:type="xsd:double"&gt;15.9095792338548&lt;/D&gt;&lt;D xsi:type="xsd:double"&gt;15.7192324916987&lt;/D&gt;&lt;D xsi:type="xsd:double"&gt;15.1595002902089&lt;/D&gt;&lt;D xsi:type="xsd:double"&gt;15.4328559138326&lt;/D&gt;&lt;D xsi:type="xsd:double"&gt;15.5353954973803&lt;/D&gt;&lt;D xsi:type="xsd:double"&gt;15.5792195528617&lt;/D&gt;&lt;D xsi:type="xsd:double"&gt;15.5466707966009&lt;/D&gt;&lt;D xsi:type="xsd:double"&gt;16.131743422553&lt;/D&gt;&lt;D xsi:type="xsd:double"&gt;15.8507053868471&lt;/D&gt;&lt;D xsi:type="xsd:double"&gt;15.9728125145996&lt;/D&gt;&lt;D xsi:type="xsd:double"&gt;15.1562252732907&lt;/D&gt;&lt;D xsi:type="xsd:double"&gt;15.4056068152723&lt;/D&gt;&lt;D xsi:type="xsd:double"&gt;14.9567760029408&lt;/D&gt;&lt;D xsi:type="xsd:double"&gt;15.5073397881885&lt;/D&gt;&lt;D xsi:type="xsd:double"&gt;15.1267339329547&lt;/D&gt;&lt;D xsi:type="xsd:double"&gt;15.4558288670821&lt;/D&gt;&lt;D xsi:type="xsd:double"&gt;15.6011103556455&lt;/D&gt;&lt;D xsi:type="xsd:double"&gt;15.2022605041444&lt;/D&gt;&lt;D xsi:type="xsd:double"&gt;14.3832098140669&lt;/D&gt;&lt;D xsi:type="xsd:double"&gt;14.647037538523&lt;/D&gt;&lt;D xsi:type="xsd:double"&gt;13.830385769618&lt;/D&gt;&lt;D xsi:type="xsd:double"&gt;14.4239379752127&lt;/D&gt;&lt;D xsi:type="xsd:double"&gt;15.0143237482287&lt;/D&gt;&lt;D xsi:type="xsd:double"&gt;15.2420927258356&lt;/D&gt;&lt;D xsi:type="xsd:double"&gt;15.2184230729117&lt;/D&gt;&lt;D xsi:type="xsd:double"&gt;15.3891090344512&lt;/D&gt;&lt;D xsi:type="xsd:double"&gt;15.9353468461175&lt;/D&gt;&lt;D xsi:type="xsd:double"&gt;16.1393043559798&lt;/D&gt;&lt;D xsi:type="xsd:double"&gt;15.9716847105929&lt;/D&gt;&lt;D xsi:type="xsd:double"&gt;16.4340822707632&lt;/D&gt;&lt;D xsi:type="xsd:double"&gt;16.5104808010076&lt;/D&gt;&lt;D xsi:type="xsd:double"&gt;17.255301596916&lt;/D&gt;&lt;D xsi:type="xsd:double"&gt;17.2335091596144&lt;/D&gt;&lt;D xsi:type="xsd:double"&gt;17.6973313983956&lt;/D&gt;&lt;D xsi:type="xsd:double"&gt;18.0346297959722&lt;/D&gt;&lt;D xsi:type="xsd:double"&gt;14.8577018102295&lt;/D&gt;&lt;D xsi:type="xsd:double"&gt;15.7640645999622&lt;/D&gt;&lt;D xsi:type="xsd:double"&gt;17.4138326628337&lt;/D&gt;&lt;D xsi:type="xsd:double"&gt;19.3763788261573&lt;/D&gt;&lt;D xsi:type="xsd:double"&gt;18.8165039957777&lt;/D&gt;&lt;D xsi:type="xsd:double"&gt;19.5278741512129&lt;/D&gt;&lt;D xsi:type="xsd:double"&gt;18.4732198250566&lt;/D&gt;&lt;D xsi:type="xsd:double"&gt;18.7865480733202&lt;/D&gt;&lt;D xsi:type="xsd:double"&gt;19.2617954493314&lt;/D&gt;&lt;D xsi:type="xsd:double"&gt;19.2541317673783&lt;/D&gt;&lt;D xsi:type="xsd:double"&gt;19.273089005236&lt;/D&gt;&lt;D xsi:type="xsd:double"&gt;19.1890586627225&lt;/D&gt;&lt;D xsi:type="xsd:double"&gt;17.9817850404025&lt;/D&gt;&lt;D xsi:type="xsd:double"&gt;18.0821954365405&lt;/D&gt;&lt;D xsi:type="xsd:double"&gt;18.0681195699038&lt;/D&gt;&lt;D xsi:type="xsd:double"&gt;18.1272075763175&lt;/D&gt;&lt;D xsi:type="xsd:double"&gt;17.0199912304574&lt;/D&gt;&lt;D xsi:type="xsd:double"&gt;17.2217666174846&lt;/D&gt;&lt;D xsi:type="xsd:double"&gt;17.0164735671257&lt;/D&gt;&lt;D xsi:type="xsd:double"&gt;17.2542344656071&lt;/D&gt;&lt;D xsi:type="xsd:double"&gt;17.3405211669866&lt;/D&gt;&lt;D xsi:type="xsd:double"&gt;17.2270474645054&lt;/D&gt;&lt;D xsi:type="xsd:double"&gt;17.2963316084987&lt;/D&gt;&lt;D xsi:type="xsd:double"&gt;15.9710431809822&lt;/D&gt;&lt;D xsi:type="xsd:double"&gt;15.4753693266256&lt;/D&gt;&lt;D xsi:type="xsd:double"&gt;15.8531807318743&lt;/D&gt;&lt;D xsi:type="xsd:double"&gt;14.149024800812&lt;/D&gt;&lt;D xsi:type="xsd:double"&gt;13.4533685306735&lt;/D&gt;&lt;D xsi:type="xsd:double"&gt;12.7026748729092&lt;/D&gt;&lt;D xsi:type="xsd:double"&gt;14.1648664473334&lt;/D&gt;&lt;D xsi:type="xsd:double"&gt;13.6558920110344&lt;/D&gt;&lt;D xsi:type="xsd:double"&gt;12.8345208882583&lt;/D&gt;&lt;D xsi:type="xsd:double"&gt;14.26953039134&lt;/D&gt;&lt;D xsi:type="xsd:double"&gt;14.4531920800488&lt;/D&gt;&lt;D xsi:type="xsd:double"&gt;14.2521793611965&lt;/D&gt;&lt;D xsi:type="xsd:double"&gt;14.8224426982472&lt;/D&gt;&lt;D xsi:type="xsd:double"&gt;14.1321606836372&lt;/D&gt;&lt;D xsi:type="xsd:double"&gt;14.5799128653833&lt;/D&gt;&lt;D xsi:type="xsd:double"&gt;14.631264313976&lt;/D&gt;&lt;D xsi:type="xsd:double"&gt;14.5726792864749&lt;/D&gt;&lt;D xsi:type="xsd:double"&gt;14.7403507901797&lt;/D&gt;&lt;D xsi:type="xsd:double"&gt;15.4037629449184&lt;/D&gt;&lt;D xsi:type="xsd:double"&gt;15.3374949556746&lt;/D&gt;&lt;D xsi:type="xsd:double"&gt;14.872971194338&lt;/D&gt;&lt;D xsi:type="xsd:double"&gt;14.7527074569694&lt;/D&gt;&lt;D xsi:type="xsd:double"&gt;15.4009574521785&lt;/D&gt;&lt;D xsi:type="xsd:double"&gt;16.1577133476364&lt;/D&gt;&lt;D xsi:type="xsd:double"&gt;16.4366464563173&lt;/D&gt;&lt;D xsi:type="xsd:double"&gt;16.5977296052783&lt;/D&gt;&lt;D xsi:type="xsd:double"&gt;16.7105943398649&lt;/D&gt;&lt;D xsi:type="xsd:double"&gt;16.6295988536411&lt;/D&gt;&lt;D xsi:type="xsd:double"&gt;16.7429614633584&lt;/D&gt;&lt;D xsi:type="xsd:double"&gt;17.0016122843536&lt;/D&gt;&lt;/FQL&gt;&lt;FQL&gt;&lt;Q&gt;BRENT-FDS^FG_PRICE_CHANGE(0,-6AM)&lt;/Q&gt;&lt;R&gt;1&lt;/R&gt;&lt;C&gt;1&lt;/C&gt;&lt;D xsi:type="xsd:double"&gt;0&lt;/D&gt;&lt;/FQL&gt;&lt;FQL&gt;&lt;Q&gt;REFSEREPO-FDS^(SUBARRAY(NOT_NA(NO_REPEAT_F(FG_YIELD(NOW,-10AY,D))),0,1)-SUBARRAY(NOT_NA(NO_REPEAT_F(FG_YIELD(NOW,-10AY,D))),1,1))*100&lt;/Q&gt;&lt;R&gt;1&lt;/R&gt;&lt;C&gt;1&lt;/C&gt;&lt;D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xsi:type="xsd:double"&gt;-25&lt;/D&gt;&lt;/FQL&gt;&lt;FQL&gt;&lt;Q&gt;USDANG^FG_COMPANY_NAME&lt;/Q&gt;&lt;R&gt;1&lt;/R&gt;&lt;C&gt;1&lt;/C&gt;&lt;D xsi:type="xsd:string"&gt;Netherlands Antilles Guilder per U.S. Dollar&lt;/D&gt;&lt;/FQL&gt;&lt;FQL&gt;&lt;Q&gt;EWI^P_PRICE(0)/P_PRICE_LOW_PR(0,,,,,,"PRICE","INTRA","52W")-1&lt;/Q&gt;&lt;R&gt;1&lt;/R&gt;&lt;C&gt;1&lt;/C&gt;&lt;D xsi:type="xsd:double"&gt;0.29071176&lt;/D&gt;&lt;/FQL&gt;&lt;FQL&gt;&lt;Q&gt;EWU^PERCENT_CHANGE(FMA_EPS(+1,0,,,,"PORTAGG","MEAN"),FMA_EPS(+1,-3AM,,,,"PORTAGG","MEAN"))&lt;/Q&gt;&lt;R&gt;1&lt;/R&gt;&lt;C&gt;1&lt;/C&gt;&lt;D xsi:type="xsd:double"&gt;1.27392859597253&lt;/D&gt;&lt;/FQL&gt;&lt;FQL&gt;&lt;Q&gt;URTH^SIZE(FG_CONSTITUENTS)&lt;/Q&gt;&lt;R&gt;1&lt;/R&gt;&lt;C&gt;1&lt;/C&gt;&lt;D xsi:type="xsd:long"&gt;1430&lt;/D&gt;&lt;/FQL&gt;&lt;FQL&gt;&lt;Q&gt;EWD^FMA_RBICS_REV_CURRENT(30, LOC, "PORTAGG")&lt;/Q&gt;&lt;R&gt;1&lt;/R&gt;&lt;C&gt;1&lt;/C&gt;&lt;D xsi:type="xsd:double"&gt;26.6826894897005&lt;/D&gt;&lt;/FQL&gt;&lt;FQL&gt;&lt;Q&gt;TRYNZ10Y-FDS^PCTCHG(FG_YIELD(0,,,,"YTM"),FG_YIELD(-3AM,,,,"YTM"))&lt;/Q&gt;&lt;R&gt;1&lt;/R&gt;&lt;C&gt;1&lt;/C&gt;&lt;D xsi:type="xsd:double"&gt;-5.105558&lt;/D&gt;&lt;/FQL&gt;&lt;FQL&gt;&lt;Q&gt;EWI^FMA_EVAL_EBITDA(NTMA,0,,,"PORTAGG","MEANR")&lt;/Q&gt;&lt;R&gt;1&lt;/R&gt;&lt;C&gt;1&lt;/C&gt;&lt;D xsi:type="xsd:double"&gt;6.77118791512635&lt;/D&gt;&lt;/FQL&gt;&lt;FQL&gt;&lt;Q&gt;EWJ^FMA_PE(LTM,0,,,"PORTAGG","MEANR")&lt;/Q&gt;&lt;R&gt;1&lt;/R&gt;&lt;C&gt;1&lt;/C&gt;&lt;D xsi:type="xsd:double"&gt;16.7167005181193&lt;/D&gt;&lt;/FQL&gt;&lt;FQL&gt;&lt;Q&gt;GLD^FG_TOTAL_RETURNC(0,-3AM)&lt;/Q&gt;&lt;R&gt;1&lt;/R&gt;&lt;C&gt;1&lt;/C&gt;&lt;D xsi:type="xsd:double"&gt;1.5696049&lt;/D&gt;&lt;/FQL&gt;&lt;FQL&gt;&lt;Q&gt;ENZL^FMA_PE(NTMA,-10AY,0,AM,"PORTAGG","MEANR")&lt;/Q&gt;&lt;R&gt;121&lt;/R&gt;&lt;C&gt;1&lt;/C&gt;&lt;D xsi:type="xsd:double"&gt;17.1045994736078&lt;/D&gt;&lt;D xsi:type="xsd:double"&gt;16.8342090359573&lt;/D&gt;&lt;D xsi:type="xsd:double"&gt;17.3328204410014&lt;/D&gt;&lt;D xsi:type="xsd:double"&gt;17.079922742083&lt;/D&gt;&lt;D xsi:type="xsd:double"&gt;18.1917479173829&lt;/D&gt;&lt;D xsi:type="xsd:double"&gt;17.962098875325&lt;/D&gt;&lt;D xsi:type="xsd:double"&gt;18.4251532652318&lt;/D&gt;&lt;D xsi:type="xsd:double"&gt;19.1026384884161&lt;/D&gt;&lt;D xsi:type="xsd:double"&gt;19.0889007357545&lt;/D&gt;&lt;D xsi:type="xsd:double"&gt;18.4018745260032&lt;/D&gt;&lt;D xsi:type="xsd:double"&gt;18.2915216883725&lt;/D&gt;&lt;D xsi:type="xsd:double"&gt;18.2664856412637&lt;/D&gt;&lt;D xsi:type="xsd:double"&gt;17.8056121259202&lt;/D&gt;&lt;D xsi:type="xsd:double"&gt;18.0702673860077&lt;/D&gt;&lt;D xsi:type="xsd:double"&gt;17.3210124041124&lt;/D&gt;&lt;D xsi:type="xsd:double"&gt;17.0316120615796&lt;/D&gt;&lt;D xsi:type="xsd:double"&gt;18.004283830299&lt;/D&gt;&lt;D xsi:type="xsd:double"&gt;18.0727813724927&lt;/D&gt;&lt;D xsi:type="xsd:double"&gt;17.5835165878356&lt;/D&gt;&lt;D xsi:type="xsd:double"&gt;16.86631790205&lt;/D&gt;&lt;D xsi:type="xsd:double"&gt;18.153055509205&lt;/D&gt;&lt;D xsi:type="xsd:double"&gt;18.4070110583007&lt;/D&gt;&lt;D xsi:type="xsd:double"&gt;19.2613725662353&lt;/D&gt;&lt;D xsi:type="xsd:double"&gt;19.3258585251587&lt;/D&gt;&lt;D xsi:type="xsd:double"&gt;19.537175612481&lt;/D&gt;&lt;D xsi:type="xsd:double"&gt;20.3203013316543&lt;/D&gt;&lt;D xsi:type="xsd:double"&gt;20.985895910256&lt;/D&gt;&lt;D xsi:type="xsd:double"&gt;19.5240826877748&lt;/D&gt;&lt;D xsi:type="xsd:double"&gt;18.2548768664489&lt;/D&gt;&lt;D xsi:type="xsd:double"&gt;18.5969651239115&lt;/D&gt;&lt;D xsi:type="xsd:double"&gt;19.0155999385726&lt;/D&gt;&lt;D xsi:type="xsd:double"&gt;19.171644371051&lt;/D&gt;&lt;D xsi:type="xsd:double"&gt;18.9561938524949&lt;/D&gt;&lt;D xsi:type="xsd:double"&gt;19.1983999009394&lt;/D&gt;&lt;D xsi:type="xsd:double"&gt;19.7961543811645&lt;/D&gt;&lt;D xsi:type="xsd:double"&gt;19.3419452657852&lt;/D&gt;&lt;D xsi:type="xsd:double"&gt;19.4592623057958&lt;/D&gt;&lt;D xsi:type="xsd:double"&gt;19.8077907127297&lt;/D&gt;&lt;D xsi:type="xsd:double"&gt;19.9539511474096&lt;/D&gt;&lt;D xsi:type="xsd:double"&gt;20.0068510473666&lt;/D&gt;&lt;D xsi:type="xsd:double"&gt;20.02579298852&lt;/D&gt;&lt;D xsi:type="xsd:double"&gt;20.6372888703939&lt;/D&gt;&lt;D xsi:type="xsd:double"&gt;20.4212532890336&lt;/D&gt;&lt;D xsi:type="xsd:double"&gt;19.1829856079539&lt;/D&gt;&lt;D xsi:type="xsd:double"&gt;20.3239563604608&lt;/D&gt;&lt;D xsi:type="xsd:double"&gt;20.2202499204706&lt;/D&gt;&lt;D xsi:type="xsd:double"&gt;20.5529675364946&lt;/D&gt;&lt;D xsi:type="xsd:double"&gt;21.2378351186799&lt;/D&gt;&lt;D xsi:type="xsd:double"&gt;21.1937394185908&lt;/D&gt;&lt;D xsi:type="xsd:double"&gt;21.2686264981258&lt;/D&gt;&lt;D xsi:type="xsd:double"&gt;21.6435844772013&lt;/D&gt;&lt;D xsi:type="xsd:double"&gt;20.0559702452413&lt;/D&gt;&lt;D xsi:type="xsd:double"&gt;20.5368053214283&lt;/D&gt;&lt;D xsi:type="xsd:double"&gt;19.7955198262016&lt;/D&gt;&lt;D xsi:type="xsd:double"&gt;20.3463813494912&lt;/D&gt;&lt;D xsi:type="xsd:double"&gt;21.018048082461&lt;/D&gt;&lt;D xsi:type="xsd:double"&gt;21.6903501080976&lt;/D&gt;&lt;D xsi:type="xsd:double"&gt;22.0615042087961&lt;/D&gt;&lt;D xsi:type="xsd:double"&gt;22.8659273154711&lt;/D&gt;&lt;D xsi:type="xsd:double"&gt;22.8316133845702&lt;/D&gt;&lt;D xsi:type="xsd:double"&gt;24.2845775339852&lt;/D&gt;&lt;D xsi:type="xsd:double"&gt;24.6598040535111&lt;/D&gt;&lt;D xsi:type="xsd:double"&gt;25.9199593238243&lt;/D&gt;&lt;D xsi:type="xsd:double"&gt;25.2651989769261&lt;/D&gt;&lt;D xsi:type="xsd:double"&gt;24.9222217908366&lt;/D&gt;&lt;D xsi:type="xsd:double"&gt;25.5790629415333&lt;/D&gt;&lt;D xsi:type="xsd:double"&gt;25.7807704174099&lt;/D&gt;&lt;D xsi:type="xsd:double"&gt;26.7152955960411&lt;/D&gt;&lt;D xsi:type="xsd:double"&gt;24.8968760286439&lt;/D&gt;&lt;D xsi:type="xsd:double"&gt;26.4067438196473&lt;/D&gt;&lt;D xsi:type="xsd:double"&gt;30.2453716660557&lt;/D&gt;&lt;D xsi:type="xsd:double"&gt;30.2954188242753&lt;/D&gt;&lt;D xsi:type="xsd:double"&gt;31.4972709052866&lt;/D&gt;&lt;D xsi:type="xsd:double"&gt;32.1518549867078&lt;/D&gt;&lt;D xsi:type="xsd:double"&gt;32.1004820471733&lt;/D&gt;&lt;D xsi:type="xsd:double"&gt;33.1656204674979&lt;/D&gt;&lt;D xsi:type="xsd:double"&gt;32.9937032055781&lt;/D&gt;&lt;D xsi:type="xsd:double"&gt;33.229776290467&lt;/D&gt;&lt;D xsi:type="xsd:double"&gt;34.3189478681902&lt;/D&gt;&lt;D xsi:type="xsd:double"&gt;31.9616736988616&lt;/D&gt;&lt;D xsi:type="xsd:double"&gt;31.8353417216934&lt;/D&gt;&lt;D xsi:type="xsd:double"&gt;32.2570585697458&lt;/D&gt;&lt;D xsi:type="xsd:double"&gt;32.9021931809334&lt;/D&gt;&lt;D xsi:type="xsd:double"&gt;33.1492931193202&lt;/D&gt;&lt;D xsi:type="xsd:double"&gt;34.3236059715828&lt;/D&gt;&lt;D</t>
        </r>
      </text>
    </comment>
    <comment ref="A15" authorId="0" shapeId="0" xr:uid="{0D8F7A65-5463-4A7F-B3E7-E8027544E67E}">
      <text>
        <r>
          <rPr>
            <b/>
            <sz val="9"/>
            <color indexed="81"/>
            <rFont val="Tahoma"/>
            <charset val="1"/>
          </rPr>
          <t xml:space="preserve"> xsi:type="xsd:double"&gt;33.7869669550779&lt;/D&gt;&lt;D xsi:type="xsd:double"&gt;34.6885777250705&lt;/D&gt;&lt;D xsi:type="xsd:double"&gt;33.5896932161488&lt;/D&gt;&lt;D xsi:type="xsd:double"&gt;33.3869191790286&lt;/D&gt;&lt;D xsi:type="xsd:double"&gt;32.4370504142251&lt;/D&gt;&lt;D xsi:type="xsd:double"&gt;31.5721355438606&lt;/D&gt;&lt;D xsi:type="xsd:double"&gt;30.002821874121&lt;/D&gt;&lt;D xsi:type="xsd:double"&gt;28.6664040408046&lt;/D&gt;&lt;D xsi:type="xsd:double"&gt;28.3278762567478&lt;/D&gt;&lt;D xsi:type="xsd:double"&gt;27.8435311726713&lt;/D&gt;&lt;D xsi:type="xsd:double"&gt;26.025025820899&lt;/D&gt;&lt;D xsi:type="xsd:double"&gt;25.8644183300611&lt;/D&gt;&lt;D xsi:type="xsd:double"&gt;26.571319540856&lt;/D&gt;&lt;D xsi:type="xsd:double"&gt;27.0220488287042&lt;/D&gt;&lt;D xsi:type="xsd:double"&gt;23.7020794871142&lt;/D&gt;&lt;D xsi:type="xsd:double"&gt;23.5166884132962&lt;/D&gt;&lt;D xsi:type="xsd:double"&gt;23.2466483788271&lt;/D&gt;&lt;D xsi:type="xsd:double"&gt;23.431725048814&lt;/D&gt;&lt;D xsi:type="xsd:double"&gt;24.4308318321944&lt;/D&gt;&lt;D xsi:type="xsd:double"&gt;23.1128691838479&lt;/D&gt;&lt;D xsi:type="xsd:double"&gt;23.3526095084452&lt;/D&gt;&lt;D xsi:type="xsd:double"&gt;23.3936523337765&lt;/D&gt;&lt;D xsi:type="xsd:double"&gt;20.6862263039356&lt;/D&gt;&lt;D xsi:type="xsd:double"&gt;20.911280705462&lt;/D&gt;&lt;D xsi:type="xsd:double"&gt;20.5081165159715&lt;/D&gt;&lt;D xsi:type="xsd:double"&gt;20.2174698346747&lt;/D&gt;&lt;D xsi:type="xsd:double"&gt;19.9174420064607&lt;/D&gt;&lt;D xsi:type="xsd:double"&gt;20.0927422706748&lt;/D&gt;&lt;D xsi:type="xsd:double"&gt;21.7202830387421&lt;/D&gt;&lt;D xsi:type="xsd:double"&gt;22.8980480806234&lt;/D&gt;&lt;D xsi:type="xsd:double"&gt;22.2274988672056&lt;/D&gt;&lt;D xsi:type="xsd:double"&gt;24.7831050096233&lt;/D&gt;&lt;D xsi:type="xsd:double"&gt;24.9927814253204&lt;/D&gt;&lt;D xsi:type="xsd:double"&gt;25.1440976663788&lt;/D&gt;&lt;D xsi:type="xsd:double"&gt;23.9448637208678&lt;/D&gt;&lt;D xsi:type="xsd:double"&gt;24.4156236107302&lt;/D&gt;&lt;/FQL&gt;&lt;FQL&gt;&lt;Q&gt;BRENT-FDS^FG_PRICE_CHANGE(0,-3AM)&lt;/Q&gt;&lt;R&gt;1&lt;/R&gt;&lt;C&gt;1&lt;/C&gt;&lt;D xsi:type="xsd:double"&gt;0&lt;/D&gt;&lt;/FQL&gt;&lt;FQL&gt;&lt;Q&gt;EWL^FMA_PCT_ABOVE_MAVG(200,0,,,,"PORTAGG")&lt;/Q&gt;&lt;R&gt;1&lt;/R&gt;&lt;C&gt;1&lt;/C&gt;&lt;D xsi:type="xsd:double"&gt;78.2608695652174&lt;/D&gt;&lt;/FQL&gt;&lt;FQL&gt;&lt;Q&gt;EWJ^JULIAN(FMA_DIV_YLD(NTMA,NOW,NOW,M,"PORTAGG","MEANR").DATES)&lt;/Q&gt;&lt;R&gt;1&lt;/R&gt;&lt;C&gt;1&lt;/C&gt;&lt;D xsi:type="xsd:long"&gt;45471&lt;/D&gt;&lt;/FQL&gt;&lt;FQL&gt;&lt;Q&gt;USDNZD^FG_COMPANY_NAME&lt;/Q&gt;&lt;R&gt;1&lt;/R&gt;&lt;C&gt;1&lt;/C&gt;&lt;D xsi:type="xsd:string"&gt;New Zealand Dollar per U.S. Dollar&lt;/D&gt;&lt;/FQL&gt;&lt;FQL&gt;&lt;Q&gt;EWI^FG_PRICE_MAVG(0,,,,30)&lt;/Q&gt;&lt;R&gt;1&lt;/R&gt;&lt;C&gt;1&lt;/C&gt;&lt;D xsi:type="xsd:double"&gt;37.102665&lt;/D&gt;&lt;/FQL&gt;&lt;FQL&gt;&lt;Q&gt;EWI^P_PRICE(0)/P_PRICE_HIGH_PR(0,,,,,,"PRICE","INTRA","52W")&lt;/Q&gt;&lt;R&gt;1&lt;/R&gt;&lt;C&gt;1&lt;/C&gt;&lt;D xsi:type="xsd:double"&gt;0.95123196&lt;/D&gt;&lt;/FQL&gt;&lt;FQL&gt;&lt;Q&gt;URTH^FMA_COS_DOWN("EPS","1M",+1,0,,,"PORTAGG","MEANR")&lt;/Q&gt;&lt;R&gt;1&lt;/R&gt;&lt;C&gt;1&lt;/C&gt;&lt;D xsi:type="xsd:double"&gt;566&lt;/D&gt;&lt;/FQL&gt;&lt;FQL&gt;&lt;Q&gt;SPY^FMA_RBICS_REV_CURRENT(30, LOC, "PORTAGG")&lt;/Q&gt;&lt;R&gt;1&lt;/R&gt;&lt;C&gt;1&lt;/C&gt;&lt;D xsi:type="xsd:double"&gt;12.3968672783064&lt;/D&gt;&lt;/FQL&gt;&lt;FQL&gt;&lt;Q&gt;EWI^FG_FCF_YIELD_NTM(0)&lt;/Q&gt;&lt;R&gt;1&lt;/R&gt;&lt;C&gt;1&lt;/C&gt;&lt;D xsi:type="xsd:double"&gt;6.15997332443669&lt;/D&gt;&lt;/FQL&gt;&lt;FQL&gt;&lt;Q&gt;GLD^FG_TOTAL_RETURNC(0,-1AM)&lt;/Q&gt;&lt;R&gt;1&lt;/R&gt;&lt;C&gt;1&lt;/C&gt;&lt;D xsi:type="xsd:double"&gt;4.249358&lt;/D&gt;&lt;/FQL&gt;&lt;FQL&gt;&lt;Q&gt;EWL^FMA_EPS(NTMA,-20AY,0,CY,,"PORTAGG","MEANR")&lt;/Q&gt;&lt;R&gt;20&lt;/R&gt;&lt;C&gt;1&lt;/C&gt;&lt;D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xsi:type="xsd:double"&gt;2.86470858427176&lt;/D&gt;&lt;/FQL&gt;&lt;FQL&gt;&lt;Q&gt;EWG^FMA_PE(LTMA,-10AY,0,AM,"PORTAGG","MEANR")&lt;/Q&gt;&lt;R&gt;121&lt;/R&gt;&lt;C&gt;1&lt;/C&gt;&lt;D xsi:type="xsd:double"&gt;14.4068300416694&lt;/D&gt;&lt;D xsi:type="xsd:double"&gt;13.9833000182288&lt;/D&gt;&lt;D xsi:type="xsd:double"&gt;14.312660230648&lt;/D&gt;&lt;D xsi:type="xsd:double"&gt;13.2688778334265&lt;/D&gt;&lt;D xsi:type="xsd:double"&gt;13.7880940237434&lt;/D&gt;&lt;D xsi:type="xsd:double"&gt;14.4001799283093&lt;/D&gt;&lt;D xsi:type="xsd:double"&gt;14.0789368329184&lt;/D&gt;&lt;D xsi:type="xsd:double"&gt;15.5248918928687&lt;/D&gt;&lt;D xsi:type="xsd:double"&gt;16.5350042881932&lt;/D&gt;&lt;D xsi:type="xsd:double"&gt;16.646122667963&lt;/D&gt;&lt;D xsi:type="xsd:double"&gt;16.1861943982277&lt;/D&gt;&lt;D xsi:type="xsd:double"&gt;15.7748816427991&lt;/D&gt;&lt;D xsi:type="xsd:double"&gt;15.5554574828692&lt;/D&gt;&lt;D xsi:type="xsd:double"&gt;15.3046880678917&lt;/D&gt;&lt;D xsi:type="xsd:double"&gt;14.1879545370979&lt;/D&gt;&lt;D xsi:type="xsd:double"&gt;13.9774515135673&lt;/D&gt;&lt;D xsi:type="xsd:double"&gt;14.5318741865672&lt;/D&gt;&lt;D xsi:type="xsd:double"&gt;13.7111668565447&lt;/D&gt;&lt;D xsi:type="xsd:double"&gt;12.7825812102268&lt;/D&gt;&lt;D xsi:type="xsd:double"&gt;11.6041301356356&lt;/D&gt;&lt;D xsi:type="xsd:double"&gt;12.7194321345345&lt;/D&gt;&lt;D xsi:type="xsd:double"&gt;12.6975217488305&lt;/D&gt;&lt;D xsi:type="xsd:double"&gt;12.8120559615309&lt;/D&gt;&lt;D xsi:type="xsd:double"&gt;12.7200029920131&lt;/D&gt;&lt;D xsi:type="xsd:double"&gt;12.7627140905597&lt;/D&gt;&lt;D xsi:type="xsd:double"&gt;13.4647172270557&lt;/D&gt;&lt;D xsi:type="xsd:double"&gt;13.5332344123155&lt;/D&gt;&lt;D xsi:type="xsd:double"&gt;13.6641639492056&lt;/D&gt;&lt;D xsi:type="xsd:double"&gt;13.7021570143689&lt;/D&gt;&lt;D xsi:type="xsd:double"&gt;14.3636267024595&lt;/D&gt;&lt;D xsi:type="xsd:double"&gt;14.9751977455918&lt;/D&gt;&lt;D xsi:type="xsd:double"&gt;14.9245788584118&lt;/D&gt;&lt;D xsi:type="xsd:double"&gt;14.9697675917959&lt;/D&gt;&lt;D xsi:type="xsd:double"&gt;14.8968341920428&lt;/D&gt;&lt;D xsi:type="xsd:double"&gt;14.9000141783268&lt;/D&gt;&lt;D xsi:type="xsd:double"&gt;14.8163297120057&lt;/D&gt;&lt;D xsi:type="xsd:double"&gt;14.5331920416681&lt;/D&gt;&lt;D xsi:type="xsd:double"&gt;14.1397285354081&lt;/D&gt;&lt;D xsi:type="xsd:double"&gt;14.3288921007457&lt;/D&gt;&lt;D xsi:type="xsd:double"&gt;14.7460738287816&lt;/D&gt;&lt;D xsi:type="xsd:double"&gt;15.2540062124712&lt;/D&gt;&lt;D xsi:type="xsd:double"&gt;15.4644535213951&lt;/D&gt;&lt;D xsi:type="xsd:double"&gt;15.5103619492625&lt;/D&gt;&lt;D xsi:type="xsd:double"&gt;14.0776883634533&lt;/D&gt;&lt;D xsi:type="xsd:double"&gt;14.229153280713&lt;/D&gt;&lt;D xsi:type="xsd:double"&gt;14.1103480587839&lt;/D&gt;&lt;D xsi:type="xsd:double"&gt;14.2223580899837&lt;/D&gt;&lt;D xsi:type="xsd:double"&gt;14.1546323562172&lt;/D&gt;&lt;D xsi:type="xsd:double"&gt;13.9647728014047&lt;/D&gt;&lt;D xsi:type="xsd:double"&gt;13.9825843129578&lt;/D&gt;&lt;D xsi:type="xsd:double"&gt;13.7394458573839&lt;/D&gt;&lt;D xsi:type="xsd:double"&gt;13.2568977944979&lt;/D&gt;&lt;D xsi:type="xsd:double"&gt;13.1517536795005&lt;/D&gt;&lt;D xsi:type="xsd:double"&gt;12.4158188470605&lt;/D&gt;&lt;D xsi:type="xsd:double"&gt;12.4286019601991&lt;/D&gt;&lt;D xsi:type="xsd:double"&gt;12.7450540775733&lt;/D&gt;&lt;D xsi:type="xsd:double"&gt;13.2064083879524&lt;/D&gt;&lt;D xsi:type="xsd:double"&gt;13.267070821425&lt;/D&gt;&lt;D xsi:type="xsd:double"&gt;13.2771545266368&lt;/D&gt;&lt;D xsi:type="xsd:double"&gt;13.23640124351&lt;/D&gt;&lt;D xsi:type="xsd:double"&gt;13.507235528024&lt;/D&gt;&lt;D xsi:type="xsd:double"&gt;13.3144695032251&lt;/D&gt;&lt;D xsi:type="xsd:double"&gt;14.0033915092222&lt;/D&gt;&lt;D xsi:type="xsd:double"&gt;14.2074658759574&lt;/D&gt;&lt;D xsi:type="xsd:double"&gt;15.1185855759996&lt;/D&gt;&lt;D xsi:type="xsd:double"&gt;15.2248307994576&lt;/D&gt;&lt;D xsi:type="xsd:double"&gt;15.7657294752993&lt;/D&gt;&lt;D xsi:type="xsd:double"&gt;16.1609318047122&lt;/D&gt;&lt;D xsi:type="xsd:double"&gt;13.7200051442524&lt;/D&gt;&lt;D xsi:type="xsd:double"&gt;14.2755371533434&lt;/D&gt;&lt;D xsi:type="xsd:double"&gt;15.2613336102803&lt;/D&gt;&lt;D xsi:type="xsd:double"&gt;16.8789059387715&lt;/D&gt;&lt;D xsi:type="xsd:double"&gt;18.4257868504757&lt;/D&gt;&lt;D xsi:type="xsd:double"&gt;19.434149880441&lt;/D&gt;&lt;D xsi:type="xsd:double"&gt;20.4414630495581&lt;/D&gt;&lt;D xsi:type="xsd:double"&gt;20.6697172467235&lt;/D&gt;&lt;D xsi:type="xsd:double"&gt;20.5122673809125&lt;/D&gt;&lt;D xsi:type="xsd:double"&gt;20.7392148199832&lt;/D&gt;&lt;D xsi:type="xsd:double"&gt;22.1236907955054&lt;/D&gt;&lt;D xsi:type="xsd:double"&gt;21.5518785816271&lt;/D&gt;&lt;D xsi:type="xsd:double"&gt;20.2466172232739&lt;/D&gt;&lt;D xsi:type="xsd:double"&gt;19.9978889789909&lt;/D&gt;&lt;D xsi:type="xsd:double"&gt;19.0636426728606&lt;/D&gt;&lt;D xsi:type="xsd:double"&gt;18.7485671370333&lt;/D&gt;&lt;D xsi:type="xsd:double"&gt;18.1967916886044&lt;/D&gt;&lt;D xsi:type="xsd:double"&gt;17.3167064847863&lt;/D&gt;&lt;D xsi:type="xsd:double"&gt;16.620089408538&lt;/D&gt;&lt;D xsi:type="xsd:double"&gt;15.8195465784178&lt;/D&gt;&lt;D xsi:type="xsd:double"&gt;15.3977232305858&lt;/D&gt;&lt;D xsi:type="xsd:double"&gt;14.3821211134293&lt;/D&gt;&lt;D xsi:type="xsd:double"&gt;14.1134659875757&lt;/D&gt;&lt;D xsi:type="xsd:double"&gt;13.3543936908569&lt;/D&gt;&lt;D xsi:type="xsd:double"&gt;12.3681779584845&lt;/D&gt;&lt;D xsi:type="xsd:double"&gt;12.3701007601036&lt;/D&gt;&lt;D xsi:type="xsd:double"&gt;12.0505522287059&lt;/D&gt;&lt;D xsi:type="xsd:double"&gt;11.8684936581831&lt;/D&gt;&lt;D xsi:type="xsd:double"&gt;11.3417382298911&lt;/D&gt;&lt;D xsi:type="xsd:double"&gt;11.2902213577109&lt;/D&gt;&lt;D xsi:type="xsd:double"&gt;10.8861633542092&lt;/D&gt;&lt;D xsi:type="xsd:double"&gt;10.0238948472563&lt;/D&gt;&lt;D xsi:type="xsd:double"&gt;11.0081201475376&lt;/D&gt;&lt;D xsi:type="xsd:double"&gt;10.8304330094286&lt;/D&gt;&lt;D xsi:type="xsd:double"&gt;11.2840184746858&lt;/D&gt;&lt;D xsi:type="xsd:double"&gt;11.5528098847402&lt;/D&gt;&lt;D xsi:type="xsd:double"&gt;11.3525927837404&lt;/D&gt;&lt;D xsi:type="xsd:double"&gt;11.38976921802&lt;/D&gt;&lt;D xsi:type="xsd:double"&gt;11.3311723689046&lt;/D&gt;&lt;D xsi:type="xsd:double"&gt;11.232146150223&lt;/D&gt;&lt;D xsi:type="xsd:double"&gt;11.1532649197892&lt;/D&gt;&lt;D xsi:type="xsd:double"&gt;11.1961324924858&lt;/D&gt;&lt;D xsi:type="xsd:double"&gt;11.2328222771885&lt;/D&gt;&lt;D xsi:type="xsd:double"&gt;11.0843263603956&lt;/D&gt;&lt;D xsi:type="xsd:double"&gt;10.9770353651854&lt;/D&gt;&lt;D xsi:type="xsd:double"&gt;11.9364272239867&lt;/D&gt;&lt;D xsi:type="xsd:double"&gt;11.790041231111&lt;/D&gt;&lt;D xsi:type="xsd:double"&gt;12.026773450266&lt;/D&gt;&lt;D xsi:type="xsd:double"&gt;12.5211736237745&lt;/D&gt;&lt;D xsi:type="xsd:double"&gt;12.5187979341874&lt;/D&gt;&lt;D xsi:type="xsd:double"&gt;12.6209950283757&lt;/D&gt;&lt;D xsi:type="xsd:double"&gt;12.5019927914801&lt;/D&gt;&lt;D xsi:type="xsd:double"&gt;12.5157058336304&lt;/D&gt;&lt;/FQL&gt;&lt;FQL&gt;&lt;Q&gt;EWI^FMA_COS_DOWN("EPS","1M",+1,0,,,"PORTAGG","MEANR")&lt;/Q&gt;&lt;R&gt;1&lt;/R&gt;&lt;C&gt;1&lt;/C&gt;&lt;D xsi:type="xsd:double"&gt;10&lt;/D&gt;&lt;/FQL&gt;&lt;FQL&gt;&lt;Q&gt;EWG^FMA_EVAL_EBIT(LTMA,NOW,NOW,M,"PORTAGG","MEANR")&lt;/Q&gt;&lt;R&gt;1&lt;/R&gt;&lt;C&gt;1&lt;/C&gt;&lt;D xsi:type="xsd:double"&gt;13.4149492313984&lt;/D&gt;&lt;/FQL&gt;&lt;FQL&gt;&lt;Q&gt;EWI^FG_TOTAL_RETURNC(0,-6AM)&lt;/Q&gt;&lt;R&gt;1&lt;/R&gt;&lt;C&gt;1&lt;/C&gt;&lt;D xsi:type="xsd:double"&gt;13.7446995&lt;/D&gt;&lt;/FQL&gt;&lt;FQL&gt;&lt;Q&gt;EWD^FMA_DIV_YLD(NTMA,NOW,NOW,M,"PORTAGG","MEANR")&lt;/Q&gt;&lt;R&gt;1&lt;/R&gt;&lt;C&gt;1&lt;/C&gt;&lt;D xsi:type="xsd:double"&gt;3.22895661187727&lt;/D&gt;&lt;/FQL&gt;&lt;FQL&gt;&lt;Q&gt;SPY^P_PRICE(0)/P_PRICE_HIGH_PR(0,,,USD,,,"PRICE","INTRA","52W")&lt;/Q&gt;&lt;R&gt;1&lt;/R&gt;&lt;C&gt;1&lt;/C&gt;&lt;D xsi:type="xsd:double"&gt;0.9895968&lt;/D&gt;&lt;/FQL&gt;&lt;FQL&gt;&lt;Q&gt;CAGDPY@IT^EE_ACTUAL_ANNUAL(MED,0)&lt;/Q&gt;&lt;R&gt;1&lt;/R&gt;&lt;C&gt;1&lt;/C&gt;&lt;D xsi:type="xsd:double"&gt;0.464202084267218&lt;/D&gt;&lt;/FQL&gt;&lt;FQL&gt;&lt;Q&gt;EWG^FMA_EPS(NTMA,-20AY,0,CY,,"PORTAGG","MEANR")&lt;/Q&gt;&lt;R&gt;20&lt;/R&gt;&lt;C&gt;1&lt;/C&gt;&lt;D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xsi:type="xsd:double"&gt;2.65863143369802&lt;/D&gt;&lt;/FQL&gt;&lt;FQL&gt;&lt;Q&gt;EWC^FMA_PE(LTMA,-10AY,0,AM,"PORTAGG","MEANR")&lt;/Q&gt;&lt;R&gt;121&lt;/R&gt;&lt;C&gt;1&lt;/C&gt;&lt;D xsi:type="xsd:double"&gt;16.266517579643&lt;/D&gt;&lt;D xsi:type="xsd:double"&gt;16.2700962887037&lt;/D&gt;&lt;D xsi:type="xsd:double"&gt;16.4244225978026&lt;/D&gt;&lt;D xsi:type="xsd:double"&gt;15.3566460622082&lt;/D&gt;&lt;D xsi:type="xsd:double"&gt;15.7507413223875&lt;/D&gt;&lt;D xsi:type="xsd:double"&gt;14.9726777445497&lt;/D&gt;&lt;D xsi:type="xsd:double"&gt;15.3376035407089&lt;/D&gt;&lt;D xsi:type="xsd:double"&gt;16.4307216539304&lt;/D&gt;&lt;D xsi:type="xsd:double"&gt;16.9650181534598&lt;/D&gt;&lt;D xsi:type="xsd:double"&gt;17.2093417824561&lt;/D&gt;&lt;D xsi:type="xsd:double"&gt;17.2682335288017&lt;/D&gt;&lt;D xsi:type="xsd:double"&gt;17.1717689642083&lt;/D&gt;&lt;D xsi:type="xsd:double"&gt;16.9457934484426&lt;/D&gt;&lt;D xsi:type="xsd:double"&gt;17.0083883732719&lt;/D&gt;&lt;D xsi:type="xsd:double"&gt;16.4451589072329&lt;/D&gt;&lt;D xsi:type="xsd:double"&gt;17.0482870791567&lt;/D&gt;&lt;D xsi:type="xsd:double"&gt;16.6265385556302&lt;/D&gt;&lt;D xsi:type="xsd:double"&gt;15.8825064152861&lt;/D&gt;&lt;D xsi:type="xsd:double"&gt;14.8969450566934&lt;/D&gt;&lt;D xsi:type="xsd:double"&gt;14.5682041829125&lt;/D&gt;&lt;D xsi:type="xsd:double"&gt;15.9050554668237&lt;/D&gt;&lt;D xsi:type="xsd:double"&gt;16.012509596499&lt;/D&gt;&lt;D xsi:type="xsd:double"&gt;16.359402000722&lt;/D&gt;&lt;D xsi:type="xsd:double"&gt;16.7352595149435&lt;/D&gt;&lt;D xsi:type="xsd:double"&gt;17.0329366876007&lt;/D&gt;&lt;D xsi:type="xsd:double"&gt;17.4971179708227&lt;/D&gt;&lt;D xsi:type="xsd:double"&gt;17.5260598080156&lt;/D&gt;&lt;D xsi:type="xsd:double"&gt;17.8699314323103&lt;/D&gt;&lt;D xsi:type="xsd:double"&gt;18.267031202304&lt;/D&gt;&lt;D xsi:type="xsd:double"&gt;19.1512962673975&lt;/D&gt;&lt;D xsi:type="xsd:double"&gt;19.5581475063379&lt;/D&gt;&lt;D xsi:type="xsd:double"&gt;19.8096750901768&lt;/D&gt;&lt;D xsi:type="xsd:double"&gt;19.3120615915666&lt;/D&gt;&lt;D xsi:type="xsd:double"&gt;19.0472557788551&lt;/D&gt;&lt;D xsi:type="xsd:double"&gt;18.6623098230171&lt;/D&gt;&lt;D xsi:type="xsd:double"&gt;18.3731674506928&lt;/D&gt;&lt;D xsi:type="xsd:double"&gt;17.9826092605643&lt;/D&gt;&lt;D xsi:type="xsd:double"&gt;17.7475737700226&lt;/D&gt;&lt;D xsi:type="xsd:double"&gt;17.3164040740252&lt;/D&gt;&lt;D xsi:type="xsd:double"&gt;17.6240111484143&lt;/D&gt;&lt;D xsi:type="xsd:double"&gt;17.4332531234355&lt;/D&gt;&lt;D xsi:type="xsd:double"&gt;17.2951613104617&lt;/D&gt;&lt;D xsi:type="xsd:double"&gt;17.2527918257056&lt;/D&gt;&lt;D xsi:type="xsd:double"&gt;15.7055638038075&lt;/D&gt;&lt;D xsi:type="xsd:double"&gt;15.8189162920825&lt;/D&gt;&lt;D xsi:type="xsd:double"&gt;15.5896569607014&lt;/D&gt;&lt;D xsi:type="xsd:double"&gt;15.6290746823206&lt;/D&gt;&lt;D xsi:type="xsd:double"&gt;15.6030696953749&lt;/D&gt;&lt;D xsi:type="xsd:double"&gt;15.4950769221326&lt;/D&gt;&lt;D xsi:type="xsd:double"&gt;15.3916115569486&lt;/D&gt;&lt;D xsi:type="xsd:double"&gt;15.0719847970612&lt;/D&gt;&lt;D xsi:type="xsd:double"&gt;14.4487395701509&lt;/D&gt;&lt;D xsi:type="xsd:double"&gt;14.1939020728361&lt;/D&gt;&lt;D xsi:type="xsd:double"&gt;13.549670844126&lt;/D&gt;&lt;D xsi:type="xsd:double"&gt;13.7305129754452&lt;/D&gt;&lt;D xsi:type="xsd:double"&gt;14.5642052870875&lt;/D&gt;&lt;D xsi:type="xsd:double"&gt;14.7304697559195&lt;/D&gt;&lt;D xsi:type="xsd:double"&gt;14.7543549919735&lt;/D&gt;&lt;D xsi:type="xsd:double"&gt;14.510113844369&lt;/D&gt;&lt;D xsi:type="xsd:double"&gt;14.4339989298598&lt;/D&gt;&lt;D xsi:type="xsd:double"&gt;14.503509889299&lt;/D&gt;&lt;D xsi:type="xsd:double"&gt;14.3899521995027&lt;/D&gt;&lt;D xsi:type="xsd:double"&gt;14.5826610520479&lt;/D&gt;&lt;D xsi:type="xsd:double"&gt;14.5619943785231&lt;/D&gt;&lt;D xsi:type="xsd:double"&gt;15.0408233666358&lt;/D&gt;&lt;D xsi:type="xsd:double"&gt;15.078669702455&lt;/D&gt;&lt;D xsi:type="xsd:double"&gt;15.3662787589315&lt;/D&gt;&lt;D xsi:type="xsd:double"&gt;15.7695244040694&lt;/D&gt;&lt;D xsi:type="xsd:double"&gt;14.0722947041718&lt;/D&gt;&lt;D xsi:type="xsd:double"&gt;14.7024224119322&lt;/D&gt;&lt;D xsi:type="xsd:double"&gt;16.2978530649869&lt;/D&gt;&lt;D xsi:type="xsd:double"&gt;16.9168735551322&lt;/D&gt;&lt;D xsi:type="xsd:double"&gt;17.54963884573&lt;/D&gt;&lt;D xsi:type="xsd:double"&gt;18.1808048853924&lt;/D&gt;&lt;D xsi:type="xsd:double"&gt;18.2152915262953&lt;/D&gt;&lt;D xsi:type="xsd:double"&gt;18.8406299336757&lt;/D&gt;&lt;D xsi:type="xsd:double"&gt;19.2253867114048&lt;/D&gt;&lt;D xsi:type="xsd:double"&gt;20.21175959142&lt;/D&gt;&lt;D xsi:type="xsd:double"&gt;21.2013691438187&lt;/D&gt;&lt;D xsi:type="xsd:double"&gt;21.0372551214973&lt;/D&gt;&lt;D xsi:type="xsd:double"&gt;19.8889177035317&lt;/D&gt;&lt;D xsi:type="xsd:double"&gt;19.5288423386196&lt;/D&gt;&lt;D xsi:type="xsd:double"&gt;19.081108814594&lt;/D&gt;&lt;D xsi:type="xsd:double"&gt;18.6776812581821&lt;/D&gt;&lt;D xsi:type="xsd:double"&gt;18.3030045215367&lt;/D&gt;&lt;D xsi:type="xsd:double"&gt;17.6125468068159&lt;/D&gt;&lt;D xsi:type="xsd:double"&gt;17.0214922610531&lt;/D&gt;&lt;D xsi:type="xsd:double"&gt;16.4453428042504&lt;/D&gt;&lt;D xsi:type="xsd:double"&gt;16.5333932866362&lt;/D&gt;&lt;D xsi:type="xsd:double"&gt;15.5465493038929&lt;/D&gt;&lt;D xsi:type="xsd:double"&gt;15.4631108271139&lt;/D&gt;&lt;D xsi:type="xsd:double"&gt;15.7028059969481&lt;/D&gt;&lt;D xsi:type="xsd:double"&gt;15.1225456297367&lt;/D&gt;&lt;D xsi:type="xsd:double"&gt;14.9425682472274&lt;/D&gt;&lt;D xsi:type="xsd:double"&gt;14.2535439969773&lt;/D&gt;&lt;D xsi:type="xsd:double"&gt;14.0463034229785&lt;/D&gt;&lt;D xsi:type="xsd:double"&gt;13.2564741733888&lt;/D&gt;&lt;D xsi:type="xsd:double"&gt;13.2974674080388&lt;/D&gt;&lt;D xsi:type="xsd:double"&gt;12.9163798040129&lt;/D&gt;&lt;D xsi:type="xsd:double"&gt;11.9318695505755&lt;/D&gt;&lt;D xsi:type="xsd:double"&gt;12.7041396517295&lt;/D&gt;&lt;D xsi:type="xsd:double"&gt;12.5373941196975&lt;/D&gt;&lt;D xsi:type="xsd:double"&gt;12.3898363575325&lt;/D&gt;&lt;D xsi:type="xsd:double"&gt;12.8442552131191&lt;/D&gt;&lt;D xsi:type="xsd:double"&gt;12.5461106527594&lt;/D&gt;&lt;D xsi:type="xsd:double"&gt;12.6998641797897&lt;/D&gt;&lt;D xsi:type="xsd:double"&gt;12.8245067969054&lt;/D&gt;&lt;D xsi:type="xsd:double"&gt;12.8744996703987&lt;/D&gt;&lt;D xsi:type="xsd:double"&gt;13.01905779426&lt;/D&gt;&lt;D xsi:type="xsd:double"&gt;13.4825825054393&lt;/D&gt;&lt;D xsi:type="xsd:double"&gt;13.5354771931546&lt;/D&gt;&lt;D xsi:type="xsd:double"&gt;13.3534632080768&lt;/D&gt;&lt;D xsi:type="xsd:double"&gt;13.3799360276828&lt;/D&gt;&lt;D xsi:type="xsd:double"&gt;14.0217311019081&lt;/D&gt;&lt;D xsi:type="xsd:double"&gt;14.5526046461283&lt;/D&gt;&lt;D xsi:type="xsd:double"&gt;14.6301487896657&lt;/D&gt;&lt;D xsi:type="xsd:double"&gt;14.9128755400288&lt;/D&gt;&lt;D xsi:type="xsd:double"&gt;14.9344100245887&lt;/D&gt;&lt;D xsi:type="xsd:double"&gt;14.9834608856668&lt;/D&gt;&lt;D xsi:type="xsd:double"&gt;14.8317846094464&lt;/D&gt;&lt;D xsi:type="xsd:double"&gt;14.9867463675132&lt;/D&gt;&lt;/FQL&gt;&lt;FQL&gt;&lt;Q&gt;TIOS-FDS^FG_PRICE(0)/MAX(FG_PRICE(0,-1AY))&lt;/Q&gt;&lt;R&gt;1&lt;/R&gt;&lt;C&gt;1&lt;/C&gt;&lt;D xsi:type="xsd:double"&gt;0.760127635960044&lt;/D&gt;&lt;/FQL&gt;&lt;FQL&gt;&lt;Q&gt;EWI^FMA_COS_UP("EPS","1M",+1,0,,,"PORTAGG","MEANR")&lt;/Q&gt;&lt;R&gt;1&lt;/R&gt;&lt;C&gt;1&lt;/C&gt;&lt;D xsi:type="xsd:double"&gt;9&lt;/D&gt;&lt;/FQL&gt;&lt;FQL&gt;&lt;Q&gt;DDR3512M-FDS^FG_PRICE_CHANGE(0,-6AM)&lt;/Q&gt;&lt;R&gt;1&lt;/R&gt;&lt;C&gt;1&lt;/C&gt;&lt;D xsi:type="xsd:double"&gt;-6.61544677847676&lt;/D&gt;&lt;/FQL&gt;&lt;FQL&gt;&lt;Q&gt;EWN^FG_PRICE_MAVG(0,,,,30)&lt;/Q&gt;&lt;R&gt;1&lt;/R&gt;&lt;C&gt;1&lt;/C&gt;&lt;D xsi:type="xsd:double"&gt;51.237335&lt;/D&gt;&lt;/FQL&gt;&lt;FQL&gt;&lt;Q&gt;EWI^FG_TOTAL_RETURNC(0,-3AM)&lt;/Q&gt;&lt;R&gt;1&lt;/R&gt;&lt;C&gt;1&lt;/C&gt;&lt;D xsi:type="xsd:double"&gt;5.2013755&lt;/D&gt;&lt;/FQL&gt;&lt;FQL&gt;&lt;Q&gt;ENZL^FMA_RBICS_REV_CURRENT(30, LOC, "PORTAGG")&lt;/Q&gt;&lt;R&gt;1&lt;/R&gt;&lt;C&gt;1&lt;/C&gt;&lt;D xsi:type="xsd:double"&gt;14.6753056662198&lt;/D&gt;&lt;/FQL&gt;&lt;FQL&gt;&lt;Q&gt;TRYFR10Y-FDS^FG_YIELD(0,,,,"YTM")&lt;/Q&gt;&lt;R&gt;1&lt;/R&gt;&lt;C&gt;1&lt;/C&gt;&lt;D xsi:type="xsd:double"&gt;3.121&lt;/D&gt;&lt;/FQL&gt;&lt;FQL&gt;&lt;Q&gt;EWG^JULIAN(FMA_DIV_YLD(NTMA,NOW,NOW,M,"PORTAGG","MEANR").DATES)&lt;/Q&gt;&lt;R&gt;1&lt;/R&gt;&lt;C&gt;1&lt;/C&gt;&lt;D xsi:type="xsd:long"&gt;45471&lt;/D&gt;&lt;/FQL&gt;&lt;FQL&gt;&lt;Q&gt;CAGDPY@SE^EE_ACTUAL_ANNUAL(MED,+1)&lt;/Q&gt;&lt;R&gt;1&lt;/R&gt;&lt;C&gt;1&lt;/C&gt;&lt;D xsi:type="xsd:double"&gt;5.8&lt;/D&gt;&lt;/FQL&gt;&lt;FQL&gt;&lt;Q&gt;EWC^FMA_EPS(NTMA,-20AY,0,CY,,"PORTAGG","MEANR")&lt;/Q&gt;&lt;R&gt;20&lt;/R&gt;&lt;C&gt;1&lt;/C&gt;&lt;D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xsi:type="xsd:double"&gt;2.74920456069371&lt;/D&gt;&lt;D xsi:type="xsd:double"&gt;2.68263358415049&lt;/D&gt;&lt;/FQL&gt;&lt;FQL&gt;&lt;Q&gt;TIOS-FDS^FG_PRICE_CHANGE(0,-1AY)&lt;/Q&gt;&lt;R&gt;1&lt;/R&gt;&lt;C&gt;1&lt;/C&gt;&lt;D xsi:type="xsd:double"&gt;0.219498811048102&lt;/D&gt;&lt;/FQL&gt;&lt;FQL&gt;&lt;Q&gt;EWD^FMA_PE(LTM,0,,,"PORTAGG","MEANR")&lt;/Q&gt;&lt;R&gt;1&lt;/R&gt;&lt;C&gt;1&lt;/C&gt;&lt;D xsi:type="xsd:double"&gt;14.5298984408216&lt;/D&gt;&lt;/FQL&gt;&lt;FQL&gt;&lt;Q&gt;CAGDPY@NL^EE_ACTUAL_ANNUAL(MED,+1)&lt;/Q&gt;&lt;R&gt;1&lt;/R&gt;&lt;C&gt;1&lt;/C&gt;&lt;D xsi:type="xsd:double"&gt;9.3&lt;/D&gt;&lt;/FQL&gt;&lt;FQL&gt;&lt;Q&gt;DDR3512M-FDS^FG_PRICE_CHANGE(0,-3AM)&lt;/Q&gt;&lt;R&gt;1&lt;/R&gt;&lt;C&gt;1&lt;/C&gt;&lt;D xsi:type="xsd:double"&gt;-4.40872164948453&lt;/D&gt;&lt;/FQL&gt;&lt;FQL&gt;&lt;Q&gt;FXI^FG_TOTAL_RETURNC(0,-12AM)&lt;/Q&gt;&lt;R&gt;1&lt;/R&gt;&lt;C&gt;1&lt;/C&gt;&lt;D xsi:type="xsd:double"&gt;1.4736176&lt;/D&gt;&lt;/FQL&gt;&lt;FQL&gt;&lt;Q&gt;EWI^FMA_PCT_ABOVE_MAVG(200,0,,,,"PORTAGG")&lt;/Q&gt;&lt;R&gt;1&lt;/R&gt;&lt;C&gt;1&lt;/C&gt;&lt;D xsi:type="xsd:double"&gt;52&lt;/D&gt;&lt;/FQL&gt;&lt;FQL&gt;&lt;Q&gt;EWQ^FMA_COS_DOWN("EPS","1M",+1,0,,,"PORTAGG","MEANR")&lt;/Q&gt;&lt;R&gt;1&lt;/R&gt;&lt;C&gt;1&lt;/C&gt;&lt;D xsi:type="xsd:double"&gt;35&lt;/D&gt;&lt;/FQL&gt;&lt;FQL&gt;&lt;Q&gt;EWU^FG_ROE(0)&lt;/Q&gt;&lt;R&gt;1&lt;/R&gt;&lt;C&gt;1&lt;/C&gt;&lt;D xsi:type="xsd:double"&gt;14.4433018221076&lt;/D&gt;&lt;/FQL&gt;&lt;FQL&gt;&lt;Q&gt;EWN^FMA_EVAL_EBITDA(NTMA,0,,,"PORTAGG","MEANR")&lt;/Q&gt;&lt;R&gt;1&lt;/R&gt;&lt;C&gt;1&lt;/C&gt;&lt;D xsi:type="xsd:double"&gt;12.8737916922902&lt;/D&gt;&lt;/FQL&gt;&lt;FQL&gt;&lt;Q&gt;EWC^FMA_EVAL_EBIT(LTMA,NOW,NOW,M,"PORTAGG","MEANR")&lt;/Q&gt;&lt;R&gt;1&lt;/R&gt;&lt;C&gt;1&lt;/C&gt;&lt;D xsi:type="xsd:double"&gt;15.9257744999214&lt;/D&gt;&lt;/FQL&gt;&lt;FQL&gt;&lt;Q&gt;URTH^FG_TOTAL_RETURNC(0,-1AM)&lt;/Q&gt;&lt;R&gt;1&lt;/R&gt;&lt;C&gt;1&lt;/C&gt;&lt;D xsi:type="xsd:double"&gt;3.6308885&lt;/D&gt;&lt;/FQL&gt;&lt;FQL&gt;&lt;Q&gt;ENZL^P_PRICE(0)/P_PRICE_HIGH_PR(0,,,,,,"PRICE","INTRA","52W")&lt;/Q&gt;&lt;R&gt;1&lt;/R&gt;&lt;C&gt;1&lt;/C&gt;&lt;D xsi:type="xsd:double"&gt;0.90115035&lt;/D&gt;&lt;/FQL&gt;&lt;FQL&gt;&lt;Q&gt;CC_NZ^IMF_IFS_RCPI_Q(0)&lt;/Q&gt;&lt;R&gt;0&lt;/R&gt;&lt;C&gt;0&lt;/C&gt;&lt;/FQL&gt;&lt;FQL&gt;&lt;Q&gt;USDAUD^FG_PRICE_CHANGE(0,-6AM)&lt;/Q&gt;&lt;R&gt;1&lt;/R&gt;&lt;C&gt;1&lt;/C&gt;&lt;D xsi:type="xsd:double"&gt;-1.805985&lt;/D&gt;&lt;/FQL&gt;&lt;FQL&gt;&lt;Q&gt;TRYPE10Y-FDS^FG_YIELD(-10AY,0,Y,,"YTM")&lt;/Q&gt;&lt;R&gt;10&lt;/R&gt;&lt;C&gt;1&lt;/C&gt;&lt;D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xsi:type="xsd:double"&gt;6.6087&lt;/D&gt;&lt;/FQL&gt;&lt;FQL&gt;&lt;Q&gt;EWU^FMA_DIV_YLD(NTMA,NOW,NOW,M,"PORTAGG","MEANR")&lt;/Q&gt;&lt;R&gt;1&lt;/R&gt;&lt;C&gt;1&lt;/C&gt;&lt;D xsi:type="xsd:double"&gt;3.97999106701433&lt;/D&gt;&lt;/FQL&gt;&lt;FQL&gt;&lt;Q&gt;DUMMY^ECON_DATE(45455,,, 'MM/YYYY')&lt;/Q&gt;&lt;R&gt;1&lt;/R&gt;&lt;C&gt;1&lt;/C&gt;&lt;D xsi:type="xsd:string"&gt;06/2024&lt;/D&gt;&lt;/FQL&gt;&lt;FQL&gt;&lt;Q&gt;DUMMY^ECON_DATE(45363,,, 'MM/YYYY')&lt;/Q&gt;&lt;R&gt;1&lt;/R&gt;&lt;C&gt;1&lt;/C&gt;&lt;D xsi:type="xsd:string"&gt;03/2024&lt;/D&gt;&lt;/FQL&gt;&lt;FQL&gt;&lt;Q&gt;CC_US^IMF_IFS_RCPI_Q(-1AM)&lt;/Q&gt;&lt;R&gt;1&lt;/R&gt;&lt;C&gt;1&lt;/C&gt;&lt;D xsi:type="xsd:double"&gt;3.241016&lt;/D&gt;&lt;/FQL&gt;&lt;FQL&gt;&lt;Q&gt;CC_NZ^IMF_IFS_RCPI_Q(-1AM)&lt;/Q&gt;&lt;R&gt;1&lt;/R&gt;&lt;C&gt;1&lt;/C&gt;&lt;D xsi:type="xsd:double"&gt;4.022989&lt;/D&gt;&lt;/FQL&gt;&lt;FQL&gt;&lt;Q&gt;CC_AU^IMF_IFS_RCPI_Q(-1AM)&lt;/Q&gt;&lt;R&gt;1&lt;/R&gt;&lt;C&gt;1&lt;/C&gt;&lt;D xsi:type="xsd:double"&gt;3.61991&lt;/D&gt;&lt;/FQL&gt;&lt;FQL&gt;&lt;Q&gt;CC_CA^IMF_IFS_RCPI_Q(-1AM)&lt;/Q&gt;&lt;R&gt;1&lt;/R&gt;&lt;C&gt;1&lt;/C&gt;&lt;D xsi:type="xsd:double"&gt;2.8466706&lt;/D&gt;&lt;/FQL&gt;&lt;FQL&gt;&lt;Q&gt;CC_DE^IMF_IFS_RCPI_Q(-1AM)&lt;/Q&gt;&lt;R&gt;1&lt;/R&gt;&lt;C&gt;1&lt;/C&gt;&lt;D xsi:type="xsd:double"&gt;2.5173564&lt;/D&gt;&lt;/FQL&gt;&lt;FQL&gt;&lt;Q&gt;CC_JP^IMF_IFS_RCPI_Q(-1AM)&lt;/Q&gt;&lt;R&gt;1&lt;/R&gt;&lt;C&gt;1&lt;/C&gt;&lt;D xsi:type="xsd:double"&gt;2.5231562&lt;/D&gt;&lt;/FQL&gt;&lt;FQL&gt;&lt;Q&gt;CC_CH^IMF_IFS_RCPI_Q(-1AM)&lt;/Q&gt;&lt;R&gt;1&lt;/R&gt;&lt;C&gt;1&lt;/C&gt;&lt;D xsi:type="xsd:double"&gt;1.1636324&lt;/D&gt;&lt;/FQL&gt;&lt;FQL&gt;&lt;Q&gt;CC_GB^IMF_IFS_RCPI_Q(-1AM)&lt;/Q&gt;&lt;R&gt;1&lt;/R&gt;&lt;C&gt;1&lt;/C&gt;&lt;D xsi:type="xsd:double"&gt;3.9194994&lt;/D&gt;&lt;/FQL&gt;&lt;FQL&gt;&lt;Q&gt;CC_FR^IMF_IFS_RCPI_Q(-1AM)&lt;/Q&gt;&lt;R&gt;1&lt;/R&gt;&lt;C&gt;1&lt;/C&gt;&lt;D xsi:type="xsd:double"&gt;2.79402&lt;/D&gt;&lt;/FQL&gt;&lt;FQL&gt;&lt;Q&gt;CC_NL^IMF_IFS_RCPI_Q(-1AM)&lt;/Q&gt;&lt;R&gt;1&lt;/R&gt;&lt;C&gt;1&lt;/C&gt;&lt;D xsi:type="xsd:double"&gt;3.0237906&lt;/D&gt;&lt;/FQL&gt;&lt;FQL&gt;&lt;Q&gt;CC_SE^IMF_IFS_RCPI_Q(-1AM)&lt;/Q&gt;&lt;R&gt;1&lt;/R&gt;&lt;C&gt;1&lt;/C&gt;&lt;D xsi:type="xsd:double"&gt;4.6701536&lt;/D&gt;&lt;/FQL&gt;&lt;FQL&gt;&lt;Q&gt;CC_IT^IMF_IFS_RCPI_Q(-1AM)&lt;/Q&gt;&lt;R&gt;1&lt;/R&gt;&lt;C&gt;1&lt;/C&gt;&lt;D xsi:type="xsd:double"&gt;0.92385906&lt;/D&gt;&lt;/FQL&gt;&lt;FQL&gt;&lt;Q&gt;DUMMY^ECON_EXPR_DATA('FDS_ECON[NTCPMIMFGSA@NZ]',06/2024,,Q)&lt;/Q&gt;&lt;R&gt;1&lt;/R&gt;&lt;C&gt;1&lt;/C&gt;&lt;D xsi:type="xsd:double"&gt;45.388824&lt;/D&gt;&lt;/FQL&gt;&lt;FQL&gt;&lt;Q&gt;DUMMY^ECON_EXPR_DATA('FDS_ECON[NTCPMIMFGSA@NZ]',03/2024,,Q)&lt;/Q&gt;&lt;R&gt;1&lt;/R&gt;&lt;C&gt;1&lt;/C&gt;&lt;D xsi:type="xsd:double"&gt;47.7971&lt;/D&gt;&lt;/FQL&gt;&lt;FQL&gt;&lt;Q&gt;DUMMY^ECON_EXPR_DATA('FDS_ECON[NTCPMIMFGSA@AU]',06/2024,,Q)&lt;/Q&gt;&lt;R&gt;1&lt;/R&gt;&lt;C&gt;1&lt;/C&gt;&lt;D xsi:type="xsd:double"&gt;48.811333&lt;/D&gt;&lt;/FQL&gt;&lt;FQL&gt;&lt;Q&gt;DUMMY^ECON_EXPR_DATA('FDS_ECON[NTCPMIMFGSA@AU]',03/2024,,Q)&lt;/Q&gt;&lt;R&gt;1&lt;/R&gt;&lt;C&gt;1&lt;/C&gt;&lt;D xsi:type="xsd:double"&gt;48.39547&lt;/D&gt;&lt;/FQL&gt;&lt;FQL&gt;&lt;Q&gt;DUMMY^ECON_EXPR_DATA('FDS_ECON[NTCPMIMFGSA@CA]',06/2024,,Q)&lt;/Q&gt;&lt;R&gt;1&lt;/R&gt;&lt;C&gt;1&lt;/C&gt;&lt;D xsi:type="xsd:double"&gt;49.331886&lt;/D&gt;&lt;/FQL&gt;&lt;FQL&gt;&lt;Q&gt;DUMMY^ECON_EXPR_DATA('FDS_ECON[NTCPMIMFGSA@CA]',03/2024,,Q)&lt;/Q&gt;&lt;R&gt;1&lt;/R&gt;&lt;C&gt;1&lt;/C&gt;&lt;D xsi:type="xsd:double"&gt;49.30091&lt;/D&gt;&lt;/FQL&gt;&lt;FQL&gt;&lt;Q&gt;DUMMY^ECON_EXPR_DATA('FDS_ECON[NTCPMIMFGSA@DE]',06/2024,,Q)&lt;/Q&gt;&lt;R&gt;1&lt;/R&gt;&lt;C&gt;1&lt;/C&gt;&lt;D xsi:type="xsd:double"&gt;43.782&lt;/D&gt;&lt;/FQL&gt;&lt;FQL&gt;&lt;Q&gt;DUMMY^ECON_EXPR_DATA('FDS_ECON[NTCPMIMFGSA@DE]',03/2024,,Q)&lt;/Q&gt;&lt;R&gt;1&lt;/R&gt;&lt;C&gt;1&lt;/C&gt;&lt;D xsi:type="xsd:double"&gt;43.319096&lt;/D&gt;&lt;/FQL&gt;&lt;FQL&gt;&lt;Q&gt;DUMMY^ECON_EXPR_DATA('FDS_ECON[NTCPMIMFGSA@JP]',06/2024,,Q)&lt;/Q&gt;&lt;R&gt;1&lt;/R&gt;&lt;C&gt;1&lt;/C&gt;&lt;D xsi:type="xsd:double"&gt;49.991356&lt;/D&gt;&lt;/FQL&gt;&lt;FQL&gt;&lt;Q&gt;DUMMY^ECON_EXPR_DATA('FDS_ECON[NTCPMIMFGSA@JP]',03/2024,,Q)&lt;/Q&gt;&lt;R&gt;1&lt;/R&gt;&lt;C&gt;1&lt;/C&gt;&lt;D xsi:type="xsd:double"&gt;47.808857&lt;/D&gt;&lt;/FQL&gt;&lt;FQL&gt;&lt;Q&gt;DUMMY^ECON_EXPR_DATA('FDS_ECON[NTCPMIMFGSA@CH]',06/2024,,Q)&lt;/Q&gt;&lt;R&gt;1&lt;/R&gt;&lt;C&gt;1&lt;/C&gt;&lt;D xsi:type="xsd:double"&gt;43.896877&lt;/D&gt;&lt;/FQL&gt;&lt;FQL&gt;&lt;Q&gt;DUMMY^ECON_EXPR_DATA('FDS_ECON[NTCPMIMFGSA@CH]',03/2024,,Q)&lt;/Q&gt;&lt;R&gt;1&lt;/R&gt;&lt;C&gt;1&lt;/C&gt;&lt;D xsi:type="xsd:double"&gt;44.08605&lt;/D&gt;&lt;/FQL&gt;&lt;FQL&gt;&lt;Q&gt;DUMMY^ECON_EXPR_DATA('FDS_ECON[NTCPMIMFGSA@GB]',06/2024,,Q)&lt;/Q&gt;&lt;R&gt;1&lt;/R&gt;&lt;C&gt;1&lt;/C&gt;&lt;D xsi:type="xsd:double"&gt;50.395269999999996&lt;/D&gt;&lt;/FQL&gt;&lt;FQL&gt;&lt;Q&gt;DUMMY^ECON_EXPR_DATA('FDS_ECON[NTCPMIMFGSA@GB]',03/2024,,Q)&lt;/Q&gt;&lt;R&gt;1&lt;/R&gt;&lt;C&gt;1&lt;/C&gt;&lt;D xsi:type="xsd:double"&gt;48.24796&lt;/D&gt;&lt;/FQL&gt;&lt;FQL&gt;&lt;Q&gt;DUMMY^ECON_EXPR_DATA('FDS_ECON[NTCPMIMFGMESA@US]',06/2024,,Q)&lt;/Q&gt;&lt;R&gt;1&lt;/R&gt;&lt;C&gt;1&lt;/C&gt;&lt;D xsi:type="xsd:double"&gt;50.939392&lt;/D&gt;&lt;/FQL&gt;&lt;FQL&gt;&lt;Q&gt;DUMMY^ECON_EXPR_DATA('FDS_ECON[NTCPMIMFGMESA@US]',03/2024,,Q)&lt;/Q&gt;&lt;R&gt;1&lt;/R&gt;&lt;C&gt;1&lt;/C&gt;&lt;D xsi:type="xsd:double"&gt;51.582687&lt;/D&gt;&lt;/FQL&gt;&lt;FQL&gt;&lt;Q&gt;DUMMY^ECON_EXPR_DATA('FDS_ECON[NTCPMIMFGSA@FR]',06/2024,,Q)&lt;/Q&gt;&lt;R&gt;1&lt;/R&gt;&lt;C&gt;1&lt;/C&gt;&lt;D xsi:type="xsd:double"&gt;45.684513&lt;/D&gt;&lt;/FQL&gt;&lt;FQL&gt;&lt;Q&gt;DUMMY^ECON_EXPR_DATA('FDS_ECON[NTCPMIMFGSA@FR]',03/2024,,Q)&lt;/Q&gt;&lt;R&gt;1&lt;/R&gt;&lt;C&gt;1&lt;/C&gt;&lt;D xsi:type="xsd:double"&gt;45.498753&lt;/D&gt;&lt;/FQL&gt;&lt;FQL&gt;&lt;Q&gt;DUMMY^ECON_EXPR_DATA('FDS_ECON[NTCPMIMFGSA@NL]',06/2024,,Q)&lt;/Q&gt;&lt;R&gt;1&lt;/R&gt;&lt;C&gt;1&lt;/C&gt;&lt;D xsi:type="xsd:double"&gt;51.49388&lt;/D&gt;&lt;/FQL&gt;&lt;FQL&gt;&lt;Q&gt;DUMMY^ECON_EXPR_DATA('FDS_ECON[NTCPMIMFGSA@NL]',03/2024,,Q)&lt;/Q&gt;&lt;R&gt;1&lt;/R&gt;&lt;C&gt;1&lt;/C&gt;&lt;D xsi:type="xsd:double"&gt;49.325874&lt;/D&gt;&lt;/FQL&gt;&lt;FQL&gt;&lt;Q&gt;DUMMY^ECON_EXPR_DATA('FDS_ECON[]',06/2024,,Q)&lt;/Q&gt;&lt;R&gt;0&lt;/R&gt;&lt;C&gt;0&lt;/C&gt;&lt;/FQL&gt;&lt;FQL&gt;&lt;Q&gt;DUMMY^ECON_EXPR_DATA('FDS_ECON[]',03/2024,,Q)&lt;/Q&gt;&lt;R&gt;0&lt;/R&gt;&lt;C&gt;0&lt;/C&gt;&lt;/FQL&gt;&lt;FQL&gt;&lt;Q&gt;DUMMY^ECON_EXPR_DATA('FDS_ECON[NTCPMIMFGSA@IT]',06/2024,,Q)&lt;/Q&gt;&lt;R&gt;1&lt;/R&gt;&lt;C&gt;1&lt;/C&gt;&lt;D xsi:type="xsd:double"&gt;46.215786&lt;/D&gt;&lt;/FQL&gt;&lt;FQL&gt;&lt;Q&gt;DUMMY^ECON_EXPR_DATA('FDS_ECON[NTCPMIMFGSA@IT]',03/2024,,Q)&lt;/Q&gt;&lt;R&gt;1&lt;/R&gt;&lt;C&gt;1&lt;/C&gt;&lt;D xsi:type="xsd:double"&gt;49.208153&lt;/D&gt;&lt;/FQL&gt;&lt;FQL&gt;&lt;Q&gt;DUMMY^ECON_EXPR_DATA('FDS_ECON[PMIDMMANHE]',06/2024,,Q)&lt;/Q&gt;&lt;R&gt;1&lt;/R&gt;&lt;C&gt;1&lt;/C&gt;&lt;D xsi:type="xsd:double"&gt;49.41843&lt;/D&gt;&lt;/FQL&gt;&lt;FQL&gt;&lt;Q&gt;DUMMY^ECON_EXPR_DATA('FDS_ECON[PMIDMMANHE]',03/2024,,Q)&lt;/Q&gt;&lt;R&gt;1&lt;/R&gt;&lt;C&gt;1&lt;/C&gt;&lt;D xsi:type="xsd:double"&gt;49.135437&lt;/D&gt;&lt;/FQL&gt;&lt;FQL&gt;&lt;Q&gt;DUMMY^ECON_EXPR_DATA('FDS_ECON[NTCPMIMFGSA@EME]',06/2024,,Q)&lt;/Q&gt;&lt;R&gt;1&lt;/R&gt;&lt;C&gt;1&lt;/C&gt;&lt;D xsi:type="xsd:double"&gt;52.017086&lt;/D&gt;&lt;/FQL&gt;&lt;FQL&gt;&lt;Q&gt;DUMMY^ECON_EXPR_DATA('FDS_ECON[NTCPMIMFGSA@EME]',03/2024,,Q)&lt;/Q&gt;&lt;R&gt;1&lt;/R&gt;&lt;C&gt;1&lt;/C&gt;&lt;D xsi:type="xsd:double"&gt;51.512165&lt;/D&gt;&lt;/FQL&gt;&lt;/Schema&gt;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<sst xmlns="http://schemas.openxmlformats.org/spreadsheetml/2006/main" count="2053" uniqueCount="915">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</sst>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4.6316853142489504E-2</v>
      </c>
      <c r="O13" s="55">
        <f>N13*(1+N9)</f>
        <v>4.909586433103888E-2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3.7051795389718513E-2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4.2008999999999998E-2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-8.6831468575104959E-3</v>
      </c>
      <c r="O21" s="57">
        <f>O13-O16</f>
        <v>4.0958643310388815E-3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4.3078531424895067E-3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3</v>
      </c>
      <c r="E8" s="11">
        <f t="shared" ref="E8:E17" si="0">D8</f>
        <v>3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0.84615384615384615</v>
      </c>
    </row>
    <row r="10" spans="3:9" x14ac:dyDescent="0.35">
      <c r="C10" s="56" t="s">
        <v>888</v>
      </c>
      <c r="D10">
        <f>'Asset class'!S5</f>
        <v>4</v>
      </c>
      <c r="E10" s="58">
        <f t="shared" si="0"/>
        <v>4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10</v>
      </c>
      <c r="E11" s="58">
        <f t="shared" si="0"/>
        <v>10</v>
      </c>
      <c r="H11" s="12" t="s">
        <v>905</v>
      </c>
      <c r="I11" s="59">
        <f>Timing!N22</f>
        <v>1</v>
      </c>
    </row>
    <row r="12" spans="3:9" x14ac:dyDescent="0.35">
      <c r="C12" s="56" t="s">
        <v>51</v>
      </c>
      <c r="D12">
        <f>'Asset class'!S7</f>
        <v>1</v>
      </c>
      <c r="E12" s="58">
        <f t="shared" si="0"/>
        <v>1</v>
      </c>
    </row>
    <row r="13" spans="3:9" x14ac:dyDescent="0.35">
      <c r="C13" s="56" t="s">
        <v>890</v>
      </c>
      <c r="D13">
        <f>'Asset class'!S8</f>
        <v>8</v>
      </c>
      <c r="E13" s="58">
        <f t="shared" si="0"/>
        <v>8</v>
      </c>
    </row>
    <row r="14" spans="3:9" ht="15" thickBot="1" x14ac:dyDescent="0.4">
      <c r="C14" s="12" t="s">
        <v>457</v>
      </c>
      <c r="D14">
        <f>'Asset class'!S9</f>
        <v>7</v>
      </c>
      <c r="E14" s="14">
        <f t="shared" si="0"/>
        <v>7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5</v>
      </c>
      <c r="E16" s="14">
        <f t="shared" si="0"/>
        <v>5</v>
      </c>
    </row>
    <row r="17" spans="2:15" ht="15" thickBot="1" x14ac:dyDescent="0.4">
      <c r="C17" s="148" t="s">
        <v>46</v>
      </c>
      <c r="D17">
        <f>'Asset class'!S12</f>
        <v>6</v>
      </c>
      <c r="E17" s="14">
        <f t="shared" si="0"/>
        <v>6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0.31013916500994038</v>
      </c>
      <c r="D23" s="170"/>
      <c r="E23" s="171">
        <f>'Momnetum ranking'!I22</f>
        <v>0.3797216699801193</v>
      </c>
    </row>
    <row r="24" spans="2:15" x14ac:dyDescent="0.35">
      <c r="B24" s="56" t="s">
        <v>51</v>
      </c>
      <c r="C24" s="9">
        <f>'Momnetum ranking'!H10</f>
        <v>0.33333333333333331</v>
      </c>
      <c r="D24" s="9"/>
      <c r="E24" s="57">
        <f>'Momnetum ranking'!I10</f>
        <v>0.33333333333333331</v>
      </c>
    </row>
    <row r="25" spans="2:15" x14ac:dyDescent="0.35">
      <c r="B25" s="56" t="s">
        <v>895</v>
      </c>
      <c r="C25" s="9">
        <f>'Momnetum ranking'!H23</f>
        <v>0.42307692307692307</v>
      </c>
      <c r="D25" s="9"/>
      <c r="E25" s="57">
        <f>'Momnetum ranking'!I23</f>
        <v>0.40384615384615385</v>
      </c>
    </row>
    <row r="26" spans="2:15" x14ac:dyDescent="0.35">
      <c r="B26" s="56" t="s">
        <v>46</v>
      </c>
      <c r="C26" s="9">
        <f>'Momnetum ranking'!H21</f>
        <v>0.49019607843137253</v>
      </c>
      <c r="D26" s="9"/>
      <c r="E26" s="57">
        <f>'Momnetum ranking'!I21</f>
        <v>0.33823529411764708</v>
      </c>
    </row>
    <row r="27" spans="2:15" ht="15" thickBot="1" x14ac:dyDescent="0.4">
      <c r="B27" s="12" t="s">
        <v>536</v>
      </c>
      <c r="C27" s="172">
        <f>'Momnetum ranking'!H18</f>
        <v>0.40219092331768386</v>
      </c>
      <c r="D27" s="172"/>
      <c r="E27" s="59">
        <f>'Momnetum ranking'!I18</f>
        <v>0.34194053208137715</v>
      </c>
    </row>
    <row r="28" spans="2:15" x14ac:dyDescent="0.35">
      <c r="B28" s="62" t="s">
        <v>6</v>
      </c>
      <c r="C28" s="170">
        <f>'Momnetum ranking'!H19</f>
        <v>0.21012817818869511</v>
      </c>
      <c r="D28" s="170"/>
      <c r="E28" s="171">
        <f>'Momnetum ranking'!I19</f>
        <v>0.27905022063458712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6.0250391236306711E-2</v>
      </c>
      <c r="F35" s="5">
        <f>'Momnetum ranking'!K18</f>
        <v>0.7321144674085851</v>
      </c>
      <c r="G35" s="9">
        <f>'Momnetum ranking'!Q18</f>
        <v>0.97177212999999996</v>
      </c>
      <c r="H35" s="3">
        <f>'Momnetum ranking'!O18</f>
        <v>5.3264259999999997</v>
      </c>
      <c r="K35">
        <f>_xlfn.RANK.EQ(E35,$E$35:$E$39)</f>
        <v>2</v>
      </c>
      <c r="L35">
        <f>_xlfn.RANK.EQ(F35,$F$35:$F$39)</f>
        <v>1</v>
      </c>
      <c r="M35">
        <f>_xlfn.RANK.EQ(G35,$G$35:$G$39)</f>
        <v>5</v>
      </c>
      <c r="N35">
        <f>_xlfn.RANK.EQ(H35,$H$35:$H$39)</f>
        <v>4</v>
      </c>
      <c r="O35" s="58">
        <f>MEDIAN(K35:N35)</f>
        <v>3</v>
      </c>
    </row>
    <row r="36" spans="3:15" x14ac:dyDescent="0.35">
      <c r="C36" s="56" t="s">
        <v>749</v>
      </c>
      <c r="E36" s="9">
        <f>'Momnetum ranking'!J19</f>
        <v>-6.8922042445892007E-2</v>
      </c>
      <c r="F36" s="5">
        <f>'Momnetum ranking'!K19</f>
        <v>0.45829750644883904</v>
      </c>
      <c r="G36" s="9">
        <f>'Momnetum ranking'!Q19</f>
        <v>0.99539374999999997</v>
      </c>
      <c r="H36" s="3">
        <f>'Momnetum ranking'!O19</f>
        <v>7.3926210000000001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1</v>
      </c>
      <c r="N36">
        <f t="shared" ref="N36:N39" si="4">_xlfn.RANK.EQ(H36,$H$35:$H$39)</f>
        <v>2</v>
      </c>
      <c r="O36" s="58">
        <f t="shared" ref="O36:O39" si="5">MEDIAN(K36:N36)</f>
        <v>3</v>
      </c>
    </row>
    <row r="37" spans="3:15" x14ac:dyDescent="0.35">
      <c r="C37" s="56" t="s">
        <v>781</v>
      </c>
      <c r="E37" s="9">
        <f>'Momnetum ranking'!J20</f>
        <v>-4.2657342657342667E-2</v>
      </c>
      <c r="F37" s="5">
        <f>'Momnetum ranking'!K20</f>
        <v>0.61500701262272106</v>
      </c>
      <c r="G37" s="9">
        <f>'Momnetum ranking'!Q20</f>
        <v>0.99160932999999996</v>
      </c>
      <c r="H37" s="3">
        <f>'Momnetum ranking'!O20</f>
        <v>6.4813020000000003</v>
      </c>
      <c r="K37">
        <f t="shared" si="1"/>
        <v>3</v>
      </c>
      <c r="L37">
        <f t="shared" si="2"/>
        <v>4</v>
      </c>
      <c r="M37">
        <f t="shared" si="3"/>
        <v>2</v>
      </c>
      <c r="N37">
        <f t="shared" si="4"/>
        <v>3</v>
      </c>
      <c r="O37" s="58">
        <f t="shared" si="5"/>
        <v>3</v>
      </c>
    </row>
    <row r="38" spans="3:15" x14ac:dyDescent="0.35">
      <c r="C38" s="56" t="s">
        <v>816</v>
      </c>
      <c r="E38" s="9">
        <f>'Momnetum ranking'!J21</f>
        <v>0.15196078431372545</v>
      </c>
      <c r="F38" s="5">
        <f>'Momnetum ranking'!K21</f>
        <v>0.68627450980392202</v>
      </c>
      <c r="G38" s="9">
        <f>'Momnetum ranking'!Q21</f>
        <v>0.98536044</v>
      </c>
      <c r="H38" s="3">
        <f>'Momnetum ranking'!O21</f>
        <v>2.2155999999999998</v>
      </c>
      <c r="K38">
        <f t="shared" si="1"/>
        <v>1</v>
      </c>
      <c r="L38">
        <f t="shared" si="2"/>
        <v>2</v>
      </c>
      <c r="M38">
        <f t="shared" si="3"/>
        <v>4</v>
      </c>
      <c r="N38">
        <f t="shared" si="4"/>
        <v>5</v>
      </c>
      <c r="O38" s="58">
        <f t="shared" si="5"/>
        <v>3</v>
      </c>
    </row>
    <row r="39" spans="3:15" ht="15" thickBot="1" x14ac:dyDescent="0.4">
      <c r="C39" s="12" t="s">
        <v>119</v>
      </c>
      <c r="D39" s="13"/>
      <c r="E39" s="172">
        <f>'Momnetum ranking'!J22</f>
        <v>-6.9582504970178927E-2</v>
      </c>
      <c r="F39" s="17">
        <f>'Momnetum ranking'!K22</f>
        <v>0.64471057884231497</v>
      </c>
      <c r="G39" s="172">
        <f>'Momnetum ranking'!Q22</f>
        <v>0.98959680000000005</v>
      </c>
      <c r="H39" s="175">
        <f>'Momnetum ranking'!O22</f>
        <v>7.7756166000000002</v>
      </c>
      <c r="I39" s="13"/>
      <c r="J39" s="13"/>
      <c r="K39" s="13">
        <f t="shared" si="1"/>
        <v>5</v>
      </c>
      <c r="L39" s="13">
        <f t="shared" si="2"/>
        <v>3</v>
      </c>
      <c r="M39" s="13">
        <f t="shared" si="3"/>
        <v>3</v>
      </c>
      <c r="N39" s="13">
        <f t="shared" si="4"/>
        <v>1</v>
      </c>
      <c r="O39" s="14">
        <f t="shared" si="5"/>
        <v>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5.0886990000000001</v>
      </c>
      <c r="F3" s="3" cm="1">
        <f t="array" ref="F3">_xll.FDS(C3,"FG_TOTAL_RETURNC(0,-3AM)")</f>
        <v>7.3926210000000001</v>
      </c>
      <c r="G3" s="3" cm="1">
        <f t="array" ref="G3">_xll.FDS(C3,"FG_TOTAL_RETURNC(0,-6AM)")</f>
        <v>13.371706</v>
      </c>
      <c r="H3" s="9" cm="1">
        <f t="array" ref="H3">_xll.FDS(C3,"P_PRICE(0)/P_PRICE_HIGH_PR(0,,,USD,,,""PRICE"",""INTRA"",""52W"")")</f>
        <v>0.99539374999999997</v>
      </c>
      <c r="K3" s="4">
        <f>_xlfn.RANK.EQ(H3,H$3:H$12)</f>
        <v>1</v>
      </c>
      <c r="L3" s="4">
        <f>_xlfn.RANK.EQ(F3,F$3:F$12)</f>
        <v>3</v>
      </c>
      <c r="M3" s="4">
        <f>_xlfn.RANK.EQ(G3,G$3:G$12)</f>
        <v>6</v>
      </c>
      <c r="N3" s="4"/>
      <c r="P3" s="3">
        <f t="shared" ref="P3:P12" si="0">SUMPRODUCT($K$2:$M$2,K3:M3)</f>
        <v>3.3</v>
      </c>
      <c r="Q3">
        <f t="shared" ref="Q3:Q12" si="1">COUNTIF(K3:N3,"&gt;70")</f>
        <v>0</v>
      </c>
      <c r="S3" s="3">
        <f>11-_xlfn.RANK.EQ(P3,$P$3:$P$12)</f>
        <v>3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3.9720057999999998</v>
      </c>
      <c r="F4" s="3" cm="1">
        <f t="array" ref="F4">_xll.FDS(C4,"FG_TOTAL_RETURNC(0,-3AM)")</f>
        <v>7.7756166000000002</v>
      </c>
      <c r="G4" s="3" cm="1">
        <f t="array" ref="G4">_xll.FDS(C4,"FG_TOTAL_RETURNC(0,-6AM)")</f>
        <v>17.565691000000001</v>
      </c>
      <c r="H4" s="9" cm="1">
        <f t="array" ref="H4">_xll.FDS(C4,"P_PRICE(0)/P_PRICE_HIGH_PR(0,,,USD,,,""PRICE"",""INTRA"",""52W"")")</f>
        <v>0.98959680000000005</v>
      </c>
      <c r="I4" s="177"/>
      <c r="K4" s="4">
        <f t="shared" ref="K4:K12" si="3">_xlfn.RANK.EQ(H4,H$3:H$12)</f>
        <v>2</v>
      </c>
      <c r="L4" s="4">
        <f t="shared" ref="L4:M12" si="4">_xlfn.RANK.EQ(F4,F$3:F$12)</f>
        <v>2</v>
      </c>
      <c r="M4" s="4">
        <f t="shared" si="4"/>
        <v>5</v>
      </c>
      <c r="N4" s="4"/>
      <c r="P4" s="3">
        <f t="shared" si="0"/>
        <v>2.97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4.249358</v>
      </c>
      <c r="F5" s="3" cm="1">
        <f t="array" ref="F5">_xll.FDS(C5,"FG_TOTAL_RETURNC(0,-3AM)")</f>
        <v>1.5696049000000001</v>
      </c>
      <c r="G5" s="3" cm="1">
        <f t="array" ref="G5">_xll.FDS(C5,"FG_TOTAL_RETURNC(0,-6AM)")</f>
        <v>18.832170000000001</v>
      </c>
      <c r="H5" s="9" cm="1">
        <f t="array" ref="H5">_xll.FDS(C5,"P_PRICE(0)/P_PRICE_HIGH_PR(0,,,USD,,,""PRICE"",""INTRA"",""52W"")")</f>
        <v>0.98932019999999998</v>
      </c>
      <c r="I5" s="177"/>
      <c r="K5" s="4">
        <f t="shared" si="3"/>
        <v>3</v>
      </c>
      <c r="L5" s="4">
        <f t="shared" si="4"/>
        <v>7</v>
      </c>
      <c r="M5" s="4">
        <f t="shared" si="4"/>
        <v>3</v>
      </c>
      <c r="N5" s="4"/>
      <c r="P5" s="3">
        <f t="shared" si="0"/>
        <v>4.29</v>
      </c>
      <c r="Q5">
        <f t="shared" si="1"/>
        <v>0</v>
      </c>
      <c r="S5" s="3">
        <f t="shared" si="5"/>
        <v>4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-0.31163096000000001</v>
      </c>
      <c r="F6" s="3" cm="1">
        <f t="array" ref="F6">_xll.FDS(C6,"FG_TOTAL_RETURNC(0,-3AM)")</f>
        <v>0.62915087000000003</v>
      </c>
      <c r="G6" s="3" cm="1">
        <f t="array" ref="G6">_xll.FDS(C6,"FG_TOTAL_RETURNC(0,-6AM)")</f>
        <v>4.9963592999999999</v>
      </c>
      <c r="H6" s="9" cm="1">
        <f t="array" ref="H6">_xll.FDS(C6,"P_PRICE(0)/P_PRICE_HIGH_PR(0,,,USD,,,""PRICE"",""INTRA"",""52W"")")</f>
        <v>0.95441735000000005</v>
      </c>
      <c r="I6" s="177"/>
      <c r="K6" s="4">
        <f t="shared" si="3"/>
        <v>8</v>
      </c>
      <c r="L6" s="4">
        <f t="shared" si="4"/>
        <v>8</v>
      </c>
      <c r="M6" s="4">
        <f t="shared" si="4"/>
        <v>9</v>
      </c>
      <c r="N6" s="4"/>
      <c r="P6" s="3">
        <f t="shared" si="0"/>
        <v>8.25</v>
      </c>
      <c r="Q6">
        <f t="shared" si="1"/>
        <v>0</v>
      </c>
      <c r="S6" s="3">
        <f t="shared" si="5"/>
        <v>10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5.2776337</v>
      </c>
      <c r="F7" s="3" cm="1">
        <f t="array" ref="F7">_xll.FDS(C7,"FG_TOTAL_RETURNC(0,-3AM)")</f>
        <v>10.631703999999999</v>
      </c>
      <c r="G7" s="3" cm="1">
        <f t="array" ref="G7">_xll.FDS(C7,"FG_TOTAL_RETURNC(0,-6AM)")</f>
        <v>20.5243</v>
      </c>
      <c r="H7" s="9" cm="1">
        <f t="array" ref="H7">_xll.FDS(C7,"P_PRICE(0)/P_PRICE_HIGH_PR(0,,,USD,,,""PRICE"",""INTRA"",""52W"")")</f>
        <v>0.97698205999999999</v>
      </c>
      <c r="I7" s="1"/>
      <c r="K7" s="4">
        <f t="shared" si="3"/>
        <v>5</v>
      </c>
      <c r="L7" s="4">
        <f t="shared" si="4"/>
        <v>1</v>
      </c>
      <c r="M7" s="4">
        <f t="shared" si="4"/>
        <v>1</v>
      </c>
      <c r="N7" s="4"/>
      <c r="P7" s="3">
        <f t="shared" si="0"/>
        <v>2.31</v>
      </c>
      <c r="Q7">
        <f t="shared" si="1"/>
        <v>0</v>
      </c>
      <c r="S7" s="3">
        <f t="shared" si="5"/>
        <v>1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-3.0866682999999999</v>
      </c>
      <c r="F8" s="3" cm="1">
        <f t="array" ref="F8">_xll.FDS(C8,"FG_TOTAL_RETURNC(0,-3AM)")</f>
        <v>-2.8174638999999999</v>
      </c>
      <c r="G8" s="3" cm="1">
        <f t="array" ref="G8">_xll.FDS(C8,"FG_TOTAL_RETURNC(0,-6AM)")</f>
        <v>18.194984000000002</v>
      </c>
      <c r="H8" s="9" cm="1">
        <f t="array" ref="H8">_xll.FDS(C8,"P_PRICE(0)/P_PRICE_HIGH_PR(0,,,USD,,,""PRICE"",""INTRA"",""52W"")")</f>
        <v>0.92050370000000004</v>
      </c>
      <c r="I8" s="1"/>
      <c r="K8" s="4">
        <f t="shared" si="3"/>
        <v>9</v>
      </c>
      <c r="L8" s="4">
        <f t="shared" si="4"/>
        <v>10</v>
      </c>
      <c r="M8" s="4">
        <f t="shared" si="4"/>
        <v>4</v>
      </c>
      <c r="N8" s="4"/>
      <c r="P8" s="3">
        <f t="shared" si="0"/>
        <v>7.5900000000000007</v>
      </c>
      <c r="Q8">
        <f t="shared" si="1"/>
        <v>0</v>
      </c>
      <c r="S8" s="3">
        <f t="shared" si="5"/>
        <v>8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7.1910977000000003</v>
      </c>
      <c r="F9" s="3" cm="1">
        <f t="array" ref="F9">_xll.FDS(C9,"FG_TOTAL_RETURNC(0,-3AM)")</f>
        <v>-0.74800849999999997</v>
      </c>
      <c r="G9" s="3" cm="1">
        <f t="array" ref="G9">_xll.FDS(C9,"FG_TOTAL_RETURNC(0,-6AM)")</f>
        <v>19.645237000000002</v>
      </c>
      <c r="H9" s="9" cm="1">
        <f t="array" ref="H9">_xll.FDS(C9,"P_PRICE(0)/P_PRICE_HIGH_PR(0,,,USD,,,""PRICE"",""INTRA"",""52W"")")</f>
        <v>0.97038720000000001</v>
      </c>
      <c r="I9" s="1"/>
      <c r="K9" s="4">
        <f t="shared" si="3"/>
        <v>7</v>
      </c>
      <c r="L9" s="4">
        <f t="shared" si="4"/>
        <v>9</v>
      </c>
      <c r="M9" s="4">
        <f t="shared" si="4"/>
        <v>2</v>
      </c>
      <c r="N9" s="4"/>
      <c r="P9" s="3">
        <f t="shared" si="0"/>
        <v>5.94</v>
      </c>
      <c r="Q9">
        <f t="shared" si="1"/>
        <v>0</v>
      </c>
      <c r="S9" s="3">
        <f t="shared" si="5"/>
        <v>7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2.1919369999999998</v>
      </c>
      <c r="F10" s="3" cm="1">
        <f t="array" ref="F10">_xll.FDS(C10,"FG_TOTAL_RETURNC(0,-3AM)")</f>
        <v>5.206442</v>
      </c>
      <c r="G10" s="3" cm="1">
        <f t="array" ref="G10">_xll.FDS(C10,"FG_TOTAL_RETURNC(0,-6AM)")</f>
        <v>-1.3531565999999999</v>
      </c>
      <c r="H10" s="9" cm="1">
        <f t="array" ref="H10">_xll.FDS(C10,"P_PRICE(0)/P_PRICE_HIGH_PR(0,,,USD,,,""PRICE"",""INTRA"",""52W"")")</f>
        <v>0.90833169999999996</v>
      </c>
      <c r="K10" s="4">
        <f t="shared" si="3"/>
        <v>10</v>
      </c>
      <c r="L10" s="4">
        <f t="shared" si="4"/>
        <v>5</v>
      </c>
      <c r="M10" s="4">
        <f t="shared" si="4"/>
        <v>10</v>
      </c>
      <c r="N10" s="4"/>
      <c r="P10" s="3">
        <f t="shared" si="0"/>
        <v>8.25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1.5089154</v>
      </c>
      <c r="F11" s="3" cm="1">
        <f t="array" ref="F11">_xll.FDS(C11,"FG_TOTAL_RETURNC(0,-3AM)")</f>
        <v>5.3264259999999997</v>
      </c>
      <c r="G11" s="3" cm="1">
        <f t="array" ref="G11">_xll.FDS(C11,"FG_TOTAL_RETURNC(0,-6AM)")</f>
        <v>10.53586</v>
      </c>
      <c r="H11" s="9" cm="1">
        <f t="array" ref="H11">_xll.FDS(C11,"P_PRICE(0)/P_PRICE_HIGH_PR(0,,,USD,,,""PRICE"",""INTRA"",""52W"")")</f>
        <v>0.97177212999999996</v>
      </c>
      <c r="K11" s="4">
        <f t="shared" si="3"/>
        <v>6</v>
      </c>
      <c r="L11" s="4">
        <f t="shared" si="4"/>
        <v>4</v>
      </c>
      <c r="M11" s="4">
        <f t="shared" si="4"/>
        <v>7</v>
      </c>
      <c r="P11" s="3">
        <f t="shared" si="0"/>
        <v>5.6099999999999994</v>
      </c>
      <c r="Q11">
        <f t="shared" si="1"/>
        <v>0</v>
      </c>
      <c r="S11" s="3">
        <f t="shared" si="5"/>
        <v>5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4.3344139999999998</v>
      </c>
      <c r="F12" s="3" cm="1">
        <f t="array" ref="F12">_xll.FDS(C12,"FG_TOTAL_RETURNC(0,-3AM)")</f>
        <v>2.2155999999999998</v>
      </c>
      <c r="G12" s="3" cm="1">
        <f t="array" ref="G12">_xll.FDS(C12,"FG_TOTAL_RETURNC(0,-6AM)")</f>
        <v>8.7244624999999996</v>
      </c>
      <c r="H12" s="9" cm="1">
        <f t="array" ref="H12">_xll.FDS(C12,"P_PRICE(0)/P_PRICE_HIGH_PR(0,,,USD,,,""PRICE"",""INTRA"",""52W"")")</f>
        <v>0.98536044</v>
      </c>
      <c r="K12" s="4">
        <f t="shared" si="3"/>
        <v>4</v>
      </c>
      <c r="L12" s="4">
        <f t="shared" si="4"/>
        <v>6</v>
      </c>
      <c r="M12" s="4">
        <f t="shared" si="4"/>
        <v>8</v>
      </c>
      <c r="P12" s="3">
        <f t="shared" si="0"/>
        <v>5.9399999999999995</v>
      </c>
      <c r="Q12">
        <f t="shared" si="1"/>
        <v>0</v>
      </c>
      <c r="S12" s="3">
        <f t="shared" si="5"/>
        <v>6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76.13333333333334</v>
      </c>
      <c r="H6" s="124" cm="1">
        <f t="array" ref="H6">_xlfn.PERCENTRANK.EXC(_xlfn._xlws.FILTER($G$6:G$18, ISNUMBER($G$6:G$18)),G6)*100</f>
        <v>85.7</v>
      </c>
      <c r="I6" s="153">
        <f>VLOOKUP(B6,'LIQIDITY 2'!$A$3:$X$15,24,FALSE)</f>
        <v>57.099999999999994</v>
      </c>
      <c r="J6" s="120">
        <f ca="1">VLOOKUP(B6,'Momnetum ranking'!$A$3:$AJ$15,36,FALSE)</f>
        <v>57.099999999999994</v>
      </c>
      <c r="K6" s="163">
        <f>VLOOKUP(B6,'Momnetum ranking'!$A$3:$H$15,8,FALSE)</f>
        <v>0.32608695652173914</v>
      </c>
      <c r="L6" s="120">
        <f>VLOOKUP(B6,'Currency- 2'!$A$3:$U$15,21,FALSE)</f>
        <v>42.8</v>
      </c>
      <c r="M6" s="162">
        <f t="shared" ref="M6:M18" ca="1" si="1">D6*$D$2 + E6*$E$2 + F6*$F$2 + I6*$I$2 + J6*$J$2 + L6*$L$2</f>
        <v>61.377716000000007</v>
      </c>
      <c r="N6" s="120" cm="1">
        <f t="array" aca="1" ref="N6" ca="1">_xlfn.PERCENTRANK.EXC(_xlfn._xlws.FILTER($M$6:M$18, ISNUMBER($M$6:M$18)),M6)*100</f>
        <v>78.5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42.8</v>
      </c>
      <c r="E7" s="121">
        <f>VLOOKUP(B7,'Quality - 2'!$B$2:$S$14,18,FALSE)</f>
        <v>42.8</v>
      </c>
      <c r="F7" s="159">
        <f>VLOOKUP(B7,Safety!$B$4:$R$16,17,FALSE)</f>
        <v>64.2</v>
      </c>
      <c r="G7" s="180">
        <f t="shared" si="0"/>
        <v>49.933333333333337</v>
      </c>
      <c r="H7" s="125" cm="1">
        <f t="array" ref="H7">_xlfn.PERCENTRANK.EXC(_xlfn._xlws.FILTER($G$6:G$18, ISNUMBER($G$6:G$18)),G7)*100</f>
        <v>50</v>
      </c>
      <c r="I7" s="159">
        <f>VLOOKUP(B7,'LIQIDITY 2'!$A$3:$X$15,24,FALSE)</f>
        <v>7.1</v>
      </c>
      <c r="J7" s="121">
        <f ca="1">VLOOKUP(B7,'Momnetum ranking'!$A$3:$AJ$15,36,FALSE)</f>
        <v>28.499999999999996</v>
      </c>
      <c r="K7" s="161">
        <f>VLOOKUP(B7,'Momnetum ranking'!$A$3:$H$15,8,FALSE)</f>
        <v>0.49019607843137253</v>
      </c>
      <c r="L7" s="121">
        <f>VLOOKUP(B7,'Currency- 2'!$A$3:$U$15,21,FALSE)</f>
        <v>7.1</v>
      </c>
      <c r="M7" s="160">
        <f t="shared" ca="1" si="1"/>
        <v>28.508502</v>
      </c>
      <c r="N7" s="121" cm="1">
        <f t="array" aca="1" ref="N7" ca="1">_xlfn.PERCENTRANK.EXC(_xlfn._xlws.FILTER($M$6:M$18, ISNUMBER($M$6:M$18)),M7)*100</f>
        <v>14.2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85.7</v>
      </c>
      <c r="F8" s="159">
        <f>VLOOKUP(B8,Safety!$B$4:$R$16,17,FALSE)</f>
        <v>71.399999999999991</v>
      </c>
      <c r="G8" s="180">
        <f t="shared" si="0"/>
        <v>57.100000000000009</v>
      </c>
      <c r="H8" s="125" cm="1">
        <f t="array" ref="H8">_xlfn.PERCENTRANK.EXC(_xlfn._xlws.FILTER($G$6:G$18, ISNUMBER($G$6:G$18)),G8)*100</f>
        <v>78.5</v>
      </c>
      <c r="I8" s="159">
        <f>VLOOKUP(B8,'LIQIDITY 2'!$A$3:$X$15,24,FALSE)</f>
        <v>21.4</v>
      </c>
      <c r="J8" s="121">
        <f ca="1">VLOOKUP(B8,'Momnetum ranking'!$A$3:$AJ$15,36,FALSE)</f>
        <v>92.800000000000011</v>
      </c>
      <c r="K8" s="161">
        <f>VLOOKUP(B8,'Momnetum ranking'!$A$3:$H$15,8,FALSE)</f>
        <v>0.33333333333333331</v>
      </c>
      <c r="L8" s="121">
        <f>VLOOKUP(B8,'Currency- 2'!$A$3:$U$15,21,FALSE)</f>
        <v>50</v>
      </c>
      <c r="M8" s="160">
        <f t="shared" ca="1" si="1"/>
        <v>63.528287000000006</v>
      </c>
      <c r="N8" s="121" cm="1">
        <f t="array" aca="1" ref="N8" ca="1">_xlfn.PERCENTRANK.EXC(_xlfn._xlws.FILTER($M$6:M$18, ISNUMBER($M$6:M$18)),M8)*100</f>
        <v>92.800000000000011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42.8</v>
      </c>
      <c r="G9" s="180">
        <f t="shared" si="0"/>
        <v>54.70000000000001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21.4</v>
      </c>
      <c r="J9" s="121">
        <f ca="1">VLOOKUP(B9,'Momnetum ranking'!$A$3:$AJ$15,36,FALSE)</f>
        <v>85.7</v>
      </c>
      <c r="K9" s="161">
        <f>VLOOKUP(B9,'Momnetum ranking'!$A$3:$H$15,8,FALSE)</f>
        <v>0.31013916500994038</v>
      </c>
      <c r="L9" s="121">
        <f>VLOOKUP(B9,'Currency- 2'!$A$3:$U$15,21,FALSE)</f>
        <v>50</v>
      </c>
      <c r="M9" s="160">
        <f t="shared" ca="1" si="1"/>
        <v>59.968359000000007</v>
      </c>
      <c r="N9" s="121" cm="1">
        <f t="array" aca="1" ref="N9" ca="1">_xlfn.PERCENTRANK.EXC(_xlfn._xlws.FILTER($M$6:M$18, ISNUMBER($M$6:M$18)),M9)*100</f>
        <v>71.399999999999991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64.2</v>
      </c>
      <c r="E10" s="121">
        <f>VLOOKUP(B10,'Quality - 2'!$B$2:$S$14,18,FALSE)</f>
        <v>28.499999999999996</v>
      </c>
      <c r="F10" s="159">
        <f>VLOOKUP(B10,Safety!$B$4:$R$16,17,FALSE)</f>
        <v>35.699999999999996</v>
      </c>
      <c r="G10" s="180">
        <f t="shared" si="0"/>
        <v>42.8</v>
      </c>
      <c r="H10" s="125" cm="1">
        <f t="array" ref="H10">_xlfn.PERCENTRANK.EXC(_xlfn._xlws.FILTER($G$6:G$18, ISNUMBER($G$6:G$18)),G10)*100</f>
        <v>35.699999999999996</v>
      </c>
      <c r="I10" s="159">
        <f>VLOOKUP(B10,'LIQIDITY 2'!$A$3:$X$15,24,FALSE)</f>
        <v>57.099999999999994</v>
      </c>
      <c r="J10" s="121">
        <f ca="1">VLOOKUP(B10,'Momnetum ranking'!$A$3:$AJ$15,36,FALSE)</f>
        <v>35.699999999999996</v>
      </c>
      <c r="K10" s="161">
        <f>VLOOKUP(B10,'Momnetum ranking'!$A$3:$H$15,8,FALSE)</f>
        <v>0.41379310344827586</v>
      </c>
      <c r="L10" s="121">
        <f>VLOOKUP(B10,'Currency- 2'!$A$3:$U$15,21,FALSE)</f>
        <v>78.5</v>
      </c>
      <c r="M10" s="160">
        <f t="shared" ca="1" si="1"/>
        <v>46.388716000000002</v>
      </c>
      <c r="N10" s="121" cm="1">
        <f t="array" aca="1" ref="N10" ca="1">_xlfn.PERCENTRANK.EXC(_xlfn._xlws.FILTER($M$6:M$18, ISNUMBER($M$6:M$18)),M10)*100</f>
        <v>42.8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78.5</v>
      </c>
      <c r="E11" s="121">
        <f>VLOOKUP(B11,'Quality - 2'!$B$2:$S$14,18,FALSE)</f>
        <v>64.2</v>
      </c>
      <c r="F11" s="159">
        <f>VLOOKUP(B11,Safety!$B$4:$R$16,17,FALSE)</f>
        <v>7.1</v>
      </c>
      <c r="G11" s="180">
        <f t="shared" si="0"/>
        <v>49.933333333333344</v>
      </c>
      <c r="H11" s="125" cm="1">
        <f t="array" ref="H11">_xlfn.PERCENTRANK.EXC(_xlfn._xlws.FILTER($G$6:G$18, ISNUMBER($G$6:G$18)),G11)*100</f>
        <v>57.099999999999994</v>
      </c>
      <c r="I11" s="159">
        <f>VLOOKUP(B11,'LIQIDITY 2'!$A$3:$X$15,24,FALSE)</f>
        <v>21.4</v>
      </c>
      <c r="J11" s="121">
        <f ca="1">VLOOKUP(B11,'Momnetum ranking'!$A$3:$AJ$15,36,FALSE)</f>
        <v>64.2</v>
      </c>
      <c r="K11" s="161">
        <f>VLOOKUP(B11,'Momnetum ranking'!$A$3:$H$15,8,FALSE)</f>
        <v>0.39506172839506171</v>
      </c>
      <c r="L11" s="121">
        <f>VLOOKUP(B11,'Currency- 2'!$A$3:$U$15,21,FALSE)</f>
        <v>85.7</v>
      </c>
      <c r="M11" s="160">
        <f t="shared" ca="1" si="1"/>
        <v>53.508502</v>
      </c>
      <c r="N11" s="121" cm="1">
        <f t="array" aca="1" ref="N11" ca="1">_xlfn.PERCENTRANK.EXC(_xlfn._xlws.FILTER($M$6:M$18, ISNUMBER($M$6:M$18)),M11)*100</f>
        <v>64.2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50</v>
      </c>
      <c r="E12" s="121">
        <f>VLOOKUP(B12,'Quality - 2'!$B$2:$S$14,18,FALSE)</f>
        <v>42.8</v>
      </c>
      <c r="F12" s="159">
        <f>VLOOKUP(B12,Safety!$B$4:$R$16,17,FALSE)</f>
        <v>57.099999999999994</v>
      </c>
      <c r="G12" s="180">
        <f t="shared" si="0"/>
        <v>49.966666666666669</v>
      </c>
      <c r="H12" s="125" cm="1">
        <f t="array" ref="H12">_xlfn.PERCENTRANK.EXC(_xlfn._xlws.FILTER($G$6:G$18, ISNUMBER($G$6:G$18)),G12)*100</f>
        <v>64.2</v>
      </c>
      <c r="I12" s="159">
        <f>VLOOKUP(B12,'LIQIDITY 2'!$A$3:$X$15,24,FALSE)</f>
        <v>57.099999999999994</v>
      </c>
      <c r="J12" s="121">
        <f ca="1">VLOOKUP(B12,'Momnetum ranking'!$A$3:$AJ$15,36,FALSE)</f>
        <v>50</v>
      </c>
      <c r="K12" s="161">
        <f>VLOOKUP(B12,'Momnetum ranking'!$A$3:$H$15,8,FALSE)</f>
        <v>0.31818181818181818</v>
      </c>
      <c r="L12" s="121">
        <f>VLOOKUP(B12,'Currency- 2'!$A$3:$U$15,21,FALSE)</f>
        <v>35.699999999999996</v>
      </c>
      <c r="M12" s="160">
        <f t="shared" ca="1" si="1"/>
        <v>49.978501000000001</v>
      </c>
      <c r="N12" s="121" cm="1">
        <f t="array" aca="1" ref="N12" ca="1">_xlfn.PERCENTRANK.EXC(_xlfn._xlws.FILTER($M$6:M$18, ISNUMBER($M$6:M$18)),M12)*100</f>
        <v>57.099999999999994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21.4</v>
      </c>
      <c r="F13" s="159">
        <f>VLOOKUP(B13,Safety!$B$4:$R$16,17,FALSE)</f>
        <v>28.499999999999996</v>
      </c>
      <c r="G13" s="180">
        <f t="shared" si="0"/>
        <v>23.766666666666669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71.399999999999991</v>
      </c>
      <c r="K13" s="161">
        <f>VLOOKUP(B13,'Momnetum ranking'!$A$3:$H$15,8,FALSE)</f>
        <v>0.28813559322033899</v>
      </c>
      <c r="L13" s="121">
        <f>VLOOKUP(B13,'Currency- 2'!$A$3:$U$15,21,FALSE)</f>
        <v>71.399999999999991</v>
      </c>
      <c r="M13" s="160">
        <f t="shared" ca="1" si="1"/>
        <v>44.249286999999995</v>
      </c>
      <c r="N13" s="121" cm="1">
        <f t="array" aca="1" ref="N13" ca="1">_xlfn.PERCENTRANK.EXC(_xlfn._xlws.FILTER($M$6:M$18, ISNUMBER($M$6:M$18)),M13)*100</f>
        <v>35.699999999999996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14.2</v>
      </c>
      <c r="F14" s="159">
        <f>VLOOKUP(B14,Safety!$B$4:$R$16,17,FALSE)</f>
        <v>78.5</v>
      </c>
      <c r="G14" s="180">
        <f t="shared" si="0"/>
        <v>33.266666666666673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21.4</v>
      </c>
      <c r="J14" s="121">
        <f ca="1">VLOOKUP(B14,'Momnetum ranking'!$A$3:$AJ$15,36,FALSE)</f>
        <v>14.2</v>
      </c>
      <c r="K14" s="161">
        <f>VLOOKUP(B14,'Momnetum ranking'!$A$3:$H$15,8,FALSE)</f>
        <v>0.14285714285714285</v>
      </c>
      <c r="L14" s="121">
        <f>VLOOKUP(B14,'Currency- 2'!$A$3:$U$15,21,FALSE)</f>
        <v>14.2</v>
      </c>
      <c r="M14" s="160">
        <f t="shared" ca="1" si="1"/>
        <v>21.359001999999997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71.399999999999991</v>
      </c>
      <c r="E15" s="121">
        <f>VLOOKUP(B15,'Quality - 2'!$B$2:$S$14,18,FALSE)</f>
        <v>71.399999999999991</v>
      </c>
      <c r="F15" s="159">
        <f>VLOOKUP(B15,Safety!$B$4:$R$16,17,FALSE)</f>
        <v>85.7</v>
      </c>
      <c r="G15" s="180">
        <f t="shared" si="0"/>
        <v>76.166666666666671</v>
      </c>
      <c r="H15" s="125" cm="1">
        <f t="array" ref="H15">_xlfn.PERCENTRANK.EXC(_xlfn._xlws.FILTER($G$6:G$18, ISNUMBER($G$6:G$18)),G15)*100</f>
        <v>92.800000000000011</v>
      </c>
      <c r="I15" s="159">
        <f>VLOOKUP(B15,'LIQIDITY 2'!$A$3:$X$15,24,FALSE)</f>
        <v>50</v>
      </c>
      <c r="J15" s="121">
        <f ca="1">VLOOKUP(B15,'Momnetum ranking'!$A$3:$AJ$15,36,FALSE)</f>
        <v>7.1</v>
      </c>
      <c r="K15" s="161">
        <f>VLOOKUP(B15,'Momnetum ranking'!$A$3:$H$15,8,FALSE)</f>
        <v>0.30645161290322581</v>
      </c>
      <c r="L15" s="121">
        <f>VLOOKUP(B15,'Currency- 2'!$A$3:$U$15,21,FALSE)</f>
        <v>21.4</v>
      </c>
      <c r="M15" s="160">
        <f t="shared" ca="1" si="1"/>
        <v>37.827714999999998</v>
      </c>
      <c r="N15" s="121" cm="1">
        <f t="array" aca="1" ref="N15" ca="1">_xlfn.PERCENTRANK.EXC(_xlfn._xlws.FILTER($M$6:M$18, ISNUMBER($M$6:M$18)),M15)*100</f>
        <v>28.499999999999996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50</v>
      </c>
      <c r="G16" s="180">
        <f t="shared" si="0"/>
        <v>38.06666666666667</v>
      </c>
      <c r="H16" s="125" cm="1">
        <f t="array" ref="H16">_xlfn.PERCENTRANK.EXC(_xlfn._xlws.FILTER($G$6:G$18, ISNUMBER($G$6:G$18)),G16)*100</f>
        <v>21.4</v>
      </c>
      <c r="I16" s="159">
        <f>VLOOKUP(B16,'LIQIDITY 2'!$A$3:$X$15,24,FALSE)</f>
        <v>57.099999999999994</v>
      </c>
      <c r="J16" s="121">
        <f ca="1">VLOOKUP(B16,'Momnetum ranking'!$A$3:$AJ$15,36,FALSE)</f>
        <v>78.5</v>
      </c>
      <c r="K16" s="161">
        <f>VLOOKUP(B16,'Momnetum ranking'!$A$3:$H$15,8,FALSE)</f>
        <v>0.39622641509433965</v>
      </c>
      <c r="L16" s="121">
        <f>VLOOKUP(B16,'Currency- 2'!$A$3:$U$15,21,FALSE)</f>
        <v>92.800000000000011</v>
      </c>
      <c r="M16" s="160">
        <f t="shared" ca="1" si="1"/>
        <v>63.518858000000002</v>
      </c>
      <c r="N16" s="121" cm="1">
        <f t="array" aca="1" ref="N16" ca="1">_xlfn.PERCENTRANK.EXC(_xlfn._xlws.FILTER($M$6:M$18, ISNUMBER($M$6:M$18)),M16)*100</f>
        <v>85.7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85.7</v>
      </c>
      <c r="E17" s="121">
        <f>VLOOKUP(B17,'Quality - 2'!$B$2:$S$14,18,FALSE)</f>
        <v>42.8</v>
      </c>
      <c r="F17" s="159">
        <f>VLOOKUP(B17,Safety!$B$4:$R$16,17,FALSE)</f>
        <v>14.2</v>
      </c>
      <c r="G17" s="180">
        <f t="shared" si="0"/>
        <v>47.56666666666667</v>
      </c>
      <c r="H17" s="125" cm="1">
        <f t="array" ref="H17">_xlfn.PERCENTRANK.EXC(_xlfn._xlws.FILTER($G$6:G$18, ISNUMBER($G$6:G$18)),G17)*100</f>
        <v>42.8</v>
      </c>
      <c r="I17" s="159">
        <f>VLOOKUP(B17,'LIQIDITY 2'!$A$3:$X$15,24,FALSE)</f>
        <v>57.099999999999994</v>
      </c>
      <c r="J17" s="121">
        <f ca="1">VLOOKUP(B17,'Momnetum ranking'!$A$3:$AJ$15,36,FALSE)</f>
        <v>21.4</v>
      </c>
      <c r="K17" s="161">
        <f>VLOOKUP(B17,'Momnetum ranking'!$A$3:$H$15,8,FALSE)</f>
        <v>0.24444444444444444</v>
      </c>
      <c r="L17" s="121">
        <f>VLOOKUP(B17,'Currency- 2'!$A$3:$U$15,21,FALSE)</f>
        <v>28.499999999999996</v>
      </c>
      <c r="M17" s="160">
        <f t="shared" ca="1" si="1"/>
        <v>37.098573000000002</v>
      </c>
      <c r="N17" s="121" cm="1">
        <f t="array" aca="1" ref="N17" ca="1">_xlfn.PERCENTRANK.EXC(_xlfn._xlws.FILTER($M$6:M$18, ISNUMBER($M$6:M$18)),M17)*100</f>
        <v>21.4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21.4</v>
      </c>
      <c r="G18" s="181">
        <f t="shared" si="0"/>
        <v>40.433333333333344</v>
      </c>
      <c r="H18" s="126" cm="1">
        <f t="array" ref="H18">_xlfn.PERCENTRANK.EXC(_xlfn._xlws.FILTER($G$6:G$18, ISNUMBER($G$6:G$18)),G18)*100</f>
        <v>28.499999999999996</v>
      </c>
      <c r="I18" s="154">
        <f>VLOOKUP(B18,'LIQIDITY 2'!$A$3:$X$15,24,FALSE)</f>
        <v>57.099999999999994</v>
      </c>
      <c r="J18" s="122">
        <f ca="1">VLOOKUP(B18,'Momnetum ranking'!$A$3:$AJ$15,36,FALSE)</f>
        <v>42.8</v>
      </c>
      <c r="K18" s="165">
        <f>VLOOKUP(B18,'Momnetum ranking'!$A$3:$H$15,8,FALSE)</f>
        <v>0.34615384615384615</v>
      </c>
      <c r="L18" s="122">
        <f>VLOOKUP(B18,'Currency- 2'!$A$3:$U$15,21,FALSE)</f>
        <v>64.2</v>
      </c>
      <c r="M18" s="164">
        <f t="shared" ca="1" si="1"/>
        <v>47.088787000000011</v>
      </c>
      <c r="N18" s="122" cm="1">
        <f t="array" aca="1" ref="N18" ca="1">_xlfn.PERCENTRANK.EXC(_xlfn._xlws.FILTER($M$6:M$18, ISNUMBER($M$6:M$18)),M18)*100</f>
        <v>50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7</v>
      </c>
      <c r="S3" s="148">
        <f ca="1">COUNTIF(S9:S17,"&gt;0")</f>
        <v>7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0.17088289449238539</v>
      </c>
      <c r="F9">
        <f ca="1">VLOOKUP(B9,OUTPUT_COUNTRY!$B$6:$N$18, 9, FALSE)</f>
        <v>14.2</v>
      </c>
      <c r="G9" s="47">
        <f>IFERROR(VLOOKUP(B9,OUTPUT_COUNTRY!$B$6:$N$18, 7, FALSE),0)</f>
        <v>14.2</v>
      </c>
      <c r="H9">
        <f>VLOOKUP(B9,OUTPUT_COUNTRY!$B$6:$N$18, 8, FALSE)</f>
        <v>21.4</v>
      </c>
      <c r="I9">
        <f>VLOOKUP(B9,OUTPUT_COUNTRY!$B$6:$N$18, 11, FALSE)</f>
        <v>14.2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0.18392538444440673</v>
      </c>
      <c r="F10">
        <f ca="1">VLOOKUP(B10,OUTPUT_COUNTRY!$B$6:$N$18, 9, FALSE)</f>
        <v>71.399999999999991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71.399999999999991</v>
      </c>
      <c r="J10" s="47">
        <f t="shared" ca="1" si="0"/>
        <v>5.436987412154954</v>
      </c>
      <c r="K10" s="136">
        <f t="shared" ref="K10:K21" ca="1" si="6">J10/$J$22</f>
        <v>0.24958979766462669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5.436987412154954</v>
      </c>
      <c r="Q10" s="136">
        <f t="shared" ref="Q10:Q21" si="9">P10/$P$22</f>
        <v>0.21438538206418406</v>
      </c>
      <c r="R10" s="156">
        <f t="shared" ca="1" si="4"/>
        <v>0.14623343703873176</v>
      </c>
      <c r="S10" s="156">
        <f t="shared" ca="1" si="5"/>
        <v>0.19883575541986948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0.17079424182371045</v>
      </c>
      <c r="F11">
        <f ca="1">VLOOKUP(B11,OUTPUT_COUNTRY!$B$6:$N$18, 9, FALSE)</f>
        <v>50</v>
      </c>
      <c r="G11" s="47">
        <f>IFERROR(VLOOKUP(B11,OUTPUT_COUNTRY!$B$6:$N$18, 7, FALSE),0)</f>
        <v>64.2</v>
      </c>
      <c r="H11">
        <f>VLOOKUP(B11,OUTPUT_COUNTRY!$B$6:$N$18, 8, FALSE)</f>
        <v>57.099999999999994</v>
      </c>
      <c r="I11">
        <f>VLOOKUP(B11,OUTPUT_COUNTRY!$B$6:$N$18, 11, FALSE)</f>
        <v>35.699999999999996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5.8549983261858154</v>
      </c>
      <c r="O11" s="136">
        <f t="shared" si="8"/>
        <v>0.16450171987507095</v>
      </c>
      <c r="P11">
        <f t="shared" si="3"/>
        <v>0</v>
      </c>
      <c r="Q11" s="136">
        <f t="shared" si="9"/>
        <v>0</v>
      </c>
      <c r="R11" s="156">
        <f t="shared" ca="1" si="4"/>
        <v>1.6450171987507096E-2</v>
      </c>
      <c r="S11" s="156">
        <f t="shared" ca="1" si="5"/>
        <v>2.2367540831693747E-2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0.20441583855805873</v>
      </c>
      <c r="F12">
        <f ca="1">VLOOKUP(B12,OUTPUT_COUNTRY!$B$6:$N$18, 9, FALSE)</f>
        <v>35.699999999999996</v>
      </c>
      <c r="G12" s="47">
        <f>IFERROR(VLOOKUP(B12,OUTPUT_COUNTRY!$B$6:$N$18, 7, FALSE),0)</f>
        <v>35.699999999999996</v>
      </c>
      <c r="H12">
        <f>VLOOKUP(B12,OUTPUT_COUNTRY!$B$6:$N$18, 8, FALSE)</f>
        <v>57.099999999999994</v>
      </c>
      <c r="I12">
        <f>VLOOKUP(B12,OUTPUT_COUNTRY!$B$6:$N$18, 11, FALSE)</f>
        <v>78.5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4.8919888353757743</v>
      </c>
      <c r="O12" s="136">
        <f t="shared" si="8"/>
        <v>0.13744505671843651</v>
      </c>
      <c r="P12">
        <f t="shared" si="3"/>
        <v>4.8919888353757743</v>
      </c>
      <c r="Q12" s="136">
        <f t="shared" si="9"/>
        <v>0.19289559015367982</v>
      </c>
      <c r="R12" s="156">
        <f t="shared" ca="1" si="4"/>
        <v>3.3034064687211637E-2</v>
      </c>
      <c r="S12" s="156">
        <f t="shared" ca="1" si="5"/>
        <v>4.4916903682779813E-2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0.14269489762573181</v>
      </c>
      <c r="F13">
        <f ca="1">VLOOKUP(B13,OUTPUT_COUNTRY!$B$6:$N$18, 9, FALSE)</f>
        <v>28.499999999999996</v>
      </c>
      <c r="G13" s="47">
        <f>IFERROR(VLOOKUP(B13,OUTPUT_COUNTRY!$B$6:$N$18, 7, FALSE),0)</f>
        <v>50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 t="str">
        <f t="shared" ca="1" si="4"/>
        <v/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0.16440054878744276</v>
      </c>
      <c r="F14">
        <f ca="1">VLOOKUP(B14,OUTPUT_COUNTRY!$B$6:$N$18, 9, FALSE)</f>
        <v>57.099999999999994</v>
      </c>
      <c r="G14" s="47">
        <f>IFERROR(VLOOKUP(B14,OUTPUT_COUNTRY!$B$6:$N$18, 7, FALSE),0)</f>
        <v>85.7</v>
      </c>
      <c r="H14">
        <f>VLOOKUP(B14,OUTPUT_COUNTRY!$B$6:$N$18, 8, FALSE)</f>
        <v>57.099999999999994</v>
      </c>
      <c r="I14">
        <f>VLOOKUP(B14,OUTPUT_COUNTRY!$B$6:$N$18, 11, FALSE)</f>
        <v>42.8</v>
      </c>
      <c r="J14" s="47">
        <f t="shared" ca="1" si="0"/>
        <v>0</v>
      </c>
      <c r="K14" s="136">
        <f t="shared" ca="1" si="6"/>
        <v>0</v>
      </c>
      <c r="L14">
        <f t="shared" si="1"/>
        <v>6.0827047560098046</v>
      </c>
      <c r="M14" s="136">
        <f t="shared" si="7"/>
        <v>0.26478794843898107</v>
      </c>
      <c r="N14">
        <f t="shared" si="2"/>
        <v>6.0827047560098046</v>
      </c>
      <c r="O14" s="136">
        <f t="shared" si="8"/>
        <v>0.17089934755074956</v>
      </c>
      <c r="P14">
        <f t="shared" si="3"/>
        <v>0</v>
      </c>
      <c r="Q14" s="136">
        <f t="shared" si="9"/>
        <v>0</v>
      </c>
      <c r="R14" s="156">
        <f t="shared" ca="1" si="4"/>
        <v>9.6526319286769274E-2</v>
      </c>
      <c r="S14" s="156">
        <f t="shared" ca="1" si="5"/>
        <v>0.13124825622611067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0.16940549402665467</v>
      </c>
      <c r="F15">
        <f ca="1">VLOOKUP(B15,OUTPUT_COUNTRY!$B$6:$N$18, 9, FALSE)</f>
        <v>64.2</v>
      </c>
      <c r="G15" s="47">
        <f>IFERROR(VLOOKUP(B15,OUTPUT_COUNTRY!$B$6:$N$18, 7, FALSE),0)</f>
        <v>57.099999999999994</v>
      </c>
      <c r="H15">
        <f>VLOOKUP(B15,OUTPUT_COUNTRY!$B$6:$N$18, 8, FALSE)</f>
        <v>21.4</v>
      </c>
      <c r="I15">
        <f>VLOOKUP(B15,OUTPUT_COUNTRY!$B$6:$N$18, 11, FALSE)</f>
        <v>85.7</v>
      </c>
      <c r="J15" s="47">
        <f t="shared" ca="1" si="0"/>
        <v>0</v>
      </c>
      <c r="K15" s="136">
        <f t="shared" ca="1" si="6"/>
        <v>0</v>
      </c>
      <c r="L15">
        <f t="shared" si="1"/>
        <v>0</v>
      </c>
      <c r="M15" s="136">
        <f t="shared" si="7"/>
        <v>0</v>
      </c>
      <c r="N15">
        <f t="shared" si="2"/>
        <v>0</v>
      </c>
      <c r="O15" s="136">
        <f t="shared" si="8"/>
        <v>0</v>
      </c>
      <c r="P15">
        <f t="shared" si="3"/>
        <v>5.9029962737965134</v>
      </c>
      <c r="Q15" s="136">
        <f t="shared" si="9"/>
        <v>0.23276053732479254</v>
      </c>
      <c r="R15" s="156">
        <f t="shared" ca="1" si="4"/>
        <v>2.3276053732479256E-2</v>
      </c>
      <c r="S15" s="156">
        <f t="shared" ca="1" si="5"/>
        <v>3.164879264832688E-2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0.19628461867211805</v>
      </c>
      <c r="F16">
        <f ca="1">VLOOKUP(B16,OUTPUT_COUNTRY!$B$6:$N$18, 9, FALSE)</f>
        <v>92.800000000000011</v>
      </c>
      <c r="G16" s="47">
        <f>IFERROR(VLOOKUP(B16,OUTPUT_COUNTRY!$B$6:$N$18, 7, FALSE),0)</f>
        <v>78.5</v>
      </c>
      <c r="H16">
        <f>VLOOKUP(B16,OUTPUT_COUNTRY!$B$6:$N$18, 8, FALSE)</f>
        <v>21.4</v>
      </c>
      <c r="I16">
        <f>VLOOKUP(B16,OUTPUT_COUNTRY!$B$6:$N$18, 11, FALSE)</f>
        <v>50</v>
      </c>
      <c r="J16" s="47">
        <f t="shared" ca="1" si="0"/>
        <v>5.094642701833104</v>
      </c>
      <c r="K16" s="136">
        <f t="shared" ca="1" si="6"/>
        <v>0.23387415580204615</v>
      </c>
      <c r="L16">
        <f t="shared" si="1"/>
        <v>5.094642701833104</v>
      </c>
      <c r="M16" s="136">
        <f t="shared" si="7"/>
        <v>0.22177633851374798</v>
      </c>
      <c r="N16">
        <f t="shared" si="2"/>
        <v>0</v>
      </c>
      <c r="O16" s="136">
        <f t="shared" si="8"/>
        <v>0</v>
      </c>
      <c r="P16">
        <f t="shared" si="3"/>
        <v>0</v>
      </c>
      <c r="Q16" s="136">
        <f t="shared" si="9"/>
        <v>0</v>
      </c>
      <c r="R16" s="156">
        <f t="shared" ca="1" si="4"/>
        <v>0.18346997945514748</v>
      </c>
      <c r="S16" s="156">
        <f t="shared" ca="1" si="5"/>
        <v>0.24946682988904853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0.15229883912994077</v>
      </c>
      <c r="F17">
        <f ca="1">VLOOKUP(B17,OUTPUT_COUNTRY!$B$6:$N$18, 9, FALSE)</f>
        <v>85.7</v>
      </c>
      <c r="G17" s="47">
        <f>IFERROR(VLOOKUP(B17,OUTPUT_COUNTRY!$B$6:$N$18, 7, FALSE),0)</f>
        <v>71.399999999999991</v>
      </c>
      <c r="H17">
        <f>VLOOKUP(B17,OUTPUT_COUNTRY!$B$6:$N$18, 8, FALSE)</f>
        <v>21.4</v>
      </c>
      <c r="I17">
        <f>VLOOKUP(B17,OUTPUT_COUNTRY!$B$6:$N$18, 11, FALSE)</f>
        <v>50</v>
      </c>
      <c r="J17" s="47">
        <f t="shared" ca="1" si="0"/>
        <v>6.5660382292658444</v>
      </c>
      <c r="K17" s="136">
        <f t="shared" ca="1" si="6"/>
        <v>0.30141989099274369</v>
      </c>
      <c r="L17">
        <f t="shared" si="1"/>
        <v>6.5660382292658444</v>
      </c>
      <c r="M17" s="136">
        <f t="shared" si="7"/>
        <v>0.28582807514723646</v>
      </c>
      <c r="N17">
        <f t="shared" si="2"/>
        <v>0</v>
      </c>
      <c r="O17" s="136">
        <f t="shared" si="8"/>
        <v>0</v>
      </c>
      <c r="P17">
        <f t="shared" si="3"/>
        <v>0</v>
      </c>
      <c r="Q17" s="136">
        <f t="shared" si="9"/>
        <v>0</v>
      </c>
      <c r="R17" s="156">
        <f t="shared" ca="1" si="4"/>
        <v>0.23645836804054277</v>
      </c>
      <c r="S17" s="156">
        <f t="shared" ca="1" si="5"/>
        <v>0.32151592130217088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0.19125581389666985</v>
      </c>
      <c r="F18">
        <f ca="1">VLOOKUP(B18,OUTPUT_COUNTRY!$B$6:$N$18, 9, FALSE)</f>
        <v>7.1</v>
      </c>
      <c r="G18" s="47">
        <f>IFERROR(VLOOKUP(B18,OUTPUT_COUNTRY!$B$6:$N$18, 7, FALSE),0)</f>
        <v>92.800000000000011</v>
      </c>
      <c r="H18">
        <f>VLOOKUP(B18,OUTPUT_COUNTRY!$B$6:$N$18, 8, FALSE)</f>
        <v>50</v>
      </c>
      <c r="I18">
        <f>VLOOKUP(B18,OUTPUT_COUNTRY!$B$6:$N$18, 11, FALSE)</f>
        <v>21.4</v>
      </c>
      <c r="J18" s="47">
        <f t="shared" ca="1" si="0"/>
        <v>0</v>
      </c>
      <c r="K18" s="136">
        <f t="shared" ca="1" si="6"/>
        <v>0</v>
      </c>
      <c r="L18">
        <f t="shared" si="1"/>
        <v>5.2285992233432026</v>
      </c>
      <c r="M18" s="136">
        <f t="shared" si="7"/>
        <v>0.22760763790003435</v>
      </c>
      <c r="N18">
        <f t="shared" si="2"/>
        <v>5.2285992233432026</v>
      </c>
      <c r="O18" s="136">
        <f t="shared" si="8"/>
        <v>0.14690244417844781</v>
      </c>
      <c r="P18">
        <f t="shared" si="3"/>
        <v>0</v>
      </c>
      <c r="Q18" s="136">
        <f t="shared" si="9"/>
        <v>0</v>
      </c>
      <c r="R18" s="156">
        <f t="shared" ca="1" si="4"/>
        <v>8.2972535787855087E-2</v>
      </c>
      <c r="S18" s="156">
        <f t="shared" ca="1" si="5"/>
        <v>0.11281897742792331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0.21340052016784769</v>
      </c>
      <c r="F19">
        <f ca="1">VLOOKUP(B19,OUTPUT_COUNTRY!$B$6:$N$18, 9, FALSE)</f>
        <v>78.5</v>
      </c>
      <c r="G19" s="47">
        <f>IFERROR(VLOOKUP(B19,OUTPUT_COUNTRY!$B$6:$N$18, 7, FALSE),0)</f>
        <v>21.4</v>
      </c>
      <c r="H19">
        <f>VLOOKUP(B19,OUTPUT_COUNTRY!$B$6:$N$18, 8, FALSE)</f>
        <v>57.099999999999994</v>
      </c>
      <c r="I19">
        <f>VLOOKUP(B19,OUTPUT_COUNTRY!$B$6:$N$18, 11, FALSE)</f>
        <v>92.800000000000011</v>
      </c>
      <c r="J19" s="47">
        <f t="shared" ca="1" si="0"/>
        <v>4.6860241915692695</v>
      </c>
      <c r="K19" s="136">
        <f t="shared" ca="1" si="6"/>
        <v>0.21511615554058353</v>
      </c>
      <c r="L19">
        <f t="shared" si="1"/>
        <v>0</v>
      </c>
      <c r="M19" s="136">
        <f t="shared" si="7"/>
        <v>0</v>
      </c>
      <c r="N19">
        <f t="shared" si="2"/>
        <v>4.6860241915692695</v>
      </c>
      <c r="O19" s="136">
        <f t="shared" si="8"/>
        <v>0.13165828510005786</v>
      </c>
      <c r="P19">
        <f t="shared" si="3"/>
        <v>4.6860241915692695</v>
      </c>
      <c r="Q19" s="136">
        <f t="shared" si="9"/>
        <v>0.18477421603472266</v>
      </c>
      <c r="R19" s="156">
        <f t="shared" ca="1" si="4"/>
        <v>0.13920132788376982</v>
      </c>
      <c r="S19" s="156">
        <f t="shared" ca="1" si="5"/>
        <v>0.18927409316028998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0.22700485883306762</v>
      </c>
      <c r="F20">
        <f ca="1">VLOOKUP(B20,OUTPUT_COUNTRY!$B$6:$N$18, 9, FALSE)</f>
        <v>21.4</v>
      </c>
      <c r="G20" s="47">
        <f>IFERROR(VLOOKUP(B20,OUTPUT_COUNTRY!$B$6:$N$18, 7, FALSE),0)</f>
        <v>42.8</v>
      </c>
      <c r="H20">
        <f>VLOOKUP(B20,OUTPUT_COUNTRY!$B$6:$N$18, 8, FALSE)</f>
        <v>57.099999999999994</v>
      </c>
      <c r="I20">
        <f>VLOOKUP(B20,OUTPUT_COUNTRY!$B$6:$N$18, 11, FALSE)</f>
        <v>28.499999999999996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4.4051920524545656</v>
      </c>
      <c r="O20" s="136">
        <f t="shared" si="8"/>
        <v>0.12376804033705743</v>
      </c>
      <c r="P20">
        <f t="shared" si="3"/>
        <v>0</v>
      </c>
      <c r="Q20" s="136">
        <f t="shared" si="9"/>
        <v>0</v>
      </c>
      <c r="R20" s="156">
        <f t="shared" ca="1" si="4"/>
        <v>1.2376804033705745E-2</v>
      </c>
      <c r="S20" s="156">
        <f t="shared" ca="1" si="5"/>
        <v>1.6828922506100678E-2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0.22508249639058089</v>
      </c>
      <c r="F21" s="13">
        <f ca="1">VLOOKUP(B21,OUTPUT_COUNTRY!$B$6:$N$18, 9, FALSE)</f>
        <v>42.8</v>
      </c>
      <c r="G21" s="138">
        <f>IFERROR(VLOOKUP(B21,OUTPUT_COUNTRY!$B$6:$N$18, 7, FALSE),0)</f>
        <v>28.499999999999996</v>
      </c>
      <c r="H21" s="13">
        <f>VLOOKUP(B21,OUTPUT_COUNTRY!$B$6:$N$18, 8, FALSE)</f>
        <v>57.099999999999994</v>
      </c>
      <c r="I21" s="13">
        <f>VLOOKUP(B21,OUTPUT_COUNTRY!$B$6:$N$18, 11, FALSE)</f>
        <v>64.2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4.4428154833715778</v>
      </c>
      <c r="O21" s="137">
        <f t="shared" si="8"/>
        <v>0.12482510624017978</v>
      </c>
      <c r="P21" s="13">
        <f t="shared" si="3"/>
        <v>4.4428154833715778</v>
      </c>
      <c r="Q21" s="137">
        <f t="shared" si="9"/>
        <v>0.1751842744226208</v>
      </c>
      <c r="R21" s="157">
        <f t="shared" ca="1" si="4"/>
        <v>3.0000938066280059E-2</v>
      </c>
      <c r="S21" s="157">
        <f t="shared" ca="1" si="5"/>
        <v>4.0792716799329144E-2</v>
      </c>
    </row>
    <row r="22" spans="2:21" x14ac:dyDescent="0.35">
      <c r="J22" s="47">
        <f ca="1">SUM(J9:J21)</f>
        <v>21.783692534823171</v>
      </c>
      <c r="K22" s="169"/>
      <c r="L22">
        <f>SUM(L9:L21)</f>
        <v>22.971984910451958</v>
      </c>
      <c r="N22">
        <f>SUM(N9:N21)</f>
        <v>35.592322868310013</v>
      </c>
      <c r="P22">
        <f>SUM(P9:P21)</f>
        <v>25.360812196268093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</v>
      </c>
      <c r="J4" s="120" t="str">
        <f ca="1">IF(VLOOKUP(C4,OUTPUT_COUNTRY!$B$6:$N$18,9,FALSE)&gt;75,"++",(IF(VLOOKUP(C4,OUTPUT_COUNTRY!$B$6:$N$18,9,FALSE)&gt;50,"+",(IF(VLOOKUP(C4,OUTPUT_COUNTRY!$B$6:$N$18,9,FALSE)&gt;25,"-","--")))))</f>
        <v>+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-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++</v>
      </c>
      <c r="K6" s="159" t="str">
        <f>IF(VLOOKUP(C6,OUTPUT_COUNTRY!$B$6:$N$18,11,FALSE)&gt;75,"++",(IF(VLOOKUP(C6,OUTPUT_COUNTRY!$B$6:$N$18,11,FALSE)&gt;50,"+",(IF(VLOOKUP(C6,OUTPUT_COUNTRY!$B$6:$N$18,11,FALSE)&gt;25,"-","--")))))</f>
        <v>-</v>
      </c>
      <c r="L6" s="121" t="str">
        <f ca="1"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-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+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++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-</v>
      </c>
      <c r="G10" s="159" t="str">
        <f>IF(VLOOKUP(C10,OUTPUT_COUNTRY!$B$6:$N$18,5,FALSE)&gt;75,"++",(IF(VLOOKUP(C10,OUTPUT_COUNTRY!$B$6:$N$18,5,FALSE)&gt;50,"+",(IF(VLOOKUP(C10,OUTPUT_COUNTRY!$B$6:$N$18,5,FALSE)&gt;25,"-","--")))))</f>
        <v>+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+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+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--</v>
      </c>
      <c r="I14" s="159" t="str">
        <f>IF(VLOOKUP(C14,OUTPUT_COUNTRY!$B$6:$N$18,8,FALSE)&gt;75,"++",(IF(VLOOKUP(C14,OUTPUT_COUNTRY!$B$6:$N$18,8,FALSE)&gt;50,"+",(IF(VLOOKUP(C14,OUTPUT_COUNTRY!$B$6:$N$18,8,FALSE)&gt;25,"-","--")))))</f>
        <v>+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</v>
      </c>
      <c r="J15" s="121" t="str">
        <f ca="1">IF(VLOOKUP(C15,OUTPUT_COUNTRY!$B$6:$N$18,9,FALSE)&gt;75,"++",(IF(VLOOKUP(C15,OUTPUT_COUNTRY!$B$6:$N$18,9,FALSE)&gt;50,"+",(IF(VLOOKUP(C15,OUTPUT_COUNTRY!$B$6:$N$18,9,FALSE)&gt;25,"-","--")))))</f>
        <v>--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+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45471</v>
      </c>
      <c r="G3" s="4" cm="1">
        <f t="array" ref="G3">_xll.FDS(D3,"FMA_PE(LTM,0,,,""PORTAGG"",""MEANR"")")</f>
        <v>33.562050675207203</v>
      </c>
      <c r="H3" s="4" cm="1">
        <f t="array" ref="H3">_xll.FDS(D3,"FMA_PE(NTMA,0,,,""PORTAGG"",""MEANR"")")</f>
        <v>24.415623610730201</v>
      </c>
      <c r="I3" cm="1">
        <f t="array" ref="I3">_xll.FDS(D3,"FMA_DIV_YLD(NTMA,NOW,NOW,M,""PORTAGG"",""MEANR"")")</f>
        <v>2.762752008838</v>
      </c>
      <c r="J3" s="52" cm="1">
        <f t="array" ref="J3">IFERROR(_xll.FDS(D3,"FG_FCF_YIELD_NTM(0)"),(1/G3*100))</f>
        <v>-9.4993378106529497E-2</v>
      </c>
      <c r="K3" s="3" cm="1">
        <f t="array" ref="K3">_xll.FDS(D3,"FMA_EVAL_EBITDA(NTMA,0,,,""PORTAGG"",""MEANR"")")</f>
        <v>11.7411157713953</v>
      </c>
      <c r="L3" cm="1">
        <f t="array" ref="L3">_xll.FDS(D3,"FMA_EVAL_EBIT(LTMA,NOW,NOW,M,""PORTAGG"",""MEANR"")")</f>
        <v>20.3806771257827</v>
      </c>
      <c r="M3">
        <f>HLOOKUP(D3,'Index ROE'!$A$1:$N$25,25,FALSE)</f>
        <v>6.5791075391831502</v>
      </c>
      <c r="N3">
        <f>VLOOKUP(A3,'LIQIDITY 2'!$A$3:$E$16,5,FALSE)</f>
        <v>4.5667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-1.803947991162</v>
      </c>
      <c r="R3" s="52">
        <f t="shared" ref="R3:R11" si="1">J3-N3</f>
        <v>-4.6616933781065297</v>
      </c>
      <c r="S3">
        <f t="shared" ref="S3:S11" si="2">M3-N3</f>
        <v>2.0124075391831502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45471</v>
      </c>
      <c r="G4" s="4" cm="1">
        <f t="array" ref="G4">_xll.FDS(D4,"FMA_PE(LTM,0,,,""PORTAGG"",""MEANR"")")</f>
        <v>19.682585943935301</v>
      </c>
      <c r="H4" s="4" cm="1">
        <f t="array" ref="H4">_xll.FDS(D4,"FMA_PE(NTMA,0,,,""PORTAGG"",""MEANR"")")</f>
        <v>17.001612284353602</v>
      </c>
      <c r="I4" cm="1">
        <f t="array" ref="I4">_xll.FDS(D4,"FMA_DIV_YLD(NTMA,NOW,NOW,M,""PORTAGG"",""MEANR"")")</f>
        <v>3.93063969750354</v>
      </c>
      <c r="J4" s="52" cm="1">
        <f t="array" ref="J4">IFERROR(_xll.FDS(D4,"FG_FCF_YIELD_NTM(0)"),(1/G4*100))</f>
        <v>5.00174746164853</v>
      </c>
      <c r="K4" s="3" cm="1">
        <f t="array" ref="K4">_xll.FDS(D4,"FMA_EVAL_EBITDA(NTMA,0,,,""PORTAGG"",""MEANR"")")</f>
        <v>8.6657219422298208</v>
      </c>
      <c r="L4" cm="1">
        <f t="array" ref="L4">_xll.FDS(D4,"FMA_EVAL_EBIT(LTMA,NOW,NOW,M,""PORTAGG"",""MEANR"")")</f>
        <v>12.396071543245499</v>
      </c>
      <c r="M4">
        <f>HLOOKUP(D4,'Index ROE'!$A$1:$N$25,25,FALSE)</f>
        <v>13.226137995013501</v>
      </c>
      <c r="N4">
        <f>VLOOKUP(A4,'LIQIDITY 2'!$A$3:$E$16,5,FALSE)</f>
        <v>4.3739999999999997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-0.44336030249645964</v>
      </c>
      <c r="R4" s="52">
        <f t="shared" si="1"/>
        <v>0.62774746164853035</v>
      </c>
      <c r="S4">
        <f t="shared" si="2"/>
        <v>8.8521379950135</v>
      </c>
      <c r="T4">
        <f t="shared" si="3"/>
        <v>9.6062279950135014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31.439999999999998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45471</v>
      </c>
      <c r="G5" s="4" cm="1">
        <f t="array" ref="G5">_xll.FDS(D5,"FMA_PE(LTM,0,,,""PORTAGG"",""MEANR"")")</f>
        <v>17.548757430084901</v>
      </c>
      <c r="H5" s="4" cm="1">
        <f t="array" ref="H5">_xll.FDS(D5,"FMA_PE(NTMA,0,,,""PORTAGG"",""MEANR"")")</f>
        <v>14.1869990153247</v>
      </c>
      <c r="I5" cm="1">
        <f t="array" ref="I5">_xll.FDS(D5,"FMA_DIV_YLD(NTMA,NOW,NOW,M,""PORTAGG"",""MEANR"")")</f>
        <v>3.3493064278189202</v>
      </c>
      <c r="J5" s="52" cm="1">
        <f t="array" ref="J5">IFERROR(_xll.FDS(D5,"FG_FCF_YIELD_NTM(0)"),(1/G5*100))</f>
        <v>5.9623556437273804</v>
      </c>
      <c r="K5" s="3" cm="1">
        <f t="array" ref="K5">_xll.FDS(D5,"FMA_EVAL_EBITDA(NTMA,0,,,""PORTAGG"",""MEANR"")")</f>
        <v>9.6781949841356099</v>
      </c>
      <c r="L5" cm="1">
        <f t="array" ref="L5">_xll.FDS(D5,"FMA_EVAL_EBIT(LTMA,NOW,NOW,M,""PORTAGG"",""MEANR"")")</f>
        <v>15.925774499921401</v>
      </c>
      <c r="M5">
        <f>HLOOKUP(D5,'Index ROE'!$A$1:$N$25,25,FALSE)</f>
        <v>13.147116166704</v>
      </c>
      <c r="N5">
        <f>VLOOKUP(A5,'LIQIDITY 2'!$A$3:$E$16,5,FALSE)</f>
        <v>3.4239999999999999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-7.4693572181079748E-2</v>
      </c>
      <c r="R5" s="52">
        <f t="shared" si="1"/>
        <v>2.5383556437273804</v>
      </c>
      <c r="S5">
        <f t="shared" si="2"/>
        <v>9.7231161667040009</v>
      </c>
      <c r="T5">
        <f t="shared" si="3"/>
        <v>10.300445566704001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52.135000000000005</v>
      </c>
      <c r="AC5" cm="1">
        <f t="array" ref="AC5">_xlfn.PERCENTRANK.EXC(_xlfn._xlws.FILTER(AB$3:AB$15, ISNUMBER(AB$3:AB$15)),AB5)*100</f>
        <v>50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45471</v>
      </c>
      <c r="G6" s="4" cm="1">
        <f t="array" ref="G6">_xll.FDS(D6,"FMA_PE(LTM,0,,,""PORTAGG"",""MEANR"")")</f>
        <v>16.504287546597901</v>
      </c>
      <c r="H6" s="4" cm="1">
        <f t="array" ref="H6">_xll.FDS(D6,"FMA_PE(NTMA,0,,,""PORTAGG"",""MEANR"")")</f>
        <v>11.807159539009</v>
      </c>
      <c r="I6" cm="1">
        <f t="array" ref="I6">_xll.FDS(D6,"FMA_DIV_YLD(NTMA,NOW,NOW,M,""PORTAGG"",""MEANR"")")</f>
        <v>3.4187957695237601</v>
      </c>
      <c r="J6" s="52" cm="1">
        <f t="array" ref="J6">IFERROR(_xll.FDS(D6,"FG_FCF_YIELD_NTM(0)"),(1/G6*100))</f>
        <v>5.8673602877706603</v>
      </c>
      <c r="K6" s="3" cm="1">
        <f t="array" ref="K6">_xll.FDS(D6,"FMA_EVAL_EBITDA(NTMA,0,,,""PORTAGG"",""MEANR"")")</f>
        <v>8.3751491794541408</v>
      </c>
      <c r="L6" cm="1">
        <f t="array" ref="L6">_xll.FDS(D6,"FMA_EVAL_EBIT(LTMA,NOW,NOW,M,""PORTAGG"",""MEANR"")")</f>
        <v>13.414949231398399</v>
      </c>
      <c r="M6">
        <f>HLOOKUP(D6,'Index ROE'!$A$1:$N$25,25,FALSE)</f>
        <v>11.9489916743573</v>
      </c>
      <c r="N6">
        <f>VLOOKUP(A6,'LIQIDITY 2'!$A$3:$E$16,5,FALSE)</f>
        <v>2.4689999999999999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0.94979576952376021</v>
      </c>
      <c r="R6" s="52">
        <f t="shared" si="1"/>
        <v>3.3983602877706605</v>
      </c>
      <c r="S6">
        <f t="shared" si="2"/>
        <v>9.4799916743573007</v>
      </c>
      <c r="T6">
        <f t="shared" si="3"/>
        <v>9.4316352743572995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64.3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65.349999999999994</v>
      </c>
      <c r="AC6" cm="1">
        <f t="array" ref="AC6">_xlfn.PERCENTRANK.EXC(_xlfn._xlws.FILTER(AB$3:AB$15, ISNUMBER(AB$3:AB$15)),AB6)*100</f>
        <v>64.2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45471</v>
      </c>
      <c r="G7" s="4" cm="1">
        <f t="array" ref="G7">_xll.FDS(D7,"FMA_PE(LTM,0,,,""PORTAGG"",""MEANR"")")</f>
        <v>16.7167005181193</v>
      </c>
      <c r="H7" s="4" cm="1">
        <f t="array" ref="H7">_xll.FDS(D7,"FMA_PE(NTMA,0,,,""PORTAGG"",""MEANR"")")</f>
        <v>16.200434335485401</v>
      </c>
      <c r="I7" cm="1">
        <f t="array" ref="I7">_xll.FDS(D7,"FMA_DIV_YLD(NTMA,NOW,NOW,M,""PORTAGG"",""MEANR"")")</f>
        <v>2.2330123685763299</v>
      </c>
      <c r="J7" s="52" cm="1">
        <f t="array" ref="J7">IFERROR(_xll.FDS(D7,"FG_FCF_YIELD_NTM(0)"),(1/G7*100))</f>
        <v>3.6784755953870598</v>
      </c>
      <c r="K7" s="3" cm="1">
        <f t="array" ref="K7">_xll.FDS(D7,"FMA_EVAL_EBITDA(NTMA,0,,,""PORTAGG"",""MEANR"")")</f>
        <v>10.8715545769131</v>
      </c>
      <c r="L7" cm="1">
        <f t="array" ref="L7">_xll.FDS(D7,"FMA_EVAL_EBIT(LTMA,NOW,NOW,M,""PORTAGG"",""MEANR"")")</f>
        <v>17.7538954991225</v>
      </c>
      <c r="M7">
        <f>HLOOKUP(D7,'Index ROE'!$A$1:$N$25,25,FALSE)</f>
        <v>9.2997687113842105</v>
      </c>
      <c r="N7">
        <f>VLOOKUP(A7,'LIQIDITY 2'!$A$3:$E$16,5,FALSE)</f>
        <v>1.0871999999999999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1.14581236857633</v>
      </c>
      <c r="R7" s="52">
        <f t="shared" si="1"/>
        <v>2.5912755953870601</v>
      </c>
      <c r="S7">
        <f t="shared" si="2"/>
        <v>8.2125687113842112</v>
      </c>
      <c r="T7">
        <f t="shared" si="3"/>
        <v>6.7766125113842106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64.2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50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49.615000000000009</v>
      </c>
      <c r="AC7" cm="1">
        <f t="array" ref="AC7">_xlfn.PERCENTRANK.EXC(_xlfn._xlws.FILTER(AB$3:AB$15, ISNUMBER(AB$3:AB$15)),AB7)*100</f>
        <v>42.8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45471</v>
      </c>
      <c r="G8" s="4" cm="1">
        <f t="array" ref="G8">_xll.FDS(D8,"FMA_PE(LTM,0,,,""PORTAGG"",""MEANR"")")</f>
        <v>16.9568997873486</v>
      </c>
      <c r="H8" s="4" cm="1">
        <f t="array" ref="H8">_xll.FDS(D8,"FMA_PE(NTMA,0,,,""PORTAGG"",""MEANR"")")</f>
        <v>17.1573122841002</v>
      </c>
      <c r="I8" cm="1">
        <f t="array" ref="I8">_xll.FDS(D8,"FMA_DIV_YLD(NTMA,NOW,NOW,M,""PORTAGG"",""MEANR"")")</f>
        <v>3.2383399045295498</v>
      </c>
      <c r="J8" s="52" cm="1">
        <f t="array" ref="J8">IFERROR(_xll.FDS(D8,"FG_FCF_YIELD_NTM(0)"),(1/G8*100))</f>
        <v>4.7709637969536702</v>
      </c>
      <c r="K8" s="3" cm="1">
        <f t="array" ref="K8">_xll.FDS(D8,"FMA_EVAL_EBITDA(NTMA,0,,,""PORTAGG"",""MEANR"")")</f>
        <v>12.838513459293299</v>
      </c>
      <c r="L8" cm="1">
        <f t="array" ref="L8">_xll.FDS(D8,"FMA_EVAL_EBIT(LTMA,NOW,NOW,M,""PORTAGG"",""MEANR"")")</f>
        <v>16.492683897976701</v>
      </c>
      <c r="M8">
        <f>HLOOKUP(D8,'Index ROE'!$A$1:$N$25,25,FALSE)</f>
        <v>19.302463641340701</v>
      </c>
      <c r="N8">
        <f>VLOOKUP(A8,'LIQIDITY 2'!$A$3:$E$16,5,FALSE)</f>
        <v>0.59499999999999997</v>
      </c>
      <c r="O8" cm="1">
        <f t="array" ref="O8">IFERROR(IFERROR(IFERROR(IFERROR(_xll.FDS(B8,"IMF_IFS_RCPI_Q(0)"),_xll.FDS(B8,"IMF_IFS_RCPI_Q(-1AM)")),_xll.FDS(B8,"IMF_IFS_RCPI_Q(-2AM)")),_xll.FDS(B8,"IMF_IFS_RCPI_Q(-3AM)")),$D$31)</f>
        <v>1.1636324</v>
      </c>
      <c r="P8">
        <f>VLOOKUP(E8,GDP_GROWTH!$B$10:$W$165,22,FALSE)</f>
        <v>2.077185911672963</v>
      </c>
      <c r="Q8">
        <f t="shared" si="0"/>
        <v>2.64333990452955</v>
      </c>
      <c r="R8" s="52">
        <f t="shared" si="1"/>
        <v>4.1759637969536705</v>
      </c>
      <c r="S8">
        <f t="shared" si="2"/>
        <v>18.707463641340702</v>
      </c>
      <c r="T8">
        <f t="shared" si="3"/>
        <v>18.1388312413407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50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64.63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45471</v>
      </c>
      <c r="G9" s="4" cm="1">
        <f t="array" ref="G9">_xll.FDS(D9,"FMA_PE(LTM,0,,,""PORTAGG"",""MEANR"")")</f>
        <v>12.888988989681399</v>
      </c>
      <c r="H9" s="4" cm="1">
        <f t="array" ref="H9">_xll.FDS(D9,"FMA_PE(NTMA,0,,,""PORTAGG"",""MEANR"")")</f>
        <v>11.3959099502407</v>
      </c>
      <c r="I9" cm="1">
        <f t="array" ref="I9">_xll.FDS(D9,"FMA_DIV_YLD(NTMA,NOW,NOW,M,""PORTAGG"",""MEANR"")")</f>
        <v>3.9799910670143301</v>
      </c>
      <c r="J9" s="52" cm="1">
        <f t="array" ref="J9">IFERROR(_xll.FDS(D9,"FG_FCF_YIELD_NTM(0)"),(1/G9*100))</f>
        <v>6.18015345749268</v>
      </c>
      <c r="K9" s="3" cm="1">
        <f t="array" ref="K9">_xll.FDS(D9,"FMA_EVAL_EBITDA(NTMA,0,,,""PORTAGG"",""MEANR"")")</f>
        <v>7.38593704875779</v>
      </c>
      <c r="L9" cm="1">
        <f t="array" ref="L9">_xll.FDS(D9,"FMA_EVAL_EBIT(LTMA,NOW,NOW,M,""PORTAGG"",""MEANR"")")</f>
        <v>10.5028463223621</v>
      </c>
      <c r="M9">
        <f>HLOOKUP(D9,'Index ROE'!$A$1:$N$25,25,FALSE)</f>
        <v>14.7202112757034</v>
      </c>
      <c r="N9">
        <f>VLOOKUP(A9,'LIQIDITY 2'!$A$3:$E$16,5,FALSE)</f>
        <v>4.085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-0.10500893298566982</v>
      </c>
      <c r="R9" s="52">
        <f t="shared" si="1"/>
        <v>2.09515345749268</v>
      </c>
      <c r="S9">
        <f t="shared" si="2"/>
        <v>10.635211275703401</v>
      </c>
      <c r="T9">
        <f t="shared" si="3"/>
        <v>10.800711875703401</v>
      </c>
      <c r="U9" cm="1">
        <f t="array" ref="U9">_xlfn.PERCENTRANK.EXC(_xlfn._xlws.FILTER(Q$3:Q$15, ISNUMBER(Q$3:Q$15)),Q9)*100</f>
        <v>42.8</v>
      </c>
      <c r="V9" cm="1">
        <f t="array" ref="V9">_xlfn.PERCENTRANK.EXC(_xlfn._xlws.FILTER(R$3:R$15, ISNUMBER(R$3:R$15)),R9)*100</f>
        <v>42.8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68.58</v>
      </c>
      <c r="AC9" cm="1">
        <f t="array" ref="AC9">_xlfn.PERCENTRANK.EXC(_xlfn._xlws.FILTER(AB$3:AB$15, ISNUMBER(AB$3:AB$15)),AB9)*100</f>
        <v>78.5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45471</v>
      </c>
      <c r="G10" s="4" cm="1">
        <f t="array" ref="G10">_xll.FDS(D10,"FMA_PE(LTM,0,,,""PORTAGG"",""MEANR"")")</f>
        <v>36.167413907985598</v>
      </c>
      <c r="H10" s="4" cm="1">
        <f t="array" ref="H10">_xll.FDS(D10,"FMA_PE(NTMA,0,,,""PORTAGG"",""MEANR"")")</f>
        <v>27.501287347349901</v>
      </c>
      <c r="I10" cm="1">
        <f t="array" ref="I10">_xll.FDS(D10,"FMA_DIV_YLD(NTMA,NOW,NOW,M,""PORTAGG"",""MEANR"")")</f>
        <v>0.84331715259230999</v>
      </c>
      <c r="J10" s="52" cm="1">
        <f t="array" ref="J10">IFERROR(_xll.FDS(D10,"FG_FCF_YIELD_NTM(0)"),(1/G10*100))</f>
        <v>3.42634741529019</v>
      </c>
      <c r="K10" s="3" cm="1">
        <f t="array" ref="K10">_xll.FDS(D10,"FMA_EVAL_EBITDA(NTMA,0,,,""PORTAGG"",""MEANR"")")</f>
        <v>17.264792336253599</v>
      </c>
      <c r="L10" cm="1">
        <f t="array" ref="L10">_xll.FDS(D10,"FMA_EVAL_EBIT(LTMA,NOW,NOW,M,""PORTAGG"",""MEANR"")")</f>
        <v>24.7925305825121</v>
      </c>
      <c r="M10">
        <f>HLOOKUP(D10,'Index ROE'!$A$1:$N$25,25,FALSE)</f>
        <v>25.319915595255299</v>
      </c>
      <c r="N10">
        <f>VLOOKUP(A10,'LIQIDITY 2'!$A$3:$E$16,5,FALSE)</f>
        <v>4.2008999999999999</v>
      </c>
      <c r="O10" cm="1">
        <f t="array" ref="O10">IFERROR(IFERROR(IFERROR(IFERROR(_xll.FDS(B10,"IMF_IFS_RCPI_Q(0)"),_xll.FDS(B10,"IMF_IFS_RCPI_Q(-1AM)")),_xll.FDS(B10,"IMF_IFS_RCPI_Q(-2AM)")),_xll.FDS(B10,"IMF_IFS_RCPI_Q(-3AM)")),$D$31)</f>
        <v>3.2410160000000001</v>
      </c>
      <c r="P10">
        <f>VLOOKUP(E10,GDP_GROWTH!$B$10:$W$165,22,FALSE)</f>
        <v>2.0868572594445189</v>
      </c>
      <c r="Q10">
        <f t="shared" si="0"/>
        <v>-3.3575828474076896</v>
      </c>
      <c r="R10" s="52">
        <f t="shared" si="1"/>
        <v>-0.77455258470980981</v>
      </c>
      <c r="S10">
        <f t="shared" si="2"/>
        <v>21.119015595255298</v>
      </c>
      <c r="T10">
        <f t="shared" si="3"/>
        <v>22.078899595255301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45470</v>
      </c>
      <c r="G11" s="4" cm="1">
        <f t="array" ref="G11">_xll.FDS(D11,"FMA_PE(LTM,0,,,""PORTAGG"",""MEANR"")")</f>
        <v>26.9892454463216</v>
      </c>
      <c r="H11" s="4" cm="1">
        <f t="array" ref="H11">_xll.FDS(D11,"FMA_PE(NTMA,0,,,""PORTAGG"",""MEANR"")")</f>
        <v>21.590413254622302</v>
      </c>
      <c r="I11" cm="1">
        <f t="array" ref="I11">_xll.FDS(D11,"FMA_DIV_YLD(NTMA,NOW,NOW,M,""PORTAGG"",""MEANR"")")</f>
        <v>1.4016872175528401</v>
      </c>
      <c r="J11" s="52" cm="1">
        <f t="array" ref="J11">IFERROR(_xll.FDS(D11,"FG_FCF_YIELD_NTM(0)"),(1/G11*100))</f>
        <v>4.0103619427025299</v>
      </c>
      <c r="K11" s="3" cm="1">
        <f t="array" ref="K11">_xll.FDS(D11,"FMA_EVAL_EBITDA(NTMA,0,,,""PORTAGG"",""MEANR"")")</f>
        <v>14.898585817531499</v>
      </c>
      <c r="L11" cm="1">
        <f t="array" ref="L11">_xll.FDS(D11,"FMA_EVAL_EBIT(LTMA,NOW,NOW,M,""PORTAGG"",""MEANR"")")</f>
        <v>20.7819367211643</v>
      </c>
      <c r="M11">
        <f>HLOOKUP(D11,'Index ROE'!$A$1:$N$25,25,FALSE)</f>
        <v>20.350503777423999</v>
      </c>
      <c r="N11">
        <f>VLOOKUP(A11,'LIQIDITY 2'!$A$3:$E$16,5,FALSE)</f>
        <v>4.2008999999999999</v>
      </c>
      <c r="O11" cm="1">
        <f t="array" ref="O11">IFERROR(IFERROR(IFERROR(IFERROR(_xll.FDS(B11,"IMF_IFS_RCPI_Q(0)"),_xll.FDS(B11,"IMF_IFS_RCPI_Q(-1AM)")),_xll.FDS(B11,"IMF_IFS_RCPI_Q(-2AM)")),_xll.FDS(B11,"IMF_IFS_RCPI_Q(-3AM)")),$D$31)</f>
        <v>3.2410160000000001</v>
      </c>
      <c r="P11">
        <f>VLOOKUP(E11,GDP_GROWTH!$B$10:$W$165,22,FALSE)</f>
        <v>2.0868572594445189</v>
      </c>
      <c r="Q11">
        <f t="shared" si="0"/>
        <v>-2.7992127824471598</v>
      </c>
      <c r="R11" s="52">
        <f t="shared" si="1"/>
        <v>-0.19053805729746998</v>
      </c>
      <c r="S11">
        <f t="shared" si="2"/>
        <v>16.149603777423998</v>
      </c>
      <c r="T11">
        <f t="shared" si="3"/>
        <v>17.109487777424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45471</v>
      </c>
      <c r="G12" s="4" cm="1">
        <f t="array" ref="G12">_xll.FDS(D12,"FMA_PE(LTM,0,,,""PORTAGG"",""MEANR"")")</f>
        <v>15.862863323899299</v>
      </c>
      <c r="H12" s="4" cm="1">
        <f t="array" ref="H12">_xll.FDS(D12,"FMA_PE(NTMA,0,,,""PORTAGG"",""MEANR"")")</f>
        <v>13.5655338316322</v>
      </c>
      <c r="I12" cm="1">
        <f t="array" ref="I12">_xll.FDS(D12,"FMA_DIV_YLD(NTMA,NOW,NOW,M,""PORTAGG"",""MEANR"")")</f>
        <v>3.39405110502247</v>
      </c>
      <c r="J12" s="52" cm="1">
        <f t="array" ref="J12">IFERROR(_xll.FDS(D12,"FG_FCF_YIELD_NTM(0)"),(1/G12*100))</f>
        <v>6.0515974481541397</v>
      </c>
      <c r="K12" s="3" cm="1">
        <f t="array" ref="K12">_xll.FDS(D12,"FMA_EVAL_EBITDA(NTMA,0,,,""PORTAGG"",""MEANR"")")</f>
        <v>8.9578384567967309</v>
      </c>
      <c r="L12" cm="1">
        <f t="array" ref="L12">_xll.FDS(D12,"FMA_EVAL_EBIT(LTMA,NOW,NOW,M,""PORTAGG"",""MEANR"")")</f>
        <v>13.018369078979999</v>
      </c>
      <c r="M12">
        <f>HLOOKUP(D12,'Index ROE'!$A$1:$N$25,25,FALSE)</f>
        <v>13.221250861669199</v>
      </c>
      <c r="N12">
        <f>VLOOKUP(A12,'LIQIDITY 2'!$A$3:$E$16,5,FALSE)</f>
        <v>3.121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0.27305110502246999</v>
      </c>
      <c r="R12" s="52">
        <f t="shared" ref="R12:R15" si="5">J12-N12</f>
        <v>2.9305974481541397</v>
      </c>
      <c r="S12">
        <f t="shared" ref="S12:S15" si="6">M12-N12</f>
        <v>10.100250861669199</v>
      </c>
      <c r="T12">
        <f t="shared" ref="T12:T15" si="7">M12-O12</f>
        <v>10.4272308616692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71.399999999999991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71.500000000000014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67.164999999999992</v>
      </c>
      <c r="AC12" cm="1">
        <f t="array" ref="AC12">_xlfn.PERCENTRANK.EXC(_xlfn._xlws.FILTER(AB$3:AB$15, ISNUMBER(AB$3:AB$15)),AB12)*100</f>
        <v>71.399999999999991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45471</v>
      </c>
      <c r="G13" s="4" cm="1">
        <f t="array" ref="G13">_xll.FDS(D13,"FMA_PE(LTM,0,,,""PORTAGG"",""MEANR"")")</f>
        <v>22.822166840232502</v>
      </c>
      <c r="H13" s="4" cm="1">
        <f t="array" ref="H13">_xll.FDS(D13,"FMA_PE(NTMA,0,,,""PORTAGG"",""MEANR"")")</f>
        <v>16.594851013667899</v>
      </c>
      <c r="I13" cm="1">
        <f t="array" ref="I13">_xll.FDS(D13,"FMA_DIV_YLD(NTMA,NOW,NOW,M,""PORTAGG"",""MEANR"")")</f>
        <v>2.5138107407764698</v>
      </c>
      <c r="J13" s="52" cm="1">
        <f t="array" ref="J13">IFERROR(_xll.FDS(D13,"FG_FCF_YIELD_NTM(0)"),(1/G13*100))</f>
        <v>3.5607975871566802</v>
      </c>
      <c r="K13" s="3" cm="1">
        <f t="array" ref="K13">_xll.FDS(D13,"FMA_EVAL_EBITDA(NTMA,0,,,""PORTAGG"",""MEANR"")")</f>
        <v>12.873791692290199</v>
      </c>
      <c r="L13" cm="1">
        <f t="array" ref="L13">_xll.FDS(D13,"FMA_EVAL_EBIT(LTMA,NOW,NOW,M,""PORTAGG"",""MEANR"")")</f>
        <v>21.977453476220301</v>
      </c>
      <c r="M13">
        <f>HLOOKUP(D13,'Index ROE'!$A$1:$N$25,25,FALSE)</f>
        <v>12.745985665341101</v>
      </c>
      <c r="N13">
        <f>VLOOKUP(A13,'LIQIDITY 2'!$A$3:$E$16,5,FALSE)</f>
        <v>2.75</v>
      </c>
      <c r="O13" cm="1">
        <f t="array" ref="O13">IFERROR(IFERROR(IFERROR(IFERROR(_xll.FDS(B13,"IMF_IFS_RCPI_Q(0)"),_xll.FDS(B13,"IMF_IFS_RCPI_Q(-1AM)")),_xll.FDS(B13,"IMF_IFS_RCPI_Q(-2AM)")),_xll.FDS(B13,"IMF_IFS_RCPI_Q(-3AM)")),$D$31)</f>
        <v>3.0237905999999999</v>
      </c>
      <c r="P13">
        <f>VLOOKUP(E13,GDP_GROWTH!$B$10:$W$165,22,FALSE)</f>
        <v>1.7793785730007783</v>
      </c>
      <c r="Q13">
        <f t="shared" si="4"/>
        <v>-0.23618925922353018</v>
      </c>
      <c r="R13" s="52">
        <f t="shared" si="5"/>
        <v>0.81079758715668016</v>
      </c>
      <c r="S13">
        <f t="shared" si="6"/>
        <v>9.9959856653411006</v>
      </c>
      <c r="T13">
        <f t="shared" si="7"/>
        <v>9.7221950653411007</v>
      </c>
      <c r="U13" cm="1">
        <f t="array" ref="U13">_xlfn.PERCENTRANK.EXC(_xlfn._xlws.FILTER(Q$3:Q$15, ISNUMBER(Q$3:Q$15)),Q13)*100</f>
        <v>35.699999999999996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42.900000000000006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37.155000000000001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45471</v>
      </c>
      <c r="G14" s="4" cm="1">
        <f t="array" ref="G14">_xll.FDS(D14,"FMA_PE(LTM,0,,,""PORTAGG"",""MEANR"")")</f>
        <v>14.529898440821601</v>
      </c>
      <c r="H14" s="4" cm="1">
        <f t="array" ref="H14">_xll.FDS(D14,"FMA_PE(NTMA,0,,,""PORTAGG"",""MEANR"")")</f>
        <v>15.8983938999432</v>
      </c>
      <c r="I14" cm="1">
        <f t="array" ref="I14">_xll.FDS(D14,"FMA_DIV_YLD(NTMA,NOW,NOW,M,""PORTAGG"",""MEANR"")")</f>
        <v>3.2289566118772699</v>
      </c>
      <c r="J14" s="52" cm="1">
        <f t="array" ref="J14">IFERROR(_xll.FDS(D14,"FG_FCF_YIELD_NTM(0)"),(1/G14*100))</f>
        <v>5.1493939750791604</v>
      </c>
      <c r="K14" s="3" cm="1">
        <f t="array" ref="K14">_xll.FDS(D14,"FMA_EVAL_EBITDA(NTMA,0,,,""PORTAGG"",""MEANR"")")</f>
        <v>10.876983442563899</v>
      </c>
      <c r="L14" cm="1">
        <f t="array" ref="L14">_xll.FDS(D14,"FMA_EVAL_EBIT(LTMA,NOW,NOW,M,""PORTAGG"",""MEANR"")")</f>
        <v>15.8534745437462</v>
      </c>
      <c r="M14">
        <f>HLOOKUP(D14,'Index ROE'!$A$1:$N$25,25,FALSE)</f>
        <v>15.368050598586001</v>
      </c>
      <c r="N14">
        <f>VLOOKUP(A14,'LIQIDITY 2'!$A$3:$E$16,5,FALSE)</f>
        <v>2.161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1.0679566118772699</v>
      </c>
      <c r="R14" s="52">
        <f t="shared" si="5"/>
        <v>2.9883939750791604</v>
      </c>
      <c r="S14">
        <f t="shared" si="6"/>
        <v>13.207050598586001</v>
      </c>
      <c r="T14">
        <f t="shared" si="7"/>
        <v>10.697896998586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78.5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57.2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69.99499999999999</v>
      </c>
      <c r="AC14" cm="1">
        <f t="array" ref="AC14">_xlfn.PERCENTRANK.EXC(_xlfn._xlws.FILTER(AB$3:AB$15, ISNUMBER(AB$3:AB$15)),AB14)*100</f>
        <v>85.7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45471</v>
      </c>
      <c r="G15" s="4" cm="1">
        <f t="array" ref="G15">_xll.FDS(D15,"FMA_PE(LTM,0,,,""PORTAGG"",""MEANR"")")</f>
        <v>10.162587396181401</v>
      </c>
      <c r="H15" s="4" cm="1">
        <f t="array" ref="H15">_xll.FDS(D15,"FMA_PE(NTMA,0,,,""PORTAGG"",""MEANR"")")</f>
        <v>9.6366363711623997</v>
      </c>
      <c r="I15" cm="1">
        <f t="array" ref="I15">_xll.FDS(D15,"FMA_DIV_YLD(NTMA,NOW,NOW,M,""PORTAGG"",""MEANR"")")</f>
        <v>5.4963788307990296</v>
      </c>
      <c r="J15" s="52" cm="1">
        <f t="array" ref="J15">IFERROR(_xll.FDS(D15,"FG_FCF_YIELD_NTM(0)"),(1/G15*100))</f>
        <v>6.1599733244366899</v>
      </c>
      <c r="K15" s="3" cm="1">
        <f t="array" ref="K15">_xll.FDS(D15,"FMA_EVAL_EBITDA(NTMA,0,,,""PORTAGG"",""MEANR"")")</f>
        <v>6.7711879151263501</v>
      </c>
      <c r="L15" cm="1">
        <f t="array" ref="L15">_xll.FDS(D15,"FMA_EVAL_EBIT(LTMA,NOW,NOW,M,""PORTAGG"",""MEANR"")")</f>
        <v>10.831804394535199</v>
      </c>
      <c r="M15">
        <f>HLOOKUP(D15,'Index ROE'!$A$1:$N$25,25,FALSE)</f>
        <v>13.3572149047324</v>
      </c>
      <c r="N15">
        <f>VLOOKUP(A15,'LIQIDITY 2'!$A$3:$E$16,5,FALSE)</f>
        <v>3.7730000000000001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1.7233788307990294</v>
      </c>
      <c r="R15" s="52">
        <f t="shared" si="5"/>
        <v>2.3869733244366897</v>
      </c>
      <c r="S15">
        <f t="shared" si="6"/>
        <v>9.5842149047324003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50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73.945000000000007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45443</v>
      </c>
      <c r="G19" s="4" cm="1">
        <f t="array" ref="G19">_xll.FDS(D19,"FG_PE(0)")</f>
        <v>14.345048671905801</v>
      </c>
      <c r="H19" s="4" cm="1">
        <f t="array" ref="H19">_xll.FDS(D19,"FG_PE_NTM(0,,,90,0)")</f>
        <v>13.4915278434262</v>
      </c>
      <c r="I19" cm="1">
        <f t="array" ref="I19">_xll.FDS(D19,"FMA_DIV_YLD(NTMA,NOW,NOW,M,""PORTAGG"",""MEANR"")")</f>
        <v>3.4434698934033201</v>
      </c>
      <c r="J19" s="52" cm="1">
        <f t="array" ref="J19">_xll.FDS(D19,"FG_FCF_YIELD_NTM(0)")</f>
        <v>5.1976540870382797</v>
      </c>
      <c r="K19" s="3" cm="1">
        <f t="array" ref="K19">_xll.FDS(D19,"FMA_EVAL_EBITDA(NTMA,0,,,""PORTAGG"",""MEANR"")")</f>
        <v>8.9590958761099504</v>
      </c>
      <c r="L19" cm="1">
        <f t="array" ref="L19">_xll.FDS(D19,"FMA_EVAL_EBIT(LTMA,NOW,NOW,M,""PORTAGG"",""MEANR"")")</f>
        <v>13.294234703156199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45443</v>
      </c>
      <c r="G20" s="4" cm="1">
        <f t="array" ref="G20">_xll.FDS(D20,"FG_PE(0)")</f>
        <v>14.473363459388599</v>
      </c>
      <c r="H20" s="4" cm="1">
        <f t="array" ref="H20">_xll.FDS(D20,"FG_PE_NTM(0,,,90,0)")</f>
        <v>12.643269330693901</v>
      </c>
      <c r="I20" cm="1">
        <f t="array" ref="I20">_xll.FDS(D20,"FMA_DIV_YLD(NTMA,NOW,NOW,M,""PORTAGG"",""MEANR"")")</f>
        <v>3.0587124567943098</v>
      </c>
      <c r="J20" s="52" cm="1">
        <f t="array" ref="J20">_xll.FDS(D20,"FG_FCF_YIELD_NTM(0)")</f>
        <v>5.42291804839651</v>
      </c>
      <c r="K20" s="3" cm="1">
        <f t="array" ref="K20">_xll.FDS(D20,"FMA_EVAL_EBITDA(NTMA,0,,,""PORTAGG"",""MEANR"")")</f>
        <v>8.8921243088091604</v>
      </c>
      <c r="L20" cm="1">
        <f t="array" ref="L20">_xll.FDS(D20,"FMA_EVAL_EBIT(LTMA,NOW,NOW,M,""PORTAGG"",""MEANR"")")</f>
        <v>14.255647100105501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3.2410160000000001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4.5667</v>
      </c>
      <c r="G3" s="26" cm="1">
        <f t="array" ref="G3">_xll.FDSB(C3,"PCTCHG(FG_YIELD(0,,,,""YTM""),FG_YIELD(-1AM,,,,""YTM""))")</f>
        <v>-3.3461761000000001</v>
      </c>
      <c r="H3" s="26" cm="1">
        <f t="array" ref="H3">_xll.FDSB(C3,"PCTCHG(FG_YIELD(0,,,,""YTM""),FG_YIELD(-3AM,,,,""YTM""))")</f>
        <v>-5.1055580000000003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0.93330000000000002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0.5</v>
      </c>
      <c r="X3">
        <f>_xlfn.PERCENTRANK.EXC($V$3:$V$15,V3)*100</f>
        <v>21.4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4.3739999999999997</v>
      </c>
      <c r="G4" s="26" cm="1">
        <f t="array" ref="G4">_xll.FDSB(C4,"PCTCHG(FG_YIELD(0,,,,""YTM""),FG_YIELD(-1AM,,,,""YTM""))")</f>
        <v>1.1563410999999999</v>
      </c>
      <c r="H4" s="26" cm="1">
        <f t="array" ref="H4">_xll.FDSB(C4,"PCTCHG(FG_YIELD(0,,,,""YTM""),FG_YIELD(-3AM,,,,""YTM""))")</f>
        <v>2.7967088000000002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-2.4000000000000021E-2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3.4239999999999999</v>
      </c>
      <c r="G5" s="26" cm="1">
        <f t="array" ref="G5">_xll.FDSB(C5,"PCTCHG(FG_YIELD(0,,,,""YTM""),FG_YIELD(-1AM,,,,""YTM""))")</f>
        <v>-1.6657120000000001</v>
      </c>
      <c r="H5" s="26" cm="1">
        <f t="array" ref="H5">_xll.FDSB(C5,"PCTCHG(FG_YIELD(0,,,,""YTM""),FG_YIELD(-3AM,,,,""YTM""))")</f>
        <v>-7.8033260000000002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4.75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1.3260000000000001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57.099999999999994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2.4689999999999999</v>
      </c>
      <c r="G6" s="26" cm="1">
        <f t="array" ref="G6">_xll.FDSB(C6,"PCTCHG(FG_YIELD(0,,,,""YTM""),FG_YIELD(-1AM,,,,""YTM""))")</f>
        <v>-6.5834200000000003</v>
      </c>
      <c r="H6" s="26" cm="1">
        <f t="array" ref="H6">_xll.FDSB(C6,"PCTCHG(FG_YIELD(0,,,,""YTM""),FG_YIELD(-3AM,,,,""YTM""))")</f>
        <v>-0.28271281999999998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1.7810000000000001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57.099999999999994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1.0871999999999999</v>
      </c>
      <c r="G7" s="26" cm="1">
        <f t="array" ref="G7">_xll.FDSB(C7,"PCTCHG(FG_YIELD(0,,,,""YTM""),FG_YIELD(-1AM,,,,""YTM""))")</f>
        <v>7.3459782999999996</v>
      </c>
      <c r="H7" s="26" cm="1">
        <f t="array" ref="H7">_xll.FDSB(C7,"PCTCHG(FG_YIELD(0,,,,""YTM""),FG_YIELD(-3AM,,,,""YTM""))")</f>
        <v>26.994513000000001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20</v>
      </c>
      <c r="N7" s="38">
        <f t="shared" si="0"/>
        <v>-20</v>
      </c>
      <c r="O7" s="26">
        <f t="shared" si="5"/>
        <v>-0.98719999999999997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0.59499999999999997</v>
      </c>
      <c r="G8" s="26" cm="1">
        <f t="array" ref="G8">_xll.FDSB(C8,"PCTCHG(FG_YIELD(0,,,,""YTM""),FG_YIELD(-1AM,,,,""YTM""))")</f>
        <v>-29.41874</v>
      </c>
      <c r="H8" s="26" cm="1">
        <f t="array" ref="H8">_xll.FDSB(C8,"PCTCHG(FG_YIELD(0,,,,""YTM""),FG_YIELD(-3AM,,,,""YTM""))")</f>
        <v>-20.772299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0.65500000000000003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57.099999999999994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4.085</v>
      </c>
      <c r="G9" s="26" cm="1">
        <f t="array" ref="G9">_xll.FDSB(C9,"PCTCHG(FG_YIELD(0,,,,""YTM""),FG_YIELD(-1AM,,,,""YTM""))")</f>
        <v>-4.5337643999999999</v>
      </c>
      <c r="H9" s="26" cm="1">
        <f t="array" ref="H9">_xll.FDSB(C9,"PCTCHG(FG_YIELD(0,,,,""YTM""),FG_YIELD(-3AM,,,,""YTM""))")</f>
        <v>-3.3822169999999998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1.165</v>
      </c>
      <c r="S9">
        <f t="shared" si="1"/>
        <v>0</v>
      </c>
      <c r="T9">
        <f t="shared" si="2"/>
        <v>1</v>
      </c>
      <c r="U9">
        <f t="shared" si="3"/>
        <v>1</v>
      </c>
      <c r="V9" s="47">
        <f t="shared" si="4"/>
        <v>0.5</v>
      </c>
      <c r="X9">
        <f t="shared" si="6"/>
        <v>21.4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4.2008999999999999</v>
      </c>
      <c r="G10" s="26" cm="1">
        <f t="array" ref="G10">_xll.FDSB(C10,"PCTCHG(FG_YIELD(0,,,,""YTM""),FG_YIELD(-1AM,,,,""YTM""))")</f>
        <v>-4.4642052999999997</v>
      </c>
      <c r="H10" s="26" cm="1">
        <f t="array" ref="H10">_xll.FDSB(C10,"PCTCHG(FG_YIELD(0,,,,""YTM""),FG_YIELD(-3AM,,,,""YTM""))")</f>
        <v>-8.100714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1.2991000000000001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21.4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4.2008999999999999</v>
      </c>
      <c r="G11" s="26" cm="1">
        <f t="array" ref="G11">_xll.FDSB(C11,"PCTCHG(FG_YIELD(0,,,,""YTM""),FG_YIELD(-1AM,,,,""YTM""))")</f>
        <v>-4.4642052999999997</v>
      </c>
      <c r="H11" s="26" cm="1">
        <f t="array" ref="H11">_xll.FDSB(C11,"PCTCHG(FG_YIELD(0,,,,""YTM""),FG_YIELD(-3AM,,,,""YTM""))")</f>
        <v>-8.100714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1.2991000000000001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21.4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3.121</v>
      </c>
      <c r="G12" s="26" cm="1">
        <f t="array" ref="G12">_xll.FDSB(C12,"PCTCHG(FG_YIELD(0,,,,""YTM""),FG_YIELD(-1AM,,,,""YTM""))")</f>
        <v>-3.9987659999999998</v>
      </c>
      <c r="H12" s="26" cm="1">
        <f t="array" ref="H12">_xll.FDSB(C12,"PCTCHG(FG_YIELD(0,,,,""YTM""),FG_YIELD(-3AM,,,,""YTM""))")</f>
        <v>4.9428400000000003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1.129</v>
      </c>
      <c r="S12">
        <f t="shared" si="1"/>
        <v>1</v>
      </c>
      <c r="T12">
        <f t="shared" si="2"/>
        <v>1</v>
      </c>
      <c r="U12">
        <f t="shared" si="3"/>
        <v>0</v>
      </c>
      <c r="V12" s="47">
        <f t="shared" si="4"/>
        <v>0.75</v>
      </c>
      <c r="X12">
        <f t="shared" si="6"/>
        <v>50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2.75</v>
      </c>
      <c r="G13" s="26" cm="1">
        <f t="array" ref="G13">_xll.FDSB(C13,"PCTCHG(FG_YIELD(0,,,,""YTM""),FG_YIELD(-1AM,,,,""YTM""))")</f>
        <v>-7.2199720000000003</v>
      </c>
      <c r="H13" s="26" cm="1">
        <f t="array" ref="H13">_xll.FDSB(C13,"PCTCHG(FG_YIELD(0,,,,""YTM""),FG_YIELD(-3AM,,,,""YTM""))")</f>
        <v>-0.68617019999999995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1.5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57.099999999999994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2.161</v>
      </c>
      <c r="G14" s="26" cm="1">
        <f t="array" ref="G14">_xll.FDSB(C14,"PCTCHG(FG_YIELD(0,,,,""YTM""),FG_YIELD(-1AM,,,,""YTM""))")</f>
        <v>-8.0816700000000008</v>
      </c>
      <c r="H14" s="26" cm="1">
        <f t="array" ref="H14">_xll.FDSB(C14,"PCTCHG(FG_YIELD(0,,,,""YTM""),FG_YIELD(-3AM,,,,""YTM""))")</f>
        <v>-14.551208000000001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1.589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57.099999999999994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3.7730000000000001</v>
      </c>
      <c r="G15" s="26" cm="1">
        <f t="array" ref="G15">_xll.FDSB(C15,"PCTCHG(FG_YIELD(0,,,,""YTM""),FG_YIELD(-1AM,,,,""YTM""))")</f>
        <v>-8.1100820000000002</v>
      </c>
      <c r="H15" s="26" cm="1">
        <f t="array" ref="H15">_xll.FDSB(C15,"PCTCHG(FG_YIELD(0,,,,""YTM""),FG_YIELD(-3AM,,,,""YTM""))")</f>
        <v>-1.693592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0.47699999999999987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57.099999999999994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4.2008999999999999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4.5667</v>
      </c>
      <c r="H2" cm="1">
        <f t="array" ref="H2">_xll.FDS(B2,"FG_ROE(0)")</f>
        <v>4.9542172635255604</v>
      </c>
      <c r="I2">
        <f>HLOOKUP(B2,'Index ROE'!$B$1:$N$25,24,FALSE)</f>
        <v>9.8238973987983247</v>
      </c>
      <c r="J2" cm="1">
        <f t="array" ref="J2">_xll.FDS(B2, "FMA_RBICS_REV_CURRENT(30, LOC, ""PORTAGG"")")</f>
        <v>14.675305666219799</v>
      </c>
      <c r="K2" s="74">
        <f>HLOOKUP(B2,'Index earnings'!$B$1:$N$25,25,FALSE)</f>
        <v>-9.3828148339384354E-3</v>
      </c>
      <c r="L2">
        <f>HLOOKUP(A2,'Yearly returns'!$B$1:$N$128,126,FALSE)</f>
        <v>-32.247996999999998</v>
      </c>
      <c r="M2">
        <f t="shared" ref="M2:M10" si="0">I2-G2</f>
        <v>5.2571973987983247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28.499999999999996</v>
      </c>
      <c r="R2">
        <f>N2*Assumption!$F$64 + O2*Assumption!$F$61 + P2*Assumption!$F$62 + Q2*Assumption!$F$63</f>
        <v>28.55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4.3739999999999997</v>
      </c>
      <c r="H3" cm="1">
        <f t="array" ref="H3">_xll.FDS(B3,"FG_ROE(0)")</f>
        <v>12.5613674420637</v>
      </c>
      <c r="I3">
        <f>HLOOKUP(B3,'Index ROE'!$B$1:$N$25,24,FALSE)</f>
        <v>13.020733299173699</v>
      </c>
      <c r="J3" cm="1">
        <f t="array" ref="J3">_xll.FDS(B3, "FMA_RBICS_REV_CURRENT(30, LOC, ""PORTAGG"")")</f>
        <v>42.406257126777597</v>
      </c>
      <c r="K3" s="74">
        <f>HLOOKUP(B3,'Index earnings'!$B$1:$N$25,25,FALSE)</f>
        <v>1.1173841089814562E-2</v>
      </c>
      <c r="L3">
        <f>HLOOKUP(A3,'Yearly returns'!$B$1:$N$128,126,FALSE)</f>
        <v>-25.985997999999999</v>
      </c>
      <c r="M3">
        <f t="shared" si="0"/>
        <v>8.6467332991737003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64.2</v>
      </c>
      <c r="R3">
        <f>N3*Assumption!$F$64 + O3*Assumption!$F$61 + P3*Assumption!$F$62 + Q3*Assumption!$F$63</f>
        <v>33.9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3.4239999999999999</v>
      </c>
      <c r="H4" cm="1">
        <f t="array" ref="H4">_xll.FDS(B4,"FG_ROE(0)")</f>
        <v>11.026571554417499</v>
      </c>
      <c r="I4">
        <f>HLOOKUP(B4,'Index ROE'!$B$1:$N$25,24,FALSE)</f>
        <v>12.7516875895064</v>
      </c>
      <c r="J4" cm="1">
        <f t="array" ref="J4">_xll.FDS(B4, "FMA_RBICS_REV_CURRENT(30, LOC, ""PORTAGG"")")</f>
        <v>39.957029510295797</v>
      </c>
      <c r="K4" s="74">
        <f>HLOOKUP(B4,'Index earnings'!$B$1:$N$25,25,FALSE)</f>
        <v>4.0909866878857226E-2</v>
      </c>
      <c r="L4">
        <f>HLOOKUP(A4,'Yearly returns'!$B$1:$N$128,126,FALSE)</f>
        <v>-26.906717</v>
      </c>
      <c r="M4">
        <f t="shared" si="0"/>
        <v>9.3276875895064002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50</v>
      </c>
      <c r="R4">
        <f>N4*Assumption!$F$64 + O4*Assumption!$F$61 + P4*Assumption!$F$62 + Q4*Assumption!$F$63</f>
        <v>44.625</v>
      </c>
      <c r="S4" cm="1">
        <f t="array" ref="S4">_xlfn.PERCENTRANK.EXC(_xlfn._xlws.FILTER(R$2:R$14, ISNUMBER(R$2:R$14)),R4)*100</f>
        <v>42.8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2.4689999999999999</v>
      </c>
      <c r="H5" cm="1">
        <f t="array" ref="H5">_xll.FDS(B5,"FG_ROE(0)")</f>
        <v>9.4822621622286594</v>
      </c>
      <c r="I5">
        <f>HLOOKUP(B5,'Index ROE'!$B$1:$N$25,24,FALSE)</f>
        <v>11.988728308067351</v>
      </c>
      <c r="J5" cm="1">
        <f t="array" ref="J5">_xll.FDS(B5, "FMA_RBICS_REV_CURRENT(30, LOC, ""PORTAGG"")")</f>
        <v>23.0594534932325</v>
      </c>
      <c r="K5" s="74">
        <f>HLOOKUP(B5,'Index earnings'!$B$1:$N$25,25,FALSE)</f>
        <v>2.8327007241510938E-2</v>
      </c>
      <c r="L5">
        <f>HLOOKUP(A5,'Yearly returns'!$B$1:$N$128,126,FALSE)</f>
        <v>-36.777749999999997</v>
      </c>
      <c r="M5">
        <f t="shared" si="0"/>
        <v>9.5197283080673518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41.05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1.0871999999999999</v>
      </c>
      <c r="H6" cm="1">
        <f t="array" ref="H6">_xll.FDS(B6,"FG_ROE(0)")</f>
        <v>9.7510523375743006</v>
      </c>
      <c r="I6">
        <f>HLOOKUP(B6,'Index ROE'!$B$1:$N$25,24,FALSE)</f>
        <v>8.994618118763011</v>
      </c>
      <c r="J6" cm="1">
        <f t="array" ref="J6">_xll.FDS(B6, "FMA_RBICS_REV_CURRENT(30, LOC, ""PORTAGG"")")</f>
        <v>18.9424358750144</v>
      </c>
      <c r="K6" s="74">
        <f>HLOOKUP(B6,'Index earnings'!$B$1:$N$25,25,FALSE)</f>
        <v>2.4111181364210088E-2</v>
      </c>
      <c r="L6">
        <f>HLOOKUP(A6,'Yearly returns'!$B$1:$N$128,126,FALSE)</f>
        <v>-26.293056</v>
      </c>
      <c r="M6">
        <f t="shared" si="0"/>
        <v>7.9074181187630108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57.099999999999994</v>
      </c>
      <c r="R6">
        <f>N6*Assumption!$F$64 + O6*Assumption!$F$61 + P6*Assumption!$F$62 + Q6*Assumption!$F$63</f>
        <v>44.625</v>
      </c>
      <c r="S6" cm="1">
        <f t="array" ref="S6">_xlfn.PERCENTRANK.EXC(_xlfn._xlws.FILTER(R$2:R$14, ISNUMBER(R$2:R$14)),R6)*100</f>
        <v>42.8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0.59499999999999997</v>
      </c>
      <c r="H7" cm="1">
        <f t="array" ref="H7">_xll.FDS(B7,"FG_ROE(0)")</f>
        <v>23.934743222721</v>
      </c>
      <c r="I7">
        <f>HLOOKUP(B7,'Index ROE'!$B$1:$N$25,24,FALSE)</f>
        <v>15.55096443559315</v>
      </c>
      <c r="J7" cm="1">
        <f t="array" ref="J7">_xll.FDS(B7, "FMA_RBICS_REV_CURRENT(30, LOC, ""PORTAGG"")")</f>
        <v>17.795282609975299</v>
      </c>
      <c r="K7" s="74">
        <f>HLOOKUP(B7,'Index earnings'!$B$1:$N$25,25,FALSE)</f>
        <v>4.6616158051884682E-2</v>
      </c>
      <c r="L7">
        <f>HLOOKUP(A7,'Yearly returns'!$B$1:$N$128,126,FALSE)</f>
        <v>-20.218342</v>
      </c>
      <c r="M7">
        <f t="shared" si="0"/>
        <v>14.955964435593149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4.085</v>
      </c>
      <c r="H8" cm="1">
        <f t="array" ref="H8">_xll.FDS(B8,"FG_ROE(0)")</f>
        <v>14.4433018221076</v>
      </c>
      <c r="I8">
        <f>HLOOKUP(B8,'Index ROE'!$B$1:$N$25,24,FALSE)</f>
        <v>14.561964916400001</v>
      </c>
      <c r="J8" cm="1">
        <f t="array" ref="J8">_xll.FDS(B8, "FMA_RBICS_REV_CURRENT(30, LOC, ""PORTAGG"")")</f>
        <v>19.404935114087898</v>
      </c>
      <c r="K8" s="74">
        <f>HLOOKUP(B8,'Index earnings'!$B$1:$N$25,25,FALSE)</f>
        <v>3.7109465036002653E-3</v>
      </c>
      <c r="L8">
        <f>HLOOKUP(A8,'Yearly returns'!$B$1:$N$128,126,FALSE)</f>
        <v>-22.542137</v>
      </c>
      <c r="M8">
        <f t="shared" si="0"/>
        <v>10.4769649164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78.5</v>
      </c>
      <c r="R8">
        <f>N8*Assumption!$F$64 + O8*Assumption!$F$61 + P8*Assumption!$F$62 + Q8*Assumption!$F$63</f>
        <v>51.725000000000001</v>
      </c>
      <c r="S8" cm="1">
        <f t="array" ref="S8">_xlfn.PERCENTRANK.EXC(_xlfn._xlws.FILTER(R$2:R$14, ISNUMBER(R$2:R$14)),R8)*100</f>
        <v>64.2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4.2008999999999999</v>
      </c>
      <c r="H9" cm="1">
        <f t="array" ref="H9">_xll.FDS(B9,"FG_ROE(0)")</f>
        <v>22.656309907056698</v>
      </c>
      <c r="I9">
        <f>HLOOKUP(B9,'Index ROE'!$B$1:$N$25,24,FALSE)</f>
        <v>21.036882269896502</v>
      </c>
      <c r="J9" cm="1">
        <f t="array" ref="J9">_xll.FDS(B9, "FMA_RBICS_REV_CURRENT(30, LOC, ""PORTAGG"")")</f>
        <v>0.75323547999288598</v>
      </c>
      <c r="K9" s="74">
        <f>HLOOKUP(B9,'Index earnings'!$B$1:$N$25,25,FALSE)</f>
        <v>0.12988959960221358</v>
      </c>
      <c r="L9">
        <f>HLOOKUP(A9,'Yearly returns'!$B$1:$N$128,126,FALSE)</f>
        <v>-27.922893999999999</v>
      </c>
      <c r="M9">
        <f t="shared" si="0"/>
        <v>16.835982269896501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42.8</v>
      </c>
      <c r="R9">
        <f>N9*Assumption!$F$64 + O9*Assumption!$F$61 + P9*Assumption!$F$62 + Q9*Assumption!$F$63</f>
        <v>80.325000000000003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4.2008999999999999</v>
      </c>
      <c r="H10" cm="1">
        <f t="array" ref="H10">_xll.FDS(B10,"FG_ROE(0)")</f>
        <v>18.5513162949416</v>
      </c>
      <c r="I10">
        <f>HLOOKUP(B10,'Index ROE'!$B$1:$N$25,24,FALSE)</f>
        <v>16.391058174766847</v>
      </c>
      <c r="J10" cm="1">
        <f t="array" ref="J10">_xll.FDS(B10, "FMA_RBICS_REV_CURRENT(30, LOC, ""PORTAGG"")")</f>
        <v>12.3968672783064</v>
      </c>
      <c r="K10" s="74">
        <f>HLOOKUP(B10,'Index earnings'!$B$1:$N$25,25,FALSE)</f>
        <v>5.9884631688204459E-2</v>
      </c>
      <c r="L10">
        <f>HLOOKUP(A10,'Yearly returns'!$B$1:$N$128,126,FALSE)</f>
        <v>-16.454065</v>
      </c>
      <c r="M10">
        <f t="shared" si="0"/>
        <v>12.190158174766847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3.121</v>
      </c>
      <c r="H11" cm="1">
        <f t="array" ref="H11">_xll.FDS(B11,"FG_ROE(0)")</f>
        <v>12.766692446284001</v>
      </c>
      <c r="I11">
        <f>HLOOKUP(B11,'Index ROE'!$B$1:$N$25,24,FALSE)</f>
        <v>11.16089938202855</v>
      </c>
      <c r="J11" cm="1">
        <f t="array" ref="J11">_xll.FDS(B11, "FMA_RBICS_REV_CURRENT(30, LOC, ""PORTAGG"")")</f>
        <v>11.151330427567199</v>
      </c>
      <c r="K11" s="74">
        <f>HLOOKUP(B11,'Index earnings'!$B$1:$N$25,25,FALSE)</f>
        <v>1.8533351259146347E-2</v>
      </c>
      <c r="L11">
        <f>HLOOKUP(A11,'Yearly returns'!$B$1:$N$128,126,FALSE)</f>
        <v>-23.329317</v>
      </c>
      <c r="M11">
        <f t="shared" ref="M11:M14" si="1">I11-G11</f>
        <v>8.0398993820285494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71.399999999999991</v>
      </c>
      <c r="R11">
        <f>N11*Assumption!$F$64 + O11*Assumption!$F$61 + P11*Assumption!$F$62 + Q11*Assumption!$F$63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2.75</v>
      </c>
      <c r="H12" cm="1">
        <f t="array" ref="H12">_xll.FDS(B12,"FG_ROE(0)")</f>
        <v>10.941455782478499</v>
      </c>
      <c r="I12">
        <f>HLOOKUP(B12,'Index ROE'!$B$1:$N$25,24,FALSE)</f>
        <v>13.04966082823935</v>
      </c>
      <c r="J12" cm="1">
        <f t="array" ref="J12">_xll.FDS(B12, "FMA_RBICS_REV_CURRENT(30, LOC, ""PORTAGG"")")</f>
        <v>23.871512129494501</v>
      </c>
      <c r="K12" s="74">
        <f>HLOOKUP(B12,'Index earnings'!$B$1:$N$25,25,FALSE)</f>
        <v>3.4801405293916954E-2</v>
      </c>
      <c r="L12">
        <f>HLOOKUP(A12,'Yearly returns'!$B$1:$N$128,126,FALSE)</f>
        <v>-37.688859999999998</v>
      </c>
      <c r="M12">
        <f t="shared" si="1"/>
        <v>10.29966082823935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2.161</v>
      </c>
      <c r="H13" cm="1">
        <f t="array" ref="H13">_xll.FDS(B13,"FG_ROE(0)")</f>
        <v>16.799116320805801</v>
      </c>
      <c r="I13">
        <f>HLOOKUP(B13,'Index ROE'!$B$1:$N$25,24,FALSE)</f>
        <v>14.442959457883401</v>
      </c>
      <c r="J13" cm="1">
        <f t="array" ref="J13">_xll.FDS(B13, "FMA_RBICS_REV_CURRENT(30, LOC, ""PORTAGG"")")</f>
        <v>26.6826894897005</v>
      </c>
      <c r="K13" s="74">
        <f>HLOOKUP(B13,'Index earnings'!$B$1:$N$25,25,FALSE)</f>
        <v>2.4305006375947347E-2</v>
      </c>
      <c r="L13">
        <f>HLOOKUP(A13,'Yearly returns'!$B$1:$N$128,126,FALSE)</f>
        <v>-36.030769999999997</v>
      </c>
      <c r="M13">
        <f t="shared" si="1"/>
        <v>12.281959457883401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44.625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3.7730000000000001</v>
      </c>
      <c r="H14" cm="1">
        <f t="array" ref="H14">_xll.FDS(B14,"FG_ROE(0)")</f>
        <v>13.9632713363746</v>
      </c>
      <c r="I14">
        <f>HLOOKUP(B14,'Index ROE'!$B$1:$N$25,24,FALSE)</f>
        <v>9.6445775045501065</v>
      </c>
      <c r="J14" cm="1">
        <f t="array" ref="J14">_xll.FDS(B14, "FMA_RBICS_REV_CURRENT(30, LOC, ""PORTAGG"")")</f>
        <v>37.029707357811503</v>
      </c>
      <c r="K14" s="74">
        <f>HLOOKUP(B14,'Index earnings'!$B$1:$N$25,25,FALSE)</f>
        <v>9.2743946932130061E-3</v>
      </c>
      <c r="L14">
        <f>HLOOKUP(A14,'Yearly returns'!$B$1:$N$128,126,FALSE)</f>
        <v>-29.566061000000001</v>
      </c>
      <c r="M14">
        <f t="shared" si="1"/>
        <v>5.8715775045501069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35.699999999999996</v>
      </c>
      <c r="R14">
        <f>N14*Assumption!$F$64 + O14*Assumption!$F$61 + P14*Assumption!$F$62 + Q14*Assumption!$F$63</f>
        <v>23.199999999999996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94353.483999999997</v>
      </c>
      <c r="E3" cm="1">
        <f t="array" ref="E3">_xll.FDS(C3,"FMA_COS_UP(""EPS"",""1M"",+1,0,,,""PORTAGG"",""MEANR"")")</f>
        <v>2</v>
      </c>
      <c r="F3" cm="1">
        <f t="array" ref="F3">_xll.FDS(C3,"FMA_COS_DOWN(""EPS"",""1M"",+1,0,,,""PORTAGG"",""MEANR"")")</f>
        <v>6</v>
      </c>
      <c r="G3" cm="1">
        <f t="array" ref="G3">_xll.FDS(A3,"SIZE(FG_CONSTITUENTS)")</f>
        <v>14</v>
      </c>
      <c r="H3" s="9">
        <f t="shared" ref="H3:H11" si="0">E3/$G3</f>
        <v>0.14285714285714285</v>
      </c>
      <c r="I3" s="9">
        <f t="shared" ref="I3:I11" si="1">F3/$G3</f>
        <v>0.42857142857142855</v>
      </c>
      <c r="J3" s="9">
        <f t="shared" ref="J3:J11" si="2">H3-I3</f>
        <v>-0.2857142857142857</v>
      </c>
      <c r="K3" s="5" cm="1">
        <f t="array" ref="K3">_xll.FDS(A3,"FMA_PCT_ABOVE_MAVG(200,0,,,,""PORTAGG"")")/100</f>
        <v>0.35714285714285698</v>
      </c>
      <c r="L3" s="41" cm="1">
        <f t="array" ref="L3">_xll.FDSB(A3,"PERCENT_CHANGE(FMA_EPS(+1,0,,,,""PORTAGG"",""MEAN""),FMA_EPS(+1,-1AM,,,,""PORTAGG"",""MEAN""))")</f>
        <v>-1.09898686154869</v>
      </c>
      <c r="M3" s="41" cm="1">
        <f t="array" ref="M3">_xll.FDSB(A3,"PERCENT_CHANGE(FMA_EPS(+1,0,,,,""PORTAGG"",""MEAN""),FMA_EPS(+1,-3AM,,,,""PORTAGG"",""MEAN""))")</f>
        <v>2.44533518918966</v>
      </c>
      <c r="N3" s="3" cm="1">
        <f t="array" ref="N3">_xll.FDS(C3,"FG_TOTAL_RETURNC(0,-1AM)")</f>
        <v>1.5601039000000001</v>
      </c>
      <c r="O3" s="3" cm="1">
        <f t="array" ref="O3">_xll.FDS(C3,"FG_TOTAL_RETURNC(0,-3AM)")</f>
        <v>2.6993870000000002</v>
      </c>
      <c r="P3" s="3" cm="1">
        <f t="array" ref="P3">_xll.FDS(C3,"FG_TOTAL_RETURNC(0,-6AM)")</f>
        <v>-2.6459633999999999</v>
      </c>
      <c r="Q3" s="9" cm="1">
        <f t="array" ref="Q3">_xll.FDS(C3,"P_PRICE(0)/P_PRICE_HIGH_PR(0,,,,,,""PRICE"",""INTRA"",""52W"")")</f>
        <v>0.90115034999999999</v>
      </c>
      <c r="R3" s="9" cm="1">
        <f t="array" ref="R3">_xll.FDS(C3,"P_PRICE(0)/P_PRICE_low_PR(0,,,,,,""PRICE"",""INTRA"",""52W"")-1")</f>
        <v>0.12648999999999999</v>
      </c>
      <c r="S3" s="3" cm="1">
        <f t="array" ref="S3">_xll.FDS(C3,"FG_TOTAL_RETURNC(0,-12AM)")</f>
        <v>-3.0320524999999998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28.499999999999996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7.1</v>
      </c>
      <c r="AC3" s="4">
        <f t="shared" ref="AC3:AC15" si="4">_xlfn.PERCENTRANK.EXC($L$3:$L$15,L3)*100</f>
        <v>7.1</v>
      </c>
      <c r="AD3" s="4">
        <f t="shared" ref="AD3:AD15" si="5">_xlfn.PERCENTRANK.EXC($M$3:$M$15,M3)*100</f>
        <v>85.7</v>
      </c>
      <c r="AE3" s="4">
        <f t="shared" ref="AE3:AE15" si="6">_xlfn.PERCENTRANK.EXC($D$3:$D$15,D3)*100</f>
        <v>7.1</v>
      </c>
      <c r="AF3" s="4">
        <f>'Economic Momentum'!Q4</f>
        <v>7.1</v>
      </c>
      <c r="AG3" s="4">
        <f ca="1">'Economic Momentum'!R4</f>
        <v>14.2</v>
      </c>
      <c r="AH3" s="4">
        <f t="shared" ref="AH3:AH15" ca="1" si="7">SUMPRODUCT($U$2:$AG$2,U3:AG3)</f>
        <v>13.52</v>
      </c>
      <c r="AJ3" s="3" cm="1">
        <f t="array" aca="1" ref="AJ3" ca="1">_xlfn.PERCENTRANK.EXC(_xlfn._xlws.FILTER($AH$3:$AH$15, ISNUMBER($AH$3:$AH$15)),AH3)*100</f>
        <v>14.2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1759662.8</v>
      </c>
      <c r="E4" cm="1">
        <f t="array" ref="E4">_xll.FDS(C4,"FMA_COS_UP(""EPS"",""1M"",+1,0,,,""PORTAGG"",""MEANR"")")</f>
        <v>17</v>
      </c>
      <c r="F4" cm="1">
        <f t="array" ref="F4">_xll.FDS(C4,"FMA_COS_DOWN(""EPS"",""1M"",+1,0,,,""PORTAGG"",""MEANR"")")</f>
        <v>33</v>
      </c>
      <c r="G4" cm="1">
        <f t="array" ref="G4">_xll.FDS(A4,"SIZE(FG_CONSTITUENTS)")</f>
        <v>59</v>
      </c>
      <c r="H4" s="9">
        <f t="shared" si="0"/>
        <v>0.28813559322033899</v>
      </c>
      <c r="I4" s="9">
        <f t="shared" si="1"/>
        <v>0.55932203389830504</v>
      </c>
      <c r="J4" s="9">
        <f t="shared" si="2"/>
        <v>-0.27118644067796605</v>
      </c>
      <c r="K4" s="5" cm="1">
        <f t="array" ref="K4">_xll.FDS(A4,"FMA_PCT_ABOVE_MAVG(200,0,,,,""PORTAGG"")")/100</f>
        <v>0.54237288135593198</v>
      </c>
      <c r="L4" s="41" cm="1">
        <f t="array" ref="L4">_xll.FDSB(A4,"PERCENT_CHANGE(FMA_EPS(+1,0,,,,""PORTAGG"",""MEAN""),FMA_EPS(+1,-1AM,,,,""PORTAGG"",""MEAN""))")</f>
        <v>2.6755932328058201</v>
      </c>
      <c r="M4" s="41" cm="1">
        <f t="array" ref="M4">_xll.FDSB(A4,"PERCENT_CHANGE(FMA_EPS(+1,0,,,,""PORTAGG"",""MEAN""),FMA_EPS(+1,-3AM,,,,""PORTAGG"",""MEAN""))")</f>
        <v>0.57759998621507702</v>
      </c>
      <c r="N4" s="3" cm="1">
        <f t="array" ref="N4">_xll.FDS(C4,"FG_TOTAL_RETURNC(0,-1AM)")</f>
        <v>5.0311922999999998</v>
      </c>
      <c r="O4" s="3" cm="1">
        <f t="array" ref="O4">_xll.FDS(C4,"FG_TOTAL_RETURNC(0,-3AM)")</f>
        <v>5.7585835000000003</v>
      </c>
      <c r="P4" s="3" cm="1">
        <f t="array" ref="P4">_xll.FDS(C4,"FG_TOTAL_RETURNC(0,-6AM)")</f>
        <v>8.8428500000000003</v>
      </c>
      <c r="Q4" s="9" cm="1">
        <f t="array" ref="Q4">_xll.FDS(C4,"P_PRICE(0)/P_PRICE_HIGH_PR(0,,,,,,""PRICE"",""INTRA"",""52W"")")</f>
        <v>0.99487990000000004</v>
      </c>
      <c r="R4" s="9" cm="1">
        <f t="array" ref="R4">_xll.FDS(C4,"P_PRICE(0)/P_PRICE_low_PR(0,,,,,,""PRICE"",""INTRA"",""52W"")-1")</f>
        <v>0.23460412</v>
      </c>
      <c r="S4" s="3" cm="1">
        <f t="array" ref="S4">_xll.FDS(C4,"FG_TOTAL_RETURNC(0,-12AM)")</f>
        <v>17.860104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92.800000000000011</v>
      </c>
      <c r="W4" s="4" cm="1">
        <f t="array" ref="W4">_xlfn.PERCENTRANK.EXC(_xlfn._xlws.FILTER($O$3:$O$15, ISNUMBER($O$3:$O$15)),O4)*100</f>
        <v>57.099999999999994</v>
      </c>
      <c r="X4" s="4" cm="1">
        <f t="array" ref="X4">_xlfn.PERCENTRANK.EXC(_xlfn._xlws.FILTER($P$3:$P$15, ISNUMBER($P$3:$P$15)),P4)*100</f>
        <v>42.8</v>
      </c>
      <c r="Y4" s="201" cm="1">
        <f t="array" ref="Y4">_xlfn.PERCENTRANK.EXC(_xlfn._xlws.FILTER($S$3:$S$15, ISNUMBER($S$3:$S$15)),S4)*100</f>
        <v>57.099999999999994</v>
      </c>
      <c r="Z4" s="4" cm="1">
        <f t="array" ref="Z4">_xlfn.PERCENTRANK.EXC(_xlfn._xlws.FILTER($K$3:$K$15, ISNUMBER($K$3:$K$15)),K4)*100</f>
        <v>28.499999999999996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14.2</v>
      </c>
      <c r="AC4" s="4">
        <f t="shared" si="4"/>
        <v>92.800000000000011</v>
      </c>
      <c r="AD4" s="4">
        <f t="shared" si="5"/>
        <v>57.099999999999994</v>
      </c>
      <c r="AE4" s="4">
        <f t="shared" si="6"/>
        <v>35.699999999999996</v>
      </c>
      <c r="AF4" s="4">
        <f>'Economic Momentum'!Q5</f>
        <v>42.8</v>
      </c>
      <c r="AG4" s="4">
        <f ca="1">'Economic Momentum'!R5</f>
        <v>57.099999999999994</v>
      </c>
      <c r="AH4" s="4">
        <f t="shared" ca="1" si="7"/>
        <v>67.09</v>
      </c>
      <c r="AJ4" s="3" cm="1">
        <f t="array" aca="1" ref="AJ4" ca="1">_xlfn.PERCENTRANK.EXC(_xlfn._xlws.FILTER($AH$3:$AH$15, ISNUMBER($AH$3:$AH$15)),AH4)*100</f>
        <v>71.399999999999991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2789844.5</v>
      </c>
      <c r="E5" cm="1">
        <f t="array" ref="E5">_xll.FDS(C5,"FMA_COS_UP(""EPS"",""1M"",+1,0,,,""PORTAGG"",""MEANR"")")</f>
        <v>28</v>
      </c>
      <c r="F5" cm="1">
        <f t="array" ref="F5">_xll.FDS(C5,"FMA_COS_DOWN(""EPS"",""1M"",+1,0,,,""PORTAGG"",""MEANR"")")</f>
        <v>31</v>
      </c>
      <c r="G5" cm="1">
        <f t="array" ref="G5">_xll.FDS(A5,"SIZE(FG_CONSTITUENTS)")</f>
        <v>88</v>
      </c>
      <c r="H5" s="9">
        <f t="shared" si="0"/>
        <v>0.31818181818181818</v>
      </c>
      <c r="I5" s="9">
        <f t="shared" si="1"/>
        <v>0.35227272727272729</v>
      </c>
      <c r="J5" s="9">
        <f t="shared" si="2"/>
        <v>-3.4090909090909116E-2</v>
      </c>
      <c r="K5" s="5" cm="1">
        <f t="array" ref="K5">_xll.FDS(A5,"FMA_PCT_ABOVE_MAVG(200,0,,,,""PORTAGG"")")/100</f>
        <v>0.65909090909090906</v>
      </c>
      <c r="L5" s="41" cm="1">
        <f t="array" ref="L5">_xll.FDSB(A5,"PERCENT_CHANGE(FMA_EPS(+1,0,,,,""PORTAGG"",""MEAN""),FMA_EPS(+1,-1AM,,,,""PORTAGG"",""MEAN""))")</f>
        <v>1.02788119493993</v>
      </c>
      <c r="M5" s="41" cm="1">
        <f t="array" ref="M5">_xll.FDSB(A5,"PERCENT_CHANGE(FMA_EPS(+1,0,,,,""PORTAGG"",""MEAN""),FMA_EPS(+1,-3AM,,,,""PORTAGG"",""MEAN""))")</f>
        <v>0.11450294932873099</v>
      </c>
      <c r="N5" s="3" cm="1">
        <f t="array" ref="N5">_xll.FDS(C5,"FG_TOTAL_RETURNC(0,-1AM)")</f>
        <v>4.0390370000000004</v>
      </c>
      <c r="O5" s="3" cm="1">
        <f t="array" ref="O5">_xll.FDS(C5,"FG_TOTAL_RETURNC(0,-3AM)")</f>
        <v>2.6043295999999998</v>
      </c>
      <c r="P5" s="3" cm="1">
        <f t="array" ref="P5">_xll.FDS(C5,"FG_TOTAL_RETURNC(0,-6AM)")</f>
        <v>6.8488600000000002</v>
      </c>
      <c r="Q5" s="9" cm="1">
        <f t="array" ref="Q5">_xll.FDS(C5,"P_PRICE(0)/P_PRICE_HIGH_PR(0,,,,,,""PRICE"",""INTRA"",""52W"")")</f>
        <v>0.99019617000000004</v>
      </c>
      <c r="R5" s="9" cm="1">
        <f t="array" ref="R5">_xll.FDS(C5,"P_PRICE(0)/P_PRICE_low_PR(0,,,,,,""PRICE"",""INTRA"",""52W"")-1")</f>
        <v>0.22190392</v>
      </c>
      <c r="S5" s="3" cm="1">
        <f t="array" ref="S5">_xll.FDS(C5,"FG_TOTAL_RETURNC(0,-12AM)")</f>
        <v>13.995004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21.4</v>
      </c>
      <c r="X5" s="4" cm="1">
        <f t="array" ref="X5">_xlfn.PERCENTRANK.EXC(_xlfn._xlws.FILTER($P$3:$P$15, ISNUMBER($P$3:$P$15)),P5)*100</f>
        <v>28.499999999999996</v>
      </c>
      <c r="Y5" s="201" cm="1">
        <f t="array" ref="Y5">_xlfn.PERCENTRANK.EXC(_xlfn._xlws.FILTER($S$3:$S$15, ISNUMBER($S$3:$S$15)),S5)*100</f>
        <v>28.499999999999996</v>
      </c>
      <c r="Z5" s="4" cm="1">
        <f t="array" ref="Z5">_xlfn.PERCENTRANK.EXC(_xlfn._xlws.FILTER($K$3:$K$15, ISNUMBER($K$3:$K$15)),K5)*100</f>
        <v>71.399999999999991</v>
      </c>
      <c r="AA5" s="4" cm="1">
        <f t="array" ref="AA5">_xlfn.PERCENTRANK.EXC(_xlfn._xlws.FILTER($H$3:$H$15, ISNUMBER($H$3:$H$15)),H5)*100</f>
        <v>42.8</v>
      </c>
      <c r="AB5" s="4" cm="1">
        <f t="array" ref="AB5">_xlfn.PERCENTRANK.EXC(_xlfn._xlws.FILTER($J$3:$J$15, ISNUMBER($J$3:$J$15)),J5)*100</f>
        <v>64.2</v>
      </c>
      <c r="AC5" s="4">
        <f t="shared" si="4"/>
        <v>71.399999999999991</v>
      </c>
      <c r="AD5" s="4">
        <f t="shared" si="5"/>
        <v>35.699999999999996</v>
      </c>
      <c r="AE5" s="4">
        <f t="shared" si="6"/>
        <v>57.099999999999994</v>
      </c>
      <c r="AF5" s="4">
        <f>'Economic Momentum'!Q6</f>
        <v>50</v>
      </c>
      <c r="AG5" s="4">
        <f ca="1">'Economic Momentum'!R6</f>
        <v>42.8</v>
      </c>
      <c r="AH5" s="4">
        <f t="shared" ca="1" si="7"/>
        <v>49.25</v>
      </c>
      <c r="AJ5" s="3" cm="1">
        <f t="array" aca="1" ref="AJ5" ca="1">_xlfn.PERCENTRANK.EXC(_xlfn._xlws.FILTER($AH$3:$AH$15, ISNUMBER($AH$3:$AH$15)),AH5)*100</f>
        <v>50</v>
      </c>
      <c r="AK5">
        <f t="shared" si="8"/>
        <v>2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2294066.7999999998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24</v>
      </c>
      <c r="G6" cm="1">
        <f t="array" ref="G6">_xll.FDS(A6,"SIZE(FG_CONSTITUENTS)")</f>
        <v>58</v>
      </c>
      <c r="H6" s="9">
        <f t="shared" si="0"/>
        <v>0.41379310344827586</v>
      </c>
      <c r="I6" s="9">
        <f t="shared" si="1"/>
        <v>0.41379310344827586</v>
      </c>
      <c r="J6" s="9">
        <f t="shared" si="2"/>
        <v>0</v>
      </c>
      <c r="K6" s="5" cm="1">
        <f t="array" ref="K6">_xll.FDS(A6,"FMA_PCT_ABOVE_MAVG(200,0,,,,""PORTAGG"")")/100</f>
        <v>0.58620689655172398</v>
      </c>
      <c r="L6" s="41" cm="1">
        <f t="array" ref="L6">_xll.FDSB(A6,"PERCENT_CHANGE(FMA_EPS(+1,0,,,,""PORTAGG"",""MEAN""),FMA_EPS(+1,-1AM,,,,""PORTAGG"",""MEAN""))")</f>
        <v>1.06676075215939</v>
      </c>
      <c r="M6" s="41" cm="1">
        <f t="array" ref="M6">_xll.FDSB(A6,"PERCENT_CHANGE(FMA_EPS(+1,0,,,,""PORTAGG"",""MEAN""),FMA_EPS(+1,-3AM,,,,""PORTAGG"",""MEAN""))")</f>
        <v>0.50243459162683102</v>
      </c>
      <c r="N6" s="3" cm="1">
        <f t="array" ref="N6">_xll.FDS(C6,"FG_TOTAL_RETURNC(0,-1AM)")</f>
        <v>2.2113800000000001</v>
      </c>
      <c r="O6" s="3" cm="1">
        <f t="array" ref="O6">_xll.FDS(C6,"FG_TOTAL_RETURNC(0,-3AM)")</f>
        <v>4.3930290000000003</v>
      </c>
      <c r="P6" s="3" cm="1">
        <f t="array" ref="P6">_xll.FDS(C6,"FG_TOTAL_RETURNC(0,-6AM)")</f>
        <v>10.329734999999999</v>
      </c>
      <c r="Q6" s="9" cm="1">
        <f t="array" ref="Q6">_xll.FDS(C6,"P_PRICE(0)/P_PRICE_HIGH_PR(0,,,,,,""PRICE"",""INTRA"",""52W"")")</f>
        <v>0.95976790000000001</v>
      </c>
      <c r="R6" s="9" cm="1">
        <f t="array" ref="R6">_xll.FDS(C6,"P_PRICE(0)/P_PRICE_low_PR(0,,,,,,""PRICE"",""INTRA"",""52W"")-1")</f>
        <v>0.27221214999999999</v>
      </c>
      <c r="S6" s="3" cm="1">
        <f t="array" ref="S6">_xll.FDS(C6,"FG_TOTAL_RETURNC(0,-12AM)")</f>
        <v>14.249492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57.099999999999994</v>
      </c>
      <c r="Y6" s="201" cm="1">
        <f t="array" ref="Y6">_xlfn.PERCENTRANK.EXC(_xlfn._xlws.FILTER($S$3:$S$15, ISNUMBER($S$3:$S$15)),S6)*100</f>
        <v>35.699999999999996</v>
      </c>
      <c r="Z6" s="4" cm="1">
        <f t="array" ref="Z6">_xlfn.PERCENTRANK.EXC(_xlfn._xlws.FILTER($K$3:$K$15, ISNUMBER($K$3:$K$15)),K6)*100</f>
        <v>42.8</v>
      </c>
      <c r="AA6" s="4" cm="1">
        <f t="array" ref="AA6">_xlfn.PERCENTRANK.EXC(_xlfn._xlws.FILTER($H$3:$H$15, ISNUMBER($H$3:$H$15)),H6)*100</f>
        <v>85.7</v>
      </c>
      <c r="AB6" s="4" cm="1">
        <f t="array" ref="AB6">_xlfn.PERCENTRANK.EXC(_xlfn._xlws.FILTER($J$3:$J$15, ISNUMBER($J$3:$J$15)),J6)*100</f>
        <v>71.399999999999991</v>
      </c>
      <c r="AC6" s="4">
        <f t="shared" si="4"/>
        <v>78.5</v>
      </c>
      <c r="AD6" s="4">
        <f t="shared" si="5"/>
        <v>50</v>
      </c>
      <c r="AE6" s="4">
        <f t="shared" si="6"/>
        <v>50</v>
      </c>
      <c r="AF6" s="4">
        <f>'Economic Momentum'!Q7</f>
        <v>14.2</v>
      </c>
      <c r="AG6" s="4">
        <f ca="1">'Economic Momentum'!R7</f>
        <v>64.2</v>
      </c>
      <c r="AH6" s="4">
        <f t="shared" ca="1" si="7"/>
        <v>42.12</v>
      </c>
      <c r="AJ6" s="3" cm="1">
        <f t="array" aca="1" ref="AJ6" ca="1">_xlfn.PERCENTRANK.EXC(_xlfn._xlws.FILTER($AH$3:$AH$15, ISNUMBER($AH$3:$AH$15)),AH6)*100</f>
        <v>35.699999999999996</v>
      </c>
      <c r="AK6">
        <f t="shared" si="8"/>
        <v>2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6689818</v>
      </c>
      <c r="E7" cm="1">
        <f t="array" ref="E7">_xll.FDS(C7,"FMA_COS_UP(""EPS"",""1M"",+1,0,,,""PORTAGG"",""MEANR"")")</f>
        <v>100</v>
      </c>
      <c r="F7" cm="1">
        <f t="array" ref="F7">_xll.FDS(C7,"FMA_COS_DOWN(""EPS"",""1M"",+1,0,,,""PORTAGG"",""MEANR"")")</f>
        <v>69</v>
      </c>
      <c r="G7" cm="1">
        <f t="array" ref="G7">_xll.FDS(A7,"SIZE(FG_CONSTITUENTS)")</f>
        <v>204</v>
      </c>
      <c r="H7" s="9">
        <f t="shared" si="0"/>
        <v>0.49019607843137253</v>
      </c>
      <c r="I7" s="9">
        <f t="shared" si="1"/>
        <v>0.33823529411764708</v>
      </c>
      <c r="J7" s="9">
        <f t="shared" si="2"/>
        <v>0.15196078431372545</v>
      </c>
      <c r="K7" s="5" cm="1">
        <f t="array" ref="K7">_xll.FDS(A7,"FMA_PCT_ABOVE_MAVG(200,0,,,,""PORTAGG"")")/100</f>
        <v>0.68627450980392202</v>
      </c>
      <c r="L7" s="41" cm="1">
        <f t="array" ref="L7">_xll.FDSB(A7,"PERCENT_CHANGE(FMA_EPS(+1,0,,,,""PORTAGG"",""MEAN""),FMA_EPS(+1,-1AM,,,,""PORTAGG"",""MEAN""))")</f>
        <v>-0.52254614599426497</v>
      </c>
      <c r="M7" s="41" cm="1">
        <f t="array" ref="M7">_xll.FDSB(A7,"PERCENT_CHANGE(FMA_EPS(+1,0,,,,""PORTAGG"",""MEAN""),FMA_EPS(+1,-3AM,,,,""PORTAGG"",""MEAN""))")</f>
        <v>-3.6674920082317501</v>
      </c>
      <c r="N7" s="3" cm="1">
        <f t="array" ref="N7">_xll.FDS(C7,"FG_TOTAL_RETURNC(0,-1AM)")</f>
        <v>4.3344139999999998</v>
      </c>
      <c r="O7" s="3" cm="1">
        <f t="array" ref="O7">_xll.FDS(C7,"FG_TOTAL_RETURNC(0,-3AM)")</f>
        <v>2.2155999999999998</v>
      </c>
      <c r="P7" s="3" cm="1">
        <f t="array" ref="P7">_xll.FDS(C7,"FG_TOTAL_RETURNC(0,-6AM)")</f>
        <v>8.7244624999999996</v>
      </c>
      <c r="Q7" s="9" cm="1">
        <f t="array" ref="Q7">_xll.FDS(C7,"P_PRICE(0)/P_PRICE_HIGH_PR(0,,,,,,""PRICE"",""INTRA"",""52W"")")</f>
        <v>0.98536044</v>
      </c>
      <c r="R7" s="9" cm="1">
        <f t="array" ref="R7">_xll.FDS(C7,"P_PRICE(0)/P_PRICE_low_PR(0,,,,,,""PRICE"",""INTRA"",""52W"")-1")</f>
        <v>0.24143361999999999</v>
      </c>
      <c r="S7" s="3" cm="1">
        <f t="array" ref="S7">_xll.FDS(C7,"FG_TOTAL_RETURNC(0,-12AM)")</f>
        <v>17.355324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64.2</v>
      </c>
      <c r="W7" s="4" cm="1">
        <f t="array" ref="W7">_xlfn.PERCENTRANK.EXC(_xlfn._xlws.FILTER($O$3:$O$15, ISNUMBER($O$3:$O$15)),O7)*100</f>
        <v>14.2</v>
      </c>
      <c r="X7" s="4" cm="1">
        <f t="array" ref="X7">_xlfn.PERCENTRANK.EXC(_xlfn._xlws.FILTER($P$3:$P$15, ISNUMBER($P$3:$P$15)),P7)*100</f>
        <v>35.699999999999996</v>
      </c>
      <c r="Y7" s="201" cm="1">
        <f t="array" ref="Y7">_xlfn.PERCENTRANK.EXC(_xlfn._xlws.FILTER($S$3:$S$15, ISNUMBER($S$3:$S$15)),S7)*100</f>
        <v>42.8</v>
      </c>
      <c r="Z7" s="4" cm="1">
        <f t="array" ref="Z7">_xlfn.PERCENTRANK.EXC(_xlfn._xlws.FILTER($K$3:$K$15, ISNUMBER($K$3:$K$15)),K7)*100</f>
        <v>78.5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4"/>
        <v>28.499999999999996</v>
      </c>
      <c r="AD7" s="4">
        <f t="shared" si="5"/>
        <v>7.1</v>
      </c>
      <c r="AE7" s="4">
        <f t="shared" si="6"/>
        <v>78.5</v>
      </c>
      <c r="AF7" s="4">
        <f>'Economic Momentum'!Q8</f>
        <v>64.2</v>
      </c>
      <c r="AG7" s="4">
        <f ca="1">'Economic Momentum'!R8</f>
        <v>92.800000000000011</v>
      </c>
      <c r="AH7" s="4">
        <f t="shared" ca="1" si="7"/>
        <v>40.650000000000006</v>
      </c>
      <c r="AJ7" s="3" cm="1">
        <f t="array" aca="1" ref="AJ7" ca="1">_xlfn.PERCENTRANK.EXC(_xlfn._xlws.FILTER($AH$3:$AH$15, ISNUMBER($AH$3:$AH$15)),AH7)*100</f>
        <v>28.499999999999996</v>
      </c>
      <c r="AK7">
        <f t="shared" si="8"/>
        <v>3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2226699</v>
      </c>
      <c r="E8" cm="1">
        <f t="array" ref="E8">_xll.FDS(C8,"FMA_COS_UP(""EPS"",""1M"",+1,0,,,""PORTAGG"",""MEANR"")")</f>
        <v>15</v>
      </c>
      <c r="F8" cm="1">
        <f t="array" ref="F8">_xll.FDS(C8,"FMA_COS_DOWN(""EPS"",""1M"",+1,0,,,""PORTAGG"",""MEANR"")")</f>
        <v>20</v>
      </c>
      <c r="G8" cm="1">
        <f t="array" ref="G8">_xll.FDS(A8,"SIZE(FG_CONSTITUENTS)")</f>
        <v>46</v>
      </c>
      <c r="H8" s="9">
        <f t="shared" si="0"/>
        <v>0.32608695652173914</v>
      </c>
      <c r="I8" s="9">
        <f t="shared" si="1"/>
        <v>0.43478260869565216</v>
      </c>
      <c r="J8" s="9">
        <f t="shared" si="2"/>
        <v>-0.10869565217391303</v>
      </c>
      <c r="K8" s="5" cm="1">
        <f t="array" ref="K8">_xll.FDS(A8,"FMA_PCT_ABOVE_MAVG(200,0,,,,""PORTAGG"")")/100</f>
        <v>0.78260869565217406</v>
      </c>
      <c r="L8" s="41" cm="1">
        <f t="array" ref="L8">_xll.FDSB(A8,"PERCENT_CHANGE(FMA_EPS(+1,0,,,,""PORTAGG"",""MEAN""),FMA_EPS(+1,-1AM,,,,""PORTAGG"",""MEAN""))")</f>
        <v>6.8356198867377094E-2</v>
      </c>
      <c r="M8" s="41" cm="1">
        <f t="array" ref="M8">_xll.FDSB(A8,"PERCENT_CHANGE(FMA_EPS(+1,0,,,,""PORTAGG"",""MEAN""),FMA_EPS(+1,-3AM,,,,""PORTAGG"",""MEAN""))")</f>
        <v>2.4422703128347498</v>
      </c>
      <c r="N8" s="3" cm="1">
        <f t="array" ref="N8">_xll.FDS(C8,"FG_TOTAL_RETURNC(0,-1AM)")</f>
        <v>1.670444</v>
      </c>
      <c r="O8" s="3" cm="1">
        <f t="array" ref="O8">_xll.FDS(C8,"FG_TOTAL_RETURNC(0,-3AM)")</f>
        <v>8.6661929999999998</v>
      </c>
      <c r="P8" s="3" cm="1">
        <f t="array" ref="P8">_xll.FDS(C8,"FG_TOTAL_RETURNC(0,-6AM)")</f>
        <v>5.5445194000000004</v>
      </c>
      <c r="Q8" s="9" cm="1">
        <f t="array" ref="Q8">_xll.FDS(C8,"P_PRICE(0)/P_PRICE_HIGH_PR(0,,,,,,""PRICE"",""INTRA"",""52W"")")</f>
        <v>0.97373100000000001</v>
      </c>
      <c r="R8" s="9" cm="1">
        <f t="array" ref="R8">_xll.FDS(C8,"P_PRICE(0)/P_PRICE_low_PR(0,,,,,,""PRICE"",""INTRA"",""52W"")-1")</f>
        <v>0.18652225</v>
      </c>
      <c r="S8" s="3" cm="1">
        <f t="array" ref="S8">_xll.FDS(C8,"FG_TOTAL_RETURNC(0,-12AM)")</f>
        <v>9.923959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50</v>
      </c>
      <c r="W8" s="4" cm="1">
        <f t="array" ref="W8">_xlfn.PERCENTRANK.EXC(_xlfn._xlws.FILTER($O$3:$O$15, ISNUMBER($O$3:$O$15)),O8)*100</f>
        <v>85.7</v>
      </c>
      <c r="X8" s="4" cm="1">
        <f t="array" ref="X8">_xlfn.PERCENTRANK.EXC(_xlfn._xlws.FILTER($P$3:$P$15, ISNUMBER($P$3:$P$15)),P8)*100</f>
        <v>21.4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92.800000000000011</v>
      </c>
      <c r="AA8" s="4" cm="1">
        <f t="array" ref="AA8">_xlfn.PERCENTRANK.EXC(_xlfn._xlws.FILTER($H$3:$H$15, ISNUMBER($H$3:$H$15)),H8)*100</f>
        <v>50</v>
      </c>
      <c r="AB8" s="4" cm="1">
        <f t="array" ref="AB8">_xlfn.PERCENTRANK.EXC(_xlfn._xlws.FILTER($J$3:$J$15, ISNUMBER($J$3:$J$15)),J8)*100</f>
        <v>35.699999999999996</v>
      </c>
      <c r="AC8" s="4">
        <f t="shared" si="4"/>
        <v>57.099999999999994</v>
      </c>
      <c r="AD8" s="4">
        <f t="shared" si="5"/>
        <v>78.5</v>
      </c>
      <c r="AE8" s="4">
        <f t="shared" si="6"/>
        <v>42.8</v>
      </c>
      <c r="AF8" s="4">
        <f>'Economic Momentum'!Q9</f>
        <v>21.4</v>
      </c>
      <c r="AG8" s="4">
        <f ca="1">'Economic Momentum'!R9</f>
        <v>35.699999999999996</v>
      </c>
      <c r="AH8" s="4">
        <f t="shared" ca="1" si="7"/>
        <v>52.13</v>
      </c>
      <c r="AJ8" s="3" cm="1">
        <f t="array" aca="1" ref="AJ8" ca="1">_xlfn.PERCENTRANK.EXC(_xlfn._xlws.FILTER($AH$3:$AH$15, ISNUMBER($AH$3:$AH$15)),AH8)*100</f>
        <v>57.099999999999994</v>
      </c>
      <c r="AK8">
        <f t="shared" si="8"/>
        <v>2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3303913.8</v>
      </c>
      <c r="E9" cm="1">
        <f t="array" ref="E9">_xll.FDS(C9,"FMA_COS_UP(""EPS"",""1M"",+1,0,,,""PORTAGG"",""MEANR"")")</f>
        <v>32</v>
      </c>
      <c r="F9" cm="1">
        <f t="array" ref="F9">_xll.FDS(C9,"FMA_COS_DOWN(""EPS"",""1M"",+1,0,,,""PORTAGG"",""MEANR"")")</f>
        <v>38</v>
      </c>
      <c r="G9" cm="1">
        <f t="array" ref="G9">_xll.FDS(A9,"SIZE(FG_CONSTITUENTS)")</f>
        <v>81</v>
      </c>
      <c r="H9" s="9">
        <f t="shared" si="0"/>
        <v>0.39506172839506171</v>
      </c>
      <c r="I9" s="9">
        <f t="shared" si="1"/>
        <v>0.46913580246913578</v>
      </c>
      <c r="J9" s="9">
        <f t="shared" si="2"/>
        <v>-7.407407407407407E-2</v>
      </c>
      <c r="K9" s="5" cm="1">
        <f t="array" ref="K9">_xll.FDS(A9,"FMA_PCT_ABOVE_MAVG(200,0,,,,""PORTAGG"")")/100</f>
        <v>0.63749999999999996</v>
      </c>
      <c r="L9" s="41" cm="1">
        <f t="array" ref="L9">_xll.FDSB(A9,"PERCENT_CHANGE(FMA_EPS(+1,0,,,,""PORTAGG"",""MEAN""),FMA_EPS(+1,-1AM,,,,""PORTAGG"",""MEAN""))")</f>
        <v>0.262702760914512</v>
      </c>
      <c r="M9" s="41" cm="1">
        <f t="array" ref="M9">_xll.FDSB(A9,"PERCENT_CHANGE(FMA_EPS(+1,0,,,,""PORTAGG"",""MEAN""),FMA_EPS(+1,-3AM,,,,""PORTAGG"",""MEAN""))")</f>
        <v>1.2739285959725299</v>
      </c>
      <c r="N9" s="3" cm="1">
        <f t="array" ref="N9">_xll.FDS(C9,"FG_TOTAL_RETURNC(0,-1AM)")</f>
        <v>2.5802732000000002</v>
      </c>
      <c r="O9" s="3" cm="1">
        <f t="array" ref="O9">_xll.FDS(C9,"FG_TOTAL_RETURNC(0,-3AM)")</f>
        <v>7.0128919999999999</v>
      </c>
      <c r="P9" s="3" cm="1">
        <f t="array" ref="P9">_xll.FDS(C9,"FG_TOTAL_RETURNC(0,-6AM)")</f>
        <v>11.732602</v>
      </c>
      <c r="Q9" s="9" cm="1">
        <f t="array" ref="Q9">_xll.FDS(C9,"P_PRICE(0)/P_PRICE_HIGH_PR(0,,,,,,""PRICE"",""INTRA"",""52W"")")</f>
        <v>0.97320819999999997</v>
      </c>
      <c r="R9" s="9" cm="1">
        <f t="array" ref="R9">_xll.FDS(C9,"P_PRICE(0)/P_PRICE_low_PR(0,,,,,,""PRICE"",""INTRA"",""52W"")-1")</f>
        <v>0.18712676</v>
      </c>
      <c r="S9" s="3" cm="1">
        <f t="array" ref="S9">_xll.FDS(C9,"FG_TOTAL_RETURNC(0,-12AM)")</f>
        <v>17.507981999999998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42.8</v>
      </c>
      <c r="W9" s="4" cm="1">
        <f t="array" ref="W9">_xlfn.PERCENTRANK.EXC(_xlfn._xlws.FILTER($O$3:$O$15, ISNUMBER($O$3:$O$15)),O9)*100</f>
        <v>71.399999999999991</v>
      </c>
      <c r="X9" s="4" cm="1">
        <f t="array" ref="X9">_xlfn.PERCENTRANK.EXC(_xlfn._xlws.FILTER($P$3:$P$15, ISNUMBER($P$3:$P$15)),P9)*100</f>
        <v>64.2</v>
      </c>
      <c r="Y9" s="201" cm="1">
        <f t="array" ref="Y9">_xlfn.PERCENTRANK.EXC(_xlfn._xlws.FILTER($S$3:$S$15, ISNUMBER($S$3:$S$15)),S9)*100</f>
        <v>50</v>
      </c>
      <c r="Z9" s="4" cm="1">
        <f t="array" ref="Z9">_xlfn.PERCENTRANK.EXC(_xlfn._xlws.FILTER($K$3:$K$15, ISNUMBER($K$3:$K$15)),K9)*100</f>
        <v>57.099999999999994</v>
      </c>
      <c r="AA9" s="4" cm="1">
        <f t="array" ref="AA9">_xlfn.PERCENTRANK.EXC(_xlfn._xlws.FILTER($H$3:$H$15, ISNUMBER($H$3:$H$15)),H9)*100</f>
        <v>71.399999999999991</v>
      </c>
      <c r="AB9" s="4" cm="1">
        <f t="array" ref="AB9">_xlfn.PERCENTRANK.EXC(_xlfn._xlws.FILTER($J$3:$J$15, ISNUMBER($J$3:$J$15)),J9)*100</f>
        <v>42.8</v>
      </c>
      <c r="AC9" s="4">
        <f t="shared" si="4"/>
        <v>64.2</v>
      </c>
      <c r="AD9" s="4">
        <f t="shared" si="5"/>
        <v>71.399999999999991</v>
      </c>
      <c r="AE9" s="4">
        <f t="shared" si="6"/>
        <v>71.399999999999991</v>
      </c>
      <c r="AF9" s="4">
        <f>'Economic Momentum'!Q10</f>
        <v>78.5</v>
      </c>
      <c r="AG9" s="4">
        <f ca="1">'Economic Momentum'!R10</f>
        <v>78.5</v>
      </c>
      <c r="AH9" s="4">
        <f t="shared" ca="1" si="7"/>
        <v>57.8</v>
      </c>
      <c r="AJ9" s="3" cm="1">
        <f t="array" aca="1" ref="AJ9" ca="1">_xlfn.PERCENTRANK.EXC(_xlfn._xlws.FILTER($AH$3:$AH$15, ISNUMBER($AH$3:$AH$15)),AH9)*100</f>
        <v>64.2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57806324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34</v>
      </c>
      <c r="G10" cm="1">
        <f t="array" ref="G10">_xll.FDS(A10,"SIZE(FG_CONSTITUENTS)")</f>
        <v>102</v>
      </c>
      <c r="H10" s="9">
        <f t="shared" si="0"/>
        <v>0.33333333333333331</v>
      </c>
      <c r="I10" s="9">
        <f t="shared" si="1"/>
        <v>0.33333333333333331</v>
      </c>
      <c r="J10" s="9">
        <f t="shared" si="2"/>
        <v>0</v>
      </c>
      <c r="K10" s="5" cm="1">
        <f t="array" ref="K10">_xll.FDS(A10,"FMA_PCT_ABOVE_MAVG(200,0,,,,""PORTAGG"")")/100</f>
        <v>0.62745098039215697</v>
      </c>
      <c r="L10" s="41" cm="1">
        <f t="array" ref="L10">_xll.FDSB(A10,"PERCENT_CHANGE(FMA_EPS(+1,0,,,,""PORTAGG"",""MEAN""),FMA_EPS(+1,-1AM,,,,""PORTAGG"",""MEAN""))")</f>
        <v>-0.20793378245299199</v>
      </c>
      <c r="M10" s="41" cm="1">
        <f t="array" ref="M10">_xll.FDSB(A10,"PERCENT_CHANGE(FMA_EPS(+1,0,,,,""PORTAGG"",""MEAN""),FMA_EPS(+1,-3AM,,,,""PORTAGG"",""MEAN""))")</f>
        <v>0.34296110098236399</v>
      </c>
      <c r="N10" s="3" cm="1">
        <f t="array" ref="N10">_xll.FDS(C10,"FG_TOTAL_RETURNC(0,-1AM)")</f>
        <v>5.2776337</v>
      </c>
      <c r="O10" s="3" cm="1">
        <f t="array" ref="O10">_xll.FDS(C10,"FG_TOTAL_RETURNC(0,-3AM)")</f>
        <v>10.631703999999999</v>
      </c>
      <c r="P10" s="3" cm="1">
        <f t="array" ref="P10">_xll.FDS(C10,"FG_TOTAL_RETURNC(0,-6AM)")</f>
        <v>20.5243</v>
      </c>
      <c r="Q10" s="9" cm="1">
        <f t="array" ref="Q10">_xll.FDS(C10,"P_PRICE(0)/P_PRICE_HIGH_PR(0,,,,,,""PRICE"",""INTRA"",""52W"")")</f>
        <v>0.97698205999999999</v>
      </c>
      <c r="R10" s="9" cm="1">
        <f t="array" ref="R10">_xll.FDS(C10,"P_PRICE(0)/P_PRICE_low_PR(0,,,,,,""PRICE"",""INTRA"",""52W"")-1")</f>
        <v>0.43692123999999999</v>
      </c>
      <c r="S10" s="3" cm="1">
        <f t="array" ref="S10">_xll.FDS(C10,"FG_TOTAL_RETURNC(0,-12AM)")</f>
        <v>34.535587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57.099999999999994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71.399999999999991</v>
      </c>
      <c r="AC10" s="4">
        <f t="shared" si="4"/>
        <v>35.699999999999996</v>
      </c>
      <c r="AD10" s="4">
        <f t="shared" si="5"/>
        <v>42.8</v>
      </c>
      <c r="AE10" s="4">
        <f t="shared" si="6"/>
        <v>85.7</v>
      </c>
      <c r="AF10" s="4">
        <f>'Economic Momentum'!Q11</f>
        <v>85.7</v>
      </c>
      <c r="AG10" s="4">
        <f ca="1">'Economic Momentum'!R11</f>
        <v>21.4</v>
      </c>
      <c r="AH10" s="4">
        <f t="shared" ca="1" si="7"/>
        <v>78.52000000000001</v>
      </c>
      <c r="AJ10" s="3" cm="1">
        <f t="array" aca="1" ref="AJ10" ca="1">_xlfn.PERCENTRANK.EXC(_xlfn._xlws.FILTER($AH$3:$AH$15, ISNUMBER($AH$3:$AH$15)),AH10)*100</f>
        <v>92.800000000000011</v>
      </c>
      <c r="AK10">
        <f t="shared" si="8"/>
        <v>4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57806324</v>
      </c>
      <c r="E11" cm="1">
        <f t="array" ref="E11">_xll.FDS(C11,"FMA_COS_UP(""EPS"",""1M"",+1,0,,,""PORTAGG"",""MEANR"")")</f>
        <v>156</v>
      </c>
      <c r="F11" cm="1">
        <f t="array" ref="F11">_xll.FDS(C11,"FMA_COS_DOWN(""EPS"",""1M"",+1,0,,,""PORTAGG"",""MEANR"")")</f>
        <v>191</v>
      </c>
      <c r="G11" cm="1">
        <f t="array" ref="G11">_xll.FDS(A11,"SIZE(FG_CONSTITUENTS)")</f>
        <v>503</v>
      </c>
      <c r="H11" s="9">
        <f t="shared" si="0"/>
        <v>0.31013916500994038</v>
      </c>
      <c r="I11" s="9">
        <f t="shared" si="1"/>
        <v>0.3797216699801193</v>
      </c>
      <c r="J11" s="9">
        <f t="shared" si="2"/>
        <v>-6.9582504970178927E-2</v>
      </c>
      <c r="K11" s="5" cm="1">
        <f t="array" ref="K11">_xll.FDS(A11,"FMA_PCT_ABOVE_MAVG(200,0,,,,""PORTAGG"")")/100</f>
        <v>0.64471057884231497</v>
      </c>
      <c r="L11" s="41" cm="1">
        <f t="array" ref="L11">_xll.FDSB(A11,"PERCENT_CHANGE(FMA_EPS(+1,0,,,,""PORTAGG"",""MEAN""),FMA_EPS(+1,-1AM,,,,""PORTAGG"",""MEAN""))")</f>
        <v>-0.60684536266156996</v>
      </c>
      <c r="M11" s="41" cm="1">
        <f t="array" ref="M11">_xll.FDSB(A11,"PERCENT_CHANGE(FMA_EPS(+1,0,,,,""PORTAGG"",""MEAN""),FMA_EPS(+1,-3AM,,,,""PORTAGG"",""MEAN""))")</f>
        <v>0.63743748682906798</v>
      </c>
      <c r="N11" s="3" cm="1">
        <f t="array" ref="N11">_xll.FDS(C11,"FG_TOTAL_RETURNC(0,-1AM)")</f>
        <v>3.9720057999999998</v>
      </c>
      <c r="O11" s="3" cm="1">
        <f t="array" ref="O11">_xll.FDS(C11,"FG_TOTAL_RETURNC(0,-3AM)")</f>
        <v>7.7756166000000002</v>
      </c>
      <c r="P11" s="3" cm="1">
        <f t="array" ref="P11">_xll.FDS(C11,"FG_TOTAL_RETURNC(0,-6AM)")</f>
        <v>17.565691000000001</v>
      </c>
      <c r="Q11" s="9" cm="1">
        <f t="array" ref="Q11">_xll.FDS(C11,"P_PRICE(0)/P_PRICE_HIGH_PR(0,,,,,,""PRICE"",""INTRA"",""52W"")")</f>
        <v>0.98959680000000005</v>
      </c>
      <c r="R11" s="9" cm="1">
        <f t="array" ref="R11">_xll.FDS(C11,"P_PRICE(0)/P_PRICE_low_PR(0,,,,,,""PRICE"",""INTRA"",""52W"")-1")</f>
        <v>0.35988854999999997</v>
      </c>
      <c r="S11" s="3" cm="1">
        <f t="array" ref="S11">_xll.FDS(C11,"FG_TOTAL_RETURNC(0,-12AM)")</f>
        <v>27.538405999999998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78.5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64.2</v>
      </c>
      <c r="AA11" s="4" cm="1">
        <f t="array" ref="AA11">_xlfn.PERCENTRANK.EXC(_xlfn._xlws.FILTER($H$3:$H$15, ISNUMBER($H$3:$H$15)),H11)*100</f>
        <v>35.699999999999996</v>
      </c>
      <c r="AB11" s="4" cm="1">
        <f t="array" ref="AB11">_xlfn.PERCENTRANK.EXC(_xlfn._xlws.FILTER($J$3:$J$15, ISNUMBER($J$3:$J$15)),J11)*100</f>
        <v>50</v>
      </c>
      <c r="AC11" s="4">
        <f t="shared" si="4"/>
        <v>14.2</v>
      </c>
      <c r="AD11" s="4">
        <f t="shared" si="5"/>
        <v>64.2</v>
      </c>
      <c r="AE11" s="4">
        <f t="shared" si="6"/>
        <v>85.7</v>
      </c>
      <c r="AF11" s="4">
        <f>'Economic Momentum'!Q12</f>
        <v>85.7</v>
      </c>
      <c r="AG11" s="4">
        <f ca="1">'Economic Momentum'!R12</f>
        <v>21.4</v>
      </c>
      <c r="AH11" s="4">
        <f t="shared" ca="1" si="7"/>
        <v>78.5</v>
      </c>
      <c r="AJ11" s="3" cm="1">
        <f t="array" aca="1" ref="AJ11" ca="1">_xlfn.PERCENTRANK.EXC(_xlfn._xlws.FILTER($AH$3:$AH$15, ISNUMBER($AH$3:$AH$15)),AH11)*100</f>
        <v>85.7</v>
      </c>
      <c r="AK11">
        <f t="shared" si="8"/>
        <v>4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3201614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35</v>
      </c>
      <c r="G12" cm="1">
        <f t="array" ref="G12">_xll.FDS(A12,"SIZE(FG_CONSTITUENTS)")</f>
        <v>62</v>
      </c>
      <c r="H12" s="9">
        <f t="shared" ref="H12:H15" si="9">E12/$G12</f>
        <v>0.30645161290322581</v>
      </c>
      <c r="I12" s="9">
        <f t="shared" ref="I12:I15" si="10">F12/$G12</f>
        <v>0.56451612903225812</v>
      </c>
      <c r="J12" s="9">
        <f t="shared" ref="J12:J15" si="11">H12-I12</f>
        <v>-0.25806451612903231</v>
      </c>
      <c r="K12" s="5" cm="1">
        <f t="array" ref="K12">_xll.FDS(A12,"FMA_PCT_ABOVE_MAVG(200,0,,,,""PORTAGG"")")/100</f>
        <v>0.45161290322580599</v>
      </c>
      <c r="L12" s="41" cm="1">
        <f t="array" ref="L12">_xll.FDSB(A12,"PERCENT_CHANGE(FMA_EPS(+1,0,,,,""PORTAGG"",""MEAN""),FMA_EPS(+1,-1AM,,,,""PORTAGG"",""MEAN""))")</f>
        <v>-9.6347558722978704E-2</v>
      </c>
      <c r="M12" s="41" cm="1">
        <f t="array" ref="M12">_xll.FDSB(A12,"PERCENT_CHANGE(FMA_EPS(+1,0,,,,""PORTAGG"",""MEAN""),FMA_EPS(+1,-3AM,,,,""PORTAGG"",""MEAN""))")</f>
        <v>-1.05565543630967</v>
      </c>
      <c r="N12" s="3" cm="1">
        <f t="array" ref="N12">_xll.FDS(C12,"FG_TOTAL_RETURNC(0,-1AM)")</f>
        <v>-0.99059940000000002</v>
      </c>
      <c r="O12" s="3" cm="1">
        <f t="array" ref="O12">_xll.FDS(C12,"FG_TOTAL_RETURNC(0,-3AM)")</f>
        <v>-1.151073</v>
      </c>
      <c r="P12" s="3" cm="1">
        <f t="array" ref="P12">_xll.FDS(C12,"FG_TOTAL_RETURNC(0,-6AM)")</f>
        <v>4.1397930000000001</v>
      </c>
      <c r="Q12" s="9" cm="1">
        <f t="array" ref="Q12">_xll.FDS(C12,"P_PRICE(0)/P_PRICE_HIGH_PR(0,,,,,,""PRICE"",""INTRA"",""52W"")")</f>
        <v>0.91502349999999999</v>
      </c>
      <c r="R12" s="9" cm="1">
        <f t="array" ref="R12">_xll.FDS(C12,"P_PRICE(0)/P_PRICE_low_PR(0,,,,,,""PRICE"",""INTRA"",""52W"")-1")</f>
        <v>0.15805113000000001</v>
      </c>
      <c r="S12" s="3" cm="1">
        <f t="array" ref="S12">_xll.FDS(C12,"FG_TOTAL_RETURNC(0,-12AM)")</f>
        <v>5.6177735000000002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28.499999999999996</v>
      </c>
      <c r="AC12" s="4">
        <f t="shared" si="4"/>
        <v>42.8</v>
      </c>
      <c r="AD12" s="4">
        <f t="shared" si="5"/>
        <v>21.4</v>
      </c>
      <c r="AE12" s="4">
        <f t="shared" si="6"/>
        <v>64.2</v>
      </c>
      <c r="AF12" s="4">
        <f>'Economic Momentum'!Q13</f>
        <v>28.499999999999996</v>
      </c>
      <c r="AG12" s="4">
        <f ca="1">'Economic Momentum'!R13</f>
        <v>50</v>
      </c>
      <c r="AH12" s="4">
        <f t="shared" ca="1" si="7"/>
        <v>12.07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1200638.3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14</v>
      </c>
      <c r="G13" cm="1">
        <f t="array" ref="G13">_xll.FDS(A13,"SIZE(FG_CONSTITUENTS)")</f>
        <v>53</v>
      </c>
      <c r="H13" s="9">
        <f t="shared" si="9"/>
        <v>0.39622641509433965</v>
      </c>
      <c r="I13" s="9">
        <f t="shared" si="10"/>
        <v>0.26415094339622641</v>
      </c>
      <c r="J13" s="9">
        <f t="shared" si="11"/>
        <v>0.13207547169811323</v>
      </c>
      <c r="K13" s="5" cm="1">
        <f t="array" ref="K13">_xll.FDS(A13,"FMA_PCT_ABOVE_MAVG(200,0,,,,""PORTAGG"")")/100</f>
        <v>0.58490566037735803</v>
      </c>
      <c r="L13" s="41" cm="1">
        <f t="array" ref="L13">_xll.FDSB(A13,"PERCENT_CHANGE(FMA_EPS(+1,0,,,,""PORTAGG"",""MEAN""),FMA_EPS(+1,-1AM,,,,""PORTAGG"",""MEAN""))")</f>
        <v>1.1816774462484301</v>
      </c>
      <c r="M13" s="41" cm="1">
        <f t="array" ref="M13">_xll.FDSB(A13,"PERCENT_CHANGE(FMA_EPS(+1,0,,,,""PORTAGG"",""MEAN""),FMA_EPS(+1,-3AM,,,,""PORTAGG"",""MEAN""))")</f>
        <v>-1.6223725132923801</v>
      </c>
      <c r="N13" s="3" cm="1">
        <f t="array" ref="N13">_xll.FDS(C13,"FG_TOTAL_RETURNC(0,-1AM)")</f>
        <v>1.9827246999999999</v>
      </c>
      <c r="O13" s="3" cm="1">
        <f t="array" ref="O13">_xll.FDS(C13,"FG_TOTAL_RETURNC(0,-3AM)")</f>
        <v>6.1120152000000001</v>
      </c>
      <c r="P13" s="3" cm="1">
        <f t="array" ref="P13">_xll.FDS(C13,"FG_TOTAL_RETURNC(0,-6AM)")</f>
        <v>20.52319</v>
      </c>
      <c r="Q13" s="9" cm="1">
        <f t="array" ref="Q13">_xll.FDS(C13,"P_PRICE(0)/P_PRICE_HIGH_PR(0,,,,,,""PRICE"",""INTRA"",""52W"")")</f>
        <v>0.98595566000000001</v>
      </c>
      <c r="R13" s="9" cm="1">
        <f t="array" ref="R13">_xll.FDS(C13,"P_PRICE(0)/P_PRICE_low_PR(0,,,,,,""PRICE"",""INTRA"",""52W"")-1")</f>
        <v>0.43152380000000001</v>
      </c>
      <c r="S13" s="3" cm="1">
        <f t="array" ref="S13">_xll.FDS(C13,"FG_TOTAL_RETURNC(0,-12AM)")</f>
        <v>23.012840000000001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71.399999999999991</v>
      </c>
      <c r="W13" s="4" cm="1">
        <f t="array" ref="W13">_xlfn.PERCENTRANK.EXC(_xlfn._xlws.FILTER($O$3:$O$15, ISNUMBER($O$3:$O$15)),O13)*100</f>
        <v>64.2</v>
      </c>
      <c r="X13" s="4" cm="1">
        <f t="array" ref="X13">_xlfn.PERCENTRANK.EXC(_xlfn._xlws.FILTER($P$3:$P$15, ISNUMBER($P$3:$P$15)),P13)*100</f>
        <v>85.7</v>
      </c>
      <c r="Y13" s="201" cm="1">
        <f t="array" ref="Y13">_xlfn.PERCENTRANK.EXC(_xlfn._xlws.FILTER($S$3:$S$15, ISNUMBER($S$3:$S$15)),S13)*100</f>
        <v>78.5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78.5</v>
      </c>
      <c r="AB13" s="4" cm="1">
        <f t="array" ref="AB13">_xlfn.PERCENTRANK.EXC(_xlfn._xlws.FILTER($J$3:$J$15, ISNUMBER($J$3:$J$15)),J13)*100</f>
        <v>85.7</v>
      </c>
      <c r="AC13" s="4">
        <f t="shared" si="4"/>
        <v>85.7</v>
      </c>
      <c r="AD13" s="4">
        <f t="shared" si="5"/>
        <v>14.2</v>
      </c>
      <c r="AE13" s="4">
        <f t="shared" si="6"/>
        <v>28.499999999999996</v>
      </c>
      <c r="AF13" s="4">
        <f>'Economic Momentum'!Q14</f>
        <v>71.399999999999991</v>
      </c>
      <c r="AG13" s="4">
        <f ca="1">'Economic Momentum'!R14</f>
        <v>85.7</v>
      </c>
      <c r="AH13" s="4">
        <f t="shared" ca="1" si="7"/>
        <v>73.53</v>
      </c>
      <c r="AJ13" s="3" cm="1">
        <f t="array" aca="1" ref="AJ13" ca="1">_xlfn.PERCENTRANK.EXC(_xlfn._xlws.FILTER($AH$3:$AH$15, ISNUMBER($AH$3:$AH$15)),AH13)*100</f>
        <v>78.5</v>
      </c>
      <c r="AK13">
        <f t="shared" si="8"/>
        <v>5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1039511</v>
      </c>
      <c r="E14" cm="1">
        <f t="array" ref="E14">_xll.FDS(C14,"FMA_COS_UP(""EPS"",""1M"",+1,0,,,""PORTAGG"",""MEANR"")")</f>
        <v>11</v>
      </c>
      <c r="F14" cm="1">
        <f t="array" ref="F14">_xll.FDS(C14,"FMA_COS_DOWN(""EPS"",""1M"",+1,0,,,""PORTAGG"",""MEANR"")")</f>
        <v>23</v>
      </c>
      <c r="G14" cm="1">
        <f t="array" ref="G14">_xll.FDS(A14,"SIZE(FG_CONSTITUENTS)")</f>
        <v>45</v>
      </c>
      <c r="H14" s="9">
        <f t="shared" si="9"/>
        <v>0.24444444444444444</v>
      </c>
      <c r="I14" s="9">
        <f t="shared" si="10"/>
        <v>0.51111111111111107</v>
      </c>
      <c r="J14" s="9">
        <f t="shared" si="11"/>
        <v>-0.26666666666666661</v>
      </c>
      <c r="K14" s="5" cm="1">
        <f t="array" ref="K14">_xll.FDS(A14,"FMA_PCT_ABOVE_MAVG(200,0,,,,""PORTAGG"")")/100</f>
        <v>0.75</v>
      </c>
      <c r="L14" s="41" cm="1">
        <f t="array" ref="L14">_xll.FDSB(A14,"PERCENT_CHANGE(FMA_EPS(+1,0,,,,""PORTAGG"",""MEAN""),FMA_EPS(+1,-1AM,,,,""PORTAGG"",""MEAN""))")</f>
        <v>-0.54896121445393498</v>
      </c>
      <c r="M14" s="41" cm="1">
        <f t="array" ref="M14">_xll.FDSB(A14,"PERCENT_CHANGE(FMA_EPS(+1,0,,,,""PORTAGG"",""MEAN""),FMA_EPS(+1,-3AM,,,,""PORTAGG"",""MEAN""))")</f>
        <v>2.6442670602545202</v>
      </c>
      <c r="N14" s="3" cm="1">
        <f t="array" ref="N14">_xll.FDS(C14,"FG_TOTAL_RETURNC(0,-1AM)")</f>
        <v>-0.17110705000000001</v>
      </c>
      <c r="O14" s="3" cm="1">
        <f t="array" ref="O14">_xll.FDS(C14,"FG_TOTAL_RETURNC(0,-3AM)")</f>
        <v>4.8990606999999997</v>
      </c>
      <c r="P14" s="3" cm="1">
        <f t="array" ref="P14">_xll.FDS(C14,"FG_TOTAL_RETURNC(0,-6AM)")</f>
        <v>9.9577899999999993</v>
      </c>
      <c r="Q14" s="9" cm="1">
        <f t="array" ref="Q14">_xll.FDS(C14,"P_PRICE(0)/P_PRICE_HIGH_PR(0,,,,,,""PRICE"",""INTRA"",""52W"")")</f>
        <v>0.95756149999999995</v>
      </c>
      <c r="R14" s="9" cm="1">
        <f t="array" ref="R14">_xll.FDS(C14,"P_PRICE(0)/P_PRICE_low_PR(0,,,,,,""PRICE"",""INTRA"",""52W"")-1")</f>
        <v>0.33094347000000002</v>
      </c>
      <c r="S14" s="3" cm="1">
        <f t="array" ref="S14">_xll.FDS(C14,"FG_TOTAL_RETURNC(0,-12AM)")</f>
        <v>21.320522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50</v>
      </c>
      <c r="Y14" s="201" cm="1">
        <f t="array" ref="Y14">_xlfn.PERCENTRANK.EXC(_xlfn._xlws.FILTER($S$3:$S$15, ISNUMBER($S$3:$S$15)),S14)*100</f>
        <v>64.2</v>
      </c>
      <c r="Z14" s="4" cm="1">
        <f t="array" ref="Z14">_xlfn.PERCENTRANK.EXC(_xlfn._xlws.FILTER($K$3:$K$15, ISNUMBER($K$3:$K$15)),K14)*100</f>
        <v>85.7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21.4</v>
      </c>
      <c r="AC14" s="4">
        <f t="shared" si="4"/>
        <v>21.4</v>
      </c>
      <c r="AD14" s="4">
        <f t="shared" si="5"/>
        <v>92.800000000000011</v>
      </c>
      <c r="AE14" s="4">
        <f t="shared" si="6"/>
        <v>21.4</v>
      </c>
      <c r="AF14" s="4">
        <f>'Economic Momentum'!Q15</f>
        <v>57.099999999999994</v>
      </c>
      <c r="AG14" s="4">
        <f ca="1">'Economic Momentum'!R15</f>
        <v>71.399999999999991</v>
      </c>
      <c r="AH14" s="4">
        <f t="shared" ca="1" si="7"/>
        <v>39.239999999999995</v>
      </c>
      <c r="AJ14" s="3" cm="1">
        <f t="array" aca="1" ref="AJ14" ca="1">_xlfn.PERCENTRANK.EXC(_xlfn._xlws.FILTER($AH$3:$AH$15, ISNUMBER($AH$3:$AH$15)),AH14)*100</f>
        <v>21.4</v>
      </c>
      <c r="AK14">
        <f t="shared" si="8"/>
        <v>1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880794.5</v>
      </c>
      <c r="E15" cm="1">
        <f t="array" ref="E15">_xll.FDS(C15,"FMA_COS_UP(""EPS"",""1M"",+1,0,,,""PORTAGG"",""MEANR"")")</f>
        <v>9</v>
      </c>
      <c r="F15" cm="1">
        <f t="array" ref="F15">_xll.FDS(C15,"FMA_COS_DOWN(""EPS"",""1M"",+1,0,,,""PORTAGG"",""MEANR"")")</f>
        <v>10</v>
      </c>
      <c r="G15" cm="1">
        <f t="array" ref="G15">_xll.FDS(A15,"SIZE(FG_CONSTITUENTS)")</f>
        <v>26</v>
      </c>
      <c r="H15" s="9">
        <f t="shared" si="9"/>
        <v>0.34615384615384615</v>
      </c>
      <c r="I15" s="9">
        <f t="shared" si="10"/>
        <v>0.38461538461538464</v>
      </c>
      <c r="J15" s="9">
        <f t="shared" si="11"/>
        <v>-3.8461538461538491E-2</v>
      </c>
      <c r="K15" s="5" cm="1">
        <f t="array" ref="K15">_xll.FDS(A15,"FMA_PCT_ABOVE_MAVG(200,0,,,,""PORTAGG"")")/100</f>
        <v>0.52</v>
      </c>
      <c r="L15" s="41" cm="1">
        <f t="array" ref="L15">_xll.FDSB(A15,"PERCENT_CHANGE(FMA_EPS(+1,0,,,,""PORTAGG"",""MEAN""),FMA_EPS(+1,-1AM,,,,""PORTAGG"",""MEAN""))")</f>
        <v>6.2066455093198997E-2</v>
      </c>
      <c r="M15" s="41" cm="1">
        <f t="array" ref="M15">_xll.FDSB(A15,"PERCENT_CHANGE(FMA_EPS(+1,0,,,,""PORTAGG"",""MEAN""),FMA_EPS(+1,-3AM,,,,""PORTAGG"",""MEAN""))")</f>
        <v>-0.92627563633661103</v>
      </c>
      <c r="N15" s="3" cm="1">
        <f t="array" ref="N15">_xll.FDS(C15,"FG_TOTAL_RETURNC(0,-1AM)")</f>
        <v>2.3224114999999999</v>
      </c>
      <c r="O15" s="3" cm="1">
        <f t="array" ref="O15">_xll.FDS(C15,"FG_TOTAL_RETURNC(0,-3AM)")</f>
        <v>5.2013755000000002</v>
      </c>
      <c r="P15" s="3" cm="1">
        <f t="array" ref="P15">_xll.FDS(C15,"FG_TOTAL_RETURNC(0,-6AM)")</f>
        <v>13.744699499999999</v>
      </c>
      <c r="Q15" s="9" cm="1">
        <f t="array" ref="Q15">_xll.FDS(C15,"P_PRICE(0)/P_PRICE_HIGH_PR(0,,,,,,""PRICE"",""INTRA"",""52W"")")</f>
        <v>0.95123195999999999</v>
      </c>
      <c r="R15" s="9" cm="1">
        <f t="array" ref="R15">_xll.FDS(C15,"P_PRICE(0)/P_PRICE_low_PR(0,,,,,,""PRICE"",""INTRA"",""52W"")-1")</f>
        <v>0.29071175999999999</v>
      </c>
      <c r="S15" s="3" cm="1">
        <f t="array" ref="S15">_xll.FDS(C15,"FG_TOTAL_RETURNC(0,-12AM)")</f>
        <v>22.052872000000001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50</v>
      </c>
      <c r="X15" s="4" cm="1">
        <f t="array" ref="X15">_xlfn.PERCENTRANK.EXC(_xlfn._xlws.FILTER($P$3:$P$15, ISNUMBER($P$3:$P$15)),P15)*100</f>
        <v>71.399999999999991</v>
      </c>
      <c r="Y15" s="201" cm="1">
        <f t="array" ref="Y15">_xlfn.PERCENTRANK.EXC(_xlfn._xlws.FILTER($S$3:$S$15, ISNUMBER($S$3:$S$15)),S15)*100</f>
        <v>71.399999999999991</v>
      </c>
      <c r="Z15" s="4" cm="1">
        <f t="array" ref="Z15">_xlfn.PERCENTRANK.EXC(_xlfn._xlws.FILTER($K$3:$K$15, ISNUMBER($K$3:$K$15)),K15)*100</f>
        <v>21.4</v>
      </c>
      <c r="AA15" s="4" cm="1">
        <f t="array" ref="AA15">_xlfn.PERCENTRANK.EXC(_xlfn._xlws.FILTER($H$3:$H$15, ISNUMBER($H$3:$H$15)),H15)*100</f>
        <v>64.2</v>
      </c>
      <c r="AB15" s="4" cm="1">
        <f t="array" ref="AB15">_xlfn.PERCENTRANK.EXC(_xlfn._xlws.FILTER($J$3:$J$15, ISNUMBER($J$3:$J$15)),J15)*100</f>
        <v>57.099999999999994</v>
      </c>
      <c r="AC15" s="4">
        <f t="shared" si="4"/>
        <v>50</v>
      </c>
      <c r="AD15" s="4">
        <f t="shared" si="5"/>
        <v>28.499999999999996</v>
      </c>
      <c r="AE15" s="4">
        <f t="shared" si="6"/>
        <v>14.2</v>
      </c>
      <c r="AF15" s="4">
        <f>'Economic Momentum'!Q16</f>
        <v>35.699999999999996</v>
      </c>
      <c r="AG15" s="4">
        <f ca="1">'Economic Momentum'!R16</f>
        <v>7.1</v>
      </c>
      <c r="AH15" s="4">
        <f t="shared" ca="1" si="7"/>
        <v>44.980000000000004</v>
      </c>
      <c r="AJ15" s="3" cm="1">
        <f t="array" aca="1" ref="AJ15" ca="1">_xlfn.PERCENTRANK.EXC(_xlfn._xlws.FILTER($AH$3:$AH$15, ISNUMBER($AH$3:$AH$15)),AH15)*100</f>
        <v>42.8</v>
      </c>
      <c r="AK15">
        <f t="shared" si="8"/>
        <v>2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514</v>
      </c>
      <c r="F18" cm="1">
        <f t="array" ref="F18">_xll.FDS(C18,"FMA_COS_DOWN(""EPS"",""1M"",+1,0,,,""PORTAGG"",""MEANR"")")</f>
        <v>437</v>
      </c>
      <c r="G18" cm="1">
        <f t="array" ref="G18">_xll.FDS(A18,"SIZE(FG_CONSTITUENTS)")</f>
        <v>1278</v>
      </c>
      <c r="H18" s="9">
        <f>E18/$G18</f>
        <v>0.40219092331768386</v>
      </c>
      <c r="I18" s="9">
        <f>F18/$G18</f>
        <v>0.34194053208137715</v>
      </c>
      <c r="J18" s="9">
        <f t="shared" ref="J18" si="13">H18-I18</f>
        <v>6.0250391236306711E-2</v>
      </c>
      <c r="K18" s="5" cm="1">
        <f t="array" ref="K18">_xll.FDS(A18,"FMA_PCT_ABOVE_MAVG(200,0,,,,""PORTAGG"")")/100</f>
        <v>0.7321144674085851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3.2535307949215402</v>
      </c>
      <c r="N18" s="3" cm="1">
        <f t="array" ref="N18">_xll.FDS(C18,"FG_TOTAL_RETURNC(0,-1AM)")</f>
        <v>1.5089154</v>
      </c>
      <c r="O18" s="3" cm="1">
        <f t="array" ref="O18">_xll.FDS(C18,"FG_TOTAL_RETURNC(0,-3AM)")</f>
        <v>5.3264259999999997</v>
      </c>
      <c r="P18" s="3" cm="1">
        <f t="array" ref="P18">_xll.FDS(C18,"FG_TOTAL_RETURNC(0,-6AM)")</f>
        <v>10.53586</v>
      </c>
      <c r="Q18" s="9" cm="1">
        <f t="array" ref="Q18">_xll.FDS(C18,"P_PRICE(0)/P_PRICE_HIGH_PR(0,,,,,,""PRICE"",""INTRA"",""52W"")")</f>
        <v>0.97177212999999996</v>
      </c>
      <c r="R18" s="9" cm="1">
        <f t="array" ref="R18">_xll.FDS(C18,"P_PRICE(0)/P_PRICE_low_PR(0,,,,,,""PRICE"",""INTRA"",""52W"")-1")</f>
        <v>0.24736643</v>
      </c>
      <c r="S18" s="3" cm="1">
        <f t="array" ref="S18">_xll.FDS(C18,"FG_TOTAL_RETURNC(0,-12AM)")</f>
        <v>16.219436999999999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1000</v>
      </c>
      <c r="F19" cm="1">
        <f t="array" ref="F19">_xll.FDS(C19,"FMA_COS_DOWN(""EPS"",""1M"",+1,0,,,""PORTAGG"",""MEANR"")")</f>
        <v>1328</v>
      </c>
      <c r="G19" cm="1">
        <f t="array" ref="G19">_xll.FDS(A19,"SIZE(FG_CONSTITUENTS)")</f>
        <v>4759</v>
      </c>
      <c r="H19" s="9">
        <f>E19/$G19</f>
        <v>0.21012817818869511</v>
      </c>
      <c r="I19" s="9">
        <f>F19/$G19</f>
        <v>0.27905022063458712</v>
      </c>
      <c r="J19" s="9">
        <f t="shared" ref="J19" si="14">H19-I19</f>
        <v>-6.8922042445892007E-2</v>
      </c>
      <c r="K19" s="5" cm="1">
        <f t="array" ref="K19">_xll.FDS(A19,"FMA_PCT_ABOVE_MAVG(200,0,,,,""PORTAGG"")")/100</f>
        <v>0.45829750644883904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-0.34714086962636798</v>
      </c>
      <c r="N19" s="3" cm="1">
        <f t="array" ref="N19">_xll.FDS(C19,"FG_TOTAL_RETURNC(0,-1AM)")</f>
        <v>5.0886990000000001</v>
      </c>
      <c r="O19" s="3" cm="1">
        <f t="array" ref="O19">_xll.FDS(C19,"FG_TOTAL_RETURNC(0,-3AM)")</f>
        <v>7.3926210000000001</v>
      </c>
      <c r="P19" s="3" cm="1">
        <f t="array" ref="P19">_xll.FDS(C19,"FG_TOTAL_RETURNC(0,-6AM)")</f>
        <v>13.371706</v>
      </c>
      <c r="Q19" s="9" cm="1">
        <f t="array" ref="Q19">_xll.FDS(C19,"P_PRICE(0)/P_PRICE_HIGH_PR(0,,,,,,""PRICE"",""INTRA"",""52W"")")</f>
        <v>0.99539374999999997</v>
      </c>
      <c r="R19" s="9" cm="1">
        <f t="array" ref="R19">_xll.FDS(C19,"P_PRICE(0)/P_PRICE_low_PR(0,,,,,,""PRICE"",""INTRA"",""52W"")-1")</f>
        <v>0.21158719000000001</v>
      </c>
      <c r="S19" s="3" cm="1">
        <f t="array" ref="S19">_xll.FDS(C19,"FG_TOTAL_RETURNC(0,-12AM)")</f>
        <v>14.674198000000001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505</v>
      </c>
      <c r="F20" cm="1">
        <f t="array" ref="F20">_xll.FDS(C20,"FMA_COS_DOWN(""EPS"",""1M"",+1,0,,,""PORTAGG"",""MEANR"")")</f>
        <v>566</v>
      </c>
      <c r="G20" cm="1">
        <f t="array" ref="G20">_xll.FDS(A20,"SIZE(FG_CONSTITUENTS)")</f>
        <v>1430</v>
      </c>
      <c r="H20" s="9">
        <f t="shared" ref="H20" si="16">E20/$G20</f>
        <v>0.35314685314685312</v>
      </c>
      <c r="I20" s="9">
        <f t="shared" ref="I20" si="17">F20/$G20</f>
        <v>0.39580419580419579</v>
      </c>
      <c r="J20" s="9">
        <f t="shared" ref="J20" si="18">H20-I20</f>
        <v>-4.2657342657342667E-2</v>
      </c>
      <c r="K20" s="5" cm="1">
        <f t="array" ref="K20">_xll.FDS(A20,"FMA_PCT_ABOVE_MAVG(200,0,,,,""PORTAGG"")")/100</f>
        <v>0.61500701262272106</v>
      </c>
      <c r="L20" s="41" cm="1">
        <f t="array" ref="L20">_xll.FDSB(A20,"PERCENT_CHANGE(FMA_EPS(+1,0,,,,""PORTAGG"",""MEAN""),FMA_EPS(+1,-1AM,,,,""PORTAGG"",""MEAN""))")</f>
        <v>5.2619647491483797E-2</v>
      </c>
      <c r="M20" s="41" cm="1">
        <f t="array" ref="M20">_xll.FDSB(A20,"PERCENT_CHANGE(FMA_EPS(+1,0,,,,""PORTAGG"",""MEAN""),FMA_EPS(+1,-3AM,,,,""PORTAGG"",""MEAN""))")</f>
        <v>-7.6520626352339999E-2</v>
      </c>
      <c r="N20" s="3" cm="1">
        <f t="array" ref="N20">_xll.FDS(C20,"FG_TOTAL_RETURNC(0,-1AM)")</f>
        <v>3.6308885000000002</v>
      </c>
      <c r="O20" s="3" cm="1">
        <f t="array" ref="O20">_xll.FDS(C20,"FG_TOTAL_RETURNC(0,-3AM)")</f>
        <v>6.4813020000000003</v>
      </c>
      <c r="P20" s="3" cm="1">
        <f t="array" ref="P20">_xll.FDS(C20,"FG_TOTAL_RETURNC(0,-6AM)")</f>
        <v>14.818930999999999</v>
      </c>
      <c r="Q20" s="9" cm="1">
        <f t="array" ref="Q20">_xll.FDS(C20,"P_PRICE(0)/P_PRICE_HIGH_PR(0,,,,,,""PRICE"",""INTRA"",""52W"")")</f>
        <v>0.99160932999999996</v>
      </c>
      <c r="R20" s="9" cm="1">
        <f t="array" ref="R20">_xll.FDS(C20,"P_PRICE(0)/P_PRICE_low_PR(0,,,,,,""PRICE"",""INTRA"",""52W"")-1")</f>
        <v>0.3188318</v>
      </c>
      <c r="S20" s="3" cm="1">
        <f t="array" ref="S20">_xll.FDS(C20,"FG_TOTAL_RETURNC(0,-12AM)")</f>
        <v>23.831759999999999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100</v>
      </c>
      <c r="F21" cm="1">
        <f t="array" ref="F21">_xll.FDS(C21,"FMA_COS_DOWN(""EPS"",""1M"",+1,0,,,""PORTAGG"",""MEANR"")")</f>
        <v>69</v>
      </c>
      <c r="G21" cm="1">
        <f t="array" ref="G21">_xll.FDS(A21,"SIZE(FG_CONSTITUENTS)")</f>
        <v>204</v>
      </c>
      <c r="H21" s="9">
        <f t="shared" ref="H21:H22" si="20">E21/$G21</f>
        <v>0.49019607843137253</v>
      </c>
      <c r="I21" s="9">
        <f t="shared" ref="I21:I22" si="21">F21/$G21</f>
        <v>0.33823529411764708</v>
      </c>
      <c r="J21" s="9">
        <f t="shared" ref="J21:J22" si="22">H21-I21</f>
        <v>0.15196078431372545</v>
      </c>
      <c r="K21" s="5" cm="1">
        <f t="array" ref="K21">_xll.FDS(A21,"FMA_PCT_ABOVE_MAVG(200,0,,,,""PORTAGG"")")/100</f>
        <v>0.68627450980392202</v>
      </c>
      <c r="L21" s="41" cm="1">
        <f t="array" ref="L21">_xll.FDSB(A21,"PERCENT_CHANGE(FMA_EPS(+1,0,,,,""PORTAGG"",""MEAN""),FMA_EPS(+1,-1AM,,,,""PORTAGG"",""MEAN""))")</f>
        <v>-0.52254614599426497</v>
      </c>
      <c r="M21" s="41" cm="1">
        <f t="array" ref="M21">_xll.FDSB(A21,"PERCENT_CHANGE(FMA_EPS(+1,0,,,,""PORTAGG"",""MEAN""),FMA_EPS(+1,-3AM,,,,""PORTAGG"",""MEAN""))")</f>
        <v>-3.6674920082317501</v>
      </c>
      <c r="N21" s="3" cm="1">
        <f t="array" ref="N21">_xll.FDS(C21,"FG_TOTAL_RETURNC(0,-1AM)")</f>
        <v>4.3344139999999998</v>
      </c>
      <c r="O21" s="3" cm="1">
        <f t="array" ref="O21">_xll.FDS(C21,"FG_TOTAL_RETURNC(0,-3AM)")</f>
        <v>2.2155999999999998</v>
      </c>
      <c r="P21" s="3" cm="1">
        <f t="array" ref="P21">_xll.FDS(C21,"FG_TOTAL_RETURNC(0,-6AM)")</f>
        <v>8.7244624999999996</v>
      </c>
      <c r="Q21" s="9" cm="1">
        <f t="array" ref="Q21">_xll.FDS(C21,"P_PRICE(0)/P_PRICE_HIGH_PR(0,,,,,,""PRICE"",""INTRA"",""52W"")")</f>
        <v>0.98536044</v>
      </c>
      <c r="R21" s="9" cm="1">
        <f t="array" ref="R21">_xll.FDS(C21,"P_PRICE(0)/P_PRICE_low_PR(0,,,,,,""PRICE"",""INTRA"",""52W"")-1")</f>
        <v>0.24143361999999999</v>
      </c>
      <c r="S21" s="3" cm="1">
        <f t="array" ref="S21">_xll.FDS(C21,"FG_TOTAL_RETURNC(0,-12AM)")</f>
        <v>17.355324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156</v>
      </c>
      <c r="F22" cm="1">
        <f t="array" ref="F22">_xll.FDS(C22,"FMA_COS_DOWN(""EPS"",""1M"",+1,0,,,""PORTAGG"",""MEANR"")")</f>
        <v>191</v>
      </c>
      <c r="G22" cm="1">
        <f t="array" ref="G22">_xll.FDS(A22,"SIZE(FG_CONSTITUENTS)")</f>
        <v>503</v>
      </c>
      <c r="H22" s="9">
        <f t="shared" si="20"/>
        <v>0.31013916500994038</v>
      </c>
      <c r="I22" s="9">
        <f t="shared" si="21"/>
        <v>0.3797216699801193</v>
      </c>
      <c r="J22" s="9">
        <f t="shared" si="22"/>
        <v>-6.9582504970178927E-2</v>
      </c>
      <c r="K22" s="5" cm="1">
        <f t="array" ref="K22">_xll.FDS(A22,"FMA_PCT_ABOVE_MAVG(200,0,,,,""PORTAGG"")")/100</f>
        <v>0.64471057884231497</v>
      </c>
      <c r="L22" s="41" cm="1">
        <f t="array" ref="L22">_xll.FDSB(A22,"PERCENT_CHANGE(FMA_EPS(+1,0,,,,""PORTAGG"",""MEAN""),FMA_EPS(+1,-1AM,,,,""PORTAGG"",""MEAN""))")</f>
        <v>-0.60684536266156996</v>
      </c>
      <c r="M22" s="41" cm="1">
        <f t="array" ref="M22">_xll.FDSB(A22,"PERCENT_CHANGE(FMA_EPS(+1,0,,,,""PORTAGG"",""MEAN""),FMA_EPS(+1,-3AM,,,,""PORTAGG"",""MEAN""))")</f>
        <v>0.63743748682906798</v>
      </c>
      <c r="N22" s="3" cm="1">
        <f t="array" ref="N22">_xll.FDS(C22,"FG_TOTAL_RETURNC(0,-1AM)")</f>
        <v>3.9720057999999998</v>
      </c>
      <c r="O22" s="3" cm="1">
        <f t="array" ref="O22">_xll.FDS(C22,"FG_TOTAL_RETURNC(0,-3AM)")</f>
        <v>7.7756166000000002</v>
      </c>
      <c r="P22" s="3" cm="1">
        <f t="array" ref="P22">_xll.FDS(C22,"FG_TOTAL_RETURNC(0,-6AM)")</f>
        <v>17.565691000000001</v>
      </c>
      <c r="Q22" s="9" cm="1">
        <f t="array" ref="Q22">_xll.FDS(C22,"P_PRICE(0)/P_PRICE_HIGH_PR(0,,,,,,""PRICE"",""INTRA"",""52W"")")</f>
        <v>0.98959680000000005</v>
      </c>
      <c r="R22" s="9" cm="1">
        <f t="array" ref="R22">_xll.FDS(C22,"P_PRICE(0)/P_PRICE_low_PR(0,,,,,,""PRICE"",""INTRA"",""52W"")-1")</f>
        <v>0.35988854999999997</v>
      </c>
      <c r="S22" s="3" cm="1">
        <f t="array" ref="S22">_xll.FDS(C22,"FG_TOTAL_RETURNC(0,-12AM)")</f>
        <v>27.538405999999998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22</v>
      </c>
      <c r="F23" cm="1">
        <f t="array" ref="F23">_xll.FDS(C23,"FMA_COS_DOWN(""EPS"",""1M"",+1,0,,,""PORTAGG"",""MEANR"")")</f>
        <v>21</v>
      </c>
      <c r="G23" cm="1">
        <f t="array" ref="G23">_xll.FDS(A23,"SIZE(FG_CONSTITUENTS)")</f>
        <v>52</v>
      </c>
      <c r="H23" s="9">
        <f t="shared" ref="H23" si="24">E23/$G23</f>
        <v>0.42307692307692307</v>
      </c>
      <c r="I23" s="9">
        <f t="shared" ref="I23" si="25">F23/$G23</f>
        <v>0.40384615384615385</v>
      </c>
      <c r="J23" s="9">
        <f t="shared" ref="J23" si="26">H23-I23</f>
        <v>1.9230769230769218E-2</v>
      </c>
      <c r="K23" s="5" cm="1">
        <f t="array" ref="K23">_xll.FDS(A23,"FMA_PCT_ABOVE_MAVG(200,0,,,,""PORTAGG"")")/100</f>
        <v>0.54901960784313697</v>
      </c>
      <c r="L23" s="41" cm="1">
        <f t="array" ref="L23">_xll.FDSB(A23,"PERCENT_CHANGE(FMA_EPS(+1,0,,,,""PORTAGG"",""MEAN""),FMA_EPS(+1,-1AM,,,,""PORTAGG"",""MEAN""))")</f>
        <v>3.9656931668622799</v>
      </c>
      <c r="M23" s="41" cm="1">
        <f t="array" ref="M23">_xll.FDSB(A23,"PERCENT_CHANGE(FMA_EPS(+1,0,,,,""PORTAGG"",""MEAN""),FMA_EPS(+1,-3AM,,,,""PORTAGG"",""MEAN""))")</f>
        <v>4.5993851184183097</v>
      </c>
      <c r="N23" s="3" cm="1">
        <f t="array" ref="N23">_xll.FDS(C23,"FG_TOTAL_RETURNC(0,-1AM)")</f>
        <v>1.7755985000000001</v>
      </c>
      <c r="O23" s="3" cm="1">
        <f t="array" ref="O23">_xll.FDS(C23,"FG_TOTAL_RETURNC(0,-3AM)")</f>
        <v>9.4182380000000006</v>
      </c>
      <c r="P23" s="3" cm="1">
        <f t="array" ref="P23">_xll.FDS(C23,"FG_TOTAL_RETURNC(0,-6AM)")</f>
        <v>18.380665</v>
      </c>
      <c r="Q23" s="9" cm="1">
        <f t="array" ref="Q23">_xll.FDS(C23,"P_PRICE(0)/P_PRICE_HIGH_PR(0,,,,,,""PRICE"",""INTRA"",""52W"")")</f>
        <v>0.88212179999999996</v>
      </c>
      <c r="R23" s="9" cm="1">
        <f t="array" ref="R23">_xll.FDS(C23,"P_PRICE(0)/P_PRICE_low_PR(0,,,,,,""PRICE"",""INTRA"",""52W"")-1")</f>
        <v>0.29146695</v>
      </c>
      <c r="S23" s="3" cm="1">
        <f t="array" ref="S23">_xll.FDS(C23,"FG_TOTAL_RETURNC(0,-12AM)")</f>
        <v>1.4736176000000001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-0.15350884000000001</v>
      </c>
      <c r="E4" s="9">
        <f>HLOOKUP(B4,'Monthly Returns'!$A$1:$Q$134, 132, FALSE)</f>
        <v>0.12396694214876033</v>
      </c>
      <c r="H4" s="9">
        <f>HLOOKUP(B4,'Yearly returns'!$B$1:$N$140, 133, FALSE)</f>
        <v>0.1487603305785124</v>
      </c>
      <c r="I4" s="9">
        <f>HLOOKUP(B4,'Yearly returns'!$B$1:$N$140, 138, FALSE)</f>
        <v>0.28599999999999998</v>
      </c>
      <c r="J4" s="183">
        <f>1/E4</f>
        <v>8.0666666666666664</v>
      </c>
      <c r="K4" s="185">
        <f>PERCENTRANK($J$4:$J$16,J4)*100</f>
        <v>25</v>
      </c>
      <c r="L4" s="47">
        <f>(1-PERCENTRANK($E$4:$E$16,E4))*100</f>
        <v>25</v>
      </c>
      <c r="M4" s="47">
        <f>(1-PERCENTRANK($H$4:$H$16,H4))*100</f>
        <v>41.7</v>
      </c>
      <c r="N4" s="47">
        <f>(1-PERCENTRANK($I$4:$I$16,I4))*100</f>
        <v>100</v>
      </c>
      <c r="P4">
        <f>L4*Assumption!$E$53 + M4*Assumption!$F$53 + N4*Assumption!$G$53</f>
        <v>66.674999999999997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-0.23521686999999999</v>
      </c>
      <c r="E5" s="9">
        <f>HLOOKUP(B5,'Monthly Returns'!$A$1:$Q$134, 132, FALSE)</f>
        <v>0.10743801652892562</v>
      </c>
      <c r="H5" s="9">
        <f>HLOOKUP(B5,'Yearly returns'!$B$1:$N$140, 133, FALSE)</f>
        <v>0.1487603305785124</v>
      </c>
      <c r="I5" s="9">
        <f>HLOOKUP(B5,'Yearly returns'!$B$1:$N$140, 138, FALSE)</f>
        <v>0.85199999999999998</v>
      </c>
      <c r="J5" s="183">
        <f t="shared" ref="J5:J16" si="0">1/E5</f>
        <v>9.3076923076923066</v>
      </c>
      <c r="K5" s="185">
        <f t="shared" ref="K5:K16" si="1">PERCENTRANK($J$4:$J$16,J5)*100</f>
        <v>66.600000000000009</v>
      </c>
      <c r="L5" s="47">
        <f t="shared" ref="L5:L16" si="2">(1-PERCENTRANK($E$4:$E$16,E5))*100</f>
        <v>66.7</v>
      </c>
      <c r="M5" s="47">
        <f t="shared" ref="M5:M16" si="3">(1-PERCENTRANK($H$4:$H$16,H5))*100</f>
        <v>41.7</v>
      </c>
      <c r="N5" s="47">
        <f t="shared" ref="N5:N16" si="4">(1-PERCENTRANK($I$4:$I$16,I5))*100</f>
        <v>16.700000000000003</v>
      </c>
      <c r="P5">
        <f>L5*Assumption!$E$53 + M5*Assumption!$F$53 + N5*Assumption!$G$53</f>
        <v>35.450000000000003</v>
      </c>
      <c r="R5" cm="1">
        <f t="array" ref="R5">_xlfn.PERCENTRANK.EXC(_xlfn._xlws.FILTER(P$4:P$16, ISNUMBER(P$4:P$16)),P5)*100</f>
        <v>28.499999999999996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-0.23036480000000001</v>
      </c>
      <c r="E6" s="9">
        <f>HLOOKUP(B6,'Monthly Returns'!$A$1:$Q$134, 132, FALSE)</f>
        <v>0.11570247933884298</v>
      </c>
      <c r="H6" s="9">
        <f>HLOOKUP(B6,'Yearly returns'!$B$1:$N$140, 133, FALSE)</f>
        <v>0.14049586776859505</v>
      </c>
      <c r="I6" s="9">
        <f>HLOOKUP(B6,'Yearly returns'!$B$1:$N$140, 138, FALSE)</f>
        <v>0.754</v>
      </c>
      <c r="J6" s="183">
        <f t="shared" si="0"/>
        <v>8.6428571428571423</v>
      </c>
      <c r="K6" s="185">
        <f t="shared" si="1"/>
        <v>33.300000000000004</v>
      </c>
      <c r="L6" s="47">
        <f t="shared" si="2"/>
        <v>58.400000000000006</v>
      </c>
      <c r="M6" s="47">
        <f t="shared" si="3"/>
        <v>58.400000000000006</v>
      </c>
      <c r="N6" s="47">
        <f t="shared" si="4"/>
        <v>50</v>
      </c>
      <c r="P6">
        <f>L6*Assumption!$E$53 + M6*Assumption!$F$53 + N6*Assumption!$G$53</f>
        <v>54.2</v>
      </c>
      <c r="R6" cm="1">
        <f t="array" ref="R6">_xlfn.PERCENTRANK.EXC(_xlfn._xlws.FILTER(P$4:P$16, ISNUMBER(P$4:P$16)),P6)*100</f>
        <v>57.099999999999994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-0.21404339</v>
      </c>
      <c r="E7" s="9">
        <f>HLOOKUP(B7,'Monthly Returns'!$A$1:$Q$134, 132, FALSE)</f>
        <v>0.14049586776859505</v>
      </c>
      <c r="H7" s="9">
        <f>HLOOKUP(B7,'Yearly returns'!$B$1:$N$140, 133, FALSE)</f>
        <v>0.26446280991735538</v>
      </c>
      <c r="I7" s="9">
        <f>HLOOKUP(B7,'Yearly returns'!$B$1:$N$140, 138, FALSE)</f>
        <v>0.70399999999999996</v>
      </c>
      <c r="J7" s="183">
        <f t="shared" si="0"/>
        <v>7.117647058823529</v>
      </c>
      <c r="K7" s="185">
        <f t="shared" si="1"/>
        <v>8.3000000000000007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75</v>
      </c>
      <c r="P7">
        <f>L7*Assumption!$E$53 + M7*Assumption!$F$53 + N7*Assumption!$G$53</f>
        <v>41.699999999999996</v>
      </c>
      <c r="R7" cm="1">
        <f t="array" ref="R7">_xlfn.PERCENTRANK.EXC(_xlfn._xlws.FILTER(P$4:P$16, ISNUMBER(P$4:P$16)),P7)*100</f>
        <v>35.699999999999996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-0.16800672999999999</v>
      </c>
      <c r="E8" s="9">
        <f>HLOOKUP(B8,'Monthly Returns'!$A$1:$Q$134, 132, FALSE)</f>
        <v>9.0909090909090912E-2</v>
      </c>
      <c r="H8" s="9">
        <f>HLOOKUP(B8,'Yearly returns'!$B$1:$N$140, 133, FALSE)</f>
        <v>0.11570247933884298</v>
      </c>
      <c r="I8" s="9">
        <f>HLOOKUP(B8,'Yearly returns'!$B$1:$N$140, 138, FALSE)</f>
        <v>0.79500000000000004</v>
      </c>
      <c r="J8" s="183">
        <f t="shared" si="0"/>
        <v>11</v>
      </c>
      <c r="K8" s="185">
        <f t="shared" si="1"/>
        <v>75</v>
      </c>
      <c r="L8" s="47">
        <f t="shared" si="2"/>
        <v>83.399999999999991</v>
      </c>
      <c r="M8" s="47">
        <f t="shared" si="3"/>
        <v>75</v>
      </c>
      <c r="N8" s="47">
        <f t="shared" si="4"/>
        <v>33.4</v>
      </c>
      <c r="P8">
        <f>L8*Assumption!$E$53 + M8*Assumption!$F$53 + N8*Assumption!$G$53</f>
        <v>56.3</v>
      </c>
      <c r="R8" cm="1">
        <f t="array" ref="R8">_xlfn.PERCENTRANK.EXC(_xlfn._xlws.FILTER(P$4:P$16, ISNUMBER(P$4:P$16)),P8)*100</f>
        <v>64.2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-0.15034551000000002</v>
      </c>
      <c r="E9" s="9">
        <f>HLOOKUP(B9,'Monthly Returns'!$A$1:$Q$134, 132, FALSE)</f>
        <v>6.6115702479338845E-2</v>
      </c>
      <c r="H9" s="9">
        <f>HLOOKUP(B9,'Yearly returns'!$B$1:$N$140, 133, FALSE)</f>
        <v>0.10743801652892562</v>
      </c>
      <c r="I9" s="9">
        <f>HLOOKUP(B9,'Yearly returns'!$B$1:$N$140, 138, FALSE)</f>
        <v>0.56499999999999995</v>
      </c>
      <c r="J9" s="183">
        <f t="shared" si="0"/>
        <v>15.125</v>
      </c>
      <c r="K9" s="185">
        <f t="shared" si="1"/>
        <v>100</v>
      </c>
      <c r="L9" s="47">
        <f t="shared" si="2"/>
        <v>100</v>
      </c>
      <c r="M9" s="47">
        <f t="shared" si="3"/>
        <v>83.399999999999991</v>
      </c>
      <c r="N9" s="47">
        <f t="shared" si="4"/>
        <v>83.399999999999991</v>
      </c>
      <c r="P9">
        <f>L9*Assumption!$E$53 + M9*Assumption!$F$53 + N9*Assumption!$G$53</f>
        <v>87.549999999999983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-0.22471231</v>
      </c>
      <c r="E10" s="9">
        <f>HLOOKUP(B10,'Monthly Returns'!$A$1:$Q$134, 132, FALSE)</f>
        <v>0.11570247933884298</v>
      </c>
      <c r="H10" s="9">
        <f>HLOOKUP(B10,'Yearly returns'!$B$1:$N$140, 133, FALSE)</f>
        <v>0.1487603305785124</v>
      </c>
      <c r="I10" s="9">
        <f>HLOOKUP(B10,'Yearly returns'!$B$1:$N$140, 138, FALSE)</f>
        <v>0.86799999999999999</v>
      </c>
      <c r="J10" s="183">
        <f t="shared" si="0"/>
        <v>8.6428571428571423</v>
      </c>
      <c r="K10" s="185">
        <f t="shared" si="1"/>
        <v>33.300000000000004</v>
      </c>
      <c r="L10" s="47">
        <f t="shared" si="2"/>
        <v>58.400000000000006</v>
      </c>
      <c r="M10" s="47">
        <f t="shared" si="3"/>
        <v>41.7</v>
      </c>
      <c r="N10" s="47">
        <f t="shared" si="4"/>
        <v>8.3999999999999968</v>
      </c>
      <c r="P10">
        <f>L10*Assumption!$E$53 + M10*Assumption!$F$53 + N10*Assumption!$G$53</f>
        <v>29.225000000000001</v>
      </c>
      <c r="R10" cm="1">
        <f t="array" ref="R10">_xlfn.PERCENTRANK.EXC(_xlfn._xlws.FILTER(P$4:P$16, ISNUMBER(P$4:P$16)),P10)*100</f>
        <v>7.1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-0.15857071</v>
      </c>
      <c r="E11" s="9">
        <f>HLOOKUP(B11,'Monthly Returns'!$A$1:$Q$134, 132, FALSE)</f>
        <v>9.0909090909090912E-2</v>
      </c>
      <c r="H11" s="9">
        <f>HLOOKUP(B11,'Yearly returns'!$B$1:$N$140, 133, FALSE)</f>
        <v>8.2644628099173556E-2</v>
      </c>
      <c r="I11" s="9">
        <f>HLOOKUP(B11,'Yearly returns'!$B$1:$N$140, 138, FALSE)</f>
        <v>0.77800000000000002</v>
      </c>
      <c r="J11" s="183">
        <f t="shared" si="0"/>
        <v>11</v>
      </c>
      <c r="K11" s="185">
        <f t="shared" si="1"/>
        <v>75</v>
      </c>
      <c r="L11" s="47">
        <f t="shared" si="2"/>
        <v>83.399999999999991</v>
      </c>
      <c r="M11" s="47">
        <f t="shared" si="3"/>
        <v>91.7</v>
      </c>
      <c r="N11" s="47">
        <f t="shared" si="4"/>
        <v>41.7</v>
      </c>
      <c r="P11">
        <f>L11*Assumption!$E$53 + M11*Assumption!$F$53 + N11*Assumption!$G$53</f>
        <v>64.625</v>
      </c>
      <c r="R11" cm="1">
        <f t="array" ref="R11">_xlfn.PERCENTRANK.EXC(_xlfn._xlws.FILTER(P$4:P$16, ISNUMBER(P$4:P$16)),P11)*100</f>
        <v>71.399999999999991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-0.18165009999999998</v>
      </c>
      <c r="E12" s="9">
        <f>HLOOKUP(B12,'Monthly Returns'!$A$1:$Q$134, 132, FALSE)</f>
        <v>7.43801652892562E-2</v>
      </c>
      <c r="H12" s="9">
        <f>HLOOKUP(B12,'Yearly returns'!$B$1:$N$140, 133, FALSE)</f>
        <v>4.1322314049586778E-2</v>
      </c>
      <c r="I12" s="9">
        <f>HLOOKUP(B12,'Yearly returns'!$B$1:$N$140, 138, FALSE)</f>
        <v>0.877</v>
      </c>
      <c r="J12" s="183">
        <f t="shared" si="0"/>
        <v>13.444444444444445</v>
      </c>
      <c r="K12" s="185">
        <f t="shared" si="1"/>
        <v>91.600000000000009</v>
      </c>
      <c r="L12" s="47">
        <f t="shared" si="2"/>
        <v>91.7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47.924999999999997</v>
      </c>
      <c r="R12" cm="1">
        <f t="array" ref="R12">_xlfn.PERCENTRANK.EXC(_xlfn._xlws.FILTER(P$4:P$16, ISNUMBER(P$4:P$16)),P12)*100</f>
        <v>42.8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-0.22009271999999999</v>
      </c>
      <c r="E13" s="9">
        <f>HLOOKUP(B13,'Monthly Returns'!$A$1:$Q$134, 132, FALSE)</f>
        <v>0.11570247933884298</v>
      </c>
      <c r="H13" s="9">
        <f>HLOOKUP(B13,'Yearly returns'!$B$1:$N$140, 133, FALSE)</f>
        <v>0.14049586776859505</v>
      </c>
      <c r="I13" s="9">
        <f>HLOOKUP(B13,'Yearly returns'!$B$1:$N$140, 138, FALSE)</f>
        <v>0.52400000000000002</v>
      </c>
      <c r="J13" s="183">
        <f t="shared" si="0"/>
        <v>8.6428571428571423</v>
      </c>
      <c r="K13" s="185">
        <f t="shared" si="1"/>
        <v>33.300000000000004</v>
      </c>
      <c r="L13" s="47">
        <f t="shared" si="2"/>
        <v>58.400000000000006</v>
      </c>
      <c r="M13" s="47">
        <f t="shared" si="3"/>
        <v>58.400000000000006</v>
      </c>
      <c r="N13" s="47">
        <f t="shared" si="4"/>
        <v>91.7</v>
      </c>
      <c r="P13">
        <f>L13*Assumption!$E$53 + M13*Assumption!$F$53 + N13*Assumption!$G$53</f>
        <v>75.050000000000011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-0.19808029999999999</v>
      </c>
      <c r="E14" s="9">
        <f>HLOOKUP(B14,'Monthly Returns'!$A$1:$Q$134, 132, FALSE)</f>
        <v>0.13223140495867769</v>
      </c>
      <c r="H14" s="9">
        <f>HLOOKUP(B14,'Yearly returns'!$B$1:$N$140, 133, FALSE)</f>
        <v>0.11570247933884298</v>
      </c>
      <c r="I14" s="9">
        <f>HLOOKUP(B14,'Yearly returns'!$B$1:$N$140, 138, FALSE)</f>
        <v>0.745</v>
      </c>
      <c r="J14" s="183">
        <f t="shared" si="0"/>
        <v>7.5625</v>
      </c>
      <c r="K14" s="185">
        <f t="shared" si="1"/>
        <v>16.600000000000001</v>
      </c>
      <c r="L14" s="47">
        <f t="shared" si="2"/>
        <v>16.700000000000003</v>
      </c>
      <c r="M14" s="47">
        <f t="shared" si="3"/>
        <v>75</v>
      </c>
      <c r="N14" s="47">
        <f t="shared" si="4"/>
        <v>58.400000000000006</v>
      </c>
      <c r="P14">
        <f>L14*Assumption!$E$53 + M14*Assumption!$F$53 + N14*Assumption!$G$53</f>
        <v>52.125</v>
      </c>
      <c r="R14" cm="1">
        <f t="array" ref="R14">_xlfn.PERCENTRANK.EXC(_xlfn._xlws.FILTER(P$4:P$16, ISNUMBER(P$4:P$16)),P14)*100</f>
        <v>50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-0.20194292</v>
      </c>
      <c r="E15" s="9">
        <f>HLOOKUP(B15,'Monthly Returns'!$A$1:$Q$134, 132, FALSE)</f>
        <v>0.11570247933884298</v>
      </c>
      <c r="H15" s="9">
        <f>HLOOKUP(B15,'Yearly returns'!$B$1:$N$140, 133, FALSE)</f>
        <v>0.18181818181818182</v>
      </c>
      <c r="I15" s="9">
        <f>HLOOKUP(B15,'Yearly returns'!$B$1:$N$140, 138, FALSE)</f>
        <v>0.81100000000000005</v>
      </c>
      <c r="J15" s="183">
        <f t="shared" si="0"/>
        <v>8.6428571428571423</v>
      </c>
      <c r="K15" s="185">
        <f t="shared" si="1"/>
        <v>33.300000000000004</v>
      </c>
      <c r="L15" s="47">
        <f t="shared" si="2"/>
        <v>58.400000000000006</v>
      </c>
      <c r="M15" s="47">
        <f t="shared" si="3"/>
        <v>16.700000000000003</v>
      </c>
      <c r="N15" s="47">
        <f t="shared" si="4"/>
        <v>25</v>
      </c>
      <c r="P15">
        <f>L15*Assumption!$E$53 + M15*Assumption!$F$53 + N15*Assumption!$G$53</f>
        <v>31.275000000000002</v>
      </c>
      <c r="R15" cm="1">
        <f t="array" ref="R15">_xlfn.PERCENTRANK.EXC(_xlfn._xlws.FILTER(P$4:P$16, ISNUMBER(P$4:P$16)),P15)*100</f>
        <v>14.2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-0.26165115</v>
      </c>
      <c r="E16" s="9">
        <f>HLOOKUP(B16,'Monthly Returns'!$A$1:$Q$134, 132, FALSE)</f>
        <v>0.15702479338842976</v>
      </c>
      <c r="H16" s="9">
        <f>HLOOKUP(B16,'Yearly returns'!$B$1:$N$140, 133, FALSE)</f>
        <v>0.30578512396694213</v>
      </c>
      <c r="I16" s="9">
        <f>HLOOKUP(B16,'Yearly returns'!$B$1:$N$140, 138, FALSE)</f>
        <v>0.72899999999999998</v>
      </c>
      <c r="J16" s="183">
        <f t="shared" si="0"/>
        <v>6.3684210526315788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66.7</v>
      </c>
      <c r="P16">
        <f>L16*Assumption!$E$53 + M16*Assumption!$F$53 + N16*Assumption!$G$53</f>
        <v>33.35</v>
      </c>
      <c r="R16" cm="1">
        <f t="array" ref="R16">_xlfn.PERCENTRANK.EXC(_xlfn._xlws.FILTER(P$4:P$16, ISNUMBER(P$4:P$16)),P16)*100</f>
        <v>21.4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0.57299999999999995</v>
      </c>
      <c r="G5" s="141" cm="1">
        <f t="array" ref="G5">_xll.FDSZ(C5,"FG_PRICE(0)")</f>
        <v>46.22</v>
      </c>
      <c r="H5" s="141" cm="1">
        <f t="array" ref="H5">_xll.FDSZ(C5,"FG_PRICE_MAVG(0,,,,30)")</f>
        <v>45.779760000000003</v>
      </c>
      <c r="I5" s="141" cm="1">
        <f t="array" ref="I5">_xll.FDSZ(C5,"FG_PRICE_MAVG(0,,,,60)")</f>
        <v>45.330047999999998</v>
      </c>
      <c r="J5" s="141" cm="1">
        <f t="array" ref="J5">_xll.FDSZ(C5,"FG_PRICE_MAVG(0,,,,200)")</f>
        <v>45.423954000000002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396.76843000000002</v>
      </c>
      <c r="T5" s="7" cm="1">
        <f t="array" ref="T5">_xll.FDSZ($R5,"FG_PRICE(0)")</f>
        <v>396.76843000000002</v>
      </c>
      <c r="U5" s="7" cm="1">
        <f t="array" ref="U5">_xll.FDSZ($R5,"FG_PRICE(0)")</f>
        <v>396.76843000000002</v>
      </c>
      <c r="V5" s="7" cm="1">
        <f t="array" ref="V5">_xll.FDSZ($R5,"FG_PRICE(0)")</f>
        <v>396.76843000000002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0.85199999999999998</v>
      </c>
      <c r="G6" s="141" cm="1">
        <f t="array" ref="G6">_xll.FDSZ(C6,"FG_PRICE(0)")</f>
        <v>25.26</v>
      </c>
      <c r="H6" s="141" cm="1">
        <f t="array" ref="H6">_xll.FDSZ(C6,"FG_PRICE_MAVG(0,,,,30)")</f>
        <v>24.567667</v>
      </c>
      <c r="I6" s="141" cm="1">
        <f t="array" ref="I6">_xll.FDSZ(C6,"FG_PRICE_MAVG(0,,,,60)")</f>
        <v>24.389500000000002</v>
      </c>
      <c r="J6" s="141" cm="1">
        <f t="array" ref="J6">_xll.FDSZ(C6,"FG_PRICE_MAVG(0,,,,200)")</f>
        <v>23.453700000000001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374.31331999999998</v>
      </c>
      <c r="T6" s="7" cm="1">
        <f t="array" ref="T6">_xll.FDSZ($R6,"FG_PRICE(0)")</f>
        <v>374.31331999999998</v>
      </c>
      <c r="U6" s="7" cm="1">
        <f t="array" ref="U6">_xll.FDSZ($R6,"FG_PRICE(0)")</f>
        <v>374.31331999999998</v>
      </c>
      <c r="V6" s="7" cm="1">
        <f t="array" ref="V6">_xll.FDSZ($R6,"FG_PRICE(0)")</f>
        <v>374.31331999999998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0.83599999999999997</v>
      </c>
      <c r="G7" s="141" cm="1">
        <f t="array" ref="G7">_xll.FDSZ(C7,"FG_PRICE(0)")</f>
        <v>38.380000000000003</v>
      </c>
      <c r="H7" s="141" cm="1">
        <f t="array" ref="H7">_xll.FDSZ(C7,"FG_PRICE_MAVG(0,,,,30)")</f>
        <v>37.318333000000003</v>
      </c>
      <c r="I7" s="141" cm="1">
        <f t="array" ref="I7">_xll.FDSZ(C7,"FG_PRICE_MAVG(0,,,,60)")</f>
        <v>37.539332999999999</v>
      </c>
      <c r="J7" s="141" cm="1">
        <f t="array" ref="J7">_xll.FDSZ(C7,"FG_PRICE_MAVG(0,,,,200)")</f>
        <v>36.150350000000003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297.48196000000002</v>
      </c>
      <c r="T7" s="7" cm="1">
        <f t="array" ref="T7">_xll.FDSZ($R7,"FG_PRICE(0)")</f>
        <v>297.48196000000002</v>
      </c>
      <c r="U7" s="7" cm="1">
        <f t="array" ref="U7">_xll.FDSZ($R7,"FG_PRICE(0)")</f>
        <v>297.48196000000002</v>
      </c>
      <c r="V7" s="7" cm="1">
        <f t="array" ref="V7">_xll.FDSZ($R7,"FG_PRICE(0)")</f>
        <v>297.48196000000002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0.66300000000000003</v>
      </c>
      <c r="G8" s="141" cm="1">
        <f t="array" ref="G8">_xll.FDSZ(C8,"FG_PRICE(0)")</f>
        <v>31.43</v>
      </c>
      <c r="H8" s="141" cm="1">
        <f t="array" ref="H8">_xll.FDSZ(C8,"FG_PRICE_MAVG(0,,,,30)")</f>
        <v>31.085999999999999</v>
      </c>
      <c r="I8" s="141" cm="1">
        <f t="array" ref="I8">_xll.FDSZ(C8,"FG_PRICE_MAVG(0,,,,60)")</f>
        <v>31.234667000000002</v>
      </c>
      <c r="J8" s="141" cm="1">
        <f t="array" ref="J8">_xll.FDSZ(C8,"FG_PRICE_MAVG(0,,,,200)")</f>
        <v>29.47035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9.8107480000000002</v>
      </c>
      <c r="T8" s="7" cm="1">
        <f t="array" ref="T8">_xll.FDSZ($R8,"FG_PRICE(0)")</f>
        <v>9.8107480000000002</v>
      </c>
      <c r="U8" s="7" cm="1">
        <f t="array" ref="U8">_xll.FDSZ($R8,"FG_PRICE(0)")</f>
        <v>9.8107480000000002</v>
      </c>
      <c r="V8" s="7" cm="1">
        <f t="array" ref="V8">_xll.FDSZ($R8,"FG_PRICE(0)")</f>
        <v>9.8107480000000002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0.83599999999999997</v>
      </c>
      <c r="G9" s="141" cm="1">
        <f t="array" ref="G9">_xll.FDSZ(C9,"FG_PRICE(0)")</f>
        <v>71.010000000000005</v>
      </c>
      <c r="H9" s="141" cm="1">
        <f t="array" ref="H9">_xll.FDSZ(C9,"FG_PRICE_MAVG(0,,,,30)")</f>
        <v>68.391334999999998</v>
      </c>
      <c r="I9" s="141" cm="1">
        <f t="array" ref="I9">_xll.FDSZ(C9,"FG_PRICE_MAVG(0,,,,60)")</f>
        <v>68.191999999999993</v>
      </c>
      <c r="J9" s="141" cm="1">
        <f t="array" ref="J9">_xll.FDSZ(C9,"FG_PRICE_MAVG(0,,,,200)")</f>
        <v>65.759799999999998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180.66441</v>
      </c>
      <c r="T9" s="7" cm="1">
        <f t="array" ref="T9">_xll.FDSZ($R9,"FG_PRICE(0)")</f>
        <v>180.66441</v>
      </c>
      <c r="U9" s="7" cm="1">
        <f t="array" ref="U9">_xll.FDSZ($R9,"FG_PRICE(0)")</f>
        <v>180.66441</v>
      </c>
      <c r="V9" s="7" cm="1">
        <f t="array" ref="V9">_xll.FDSZ($R9,"FG_PRICE(0)")</f>
        <v>180.66441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0.61399999999999999</v>
      </c>
      <c r="G10" s="141" cm="1">
        <f t="array" ref="G10">_xll.FDSZ(C10,"FG_PRICE(0)")</f>
        <v>49.3</v>
      </c>
      <c r="H10" s="141" cm="1">
        <f t="array" ref="H10">_xll.FDSZ(C10,"FG_PRICE_MAVG(0,,,,30)")</f>
        <v>48.938330000000001</v>
      </c>
      <c r="I10" s="141" cm="1">
        <f t="array" ref="I10">_xll.FDSZ(C10,"FG_PRICE_MAVG(0,,,,60)")</f>
        <v>47.956333000000001</v>
      </c>
      <c r="J10" s="141" cm="1">
        <f t="array" ref="J10">_xll.FDSZ(C10,"FG_PRICE_MAVG(0,,,,200)")</f>
        <v>46.519300000000001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337.65069999999997</v>
      </c>
      <c r="T10" s="7" cm="1">
        <f t="array" ref="T10">_xll.FDSZ($R10,"FG_PRICE(0)")</f>
        <v>337.65069999999997</v>
      </c>
      <c r="U10" s="7" cm="1">
        <f t="array" ref="U10">_xll.FDSZ($R10,"FG_PRICE(0)")</f>
        <v>337.65069999999997</v>
      </c>
      <c r="V10" s="7" cm="1">
        <f t="array" ref="V10">_xll.FDSZ($R10,"FG_PRICE(0)")</f>
        <v>337.65069999999997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0.67200000000000004</v>
      </c>
      <c r="G11" s="141" cm="1">
        <f t="array" ref="G11">_xll.FDSZ(C11,"FG_PRICE(0)")</f>
        <v>35.78</v>
      </c>
      <c r="H11" s="141" cm="1">
        <f t="array" ref="H11">_xll.FDSZ(C11,"FG_PRICE_MAVG(0,,,,30)")</f>
        <v>35.446334999999998</v>
      </c>
      <c r="I11" s="141" cm="1">
        <f t="array" ref="I11">_xll.FDSZ(C11,"FG_PRICE_MAVG(0,,,,60)")</f>
        <v>35.392834000000001</v>
      </c>
      <c r="J11" s="141" cm="1">
        <f t="array" ref="J11">_xll.FDSZ(C11,"FG_PRICE_MAVG(0,,,,200)")</f>
        <v>33.343499999999999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130.52387999999999</v>
      </c>
      <c r="T11" s="7" cm="1">
        <f t="array" ref="T11">_xll.FDSZ($R11,"FG_PRICE(0)")</f>
        <v>130.52387999999999</v>
      </c>
      <c r="U11" s="7" cm="1">
        <f t="array" ref="U11">_xll.FDSZ($R11,"FG_PRICE(0)")</f>
        <v>130.52387999999999</v>
      </c>
      <c r="V11" s="7" cm="1">
        <f t="array" ref="V11">_xll.FDSZ($R11,"FG_PRICE(0)")</f>
        <v>130.52387999999999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0.80300000000000005</v>
      </c>
      <c r="G12" s="141" cm="1">
        <f t="array" ref="G12">_xll.FDSZ(C12,"FG_PRICE(0)")</f>
        <v>491.93</v>
      </c>
      <c r="H12" s="141" cm="1">
        <f t="array" ref="H12">_xll.FDSZ(C12,"FG_PRICE_MAVG(0,,,,30)")</f>
        <v>476.38067999999998</v>
      </c>
      <c r="I12" s="141" cm="1">
        <f t="array" ref="I12">_xll.FDSZ(C12,"FG_PRICE_MAVG(0,,,,60)")</f>
        <v>457.34300000000002</v>
      </c>
      <c r="J12" s="141" cm="1">
        <f t="array" ref="J12">_xll.FDSZ(C12,"FG_PRICE_MAVG(0,,,,200)")</f>
        <v>420.67559999999997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416.81957999999997</v>
      </c>
      <c r="T12" s="7" cm="1">
        <f t="array" ref="T12">_xll.FDSZ($R12,"FG_PRICE(0)")</f>
        <v>416.81957999999997</v>
      </c>
      <c r="U12" s="7" cm="1">
        <f t="array" ref="U12">_xll.FDSZ($R12,"FG_PRICE(0)")</f>
        <v>416.81957999999997</v>
      </c>
      <c r="V12" s="7" cm="1">
        <f t="array" ref="V12">_xll.FDSZ($R12,"FG_PRICE(0)")</f>
        <v>416.81957999999997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0.81100000000000005</v>
      </c>
      <c r="G13" s="141" cm="1">
        <f t="array" ref="G13">_xll.FDSZ(C13,"FG_PRICE(0)")</f>
        <v>556.48</v>
      </c>
      <c r="H13" s="141" cm="1">
        <f t="array" ref="H13">_xll.FDSZ(C13,"FG_PRICE_MAVG(0,,,,30)")</f>
        <v>542.49770000000001</v>
      </c>
      <c r="I13" s="141" cm="1">
        <f t="array" ref="I13">_xll.FDSZ(C13,"FG_PRICE_MAVG(0,,,,60)")</f>
        <v>528.75714000000005</v>
      </c>
      <c r="J13" s="141" cm="1">
        <f t="array" ref="J13">_xll.FDSZ(C13,"FG_PRICE_MAVG(0,,,,200)")</f>
        <v>489.87993999999998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416.81957999999997</v>
      </c>
      <c r="T13" s="7" cm="1">
        <f t="array" ref="T13">_xll.FDSZ($R13,"FG_PRICE(0)")</f>
        <v>416.81957999999997</v>
      </c>
      <c r="U13" s="7" cm="1">
        <f t="array" ref="U13">_xll.FDSZ($R13,"FG_PRICE(0)")</f>
        <v>416.81957999999997</v>
      </c>
      <c r="V13" s="7" cm="1">
        <f t="array" ref="V13">_xll.FDSZ($R13,"FG_PRICE(0)")</f>
        <v>416.81957999999997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0.35199999999999998</v>
      </c>
      <c r="G14" s="141" cm="1">
        <f t="array" ref="G14">_xll.FDSZ(C14,"FG_PRICE(0)")</f>
        <v>38.979999999999997</v>
      </c>
      <c r="H14" s="141" cm="1">
        <f t="array" ref="H14">_xll.FDSZ(C14,"FG_PRICE_MAVG(0,,,,30)")</f>
        <v>39.485669999999999</v>
      </c>
      <c r="I14" s="141" cm="1">
        <f t="array" ref="I14">_xll.FDSZ(C14,"FG_PRICE_MAVG(0,,,,60)")</f>
        <v>40.302833999999997</v>
      </c>
      <c r="J14" s="141" cm="1">
        <f t="array" ref="J14">_xll.FDSZ(C14,"FG_PRICE_MAVG(0,,,,200)")</f>
        <v>38.795074</v>
      </c>
      <c r="L14">
        <f t="shared" si="0"/>
        <v>0</v>
      </c>
      <c r="M14">
        <f t="shared" si="1"/>
        <v>0</v>
      </c>
      <c r="N14">
        <f t="shared" si="2"/>
        <v>1</v>
      </c>
      <c r="P14">
        <f t="shared" si="3"/>
        <v>1</v>
      </c>
      <c r="R14" t="s">
        <v>845</v>
      </c>
      <c r="S14" s="7" cm="1">
        <f t="array" ref="S14">_xll.FDSZ($R14,"FG_PRICE(0)")</f>
        <v>416.81957999999997</v>
      </c>
      <c r="T14" s="7" cm="1">
        <f t="array" ref="T14">_xll.FDSZ($R14,"FG_PRICE(0)")</f>
        <v>416.81957999999997</v>
      </c>
      <c r="U14" s="7" cm="1">
        <f t="array" ref="U14">_xll.FDSZ($R14,"FG_PRICE(0)")</f>
        <v>416.81957999999997</v>
      </c>
      <c r="V14" s="7" cm="1">
        <f t="array" ref="V14">_xll.FDSZ($R14,"FG_PRICE(0)")</f>
        <v>416.81957999999997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0.56499999999999995</v>
      </c>
      <c r="G15" s="141" cm="1">
        <f t="array" ref="G15">_xll.FDSZ(C15,"FG_PRICE(0)")</f>
        <v>51.95</v>
      </c>
      <c r="H15" s="141" cm="1">
        <f t="array" ref="H15">_xll.FDSZ(C15,"FG_PRICE_MAVG(0,,,,30)")</f>
        <v>51.237335000000002</v>
      </c>
      <c r="I15" s="141" cm="1">
        <f t="array" ref="I15">_xll.FDSZ(C15,"FG_PRICE_MAVG(0,,,,60)")</f>
        <v>50.429000000000002</v>
      </c>
      <c r="J15" s="141" cm="1">
        <f t="array" ref="J15">_xll.FDSZ(C15,"FG_PRICE_MAVG(0,,,,200)")</f>
        <v>45.77581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416.81957999999997</v>
      </c>
      <c r="T15" s="7" cm="1">
        <f t="array" ref="T15">_xll.FDSZ($R15,"FG_PRICE(0)")</f>
        <v>416.81957999999997</v>
      </c>
      <c r="U15" s="7" cm="1">
        <f t="array" ref="U15">_xll.FDSZ($R15,"FG_PRICE(0)")</f>
        <v>416.81957999999997</v>
      </c>
      <c r="V15" s="7" cm="1">
        <f t="array" ref="V15">_xll.FDSZ($R15,"FG_PRICE(0)")</f>
        <v>416.81957999999997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0.45</v>
      </c>
      <c r="G16" s="141" cm="1">
        <f t="array" ref="G16">_xll.FDSZ(C16,"FG_PRICE(0)")</f>
        <v>40.840000000000003</v>
      </c>
      <c r="H16" s="141" cm="1">
        <f t="array" ref="H16">_xll.FDSZ(C16,"FG_PRICE_MAVG(0,,,,30)")</f>
        <v>40.931330000000003</v>
      </c>
      <c r="I16" s="141" cm="1">
        <f t="array" ref="I16">_xll.FDSZ(C16,"FG_PRICE_MAVG(0,,,,60)")</f>
        <v>40.463585000000002</v>
      </c>
      <c r="J16" s="141" cm="1">
        <f t="array" ref="J16">_xll.FDSZ(C16,"FG_PRICE_MAVG(0,,,,200)")</f>
        <v>37.954723000000001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845</v>
      </c>
      <c r="S16" s="7" cm="1">
        <f t="array" ref="S16">_xll.FDSZ($R16,"FG_PRICE(0)")</f>
        <v>416.81957999999997</v>
      </c>
      <c r="T16" s="7" cm="1">
        <f t="array" ref="T16">_xll.FDSZ($R16,"FG_PRICE(0)")</f>
        <v>416.81957999999997</v>
      </c>
      <c r="U16" s="7" cm="1">
        <f t="array" ref="U16">_xll.FDSZ($R16,"FG_PRICE(0)")</f>
        <v>416.81957999999997</v>
      </c>
      <c r="V16" s="7" cm="1">
        <f t="array" ref="V16">_xll.FDSZ($R16,"FG_PRICE(0)")</f>
        <v>416.81957999999997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0.59799999999999998</v>
      </c>
      <c r="G17" s="141" cm="1">
        <f t="array" ref="G17">_xll.FDSZ(C17,"FG_PRICE(0)")</f>
        <v>37.450000000000003</v>
      </c>
      <c r="H17" s="141" cm="1">
        <f t="array" ref="H17">_xll.FDSZ(C17,"FG_PRICE_MAVG(0,,,,30)")</f>
        <v>37.102665000000002</v>
      </c>
      <c r="I17" s="141" cm="1">
        <f t="array" ref="I17">_xll.FDSZ(C17,"FG_PRICE_MAVG(0,,,,60)")</f>
        <v>37.384166999999998</v>
      </c>
      <c r="J17" s="141" cm="1">
        <f t="array" ref="J17">_xll.FDSZ(C17,"FG_PRICE_MAVG(0,,,,200)")</f>
        <v>34.677750000000003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416.81957999999997</v>
      </c>
      <c r="T17" s="7" cm="1">
        <f t="array" ref="T17">_xll.FDSZ($R17,"FG_PRICE(0)")</f>
        <v>416.81957999999997</v>
      </c>
      <c r="U17" s="7" cm="1">
        <f t="array" ref="U17">_xll.FDSZ($R17,"FG_PRICE(0)")</f>
        <v>416.81957999999997</v>
      </c>
      <c r="V17" s="7" cm="1">
        <f t="array" ref="V17">_xll.FDSZ($R17,"FG_PRICE(0)")</f>
        <v>416.81957999999997</v>
      </c>
    </row>
    <row r="19" spans="1:22" x14ac:dyDescent="0.35">
      <c r="K19" s="1" t="s">
        <v>906</v>
      </c>
      <c r="L19" s="1">
        <f>SUM(L5:L17)</f>
        <v>11</v>
      </c>
      <c r="M19" s="1">
        <f t="shared" ref="M19:N19" si="4">SUM(M5:M17)</f>
        <v>12</v>
      </c>
      <c r="N19" s="1">
        <f t="shared" si="4"/>
        <v>13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0.84615384615384615</v>
      </c>
      <c r="M22" s="182">
        <f t="shared" ref="M22:N22" si="6">M19/M20</f>
        <v>0.92307692307692313</v>
      </c>
      <c r="N22" s="182">
        <f t="shared" si="6"/>
        <v>1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109.58</v>
      </c>
      <c r="D3" cm="1">
        <f t="array" ref="D3">_xll.FDS($A3,"FG_PRICE_MAVG(0,,,,30)")</f>
        <v>109.053</v>
      </c>
      <c r="E3" s="47" cm="1">
        <f t="array" ref="E3">_xll.FDS($A3,"FG_PRICE_CHANGE(0,-1AM)")</f>
        <v>3.1147078197045301</v>
      </c>
      <c r="F3" s="47" cm="1">
        <f t="array" ref="F3">_xll.FDS($A3,"FG_PRICE_CHANGE(0,-3AM)")</f>
        <v>4.6509406933435304</v>
      </c>
      <c r="G3" s="47" cm="1">
        <f t="array" ref="G3">_xll.FDS($A3,"FG_PRICE_CHANGE(0,-6AM)")</f>
        <v>-21.0803024846957</v>
      </c>
      <c r="H3" s="47" cm="1">
        <f t="array" ref="H3">_xll.FDS($A3,"FG_PRICE_CHANGE(0,-1AY)")</f>
        <v>0.21949881104810201</v>
      </c>
      <c r="I3" s="47" cm="1">
        <f t="array" ref="I3">_xll.FDS($A3,"FG_PRICE(0)/MAX(FG_PRICE(0,-1AY))")</f>
        <v>0.76012763596004396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4.5084999999999997</v>
      </c>
      <c r="D4" cm="1">
        <f t="array" ref="D4">_xll.FDS($A4,"FG_PRICE_MAVG(0,,,,30)")</f>
        <v>4.5466166000000001</v>
      </c>
      <c r="E4" s="47" cm="1">
        <f t="array" ref="E4">_xll.FDS($A4,"FG_PRICE_CHANGE(0,-1AM)")</f>
        <v>-0.32058368339596999</v>
      </c>
      <c r="F4" s="47" cm="1">
        <f t="array" ref="F4">_xll.FDS($A4,"FG_PRICE_CHANGE(0,-3AM)")</f>
        <v>6.0324553151458202</v>
      </c>
      <c r="G4" s="47" cm="1">
        <f t="array" ref="G4">_xll.FDS($A4,"FG_PRICE_CHANGE(0,-6AM)")</f>
        <v>19.383026611942299</v>
      </c>
      <c r="H4" s="47" cm="1">
        <f t="array" ref="H4">_xll.FDS($A4,"FG_PRICE_CHANGE(0,-1AY)")</f>
        <v>20.114559744238701</v>
      </c>
      <c r="I4" s="47" cm="1">
        <f t="array" ref="I4">_xll.FDS($A4,"FG_PRICE(0)/MAX(FG_PRICE(0,-1AY))")</f>
        <v>0.88073842547372505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7.6479438314944703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1</v>
      </c>
      <c r="T5">
        <f t="shared" si="0"/>
        <v>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5.5425000000000004</v>
      </c>
      <c r="D6" cm="1">
        <f t="array" ref="D6">_xll.FDS($A6,"FG_PRICE_MAVG(0,,,,30)")</f>
        <v>5.9665832999999999</v>
      </c>
      <c r="E6" s="47" cm="1">
        <f t="array" ref="E6">_xll.FDS($A6,"FG_PRICE_CHANGE(0,-1AM)")</f>
        <v>-11.532322426177201</v>
      </c>
      <c r="F6" s="47" cm="1">
        <f t="array" ref="F6">_xll.FDS($A6,"FG_PRICE_CHANGE(0,-3AM)")</f>
        <v>0.45310376076122</v>
      </c>
      <c r="G6" s="47" cm="1">
        <f t="array" ref="G6">_xll.FDS($A6,"FG_PRICE_CHANGE(0,-6AM)")</f>
        <v>-8.1987577639751397</v>
      </c>
      <c r="H6" s="47" cm="1">
        <f t="array" ref="H6">_xll.FDS($A6,"FG_PRICE_CHANGE(0,-1AY)")</f>
        <v>-14.665127020785199</v>
      </c>
      <c r="I6" s="47" cm="1">
        <f t="array" ref="I6">_xll.FDS($A6,"FG_PRICE(0)/MAX(FG_PRICE(0,-1AY))")</f>
        <v>0.72903650115093699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4005</v>
      </c>
      <c r="D7" cm="1">
        <f t="array" ref="D7">_xll.FDS($A7,"FG_PRICE_MAVG(0,,,,30)")</f>
        <v>3984.4333000000001</v>
      </c>
      <c r="E7" s="47" cm="1">
        <f t="array" ref="E7">_xll.FDS($A7,"FG_PRICE_CHANGE(0,-1AM)")</f>
        <v>1.88247265326889</v>
      </c>
      <c r="F7" s="47" cm="1">
        <f t="array" ref="F7">_xll.FDS($A7,"FG_PRICE_CHANGE(0,-3AM)")</f>
        <v>-11.334956829754301</v>
      </c>
      <c r="G7" s="47" cm="1">
        <f t="array" ref="G7">_xll.FDS($A7,"FG_PRICE_CHANGE(0,-6AM)")</f>
        <v>7.0855614973262</v>
      </c>
      <c r="H7" s="47" cm="1">
        <f t="array" ref="H7">_xll.FDS($A7,"FG_PRICE_CHANGE(0,-1AY)")</f>
        <v>4.9803407601572802</v>
      </c>
      <c r="I7" s="47" cm="1">
        <f t="array" ref="I7">_xll.FDS($A7,"FG_PRICE(0)/MAX(FG_PRICE(0,-1AY))")</f>
        <v>0.87464511902162001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1011</v>
      </c>
      <c r="D8" cm="1">
        <f t="array" ref="D8">_xll.FDS($A8,"FG_PRICE_MAVG(0,,,,30)")</f>
        <v>999.3</v>
      </c>
      <c r="E8" s="47" cm="1">
        <f t="array" ref="E8">_xll.FDS($A8,"FG_PRICE_CHANGE(0,-1AM)")</f>
        <v>4.8755186721991803</v>
      </c>
      <c r="F8" s="47" cm="1">
        <f t="array" ref="F8">_xll.FDS($A8,"FG_PRICE_CHANGE(0,-3AM)")</f>
        <v>3.0581039755351598</v>
      </c>
      <c r="G8" s="47" cm="1">
        <f t="array" ref="G8">_xll.FDS($A8,"FG_PRICE_CHANGE(0,-6AM)")</f>
        <v>8.7096774193548399</v>
      </c>
      <c r="H8" s="47" cm="1">
        <f t="array" ref="H8">_xll.FDS($A8,"FG_PRICE_CHANGE(0,-1AY)")</f>
        <v>8.7096774193548399</v>
      </c>
      <c r="I8" s="47" cm="1">
        <f t="array" ref="I8">_xll.FDS($A8,"FG_PRICE(0)/MAX(FG_PRICE(0,-1AY))")</f>
        <v>0.94574368568755895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16630</v>
      </c>
      <c r="D9" cm="1">
        <f t="array" ref="D9">_xll.FDS($A9,"FG_PRICE_MAVG(0,,,,30)")</f>
        <v>17639.166000000001</v>
      </c>
      <c r="E9" s="47" cm="1">
        <f t="array" ref="E9">_xll.FDS($A9,"FG_PRICE_CHANGE(0,-1AM)")</f>
        <v>-5.77903682719547</v>
      </c>
      <c r="F9" s="47" cm="1">
        <f t="array" ref="F9">_xll.FDS($A9,"FG_PRICE_CHANGE(0,-3AM)")</f>
        <v>-6.1247530341518504</v>
      </c>
      <c r="G9" s="47" cm="1">
        <f t="array" ref="G9">_xll.FDS($A9,"FG_PRICE_CHANGE(0,-6AM)")</f>
        <v>2.3384615384615302</v>
      </c>
      <c r="H9" s="47" cm="1">
        <f t="array" ref="H9">_xll.FDS($A9,"FG_PRICE_CHANGE(0,-1AY)")</f>
        <v>-18.7194525904203</v>
      </c>
      <c r="I9" s="47" cm="1">
        <f t="array" ref="I9">_xll.FDS($A9,"FG_PRICE(0)/MAX(FG_PRICE(0,-1AY))")</f>
        <v>0.74390516662938899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1012</v>
      </c>
      <c r="D10" cm="1">
        <f t="array" ref="D10">_xll.FDS($A10,"FG_PRICE_MAVG(0,,,,30)")</f>
        <v>961.96669999999995</v>
      </c>
      <c r="E10" s="47" cm="1">
        <f t="array" ref="E10">_xll.FDS($A10,"FG_PRICE_CHANGE(0,-1AM)")</f>
        <v>12.0708748615725</v>
      </c>
      <c r="F10" s="47" cm="1">
        <f t="array" ref="F10">_xll.FDS($A10,"FG_PRICE_CHANGE(0,-3AM)")</f>
        <v>-5.2434456928838999</v>
      </c>
      <c r="G10" s="47" cm="1">
        <f t="array" ref="G10">_xll.FDS($A10,"FG_PRICE_CHANGE(0,-6AM)")</f>
        <v>-0.19723865877712099</v>
      </c>
      <c r="H10" s="47" cm="1">
        <f t="array" ref="H10">_xll.FDS($A10,"FG_PRICE_CHANGE(0,-1AY)")</f>
        <v>-18.714859437750999</v>
      </c>
      <c r="I10" s="47" cm="1">
        <f t="array" ref="I10">_xll.FDS($A10,"FG_PRICE(0)/MAX(FG_PRICE(0,-1AY))")</f>
        <v>0.75522388059701495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553.4</v>
      </c>
      <c r="D11" cm="1">
        <f t="array" ref="D11">_xll.FDS($A11,"FG_PRICE_MAVG(0,,,,30)")</f>
        <v>560.65</v>
      </c>
      <c r="E11" s="47" cm="1">
        <f t="array" ref="E11">_xll.FDS($A11,"FG_PRICE_CHANGE(0,-1AM)")</f>
        <v>1.2625800548947901</v>
      </c>
      <c r="F11" s="47" cm="1">
        <f t="array" ref="F11">_xll.FDS($A11,"FG_PRICE_CHANGE(0,-3AM)")</f>
        <v>-11.8930106670912</v>
      </c>
      <c r="G11" s="47" cm="1">
        <f t="array" ref="G11">_xll.FDS($A11,"FG_PRICE_CHANGE(0,-6AM)")</f>
        <v>-11.1574891635897</v>
      </c>
      <c r="H11" s="47" cm="1">
        <f t="array" ref="H11">_xll.FDS($A11,"FG_PRICE_CHANGE(0,-1AY)")</f>
        <v>-18.4617651392368</v>
      </c>
      <c r="I11" s="47" cm="1">
        <f t="array" ref="I11">_xll.FDS($A11,"FG_PRICE(0)/MAX(FG_PRICE(0,-1AY))")</f>
        <v>0.72491485459785199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0.92723540000000004</v>
      </c>
      <c r="D12" cm="1">
        <f t="array" ref="D12">_xll.FDS($A12,"FG_PRICE_MAVG(0,,,,30)")</f>
        <v>0.94674119999999995</v>
      </c>
      <c r="E12" s="47" cm="1">
        <f t="array" ref="E12">_xll.FDS($A12,"FG_PRICE_CHANGE(0,-1AM)")</f>
        <v>-2.9045733529932201</v>
      </c>
      <c r="F12" s="47" cm="1">
        <f t="array" ref="F12">_xll.FDS($A12,"FG_PRICE_CHANGE(0,-3AM)")</f>
        <v>-4.40872164948453</v>
      </c>
      <c r="G12" s="47" cm="1">
        <f t="array" ref="G12">_xll.FDS($A12,"FG_PRICE_CHANGE(0,-6AM)")</f>
        <v>-6.6154467784767599</v>
      </c>
      <c r="H12" s="47" cm="1">
        <f t="array" ref="H12">_xll.FDS($A12,"FG_PRICE_CHANGE(0,-1AY)")</f>
        <v>-6.6178261898999802</v>
      </c>
      <c r="I12" s="47" cm="1">
        <f t="array" ref="I12">_xll.FDS($A12,"FG_PRICE(0)/MAX(FG_PRICE(0,-1AY))")</f>
        <v>0.89157249999999999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41831</v>
      </c>
      <c r="B2" s="3" cm="1">
        <f t="array" ref="B2:B122">_xll.FDS(B1,"FMA_PE(LTMA,-10AY,0,AM,""PORTAGG"",""MEANR"")")</f>
        <v>17.909637835618099</v>
      </c>
      <c r="C2" s="3" cm="1">
        <f t="array" ref="C2:C122">_xll.FDS(C1,"FMA_PE(LTMA,-10AY,0,AM,""PORTAGG"",""MEANR"")")</f>
        <v>15.2998893822455</v>
      </c>
      <c r="D2" s="3" cm="1">
        <f t="array" ref="D2:D122">_xll.FDS(D1,"FMA_PE(LTMA,-10AY,0,AM,""PORTAGG"",""MEANR"")")</f>
        <v>16.266517579643001</v>
      </c>
      <c r="E2" s="3" cm="1">
        <f t="array" ref="E2:E122">_xll.FDS(E1,"FMA_PE(LTMA,-10AY,0,AM,""PORTAGG"",""MEANR"")")</f>
        <v>14.4068300416694</v>
      </c>
      <c r="F2" s="3" cm="1">
        <f t="array" ref="F2:F122">_xll.FDS(F1,"FMA_PE(LTMA,-10AY,0,AM,""PORTAGG"",""MEANR"")")</f>
        <v>15.187666793849299</v>
      </c>
      <c r="G2" s="3" cm="1">
        <f t="array" ref="G2:G122">_xll.FDS(G1,"FMA_PE(LTMA,-10AY,0,AM,""PORTAGG"",""MEANR"")")</f>
        <v>17.057274401968101</v>
      </c>
      <c r="H2" s="3" cm="1">
        <f t="array" ref="H2:H122">_xll.FDS(H1,"FMA_PE(LTMA,-10AY,0,AM,""PORTAGG"",""MEANR"")")</f>
        <v>14.274449399348301</v>
      </c>
      <c r="I2" s="3" cm="1">
        <f t="array" ref="I2:I122">_xll.FDS(I1,"FMA_PE(LTMA,-10AY,0,AM,""PORTAGG"",""MEANR"")")</f>
        <v>19.139868290309199</v>
      </c>
      <c r="J2" s="3" cm="1">
        <f t="array" ref="J2:J122">_xll.FDS(J1,"FMA_PE(LTMA,-10AY,0,AM,""PORTAGG"",""MEANR"")")</f>
        <v>16.406171362147099</v>
      </c>
      <c r="K2" s="3" cm="1">
        <f t="array" ref="K2:K122">_xll.FDS(K1,"FMA_PE(LTMA,-10AY,0,AM,""PORTAGG"",""MEANR"")")</f>
        <v>15.4514760346479</v>
      </c>
      <c r="L2" s="3" cm="1">
        <f t="array" ref="L2:L122">_xll.FDS(L1,"FMA_PE(LTMA,-10AY,0,AM,""PORTAGG"",""MEANR"")")</f>
        <v>16.494715893554702</v>
      </c>
      <c r="M2" s="3" cm="1">
        <f t="array" ref="M2:M122">_xll.FDS(M1,"FMA_PE(LTMA,-10AY,0,AM,""PORTAGG"",""MEANR"")")</f>
        <v>15.6998568725583</v>
      </c>
      <c r="N2" s="3" cm="1">
        <f t="array" ref="N2:N122">_xll.FDS(N1,"FMA_PE(LTMA,-10AY,0,AM,""PORTAGG"",""MEANR"")")</f>
        <v>17.093273847979901</v>
      </c>
    </row>
    <row r="3" spans="1:14" x14ac:dyDescent="0.35">
      <c r="A3" s="2">
        <v>41862</v>
      </c>
      <c r="B3" s="3">
        <v>17.801663600251398</v>
      </c>
      <c r="C3" s="3">
        <v>15.194919802542101</v>
      </c>
      <c r="D3" s="3">
        <v>16.270096288703702</v>
      </c>
      <c r="E3" s="3">
        <v>13.9833000182288</v>
      </c>
      <c r="F3" s="3">
        <v>14.966038803851401</v>
      </c>
      <c r="G3" s="3">
        <v>17.020194386528601</v>
      </c>
      <c r="H3" s="3">
        <v>14.1302479473592</v>
      </c>
      <c r="I3" s="3">
        <v>18.971168843266899</v>
      </c>
      <c r="J3" s="3">
        <v>16.180774657679901</v>
      </c>
      <c r="K3" s="3">
        <v>15.133010515883599</v>
      </c>
      <c r="L3" s="3">
        <v>16.215316085429102</v>
      </c>
      <c r="M3" s="3">
        <v>15.861409053252601</v>
      </c>
      <c r="N3" s="3">
        <v>16.703365182642099</v>
      </c>
    </row>
    <row r="4" spans="1:14" x14ac:dyDescent="0.35">
      <c r="A4" s="2">
        <v>41893</v>
      </c>
      <c r="B4" s="3">
        <v>17.9639098580911</v>
      </c>
      <c r="C4" s="3">
        <v>15.3017169657748</v>
      </c>
      <c r="D4" s="3">
        <v>16.4244225978026</v>
      </c>
      <c r="E4" s="3">
        <v>14.312660230648</v>
      </c>
      <c r="F4" s="3">
        <v>15.2328550519898</v>
      </c>
      <c r="G4" s="3">
        <v>17.4383490665364</v>
      </c>
      <c r="H4" s="3">
        <v>14.1573206623118</v>
      </c>
      <c r="I4" s="3">
        <v>19.477775235824598</v>
      </c>
      <c r="J4" s="3">
        <v>16.5236381699875</v>
      </c>
      <c r="K4" s="3">
        <v>15.5159009265747</v>
      </c>
      <c r="L4" s="3">
        <v>16.7601673258715</v>
      </c>
      <c r="M4" s="3">
        <v>15.842087214443801</v>
      </c>
      <c r="N4" s="3">
        <v>17.983004573897901</v>
      </c>
    </row>
    <row r="5" spans="1:14" x14ac:dyDescent="0.35">
      <c r="A5" s="2">
        <v>41922</v>
      </c>
      <c r="B5" s="3">
        <v>17.8689048706871</v>
      </c>
      <c r="C5" s="3">
        <v>14.562083777308199</v>
      </c>
      <c r="D5" s="3">
        <v>15.356646062208201</v>
      </c>
      <c r="E5" s="3">
        <v>13.268877833426499</v>
      </c>
      <c r="F5" s="3">
        <v>14.6983497259631</v>
      </c>
      <c r="G5" s="3">
        <v>16.628228287655801</v>
      </c>
      <c r="H5" s="3">
        <v>13.4268495849335</v>
      </c>
      <c r="I5" s="3">
        <v>18.659835265207398</v>
      </c>
      <c r="J5" s="3">
        <v>15.976446953628599</v>
      </c>
      <c r="K5" s="3">
        <v>14.526124386528499</v>
      </c>
      <c r="L5" s="3">
        <v>16.045665143192601</v>
      </c>
      <c r="M5" s="3">
        <v>15.2323805172852</v>
      </c>
      <c r="N5" s="3">
        <v>16.605797020246101</v>
      </c>
    </row>
    <row r="6" spans="1:14" x14ac:dyDescent="0.35">
      <c r="A6" s="2">
        <v>41954</v>
      </c>
      <c r="B6" s="3">
        <v>18.823908508377102</v>
      </c>
      <c r="C6" s="3">
        <v>15.24846172731</v>
      </c>
      <c r="D6" s="3">
        <v>15.750741322387499</v>
      </c>
      <c r="E6" s="3">
        <v>13.788094023743399</v>
      </c>
      <c r="F6" s="3">
        <v>15.743784624160201</v>
      </c>
      <c r="G6" s="3">
        <v>17.465950818508901</v>
      </c>
      <c r="H6" s="3">
        <v>13.9403205851875</v>
      </c>
      <c r="I6" s="3">
        <v>19.8650901283137</v>
      </c>
      <c r="J6" s="3">
        <v>16.888876556431299</v>
      </c>
      <c r="K6" s="3">
        <v>14.9742342718932</v>
      </c>
      <c r="L6" s="3">
        <v>17.233954698804201</v>
      </c>
      <c r="M6" s="3">
        <v>16.788239641362999</v>
      </c>
      <c r="N6" s="3">
        <v>17.229461535100601</v>
      </c>
    </row>
    <row r="7" spans="1:14" x14ac:dyDescent="0.35">
      <c r="A7" s="2">
        <v>41984</v>
      </c>
      <c r="B7" s="3">
        <v>18.868990328245399</v>
      </c>
      <c r="C7" s="3">
        <v>14.174290896717601</v>
      </c>
      <c r="D7" s="3">
        <v>14.972677744549699</v>
      </c>
      <c r="E7" s="3">
        <v>14.400179928309299</v>
      </c>
      <c r="F7" s="3">
        <v>15.6419922454167</v>
      </c>
      <c r="G7" s="3">
        <v>17.367672942273</v>
      </c>
      <c r="H7" s="3">
        <v>13.594785621957801</v>
      </c>
      <c r="I7" s="3">
        <v>20.151972420382702</v>
      </c>
      <c r="J7" s="3">
        <v>16.929079450566899</v>
      </c>
      <c r="K7" s="3">
        <v>14.9872964885129</v>
      </c>
      <c r="L7" s="3">
        <v>17.527866393952301</v>
      </c>
      <c r="M7" s="3">
        <v>17.392622184739999</v>
      </c>
      <c r="N7" s="3">
        <v>18.252994323886899</v>
      </c>
    </row>
    <row r="8" spans="1:14" x14ac:dyDescent="0.35">
      <c r="A8" s="2">
        <v>42013</v>
      </c>
      <c r="B8" s="3">
        <v>19.2938661591459</v>
      </c>
      <c r="C8" s="3">
        <v>14.9696334262436</v>
      </c>
      <c r="D8" s="3">
        <v>15.3376035407089</v>
      </c>
      <c r="E8" s="3">
        <v>14.0789368329184</v>
      </c>
      <c r="F8" s="3">
        <v>15.562590144006499</v>
      </c>
      <c r="G8" s="3">
        <v>17.2204408039944</v>
      </c>
      <c r="H8" s="3">
        <v>13.477067340513299</v>
      </c>
      <c r="I8" s="3">
        <v>19.946715321454398</v>
      </c>
      <c r="J8" s="3">
        <v>17.1803597250845</v>
      </c>
      <c r="K8" s="3">
        <v>14.7245678776234</v>
      </c>
      <c r="L8" s="3">
        <v>17.316934398598601</v>
      </c>
      <c r="M8" s="3">
        <v>17.350184584236501</v>
      </c>
      <c r="N8" s="3">
        <v>17.984734061112899</v>
      </c>
    </row>
    <row r="9" spans="1:14" x14ac:dyDescent="0.35">
      <c r="A9" s="2">
        <v>42046</v>
      </c>
      <c r="B9" s="3">
        <v>20.003414354310301</v>
      </c>
      <c r="C9" s="3">
        <v>15.6754765824677</v>
      </c>
      <c r="D9" s="3">
        <v>16.430721653930402</v>
      </c>
      <c r="E9" s="3">
        <v>15.5248918928687</v>
      </c>
      <c r="F9" s="3">
        <v>15.775651640085</v>
      </c>
      <c r="G9" s="3">
        <v>17.089564495323799</v>
      </c>
      <c r="H9" s="3">
        <v>14.5096383025039</v>
      </c>
      <c r="I9" s="3">
        <v>20.0320867441236</v>
      </c>
      <c r="J9" s="3">
        <v>17.310951339954201</v>
      </c>
      <c r="K9" s="3">
        <v>16.4329592574129</v>
      </c>
      <c r="L9" s="3">
        <v>18.942718126882799</v>
      </c>
      <c r="M9" s="3">
        <v>19.2334706712006</v>
      </c>
      <c r="N9" s="3">
        <v>32.053494285761197</v>
      </c>
    </row>
    <row r="10" spans="1:14" x14ac:dyDescent="0.35">
      <c r="A10" s="2">
        <v>42074</v>
      </c>
      <c r="B10" s="3">
        <v>20.463762849640101</v>
      </c>
      <c r="C10" s="3">
        <v>16.134533257974802</v>
      </c>
      <c r="D10" s="3">
        <v>16.965018153459798</v>
      </c>
      <c r="E10" s="3">
        <v>16.5350042881932</v>
      </c>
      <c r="F10" s="3">
        <v>16.877853360049698</v>
      </c>
      <c r="G10" s="3">
        <v>17.957736553264699</v>
      </c>
      <c r="H10" s="3">
        <v>15.1059044391867</v>
      </c>
      <c r="I10" s="3">
        <v>20.593357100167999</v>
      </c>
      <c r="J10" s="3">
        <v>17.482346189732802</v>
      </c>
      <c r="K10" s="3">
        <v>17.541824095445101</v>
      </c>
      <c r="L10" s="3">
        <v>20.122531875867999</v>
      </c>
      <c r="M10" s="3">
        <v>20.152288092165801</v>
      </c>
      <c r="N10" s="3">
        <v>44.267137892761703</v>
      </c>
    </row>
    <row r="11" spans="1:14" x14ac:dyDescent="0.35">
      <c r="A11" s="2">
        <v>42104</v>
      </c>
      <c r="B11" s="3">
        <v>20.204217829573899</v>
      </c>
      <c r="C11" s="3">
        <v>16.375470396403401</v>
      </c>
      <c r="D11" s="3">
        <v>17.2093417824561</v>
      </c>
      <c r="E11" s="3">
        <v>16.646122667962999</v>
      </c>
      <c r="F11" s="3">
        <v>16.908602466763899</v>
      </c>
      <c r="G11" s="3">
        <v>18.201860561594401</v>
      </c>
      <c r="H11" s="3">
        <v>15.465341526354701</v>
      </c>
      <c r="I11" s="3">
        <v>20.516593478429499</v>
      </c>
      <c r="J11" s="3">
        <v>17.560362644701101</v>
      </c>
      <c r="K11" s="3">
        <v>17.7251653235171</v>
      </c>
      <c r="L11" s="3">
        <v>20.027344155424299</v>
      </c>
      <c r="M11" s="3">
        <v>19.901053358803701</v>
      </c>
      <c r="N11" s="3">
        <v>41.630709008208001</v>
      </c>
    </row>
    <row r="12" spans="1:14" x14ac:dyDescent="0.35">
      <c r="A12" s="2">
        <v>42135</v>
      </c>
      <c r="B12" s="3">
        <v>20.0563270299678</v>
      </c>
      <c r="C12" s="3">
        <v>16.165013163060799</v>
      </c>
      <c r="D12" s="3">
        <v>17.268233528801701</v>
      </c>
      <c r="E12" s="3">
        <v>16.186194398227698</v>
      </c>
      <c r="F12" s="3">
        <v>16.959580829180101</v>
      </c>
      <c r="G12" s="3">
        <v>18.014820574141101</v>
      </c>
      <c r="H12" s="3">
        <v>15.7176650214959</v>
      </c>
      <c r="I12" s="3">
        <v>20.277630928227001</v>
      </c>
      <c r="J12" s="3">
        <v>17.531065808011999</v>
      </c>
      <c r="K12" s="3">
        <v>17.449874125981299</v>
      </c>
      <c r="L12" s="3">
        <v>19.590358839133302</v>
      </c>
      <c r="M12" s="3">
        <v>18.960818603643201</v>
      </c>
      <c r="N12" s="3">
        <v>38.7064316763568</v>
      </c>
    </row>
    <row r="13" spans="1:14" x14ac:dyDescent="0.35">
      <c r="A13" s="2">
        <v>42166</v>
      </c>
      <c r="B13" s="3">
        <v>19.9695865019611</v>
      </c>
      <c r="C13" s="3">
        <v>15.9907021984802</v>
      </c>
      <c r="D13" s="3">
        <v>17.171768964208301</v>
      </c>
      <c r="E13" s="3">
        <v>15.7748816427991</v>
      </c>
      <c r="F13" s="3">
        <v>17.0082793018715</v>
      </c>
      <c r="G13" s="3">
        <v>18.005926126886202</v>
      </c>
      <c r="H13" s="3">
        <v>15.698358007868</v>
      </c>
      <c r="I13" s="3">
        <v>20.170203886767101</v>
      </c>
      <c r="J13" s="3">
        <v>17.5135167855186</v>
      </c>
      <c r="K13" s="3">
        <v>17.3187269773629</v>
      </c>
      <c r="L13" s="3">
        <v>19.207274601808599</v>
      </c>
      <c r="M13" s="3">
        <v>18.976965786049998</v>
      </c>
      <c r="N13" s="3">
        <v>35.660311538519103</v>
      </c>
    </row>
    <row r="14" spans="1:14" x14ac:dyDescent="0.35">
      <c r="A14" s="2">
        <v>42195</v>
      </c>
      <c r="B14" s="3">
        <v>19.6258591634084</v>
      </c>
      <c r="C14" s="3">
        <v>15.860344603900799</v>
      </c>
      <c r="D14" s="3">
        <v>16.9457934484426</v>
      </c>
      <c r="E14" s="3">
        <v>15.555457482869199</v>
      </c>
      <c r="F14" s="3">
        <v>16.477722150236701</v>
      </c>
      <c r="G14" s="3">
        <v>17.970729065286299</v>
      </c>
      <c r="H14" s="3">
        <v>15.582214763222501</v>
      </c>
      <c r="I14" s="3">
        <v>19.848639849408102</v>
      </c>
      <c r="J14" s="3">
        <v>17.377537476163202</v>
      </c>
      <c r="K14" s="3">
        <v>17.0925287416513</v>
      </c>
      <c r="L14" s="3">
        <v>18.943854333491501</v>
      </c>
      <c r="M14" s="3">
        <v>18.642304051881698</v>
      </c>
      <c r="N14" s="3">
        <v>32.8268562504785</v>
      </c>
    </row>
    <row r="15" spans="1:14" x14ac:dyDescent="0.35">
      <c r="A15" s="2">
        <v>42227</v>
      </c>
      <c r="B15" s="3">
        <v>19.6481427717267</v>
      </c>
      <c r="C15" s="3">
        <v>15.8792735670211</v>
      </c>
      <c r="D15" s="3">
        <v>17.008388373271899</v>
      </c>
      <c r="E15" s="3">
        <v>15.3046880678917</v>
      </c>
      <c r="F15" s="3">
        <v>16.951351208309202</v>
      </c>
      <c r="G15" s="3">
        <v>18.073800099185</v>
      </c>
      <c r="H15" s="3">
        <v>15.7710393146924</v>
      </c>
      <c r="I15" s="3">
        <v>20.208957254686698</v>
      </c>
      <c r="J15" s="3">
        <v>17.4340284254423</v>
      </c>
      <c r="K15" s="3">
        <v>17.1244216746713</v>
      </c>
      <c r="L15" s="3">
        <v>18.809128870239999</v>
      </c>
      <c r="M15" s="3">
        <v>18.538852356943799</v>
      </c>
      <c r="N15" s="3">
        <v>30.485346399749002</v>
      </c>
    </row>
    <row r="16" spans="1:14" x14ac:dyDescent="0.35">
      <c r="A16" s="2">
        <v>42258</v>
      </c>
      <c r="B16" s="3">
        <v>19.0525039041733</v>
      </c>
      <c r="C16" s="3">
        <v>15.2345937139231</v>
      </c>
      <c r="D16" s="3">
        <v>16.445158907232901</v>
      </c>
      <c r="E16" s="3">
        <v>14.1879545370979</v>
      </c>
      <c r="F16" s="3">
        <v>15.455487207127501</v>
      </c>
      <c r="G16" s="3">
        <v>17.304875112428999</v>
      </c>
      <c r="H16" s="3">
        <v>15.018967059324</v>
      </c>
      <c r="I16" s="3">
        <v>19.5311811452464</v>
      </c>
      <c r="J16" s="3">
        <v>16.738054289114199</v>
      </c>
      <c r="K16" s="3">
        <v>15.847970967571801</v>
      </c>
      <c r="L16" s="3">
        <v>17.088862481413699</v>
      </c>
      <c r="M16" s="3">
        <v>17.279303963411099</v>
      </c>
      <c r="N16" s="3">
        <v>26.819784968498801</v>
      </c>
    </row>
    <row r="17" spans="1:14" x14ac:dyDescent="0.35">
      <c r="A17" s="2">
        <v>42286</v>
      </c>
      <c r="B17" s="3">
        <v>18.6646324256699</v>
      </c>
      <c r="C17" s="3">
        <v>15.768634104197201</v>
      </c>
      <c r="D17" s="3">
        <v>17.048287079156701</v>
      </c>
      <c r="E17" s="3">
        <v>13.977451513567299</v>
      </c>
      <c r="F17" s="3">
        <v>15.6083422029541</v>
      </c>
      <c r="G17" s="3">
        <v>17.429364244710399</v>
      </c>
      <c r="H17" s="3">
        <v>15.755362555997699</v>
      </c>
      <c r="I17" s="3">
        <v>19.5756943326247</v>
      </c>
      <c r="J17" s="3">
        <v>17.085438942492701</v>
      </c>
      <c r="K17" s="3">
        <v>16.078070171554199</v>
      </c>
      <c r="L17" s="3">
        <v>16.966378047972601</v>
      </c>
      <c r="M17" s="3">
        <v>17.074673912028299</v>
      </c>
      <c r="N17" s="3">
        <v>24.798071596921702</v>
      </c>
    </row>
    <row r="18" spans="1:14" x14ac:dyDescent="0.35">
      <c r="A18" s="2">
        <v>42319</v>
      </c>
      <c r="B18" s="3">
        <v>19.483926495824001</v>
      </c>
      <c r="C18" s="3">
        <v>15.277421510740799</v>
      </c>
      <c r="D18" s="3">
        <v>16.626538555630201</v>
      </c>
      <c r="E18" s="3">
        <v>14.531874186567199</v>
      </c>
      <c r="F18" s="3">
        <v>16.192336555219601</v>
      </c>
      <c r="G18" s="3">
        <v>17.586716598037</v>
      </c>
      <c r="H18" s="3">
        <v>15.767700845707401</v>
      </c>
      <c r="I18" s="3">
        <v>20.296116740275998</v>
      </c>
      <c r="J18" s="3">
        <v>17.391475581382601</v>
      </c>
      <c r="K18" s="3">
        <v>16.510884776397901</v>
      </c>
      <c r="L18" s="3">
        <v>18.186237101351601</v>
      </c>
      <c r="M18" s="3">
        <v>16.9312876515718</v>
      </c>
      <c r="N18" s="3">
        <v>22.5530256906716</v>
      </c>
    </row>
    <row r="19" spans="1:14" x14ac:dyDescent="0.35">
      <c r="A19" s="2">
        <v>42349</v>
      </c>
      <c r="B19" s="3">
        <v>19.473205954471201</v>
      </c>
      <c r="C19" s="3">
        <v>15.1460539267285</v>
      </c>
      <c r="D19" s="3">
        <v>15.8825064152861</v>
      </c>
      <c r="E19" s="3">
        <v>13.7111668565447</v>
      </c>
      <c r="F19" s="3">
        <v>15.734426555517899</v>
      </c>
      <c r="G19" s="3">
        <v>17.009780886121</v>
      </c>
      <c r="H19" s="3">
        <v>15.0845130535522</v>
      </c>
      <c r="I19" s="3">
        <v>19.8636286828396</v>
      </c>
      <c r="J19" s="3">
        <v>16.874155521536601</v>
      </c>
      <c r="K19" s="3">
        <v>15.2843130643889</v>
      </c>
      <c r="L19" s="3">
        <v>16.9058584507065</v>
      </c>
      <c r="M19" s="3">
        <v>15.838998612314001</v>
      </c>
      <c r="N19" s="3">
        <v>19.344343780991899</v>
      </c>
    </row>
    <row r="20" spans="1:14" x14ac:dyDescent="0.35">
      <c r="A20" s="2">
        <v>42380</v>
      </c>
      <c r="B20" s="3">
        <v>19.094603716769601</v>
      </c>
      <c r="C20" s="3">
        <v>14.8500195356016</v>
      </c>
      <c r="D20" s="3">
        <v>14.896945056693401</v>
      </c>
      <c r="E20" s="3">
        <v>12.7825812102268</v>
      </c>
      <c r="F20" s="3">
        <v>14.6395682307881</v>
      </c>
      <c r="G20" s="3">
        <v>16.21699574218</v>
      </c>
      <c r="H20" s="3">
        <v>14.754490425776901</v>
      </c>
      <c r="I20" s="3">
        <v>18.934111950737901</v>
      </c>
      <c r="J20" s="3">
        <v>16.146599154873599</v>
      </c>
      <c r="K20" s="3">
        <v>14.389106986775399</v>
      </c>
      <c r="L20" s="3">
        <v>15.732744166659501</v>
      </c>
      <c r="M20" s="3">
        <v>14.854847397095201</v>
      </c>
      <c r="N20" s="3">
        <v>16.824921050229499</v>
      </c>
    </row>
    <row r="21" spans="1:14" x14ac:dyDescent="0.35">
      <c r="A21" s="2">
        <v>42411</v>
      </c>
      <c r="B21" s="3">
        <v>18.561911199990401</v>
      </c>
      <c r="C21" s="3">
        <v>14.739159869367199</v>
      </c>
      <c r="D21" s="3">
        <v>14.568204182912501</v>
      </c>
      <c r="E21" s="3">
        <v>11.6041301356356</v>
      </c>
      <c r="F21" s="3">
        <v>13.0545657044529</v>
      </c>
      <c r="G21" s="3">
        <v>15.755327166834901</v>
      </c>
      <c r="H21" s="3">
        <v>13.9936954392155</v>
      </c>
      <c r="I21" s="3">
        <v>17.360061995441399</v>
      </c>
      <c r="J21" s="3">
        <v>16.2966838906097</v>
      </c>
      <c r="K21" s="3">
        <v>13.6404128596657</v>
      </c>
      <c r="L21" s="3">
        <v>14.4969750345718</v>
      </c>
      <c r="M21" s="3">
        <v>13.8840395946582</v>
      </c>
      <c r="N21" s="3">
        <v>13.9975632101423</v>
      </c>
    </row>
    <row r="22" spans="1:14" x14ac:dyDescent="0.35">
      <c r="A22" s="2">
        <v>42440</v>
      </c>
      <c r="B22" s="3">
        <v>19.335646029564799</v>
      </c>
      <c r="C22" s="3">
        <v>15.155161120515899</v>
      </c>
      <c r="D22" s="3">
        <v>15.905055466823701</v>
      </c>
      <c r="E22" s="3">
        <v>12.7194321345345</v>
      </c>
      <c r="F22" s="3">
        <v>13.898062195756101</v>
      </c>
      <c r="G22" s="3">
        <v>16.665841029193299</v>
      </c>
      <c r="H22" s="3">
        <v>15.6255820413721</v>
      </c>
      <c r="I22" s="3">
        <v>18.266448060217801</v>
      </c>
      <c r="J22" s="3">
        <v>16.188193427520002</v>
      </c>
      <c r="K22" s="3">
        <v>15.218487822890101</v>
      </c>
      <c r="L22" s="3">
        <v>16.423990037399498</v>
      </c>
      <c r="M22" s="3">
        <v>15.6817963226905</v>
      </c>
      <c r="N22" s="3">
        <v>15.491198863705</v>
      </c>
    </row>
    <row r="23" spans="1:14" x14ac:dyDescent="0.35">
      <c r="A23" s="2">
        <v>42471</v>
      </c>
      <c r="B23" s="3">
        <v>19.313266562390599</v>
      </c>
      <c r="C23" s="3">
        <v>15.0466853873834</v>
      </c>
      <c r="D23" s="3">
        <v>16.012509596499001</v>
      </c>
      <c r="E23" s="3">
        <v>12.6975217488305</v>
      </c>
      <c r="F23" s="3">
        <v>13.625816405833801</v>
      </c>
      <c r="G23" s="3">
        <v>16.654973376306</v>
      </c>
      <c r="H23" s="3">
        <v>15.808640990115199</v>
      </c>
      <c r="I23" s="3">
        <v>18.368179952457002</v>
      </c>
      <c r="J23" s="3">
        <v>16.445215307047398</v>
      </c>
      <c r="K23" s="3">
        <v>15.0776518722822</v>
      </c>
      <c r="L23" s="3">
        <v>16.2808235893838</v>
      </c>
      <c r="M23" s="3">
        <v>15.594040337442401</v>
      </c>
      <c r="N23" s="3">
        <v>15.187246882382301</v>
      </c>
    </row>
    <row r="24" spans="1:14" x14ac:dyDescent="0.35">
      <c r="A24" s="2">
        <v>42501</v>
      </c>
      <c r="B24" s="3">
        <v>19.629697487089501</v>
      </c>
      <c r="C24" s="3">
        <v>15.669861508333</v>
      </c>
      <c r="D24" s="3">
        <v>16.359402000722</v>
      </c>
      <c r="E24" s="3">
        <v>12.8120559615309</v>
      </c>
      <c r="F24" s="3">
        <v>13.8376359310508</v>
      </c>
      <c r="G24" s="3">
        <v>16.867741129858</v>
      </c>
      <c r="H24" s="3">
        <v>15.8689019711773</v>
      </c>
      <c r="I24" s="3">
        <v>18.363188620575301</v>
      </c>
      <c r="J24" s="3">
        <v>16.565182572190999</v>
      </c>
      <c r="K24" s="3">
        <v>15.0629603303781</v>
      </c>
      <c r="L24" s="3">
        <v>16.171300823718202</v>
      </c>
      <c r="M24" s="3">
        <v>15.5143507452138</v>
      </c>
      <c r="N24" s="3">
        <v>15.218876392314099</v>
      </c>
    </row>
    <row r="25" spans="1:14" x14ac:dyDescent="0.35">
      <c r="A25" s="2">
        <v>42531</v>
      </c>
      <c r="B25" s="3">
        <v>19.7688926499115</v>
      </c>
      <c r="C25" s="3">
        <v>15.752377022043699</v>
      </c>
      <c r="D25" s="3">
        <v>16.7352595149435</v>
      </c>
      <c r="E25" s="3">
        <v>12.7200029920131</v>
      </c>
      <c r="F25" s="3">
        <v>14.030157073505499</v>
      </c>
      <c r="G25" s="3">
        <v>16.9699568280293</v>
      </c>
      <c r="H25" s="3">
        <v>15.893127707577801</v>
      </c>
      <c r="I25" s="3">
        <v>18.541920771119699</v>
      </c>
      <c r="J25" s="3">
        <v>16.790339090958501</v>
      </c>
      <c r="K25" s="3">
        <v>14.9770349644531</v>
      </c>
      <c r="L25" s="3">
        <v>16.0153692848959</v>
      </c>
      <c r="M25" s="3">
        <v>15.325557318010601</v>
      </c>
      <c r="N25" s="3">
        <v>14.794178916983601</v>
      </c>
    </row>
    <row r="26" spans="1:14" x14ac:dyDescent="0.35">
      <c r="A26" s="2">
        <v>42562</v>
      </c>
      <c r="B26" s="3">
        <v>19.983087377656599</v>
      </c>
      <c r="C26" s="3">
        <v>15.940670403655</v>
      </c>
      <c r="D26" s="3">
        <v>17.032936687600699</v>
      </c>
      <c r="E26" s="3">
        <v>12.762714090559699</v>
      </c>
      <c r="F26" s="3">
        <v>13.7526772907481</v>
      </c>
      <c r="G26" s="3">
        <v>17.2562268892292</v>
      </c>
      <c r="H26" s="3">
        <v>16.4170151633055</v>
      </c>
      <c r="I26" s="3">
        <v>18.929078894544599</v>
      </c>
      <c r="J26" s="3">
        <v>17.125827582884199</v>
      </c>
      <c r="K26" s="3">
        <v>14.819196572071601</v>
      </c>
      <c r="L26" s="3">
        <v>15.884112428589599</v>
      </c>
      <c r="M26" s="3">
        <v>15.5117631170618</v>
      </c>
      <c r="N26" s="3">
        <v>14.355187658064899</v>
      </c>
    </row>
    <row r="27" spans="1:14" x14ac:dyDescent="0.35">
      <c r="A27" s="2">
        <v>42593</v>
      </c>
      <c r="B27" s="3">
        <v>20.671026448181099</v>
      </c>
      <c r="C27" s="3">
        <v>16.5571943871816</v>
      </c>
      <c r="D27" s="3">
        <v>17.4971179708227</v>
      </c>
      <c r="E27" s="3">
        <v>13.464717227055701</v>
      </c>
      <c r="F27" s="3">
        <v>14.0870045472117</v>
      </c>
      <c r="G27" s="3">
        <v>17.936608414095701</v>
      </c>
      <c r="H27" s="3">
        <v>16.962644437087601</v>
      </c>
      <c r="I27" s="3">
        <v>19.552642898144299</v>
      </c>
      <c r="J27" s="3">
        <v>17.526263341994699</v>
      </c>
      <c r="K27" s="3">
        <v>15.1077149950153</v>
      </c>
      <c r="L27" s="3">
        <v>16.243049483814101</v>
      </c>
      <c r="M27" s="3">
        <v>16.064634449611301</v>
      </c>
      <c r="N27" s="3">
        <v>15.1500544707604</v>
      </c>
    </row>
    <row r="28" spans="1:14" x14ac:dyDescent="0.35">
      <c r="A28" s="2">
        <v>42622</v>
      </c>
      <c r="B28" s="3">
        <v>21.283528621764699</v>
      </c>
      <c r="C28" s="3">
        <v>16.3410469681811</v>
      </c>
      <c r="D28" s="3">
        <v>17.526059808015599</v>
      </c>
      <c r="E28" s="3">
        <v>13.533234412315499</v>
      </c>
      <c r="F28" s="3">
        <v>14.4021382193022</v>
      </c>
      <c r="G28" s="3">
        <v>18.0029716744111</v>
      </c>
      <c r="H28" s="3">
        <v>16.851203979754001</v>
      </c>
      <c r="I28" s="3">
        <v>19.301173470897201</v>
      </c>
      <c r="J28" s="3">
        <v>17.3883673167525</v>
      </c>
      <c r="K28" s="3">
        <v>15.0337553651864</v>
      </c>
      <c r="L28" s="3">
        <v>16.042003750556599</v>
      </c>
      <c r="M28" s="3">
        <v>16.085063009533801</v>
      </c>
      <c r="N28" s="3">
        <v>15.093280623359901</v>
      </c>
    </row>
    <row r="29" spans="1:14" x14ac:dyDescent="0.35">
      <c r="A29" s="2">
        <v>42654</v>
      </c>
      <c r="B29" s="3">
        <v>20.432438858576099</v>
      </c>
      <c r="C29" s="3">
        <v>16.906521198646502</v>
      </c>
      <c r="D29" s="3">
        <v>17.869931432310299</v>
      </c>
      <c r="E29" s="3">
        <v>13.6641639492056</v>
      </c>
      <c r="F29" s="3">
        <v>14.454131966210101</v>
      </c>
      <c r="G29" s="3">
        <v>17.951749213218701</v>
      </c>
      <c r="H29" s="3">
        <v>17.046982294095599</v>
      </c>
      <c r="I29" s="3">
        <v>19.852926684989299</v>
      </c>
      <c r="J29" s="3">
        <v>17.613526367988801</v>
      </c>
      <c r="K29" s="3">
        <v>14.8985534941708</v>
      </c>
      <c r="L29" s="3">
        <v>15.857744722464799</v>
      </c>
      <c r="M29" s="3">
        <v>16.6385516139404</v>
      </c>
      <c r="N29" s="3">
        <v>14.614728575658599</v>
      </c>
    </row>
    <row r="30" spans="1:14" x14ac:dyDescent="0.35">
      <c r="A30" s="2">
        <v>42685</v>
      </c>
      <c r="B30" s="3">
        <v>19.512437207791098</v>
      </c>
      <c r="C30" s="3">
        <v>16.999167312351499</v>
      </c>
      <c r="D30" s="3">
        <v>18.267031202304</v>
      </c>
      <c r="E30" s="3">
        <v>13.7021570143689</v>
      </c>
      <c r="F30" s="3">
        <v>14.726368354767001</v>
      </c>
      <c r="G30" s="3">
        <v>17.609316617434299</v>
      </c>
      <c r="H30" s="3">
        <v>16.317418282621102</v>
      </c>
      <c r="I30" s="3">
        <v>19.597928995487798</v>
      </c>
      <c r="J30" s="3">
        <v>17.9034217539695</v>
      </c>
      <c r="K30" s="3">
        <v>14.7815856200756</v>
      </c>
      <c r="L30" s="3">
        <v>15.4974932696237</v>
      </c>
      <c r="M30" s="3">
        <v>17.041238710600499</v>
      </c>
      <c r="N30" s="3">
        <v>14.4928546227796</v>
      </c>
    </row>
    <row r="31" spans="1:14" x14ac:dyDescent="0.35">
      <c r="A31" s="2">
        <v>42713</v>
      </c>
      <c r="B31" s="3">
        <v>19.9085519685142</v>
      </c>
      <c r="C31" s="3">
        <v>17.472439647350701</v>
      </c>
      <c r="D31" s="3">
        <v>19.151296267397498</v>
      </c>
      <c r="E31" s="3">
        <v>14.3636267024595</v>
      </c>
      <c r="F31" s="3">
        <v>16.400754707546199</v>
      </c>
      <c r="G31" s="3">
        <v>17.865488676799998</v>
      </c>
      <c r="H31" s="3">
        <v>16.886847417880201</v>
      </c>
      <c r="I31" s="3">
        <v>20.2460574627044</v>
      </c>
      <c r="J31" s="3">
        <v>18.790744094241099</v>
      </c>
      <c r="K31" s="3">
        <v>15.490792462809599</v>
      </c>
      <c r="L31" s="3">
        <v>15.9210527944989</v>
      </c>
      <c r="M31" s="3">
        <v>18.0715369323263</v>
      </c>
      <c r="N31" s="3">
        <v>15.600308867887</v>
      </c>
    </row>
    <row r="32" spans="1:14" x14ac:dyDescent="0.35">
      <c r="A32" s="2">
        <v>42746</v>
      </c>
      <c r="B32" s="3">
        <v>20.5088174860674</v>
      </c>
      <c r="C32" s="3">
        <v>18.030136214739802</v>
      </c>
      <c r="D32" s="3">
        <v>19.5581475063379</v>
      </c>
      <c r="E32" s="3">
        <v>14.9751977455918</v>
      </c>
      <c r="F32" s="3">
        <v>16.713686608171599</v>
      </c>
      <c r="G32" s="3">
        <v>18.581290538773999</v>
      </c>
      <c r="H32" s="3">
        <v>17.2688579985609</v>
      </c>
      <c r="I32" s="3">
        <v>21.012517826020499</v>
      </c>
      <c r="J32" s="3">
        <v>19.064614096924899</v>
      </c>
      <c r="K32" s="3">
        <v>15.8582063995181</v>
      </c>
      <c r="L32" s="3">
        <v>16.384221922674499</v>
      </c>
      <c r="M32" s="3">
        <v>18.114971126978499</v>
      </c>
      <c r="N32" s="3">
        <v>28.070591432934499</v>
      </c>
    </row>
    <row r="33" spans="1:14" x14ac:dyDescent="0.35">
      <c r="A33" s="2">
        <v>42776</v>
      </c>
      <c r="B33" s="3">
        <v>20.552229099609701</v>
      </c>
      <c r="C33" s="3">
        <v>17.766398579478601</v>
      </c>
      <c r="D33" s="3">
        <v>19.8096750901768</v>
      </c>
      <c r="E33" s="3">
        <v>14.924578858411801</v>
      </c>
      <c r="F33" s="3">
        <v>16.3935407048128</v>
      </c>
      <c r="G33" s="3">
        <v>18.696486085032902</v>
      </c>
      <c r="H33" s="3">
        <v>17.3356477048108</v>
      </c>
      <c r="I33" s="3">
        <v>21.5272966967445</v>
      </c>
      <c r="J33" s="3">
        <v>19.1890335371885</v>
      </c>
      <c r="K33" s="3">
        <v>15.447801357946</v>
      </c>
      <c r="L33" s="3">
        <v>16.204090443971701</v>
      </c>
      <c r="M33" s="3">
        <v>18.467689087689902</v>
      </c>
      <c r="N33" s="3">
        <v>20.211300803290801</v>
      </c>
    </row>
    <row r="34" spans="1:14" x14ac:dyDescent="0.35">
      <c r="A34" s="2">
        <v>42804</v>
      </c>
      <c r="B34" s="3">
        <v>19.793036856123699</v>
      </c>
      <c r="C34" s="3">
        <v>17.486200019872001</v>
      </c>
      <c r="D34" s="3">
        <v>19.3120615915666</v>
      </c>
      <c r="E34" s="3">
        <v>14.9697675917959</v>
      </c>
      <c r="F34" s="3">
        <v>15.9556360058039</v>
      </c>
      <c r="G34" s="3">
        <v>19.641862742266099</v>
      </c>
      <c r="H34" s="3">
        <v>17.2791303258414</v>
      </c>
      <c r="I34" s="3">
        <v>21.701282469196101</v>
      </c>
      <c r="J34" s="3">
        <v>19.461242377578301</v>
      </c>
      <c r="K34" s="3">
        <v>15.6137152627227</v>
      </c>
      <c r="L34" s="3">
        <v>16.504209484772701</v>
      </c>
      <c r="M34" s="3">
        <v>17.519675769980498</v>
      </c>
      <c r="N34" s="3">
        <v>83.693688577698495</v>
      </c>
    </row>
    <row r="35" spans="1:14" x14ac:dyDescent="0.35">
      <c r="A35" s="2">
        <v>42836</v>
      </c>
      <c r="B35" s="3">
        <v>19.835074624779399</v>
      </c>
      <c r="C35" s="3">
        <v>17.351352406274501</v>
      </c>
      <c r="D35" s="3">
        <v>19.047255778855099</v>
      </c>
      <c r="E35" s="3">
        <v>14.8968341920428</v>
      </c>
      <c r="F35" s="3">
        <v>15.6079172909583</v>
      </c>
      <c r="G35" s="3">
        <v>19.423575447179498</v>
      </c>
      <c r="H35" s="3">
        <v>17.053971564092802</v>
      </c>
      <c r="I35" s="3">
        <v>21.587088600169299</v>
      </c>
      <c r="J35" s="3">
        <v>19.271422797250299</v>
      </c>
      <c r="K35" s="3">
        <v>15.639713560220899</v>
      </c>
      <c r="L35" s="3">
        <v>16.558856935621399</v>
      </c>
      <c r="M35" s="3">
        <v>17.553014469067701</v>
      </c>
      <c r="N35" s="3">
        <v>76.144508354337205</v>
      </c>
    </row>
    <row r="36" spans="1:14" x14ac:dyDescent="0.35">
      <c r="A36" s="2">
        <v>42866</v>
      </c>
      <c r="B36" s="3">
        <v>20.062859021638602</v>
      </c>
      <c r="C36" s="3">
        <v>17.162012043737199</v>
      </c>
      <c r="D36" s="3">
        <v>18.6623098230171</v>
      </c>
      <c r="E36" s="3">
        <v>14.900014178326799</v>
      </c>
      <c r="F36" s="3">
        <v>15.722803842500801</v>
      </c>
      <c r="G36" s="3">
        <v>19.519342666178101</v>
      </c>
      <c r="H36" s="3">
        <v>16.858552691486999</v>
      </c>
      <c r="I36" s="3">
        <v>21.825701926476899</v>
      </c>
      <c r="J36" s="3">
        <v>19.1986653927497</v>
      </c>
      <c r="K36" s="3">
        <v>15.8354416668715</v>
      </c>
      <c r="L36" s="3">
        <v>16.722914392233701</v>
      </c>
      <c r="M36" s="3">
        <v>17.669188145415699</v>
      </c>
      <c r="N36" s="3">
        <v>69.3685409616605</v>
      </c>
    </row>
    <row r="37" spans="1:14" x14ac:dyDescent="0.35">
      <c r="A37" s="2">
        <v>42895</v>
      </c>
      <c r="B37" s="3">
        <v>19.946115112116001</v>
      </c>
      <c r="C37" s="3">
        <v>16.771107705738402</v>
      </c>
      <c r="D37" s="3">
        <v>18.373167450692801</v>
      </c>
      <c r="E37" s="3">
        <v>14.8163297120057</v>
      </c>
      <c r="F37" s="3">
        <v>15.650420849847301</v>
      </c>
      <c r="G37" s="3">
        <v>19.444060745297101</v>
      </c>
      <c r="H37" s="3">
        <v>16.694006769294699</v>
      </c>
      <c r="I37" s="3">
        <v>21.874801358703401</v>
      </c>
      <c r="J37" s="3">
        <v>19.1942620012913</v>
      </c>
      <c r="K37" s="3">
        <v>15.755551725532101</v>
      </c>
      <c r="L37" s="3">
        <v>16.7603890824502</v>
      </c>
      <c r="M37" s="3">
        <v>17.646861459841698</v>
      </c>
      <c r="N37" s="3">
        <v>62.445649144494901</v>
      </c>
    </row>
    <row r="38" spans="1:14" x14ac:dyDescent="0.35">
      <c r="A38" s="2">
        <v>42927</v>
      </c>
      <c r="B38" s="3">
        <v>20.102967419293101</v>
      </c>
      <c r="C38" s="3">
        <v>16.742967527266401</v>
      </c>
      <c r="D38" s="3">
        <v>17.982609260564299</v>
      </c>
      <c r="E38" s="3">
        <v>14.5331920416681</v>
      </c>
      <c r="F38" s="3">
        <v>15.5345717234751</v>
      </c>
      <c r="G38" s="3">
        <v>19.2546954714736</v>
      </c>
      <c r="H38" s="3">
        <v>16.3471164254866</v>
      </c>
      <c r="I38" s="3">
        <v>21.7524161586236</v>
      </c>
      <c r="J38" s="3">
        <v>19.0599517066698</v>
      </c>
      <c r="K38" s="3">
        <v>15.5563081379224</v>
      </c>
      <c r="L38" s="3">
        <v>16.5451756953989</v>
      </c>
      <c r="M38" s="3">
        <v>17.595165462782401</v>
      </c>
      <c r="N38" s="3">
        <v>54.965192205774699</v>
      </c>
    </row>
    <row r="39" spans="1:14" x14ac:dyDescent="0.35">
      <c r="A39" s="2">
        <v>42958</v>
      </c>
      <c r="B39" s="3">
        <v>20.494670637444798</v>
      </c>
      <c r="C39" s="3">
        <v>16.667988537797498</v>
      </c>
      <c r="D39" s="3">
        <v>17.747573770022601</v>
      </c>
      <c r="E39" s="3">
        <v>14.1397285354081</v>
      </c>
      <c r="F39" s="3">
        <v>15.1952121941301</v>
      </c>
      <c r="G39" s="3">
        <v>19.1066122872748</v>
      </c>
      <c r="H39" s="3">
        <v>16.132960714296601</v>
      </c>
      <c r="I39" s="3">
        <v>21.941226155273899</v>
      </c>
      <c r="J39" s="3">
        <v>18.996217932583001</v>
      </c>
      <c r="K39" s="3">
        <v>15.398844769082499</v>
      </c>
      <c r="L39" s="3">
        <v>16.548118592389201</v>
      </c>
      <c r="M39" s="3">
        <v>16.846638162441</v>
      </c>
      <c r="N39" s="3">
        <v>47.6640328840124</v>
      </c>
    </row>
    <row r="40" spans="1:14" x14ac:dyDescent="0.35">
      <c r="A40" s="2">
        <v>42989</v>
      </c>
      <c r="B40" s="3">
        <v>20.706565384617399</v>
      </c>
      <c r="C40" s="3">
        <v>16.548766292691099</v>
      </c>
      <c r="D40" s="3">
        <v>17.316404074025201</v>
      </c>
      <c r="E40" s="3">
        <v>14.3288921007457</v>
      </c>
      <c r="F40" s="3">
        <v>14.785083433244401</v>
      </c>
      <c r="G40" s="3">
        <v>19.258488562957201</v>
      </c>
      <c r="H40" s="3">
        <v>16.023551030392699</v>
      </c>
      <c r="I40" s="3">
        <v>22.296535370320299</v>
      </c>
      <c r="J40" s="3">
        <v>19.1373269003786</v>
      </c>
      <c r="K40" s="3">
        <v>15.653298168875001</v>
      </c>
      <c r="L40" s="3">
        <v>16.724964142305499</v>
      </c>
      <c r="M40" s="3">
        <v>17.0670498444975</v>
      </c>
      <c r="N40" s="3">
        <v>40.655174287296099</v>
      </c>
    </row>
    <row r="41" spans="1:14" x14ac:dyDescent="0.35">
      <c r="A41" s="2">
        <v>43019</v>
      </c>
      <c r="B41" s="3">
        <v>20.847710058707101</v>
      </c>
      <c r="C41" s="3">
        <v>16.430322569722701</v>
      </c>
      <c r="D41" s="3">
        <v>17.624011148414301</v>
      </c>
      <c r="E41" s="3">
        <v>14.746073828781601</v>
      </c>
      <c r="F41" s="3">
        <v>15.056927876850001</v>
      </c>
      <c r="G41" s="3">
        <v>19.681860377443801</v>
      </c>
      <c r="H41" s="3">
        <v>15.8670953374715</v>
      </c>
      <c r="I41" s="3">
        <v>22.6075718142814</v>
      </c>
      <c r="J41" s="3">
        <v>19.569269730758698</v>
      </c>
      <c r="K41" s="3">
        <v>16.063836000868601</v>
      </c>
      <c r="L41" s="3">
        <v>17.1808549962693</v>
      </c>
      <c r="M41" s="3">
        <v>17.664696477335202</v>
      </c>
      <c r="N41" s="3">
        <v>33.924552152593797</v>
      </c>
    </row>
    <row r="42" spans="1:14" x14ac:dyDescent="0.35">
      <c r="A42" s="2">
        <v>43049</v>
      </c>
      <c r="B42" s="3">
        <v>21.039163469555401</v>
      </c>
      <c r="C42" s="3">
        <v>16.8909540358367</v>
      </c>
      <c r="D42" s="3">
        <v>17.433253123435499</v>
      </c>
      <c r="E42" s="3">
        <v>15.2540062124712</v>
      </c>
      <c r="F42" s="3">
        <v>15.8660551661815</v>
      </c>
      <c r="G42" s="3">
        <v>20.078257799543898</v>
      </c>
      <c r="H42" s="3">
        <v>15.4004427733942</v>
      </c>
      <c r="I42" s="3">
        <v>22.9601709104262</v>
      </c>
      <c r="J42" s="3">
        <v>19.5975181931334</v>
      </c>
      <c r="K42" s="3">
        <v>15.992135723024999</v>
      </c>
      <c r="L42" s="3">
        <v>17.337530232899098</v>
      </c>
      <c r="M42" s="3">
        <v>18.2248621997234</v>
      </c>
      <c r="N42" s="3">
        <v>27.035698622015399</v>
      </c>
    </row>
    <row r="43" spans="1:14" x14ac:dyDescent="0.35">
      <c r="A43" s="2">
        <v>43080</v>
      </c>
      <c r="B43" s="3">
        <v>21.934064215207599</v>
      </c>
      <c r="C43" s="3">
        <v>16.5907472768174</v>
      </c>
      <c r="D43" s="3">
        <v>17.295161310461701</v>
      </c>
      <c r="E43" s="3">
        <v>15.4644535213951</v>
      </c>
      <c r="F43" s="3">
        <v>16.2671424816563</v>
      </c>
      <c r="G43" s="3">
        <v>20.413540026549899</v>
      </c>
      <c r="H43" s="3">
        <v>15.2274109877955</v>
      </c>
      <c r="I43" s="3">
        <v>23.2972725377325</v>
      </c>
      <c r="J43" s="3">
        <v>20.130229688828098</v>
      </c>
      <c r="K43" s="3">
        <v>16.180411148189901</v>
      </c>
      <c r="L43" s="3">
        <v>17.287092577902701</v>
      </c>
      <c r="M43" s="3">
        <v>18.1457671171149</v>
      </c>
      <c r="N43" s="3">
        <v>20.259856634501599</v>
      </c>
    </row>
    <row r="44" spans="1:14" x14ac:dyDescent="0.35">
      <c r="A44" s="2">
        <v>43111</v>
      </c>
      <c r="B44" s="3">
        <v>21.8608735172736</v>
      </c>
      <c r="C44" s="3">
        <v>16.767378506703999</v>
      </c>
      <c r="D44" s="3">
        <v>17.2527918257056</v>
      </c>
      <c r="E44" s="3">
        <v>15.510361949262499</v>
      </c>
      <c r="F44" s="3">
        <v>17.0347338282773</v>
      </c>
      <c r="G44" s="3">
        <v>20.9909598295731</v>
      </c>
      <c r="H44" s="3">
        <v>15.6516379168601</v>
      </c>
      <c r="I44" s="3">
        <v>24.625546463547199</v>
      </c>
      <c r="J44" s="3">
        <v>20.865445398802599</v>
      </c>
      <c r="K44" s="3">
        <v>16.449776891291801</v>
      </c>
      <c r="L44" s="3">
        <v>17.481396246380498</v>
      </c>
      <c r="M44" s="3">
        <v>18.5284232113559</v>
      </c>
      <c r="N44" s="3">
        <v>15.8715529519577</v>
      </c>
    </row>
    <row r="45" spans="1:14" x14ac:dyDescent="0.35">
      <c r="A45" s="2">
        <v>43140</v>
      </c>
      <c r="B45" s="3">
        <v>20.491844623097599</v>
      </c>
      <c r="C45" s="3">
        <v>16.120923748452899</v>
      </c>
      <c r="D45" s="3">
        <v>15.7055638038075</v>
      </c>
      <c r="E45" s="3">
        <v>14.0776883634533</v>
      </c>
      <c r="F45" s="3">
        <v>15.187424759020001</v>
      </c>
      <c r="G45" s="3">
        <v>19.972893372101201</v>
      </c>
      <c r="H45" s="3">
        <v>14.2238916401885</v>
      </c>
      <c r="I45" s="3">
        <v>22.759455568099401</v>
      </c>
      <c r="J45" s="3">
        <v>19.2822126347187</v>
      </c>
      <c r="K45" s="3">
        <v>15.3835866010904</v>
      </c>
      <c r="L45" s="3">
        <v>16.381345542391301</v>
      </c>
      <c r="M45" s="3">
        <v>16.165481367316701</v>
      </c>
      <c r="N45" s="3">
        <v>14.288060606790101</v>
      </c>
    </row>
    <row r="46" spans="1:14" x14ac:dyDescent="0.35">
      <c r="A46" s="2">
        <v>43168</v>
      </c>
      <c r="B46" s="3">
        <v>22.560370549709798</v>
      </c>
      <c r="C46" s="3">
        <v>16.502246099838001</v>
      </c>
      <c r="D46" s="3">
        <v>15.8189162920825</v>
      </c>
      <c r="E46" s="3">
        <v>14.229153280713</v>
      </c>
      <c r="F46" s="3">
        <v>14.382892448093701</v>
      </c>
      <c r="G46" s="3">
        <v>21.091539060839601</v>
      </c>
      <c r="H46" s="3">
        <v>13.9813350069092</v>
      </c>
      <c r="I46" s="3">
        <v>24.176639276379099</v>
      </c>
      <c r="J46" s="3">
        <v>19.8054180333876</v>
      </c>
      <c r="K46" s="3">
        <v>15.5902164776156</v>
      </c>
      <c r="L46" s="3">
        <v>16.680892486094098</v>
      </c>
      <c r="M46" s="3">
        <v>16.980711173082899</v>
      </c>
      <c r="N46" s="3">
        <v>14.213166354276</v>
      </c>
    </row>
    <row r="47" spans="1:14" x14ac:dyDescent="0.35">
      <c r="A47" s="2">
        <v>43201</v>
      </c>
      <c r="B47" s="3">
        <v>22.4100821352874</v>
      </c>
      <c r="C47" s="3">
        <v>16.288181612104601</v>
      </c>
      <c r="D47" s="3">
        <v>15.589656960701401</v>
      </c>
      <c r="E47" s="3">
        <v>14.110348058783901</v>
      </c>
      <c r="F47" s="3">
        <v>14.2361664154318</v>
      </c>
      <c r="G47" s="3">
        <v>20.5115136336468</v>
      </c>
      <c r="H47" s="3">
        <v>13.9868660919576</v>
      </c>
      <c r="I47" s="3">
        <v>23.491353643367901</v>
      </c>
      <c r="J47" s="3">
        <v>19.3070416948025</v>
      </c>
      <c r="K47" s="3">
        <v>15.5034994149709</v>
      </c>
      <c r="L47" s="3">
        <v>16.591476286513799</v>
      </c>
      <c r="M47" s="3">
        <v>16.6973055615486</v>
      </c>
      <c r="N47" s="3">
        <v>14.105870203086001</v>
      </c>
    </row>
    <row r="48" spans="1:14" x14ac:dyDescent="0.35">
      <c r="A48" s="2">
        <v>43231</v>
      </c>
      <c r="B48" s="3">
        <v>22.4615906030511</v>
      </c>
      <c r="C48" s="3">
        <v>16.370851383081401</v>
      </c>
      <c r="D48" s="3">
        <v>15.629074682320599</v>
      </c>
      <c r="E48" s="3">
        <v>14.2223580899837</v>
      </c>
      <c r="F48" s="3">
        <v>14.306577150591901</v>
      </c>
      <c r="G48" s="3">
        <v>20.224376876977399</v>
      </c>
      <c r="H48" s="3">
        <v>14.1292551417902</v>
      </c>
      <c r="I48" s="3">
        <v>23.366229577558599</v>
      </c>
      <c r="J48" s="3">
        <v>19.119224165829198</v>
      </c>
      <c r="K48" s="3">
        <v>15.612696251900999</v>
      </c>
      <c r="L48" s="3">
        <v>16.5893750068721</v>
      </c>
      <c r="M48" s="3">
        <v>16.828270239738899</v>
      </c>
      <c r="N48" s="3">
        <v>14.134232565194599</v>
      </c>
    </row>
    <row r="49" spans="1:14" x14ac:dyDescent="0.35">
      <c r="A49" s="2">
        <v>43262</v>
      </c>
      <c r="B49" s="3">
        <v>22.759823088727298</v>
      </c>
      <c r="C49" s="3">
        <v>16.160222160826599</v>
      </c>
      <c r="D49" s="3">
        <v>15.6030696953749</v>
      </c>
      <c r="E49" s="3">
        <v>14.154632356217199</v>
      </c>
      <c r="F49" s="3">
        <v>14.175383971735901</v>
      </c>
      <c r="G49" s="3">
        <v>19.573803109059</v>
      </c>
      <c r="H49" s="3">
        <v>13.995324350890799</v>
      </c>
      <c r="I49" s="3">
        <v>23.312139501754501</v>
      </c>
      <c r="J49" s="3">
        <v>18.971161771575801</v>
      </c>
      <c r="K49" s="3">
        <v>15.380133954723</v>
      </c>
      <c r="L49" s="3">
        <v>16.734541478818802</v>
      </c>
      <c r="M49" s="3">
        <v>16.577660633812702</v>
      </c>
      <c r="N49" s="3">
        <v>13.5013598616347</v>
      </c>
    </row>
    <row r="50" spans="1:14" x14ac:dyDescent="0.35">
      <c r="A50" s="2">
        <v>43292</v>
      </c>
      <c r="B50" s="3">
        <v>22.8883966048082</v>
      </c>
      <c r="C50" s="3">
        <v>16.254701438816699</v>
      </c>
      <c r="D50" s="3">
        <v>15.495076922132601</v>
      </c>
      <c r="E50" s="3">
        <v>13.964772801404701</v>
      </c>
      <c r="F50" s="3">
        <v>13.767442891890401</v>
      </c>
      <c r="G50" s="3">
        <v>19.232321474762401</v>
      </c>
      <c r="H50" s="3">
        <v>13.7849751675198</v>
      </c>
      <c r="I50" s="3">
        <v>23.2061739855578</v>
      </c>
      <c r="J50" s="3">
        <v>18.684431984470798</v>
      </c>
      <c r="K50" s="3">
        <v>15.2006382883166</v>
      </c>
      <c r="L50" s="3">
        <v>16.547377720711999</v>
      </c>
      <c r="M50" s="3">
        <v>16.3588714364117</v>
      </c>
      <c r="N50" s="3">
        <v>13.221974672977</v>
      </c>
    </row>
    <row r="51" spans="1:14" x14ac:dyDescent="0.35">
      <c r="A51" s="2">
        <v>43322</v>
      </c>
      <c r="B51" s="3">
        <v>23.052191441990701</v>
      </c>
      <c r="C51" s="3">
        <v>16.340906688419601</v>
      </c>
      <c r="D51" s="3">
        <v>15.3916115569486</v>
      </c>
      <c r="E51" s="3">
        <v>13.982584312957799</v>
      </c>
      <c r="F51" s="3">
        <v>13.689895227783101</v>
      </c>
      <c r="G51" s="3">
        <v>19.009428697098201</v>
      </c>
      <c r="H51" s="3">
        <v>13.7790666178708</v>
      </c>
      <c r="I51" s="3">
        <v>23.116235181513499</v>
      </c>
      <c r="J51" s="3">
        <v>18.581264583345799</v>
      </c>
      <c r="K51" s="3">
        <v>15.093310534529399</v>
      </c>
      <c r="L51" s="3">
        <v>16.630635721873698</v>
      </c>
      <c r="M51" s="3">
        <v>16.597937316627</v>
      </c>
      <c r="N51" s="3">
        <v>12.9147783640993</v>
      </c>
    </row>
    <row r="52" spans="1:14" x14ac:dyDescent="0.35">
      <c r="A52" s="2">
        <v>43354</v>
      </c>
      <c r="B52" s="3">
        <v>23.531391152480701</v>
      </c>
      <c r="C52" s="3">
        <v>16.017179367787602</v>
      </c>
      <c r="D52" s="3">
        <v>15.0719847970612</v>
      </c>
      <c r="E52" s="3">
        <v>13.739445857383901</v>
      </c>
      <c r="F52" s="3">
        <v>13.404973597324901</v>
      </c>
      <c r="G52" s="3">
        <v>18.583234107820399</v>
      </c>
      <c r="H52" s="3">
        <v>13.316893577580901</v>
      </c>
      <c r="I52" s="3">
        <v>23.083833731716801</v>
      </c>
      <c r="J52" s="3">
        <v>18.563901603207501</v>
      </c>
      <c r="K52" s="3">
        <v>14.774645289673799</v>
      </c>
      <c r="L52" s="3">
        <v>16.2421255061107</v>
      </c>
      <c r="M52" s="3">
        <v>16.5650137302279</v>
      </c>
      <c r="N52" s="3">
        <v>12.522499859043799</v>
      </c>
    </row>
    <row r="53" spans="1:14" x14ac:dyDescent="0.35">
      <c r="A53" s="2">
        <v>43384</v>
      </c>
      <c r="B53" s="3">
        <v>22.4501599788018</v>
      </c>
      <c r="C53" s="3">
        <v>15.4013940276661</v>
      </c>
      <c r="D53" s="3">
        <v>14.4487395701509</v>
      </c>
      <c r="E53" s="3">
        <v>13.256897794497901</v>
      </c>
      <c r="F53" s="3">
        <v>13.258192629918501</v>
      </c>
      <c r="G53" s="3">
        <v>17.6376097795367</v>
      </c>
      <c r="H53" s="3">
        <v>12.945817387582601</v>
      </c>
      <c r="I53" s="3">
        <v>21.669259069721399</v>
      </c>
      <c r="J53" s="3">
        <v>17.6375108501461</v>
      </c>
      <c r="K53" s="3">
        <v>14.243130201005799</v>
      </c>
      <c r="L53" s="3">
        <v>15.517511500415001</v>
      </c>
      <c r="M53" s="3">
        <v>15.777192543978099</v>
      </c>
      <c r="N53" s="3">
        <v>11.704134393150101</v>
      </c>
    </row>
    <row r="54" spans="1:14" x14ac:dyDescent="0.35">
      <c r="A54" s="2">
        <v>43413</v>
      </c>
      <c r="B54" s="3">
        <v>23.100848781512202</v>
      </c>
      <c r="C54" s="3">
        <v>15.4997242575337</v>
      </c>
      <c r="D54" s="3">
        <v>14.193902072836099</v>
      </c>
      <c r="E54" s="3">
        <v>13.1517536795005</v>
      </c>
      <c r="F54" s="3">
        <v>12.924374932581101</v>
      </c>
      <c r="G54" s="3">
        <v>17.999914402914101</v>
      </c>
      <c r="H54" s="3">
        <v>12.885322582042701</v>
      </c>
      <c r="I54" s="3">
        <v>21.192970596821802</v>
      </c>
      <c r="J54" s="3">
        <v>17.5514468335417</v>
      </c>
      <c r="K54" s="3">
        <v>14.1703250775406</v>
      </c>
      <c r="L54" s="3">
        <v>15.708900722768901</v>
      </c>
      <c r="M54" s="3">
        <v>15.2068225607652</v>
      </c>
      <c r="N54" s="3">
        <v>11.455461812967499</v>
      </c>
    </row>
    <row r="55" spans="1:14" x14ac:dyDescent="0.35">
      <c r="A55" s="2">
        <v>43445</v>
      </c>
      <c r="B55" s="3">
        <v>22.591087844193702</v>
      </c>
      <c r="C55" s="3">
        <v>14.569761411342199</v>
      </c>
      <c r="D55" s="3">
        <v>13.549670844126</v>
      </c>
      <c r="E55" s="3">
        <v>12.4158188470605</v>
      </c>
      <c r="F55" s="3">
        <v>12.1755550802937</v>
      </c>
      <c r="G55" s="3">
        <v>17.022927226066699</v>
      </c>
      <c r="H55" s="3">
        <v>12.115068665535899</v>
      </c>
      <c r="I55" s="3">
        <v>19.946237399313901</v>
      </c>
      <c r="J55" s="3">
        <v>16.4556637048479</v>
      </c>
      <c r="K55" s="3">
        <v>13.2370960996699</v>
      </c>
      <c r="L55" s="3">
        <v>14.784457791052301</v>
      </c>
      <c r="M55" s="3">
        <v>14.314601465770201</v>
      </c>
      <c r="N55" s="3">
        <v>10.7283946613168</v>
      </c>
    </row>
    <row r="56" spans="1:14" x14ac:dyDescent="0.35">
      <c r="A56" s="2">
        <v>43476</v>
      </c>
      <c r="B56" s="3">
        <v>23.2702327107766</v>
      </c>
      <c r="C56" s="3">
        <v>14.9955251256875</v>
      </c>
      <c r="D56" s="3">
        <v>13.730512975445199</v>
      </c>
      <c r="E56" s="3">
        <v>12.428601960199099</v>
      </c>
      <c r="F56" s="3">
        <v>11.791634012400801</v>
      </c>
      <c r="G56" s="3">
        <v>16.970166277381999</v>
      </c>
      <c r="H56" s="3">
        <v>12.303393323161901</v>
      </c>
      <c r="I56" s="3">
        <v>19.547982918936601</v>
      </c>
      <c r="J56" s="3">
        <v>16.0581802784709</v>
      </c>
      <c r="K56" s="3">
        <v>13.1270548197616</v>
      </c>
      <c r="L56" s="3">
        <v>14.670371538714001</v>
      </c>
      <c r="M56" s="3">
        <v>14.482977662131301</v>
      </c>
      <c r="N56" s="3">
        <v>10.924546920709499</v>
      </c>
    </row>
    <row r="57" spans="1:14" x14ac:dyDescent="0.35">
      <c r="A57" s="2">
        <v>43507</v>
      </c>
      <c r="B57" s="3">
        <v>23.840287651887699</v>
      </c>
      <c r="C57" s="3">
        <v>15.6424433502083</v>
      </c>
      <c r="D57" s="3">
        <v>14.5642052870875</v>
      </c>
      <c r="E57" s="3">
        <v>12.7450540775733</v>
      </c>
      <c r="F57" s="3">
        <v>12.054706773505</v>
      </c>
      <c r="G57" s="3">
        <v>17.563329796259101</v>
      </c>
      <c r="H57" s="3">
        <v>12.669311504626799</v>
      </c>
      <c r="I57" s="3">
        <v>20.3380034634141</v>
      </c>
      <c r="J57" s="3">
        <v>16.673631515935099</v>
      </c>
      <c r="K57" s="3">
        <v>13.828205470415201</v>
      </c>
      <c r="L57" s="3">
        <v>15.541337395272899</v>
      </c>
      <c r="M57" s="3">
        <v>16.924548950881402</v>
      </c>
      <c r="N57" s="3">
        <v>10.896959032323799</v>
      </c>
    </row>
    <row r="58" spans="1:14" x14ac:dyDescent="0.35">
      <c r="A58" s="2">
        <v>43535</v>
      </c>
      <c r="B58" s="3">
        <v>24.131526964647701</v>
      </c>
      <c r="C58" s="3">
        <v>15.874966566369499</v>
      </c>
      <c r="D58" s="3">
        <v>14.730469755919501</v>
      </c>
      <c r="E58" s="3">
        <v>13.206408387952401</v>
      </c>
      <c r="F58" s="3">
        <v>12.6577263890739</v>
      </c>
      <c r="G58" s="3">
        <v>18.2801141625831</v>
      </c>
      <c r="H58" s="3">
        <v>12.9142227518401</v>
      </c>
      <c r="I58" s="3">
        <v>20.910057006127602</v>
      </c>
      <c r="J58" s="3">
        <v>17.087750452164201</v>
      </c>
      <c r="K58" s="3">
        <v>14.5448016591283</v>
      </c>
      <c r="L58" s="3">
        <v>16.111737357736601</v>
      </c>
      <c r="M58" s="3">
        <v>18.040518627933</v>
      </c>
      <c r="N58" s="3">
        <v>11.2747853136852</v>
      </c>
    </row>
    <row r="59" spans="1:14" x14ac:dyDescent="0.35">
      <c r="A59" s="2">
        <v>43566</v>
      </c>
      <c r="B59" s="3">
        <v>24.0631204979166</v>
      </c>
      <c r="C59" s="3">
        <v>15.828333712240999</v>
      </c>
      <c r="D59" s="3">
        <v>14.7543549919735</v>
      </c>
      <c r="E59" s="3">
        <v>13.267070821424999</v>
      </c>
      <c r="F59" s="3">
        <v>12.728154872546201</v>
      </c>
      <c r="G59" s="3">
        <v>18.2988873417235</v>
      </c>
      <c r="H59" s="3">
        <v>13.011942061055899</v>
      </c>
      <c r="I59" s="3">
        <v>21.208936088242499</v>
      </c>
      <c r="J59" s="3">
        <v>17.227672158569099</v>
      </c>
      <c r="K59" s="3">
        <v>14.6201328160308</v>
      </c>
      <c r="L59" s="3">
        <v>16.230803097253801</v>
      </c>
      <c r="M59" s="3">
        <v>17.834537893970602</v>
      </c>
      <c r="N59" s="3">
        <v>11.3344615174932</v>
      </c>
    </row>
    <row r="60" spans="1:14" x14ac:dyDescent="0.35">
      <c r="A60" s="2">
        <v>43595</v>
      </c>
      <c r="B60" s="3">
        <v>24.242953851455699</v>
      </c>
      <c r="C60" s="3">
        <v>15.8579948762101</v>
      </c>
      <c r="D60" s="3">
        <v>14.510113844369</v>
      </c>
      <c r="E60" s="3">
        <v>13.277154526636799</v>
      </c>
      <c r="F60" s="3">
        <v>12.6222250240842</v>
      </c>
      <c r="G60" s="3">
        <v>18.096693669385999</v>
      </c>
      <c r="H60" s="3">
        <v>12.8687263753885</v>
      </c>
      <c r="I60" s="3">
        <v>21.283619471061499</v>
      </c>
      <c r="J60" s="3">
        <v>17.193309063804101</v>
      </c>
      <c r="K60" s="3">
        <v>14.4692526783722</v>
      </c>
      <c r="L60" s="3">
        <v>16.178946511848601</v>
      </c>
      <c r="M60" s="3">
        <v>17.5561521936487</v>
      </c>
      <c r="N60" s="3">
        <v>11.1527200179335</v>
      </c>
    </row>
    <row r="61" spans="1:14" x14ac:dyDescent="0.35">
      <c r="A61" s="2">
        <v>43627</v>
      </c>
      <c r="B61" s="3">
        <v>24.222283608965999</v>
      </c>
      <c r="C61" s="3">
        <v>16.1061937728592</v>
      </c>
      <c r="D61" s="3">
        <v>14.433998929859801</v>
      </c>
      <c r="E61" s="3">
        <v>13.23640124351</v>
      </c>
      <c r="F61" s="3">
        <v>12.828834508555</v>
      </c>
      <c r="G61" s="3">
        <v>18.295489719190499</v>
      </c>
      <c r="H61" s="3">
        <v>13.001840207793601</v>
      </c>
      <c r="I61" s="3">
        <v>21.272768332310601</v>
      </c>
      <c r="J61" s="3">
        <v>17.206465539302101</v>
      </c>
      <c r="K61" s="3">
        <v>14.531309282514499</v>
      </c>
      <c r="L61" s="3">
        <v>16.289394990429798</v>
      </c>
      <c r="M61" s="3">
        <v>17.1883600570835</v>
      </c>
      <c r="N61" s="3">
        <v>10.984220108895601</v>
      </c>
    </row>
    <row r="62" spans="1:14" x14ac:dyDescent="0.35">
      <c r="A62" s="2">
        <v>43657</v>
      </c>
      <c r="B62" s="3">
        <v>25.005768190013399</v>
      </c>
      <c r="C62" s="3">
        <v>16.269105909689898</v>
      </c>
      <c r="D62" s="3">
        <v>14.503509889299</v>
      </c>
      <c r="E62" s="3">
        <v>13.507235528023999</v>
      </c>
      <c r="F62" s="3">
        <v>12.993782505720199</v>
      </c>
      <c r="G62" s="3">
        <v>18.304302754126201</v>
      </c>
      <c r="H62" s="3">
        <v>13.1055757379882</v>
      </c>
      <c r="I62" s="3">
        <v>21.992575656656999</v>
      </c>
      <c r="J62" s="3">
        <v>17.636378738180799</v>
      </c>
      <c r="K62" s="3">
        <v>14.741440211619301</v>
      </c>
      <c r="L62" s="3">
        <v>16.410911943503599</v>
      </c>
      <c r="M62" s="3">
        <v>17.040591175907799</v>
      </c>
      <c r="N62" s="3">
        <v>11.354003200851499</v>
      </c>
    </row>
    <row r="63" spans="1:14" x14ac:dyDescent="0.35">
      <c r="A63" s="2">
        <v>43686</v>
      </c>
      <c r="B63" s="3">
        <v>25.442255133865402</v>
      </c>
      <c r="C63" s="3">
        <v>16.263679974199299</v>
      </c>
      <c r="D63" s="3">
        <v>14.3899521995027</v>
      </c>
      <c r="E63" s="3">
        <v>13.3144695032251</v>
      </c>
      <c r="F63" s="3">
        <v>12.7371439939319</v>
      </c>
      <c r="G63" s="3">
        <v>18.191742701197601</v>
      </c>
      <c r="H63" s="3">
        <v>12.7798315966711</v>
      </c>
      <c r="I63" s="3">
        <v>21.684763670990598</v>
      </c>
      <c r="J63" s="3">
        <v>17.4686743723747</v>
      </c>
      <c r="K63" s="3">
        <v>14.5334875112124</v>
      </c>
      <c r="L63" s="3">
        <v>16.199228962571699</v>
      </c>
      <c r="M63" s="3">
        <v>15.968751873249699</v>
      </c>
      <c r="N63" s="3">
        <v>10.820632994551801</v>
      </c>
    </row>
    <row r="64" spans="1:14" x14ac:dyDescent="0.35">
      <c r="A64" s="2">
        <v>43719</v>
      </c>
      <c r="B64" s="3">
        <v>28.445712487874601</v>
      </c>
      <c r="C64" s="3">
        <v>16.613564227755699</v>
      </c>
      <c r="D64" s="3">
        <v>14.5826610520479</v>
      </c>
      <c r="E64" s="3">
        <v>14.003391509222199</v>
      </c>
      <c r="F64" s="3">
        <v>13.340738592929201</v>
      </c>
      <c r="G64" s="3">
        <v>18.500047694566899</v>
      </c>
      <c r="H64" s="3">
        <v>13.0518854223501</v>
      </c>
      <c r="I64" s="3">
        <v>22.273138911355499</v>
      </c>
      <c r="J64" s="3">
        <v>17.868844002518902</v>
      </c>
      <c r="K64" s="3">
        <v>15.016674686952101</v>
      </c>
      <c r="L64" s="3">
        <v>16.997188311697698</v>
      </c>
      <c r="M64" s="3">
        <v>16.254052865572501</v>
      </c>
      <c r="N64" s="3">
        <v>11.2737088570381</v>
      </c>
    </row>
    <row r="65" spans="1:14" x14ac:dyDescent="0.35">
      <c r="A65" s="2">
        <v>43749</v>
      </c>
      <c r="B65" s="3">
        <v>28.712591973249499</v>
      </c>
      <c r="C65" s="3">
        <v>16.817885529516101</v>
      </c>
      <c r="D65" s="3">
        <v>14.561994378523099</v>
      </c>
      <c r="E65" s="3">
        <v>14.2074658759574</v>
      </c>
      <c r="F65" s="3">
        <v>13.502626965958701</v>
      </c>
      <c r="G65" s="3">
        <v>18.423805499766502</v>
      </c>
      <c r="H65" s="3">
        <v>13.1207783053745</v>
      </c>
      <c r="I65" s="3">
        <v>22.3590161346843</v>
      </c>
      <c r="J65" s="3">
        <v>17.9258770916868</v>
      </c>
      <c r="K65" s="3">
        <v>15.2320561543404</v>
      </c>
      <c r="L65" s="3">
        <v>17.209138214964899</v>
      </c>
      <c r="M65" s="3">
        <v>16.4483794446096</v>
      </c>
      <c r="N65" s="3">
        <v>11.4178771454536</v>
      </c>
    </row>
    <row r="66" spans="1:14" x14ac:dyDescent="0.35">
      <c r="A66" s="2">
        <v>43780</v>
      </c>
      <c r="B66" s="3">
        <v>29.2626714460513</v>
      </c>
      <c r="C66" s="3">
        <v>17.5868738522244</v>
      </c>
      <c r="D66" s="3">
        <v>15.0408233666358</v>
      </c>
      <c r="E66" s="3">
        <v>15.1185855759996</v>
      </c>
      <c r="F66" s="3">
        <v>14.445232508034399</v>
      </c>
      <c r="G66" s="3">
        <v>18.855282770609001</v>
      </c>
      <c r="H66" s="3">
        <v>13.368473069528701</v>
      </c>
      <c r="I66" s="3">
        <v>23.425484694611502</v>
      </c>
      <c r="J66" s="3">
        <v>18.646407464916599</v>
      </c>
      <c r="K66" s="3">
        <v>15.962564404154501</v>
      </c>
      <c r="L66" s="3">
        <v>17.867968894638299</v>
      </c>
      <c r="M66" s="3">
        <v>16.9931448782384</v>
      </c>
      <c r="N66" s="3">
        <v>11.964313046867799</v>
      </c>
    </row>
    <row r="67" spans="1:14" x14ac:dyDescent="0.35">
      <c r="A67" s="2">
        <v>43810</v>
      </c>
      <c r="B67" s="3">
        <v>31.378550988075801</v>
      </c>
      <c r="C67" s="3">
        <v>17.6941479577353</v>
      </c>
      <c r="D67" s="3">
        <v>15.078669702455</v>
      </c>
      <c r="E67" s="3">
        <v>15.2248307994576</v>
      </c>
      <c r="F67" s="3">
        <v>15.0425610863395</v>
      </c>
      <c r="G67" s="3">
        <v>19.074720801507901</v>
      </c>
      <c r="H67" s="3">
        <v>13.459143840120801</v>
      </c>
      <c r="I67" s="3">
        <v>24.262873536246801</v>
      </c>
      <c r="J67" s="3">
        <v>19.169139936020599</v>
      </c>
      <c r="K67" s="3">
        <v>16.080133710242201</v>
      </c>
      <c r="L67" s="3">
        <v>18.306445002256599</v>
      </c>
      <c r="M67" s="3">
        <v>15.887570003938301</v>
      </c>
      <c r="N67" s="3">
        <v>11.8678634970201</v>
      </c>
    </row>
    <row r="68" spans="1:14" x14ac:dyDescent="0.35">
      <c r="A68" s="2">
        <v>43840</v>
      </c>
      <c r="B68" s="3">
        <v>32.370285686661397</v>
      </c>
      <c r="C68" s="3">
        <v>18.300328693677798</v>
      </c>
      <c r="D68" s="3">
        <v>15.3662787589315</v>
      </c>
      <c r="E68" s="3">
        <v>15.765729475299301</v>
      </c>
      <c r="F68" s="3">
        <v>15.4591429465003</v>
      </c>
      <c r="G68" s="3">
        <v>19.6126700682027</v>
      </c>
      <c r="H68" s="3">
        <v>14.2041445320893</v>
      </c>
      <c r="I68" s="3">
        <v>26.067881356996502</v>
      </c>
      <c r="J68" s="3">
        <v>20.067413309219098</v>
      </c>
      <c r="K68" s="3">
        <v>16.636785137186099</v>
      </c>
      <c r="L68" s="3">
        <v>18.7244527003207</v>
      </c>
      <c r="M68" s="3">
        <v>16.358085469646301</v>
      </c>
      <c r="N68" s="3">
        <v>12.349510586470499</v>
      </c>
    </row>
    <row r="69" spans="1:14" x14ac:dyDescent="0.35">
      <c r="A69" s="2">
        <v>43872</v>
      </c>
      <c r="B69" s="3">
        <v>33.147875401126598</v>
      </c>
      <c r="C69" s="3">
        <v>18.575611366524001</v>
      </c>
      <c r="D69" s="3">
        <v>15.769524404069401</v>
      </c>
      <c r="E69" s="3">
        <v>16.160931804712199</v>
      </c>
      <c r="F69" s="3">
        <v>15.356914401852301</v>
      </c>
      <c r="G69" s="3">
        <v>20.181332252040701</v>
      </c>
      <c r="H69" s="3">
        <v>14.02343628341</v>
      </c>
      <c r="I69" s="3">
        <v>26.899195656642</v>
      </c>
      <c r="J69" s="3">
        <v>20.398530174395301</v>
      </c>
      <c r="K69" s="3">
        <v>16.5969582858718</v>
      </c>
      <c r="L69" s="3">
        <v>19.896885797010299</v>
      </c>
      <c r="M69" s="3">
        <v>14.3794153419704</v>
      </c>
      <c r="N69" s="3">
        <v>12.7138930251127</v>
      </c>
    </row>
    <row r="70" spans="1:14" x14ac:dyDescent="0.35">
      <c r="A70" s="2">
        <v>43901</v>
      </c>
      <c r="B70" s="3">
        <v>30.753201507957002</v>
      </c>
      <c r="C70" s="3">
        <v>16.620112453369899</v>
      </c>
      <c r="D70" s="3">
        <v>14.072294704171799</v>
      </c>
      <c r="E70" s="3">
        <v>13.720005144252401</v>
      </c>
      <c r="F70" s="3">
        <v>13.7683132310539</v>
      </c>
      <c r="G70" s="3">
        <v>17.786530586430899</v>
      </c>
      <c r="H70" s="3">
        <v>12.146253036010799</v>
      </c>
      <c r="I70" s="3">
        <v>23.5223291392793</v>
      </c>
      <c r="J70" s="3">
        <v>17.657307333380999</v>
      </c>
      <c r="K70" s="3">
        <v>14.3654199093308</v>
      </c>
      <c r="L70" s="3">
        <v>17.016041569359199</v>
      </c>
      <c r="M70" s="3">
        <v>12.6765220775013</v>
      </c>
      <c r="N70" s="3">
        <v>10.9819137612749</v>
      </c>
    </row>
    <row r="71" spans="1:14" x14ac:dyDescent="0.35">
      <c r="A71" s="2">
        <v>43930</v>
      </c>
      <c r="B71" s="3">
        <v>30.789089398490599</v>
      </c>
      <c r="C71" s="3">
        <v>16.7400853802088</v>
      </c>
      <c r="D71" s="3">
        <v>14.702422411932201</v>
      </c>
      <c r="E71" s="3">
        <v>14.2755371533434</v>
      </c>
      <c r="F71" s="3">
        <v>13.8930910407238</v>
      </c>
      <c r="G71" s="3">
        <v>18.127303300799401</v>
      </c>
      <c r="H71" s="3">
        <v>12.7909345289202</v>
      </c>
      <c r="I71" s="3">
        <v>23.9586368725477</v>
      </c>
      <c r="J71" s="3">
        <v>18.282622660684101</v>
      </c>
      <c r="K71" s="3">
        <v>14.9613602860389</v>
      </c>
      <c r="L71" s="3">
        <v>17.296378063568199</v>
      </c>
      <c r="M71" s="3">
        <v>13.622472145871701</v>
      </c>
      <c r="N71" s="3">
        <v>11.3594125527211</v>
      </c>
    </row>
    <row r="72" spans="1:14" x14ac:dyDescent="0.35">
      <c r="A72" s="2">
        <v>43962</v>
      </c>
      <c r="B72" s="3">
        <v>32.049644500705902</v>
      </c>
      <c r="C72" s="3">
        <v>17.419124314654201</v>
      </c>
      <c r="D72" s="3">
        <v>16.297853064986899</v>
      </c>
      <c r="E72" s="3">
        <v>15.2613336102803</v>
      </c>
      <c r="F72" s="3">
        <v>14.5102030294009</v>
      </c>
      <c r="G72" s="3">
        <v>18.694114558330199</v>
      </c>
      <c r="H72" s="3">
        <v>13.8921932337512</v>
      </c>
      <c r="I72" s="3">
        <v>25.803611234331399</v>
      </c>
      <c r="J72" s="3">
        <v>19.719897193153599</v>
      </c>
      <c r="K72" s="3">
        <v>16.100718591055401</v>
      </c>
      <c r="L72" s="3">
        <v>18.0142139229654</v>
      </c>
      <c r="M72" s="3">
        <v>15.262248530428099</v>
      </c>
      <c r="N72" s="3">
        <v>13.503991716412299</v>
      </c>
    </row>
    <row r="73" spans="1:14" x14ac:dyDescent="0.35">
      <c r="A73" s="2">
        <v>43993</v>
      </c>
      <c r="B73" s="3">
        <v>32.239198207275997</v>
      </c>
      <c r="C73" s="3">
        <v>18.505901845260802</v>
      </c>
      <c r="D73" s="3">
        <v>16.916873555132199</v>
      </c>
      <c r="E73" s="3">
        <v>16.878905938771499</v>
      </c>
      <c r="F73" s="3">
        <v>16.321289985103501</v>
      </c>
      <c r="G73" s="3">
        <v>19.1599178522134</v>
      </c>
      <c r="H73" s="3">
        <v>14.825933557882299</v>
      </c>
      <c r="I73" s="3">
        <v>26.7239485491008</v>
      </c>
      <c r="J73" s="3">
        <v>20.502640776979099</v>
      </c>
      <c r="K73" s="3">
        <v>17.576847777897001</v>
      </c>
      <c r="L73" s="3">
        <v>18.947320174393099</v>
      </c>
      <c r="M73" s="3">
        <v>16.089967079165401</v>
      </c>
      <c r="N73" s="3">
        <v>15.5136867638008</v>
      </c>
    </row>
    <row r="74" spans="1:14" x14ac:dyDescent="0.35">
      <c r="A74" s="2">
        <v>44022</v>
      </c>
      <c r="B74" s="3">
        <v>33.207964346798903</v>
      </c>
      <c r="C74" s="3">
        <v>18.5377572839866</v>
      </c>
      <c r="D74" s="3">
        <v>17.549638845730001</v>
      </c>
      <c r="E74" s="3">
        <v>18.425786850475699</v>
      </c>
      <c r="F74" s="3">
        <v>17.1175849154485</v>
      </c>
      <c r="G74" s="3">
        <v>19.878983080129998</v>
      </c>
      <c r="H74" s="3">
        <v>15.211302692062301</v>
      </c>
      <c r="I74" s="3">
        <v>28.935154414418701</v>
      </c>
      <c r="J74" s="3">
        <v>21.784646887317098</v>
      </c>
      <c r="K74" s="3">
        <v>19.307346766947699</v>
      </c>
      <c r="L74" s="3">
        <v>20.065137456286301</v>
      </c>
      <c r="M74" s="3">
        <v>17.6676947285208</v>
      </c>
      <c r="N74" s="3">
        <v>16.845709727507501</v>
      </c>
    </row>
    <row r="75" spans="1:14" x14ac:dyDescent="0.35">
      <c r="A75" s="2">
        <v>44054</v>
      </c>
      <c r="B75" s="3">
        <v>33.981926807847401</v>
      </c>
      <c r="C75" s="3">
        <v>19.509748123914001</v>
      </c>
      <c r="D75" s="3">
        <v>18.180804885392401</v>
      </c>
      <c r="E75" s="3">
        <v>19.434149880441002</v>
      </c>
      <c r="F75" s="3">
        <v>18.298150947894602</v>
      </c>
      <c r="G75" s="3">
        <v>20.256575269856299</v>
      </c>
      <c r="H75" s="3">
        <v>16.301502773507</v>
      </c>
      <c r="I75" s="3">
        <v>28.726317826480798</v>
      </c>
      <c r="J75" s="3">
        <v>22.530159746251801</v>
      </c>
      <c r="K75" s="3">
        <v>22.0696580900755</v>
      </c>
      <c r="L75" s="3">
        <v>20.739959184108599</v>
      </c>
      <c r="M75" s="3">
        <v>17.699122823636401</v>
      </c>
      <c r="N75" s="3">
        <v>17.845135480753498</v>
      </c>
    </row>
    <row r="76" spans="1:14" x14ac:dyDescent="0.35">
      <c r="A76" s="2">
        <v>44085</v>
      </c>
      <c r="B76" s="3">
        <v>33.7593155996043</v>
      </c>
      <c r="C76" s="3">
        <v>19.209427890328602</v>
      </c>
      <c r="D76" s="3">
        <v>18.215291526295299</v>
      </c>
      <c r="E76" s="3">
        <v>20.441463049558099</v>
      </c>
      <c r="F76" s="3">
        <v>19.524945310387199</v>
      </c>
      <c r="G76" s="3">
        <v>20.8774630508209</v>
      </c>
      <c r="H76" s="3">
        <v>16.7737634359504</v>
      </c>
      <c r="I76" s="3">
        <v>29.758948903369699</v>
      </c>
      <c r="J76" s="3">
        <v>23.068610697492701</v>
      </c>
      <c r="K76" s="3">
        <v>23.231628498435398</v>
      </c>
      <c r="L76" s="3">
        <v>21.524317427225199</v>
      </c>
      <c r="M76" s="3">
        <v>17.641320733519201</v>
      </c>
      <c r="N76" s="3">
        <v>18.2445832226643</v>
      </c>
    </row>
    <row r="77" spans="1:14" x14ac:dyDescent="0.35">
      <c r="A77" s="2">
        <v>44113</v>
      </c>
      <c r="B77" s="3">
        <v>35.036135797800299</v>
      </c>
      <c r="C77" s="3">
        <v>19.9101742863037</v>
      </c>
      <c r="D77" s="3">
        <v>18.8406299336757</v>
      </c>
      <c r="E77" s="3">
        <v>20.669717246723501</v>
      </c>
      <c r="F77" s="3">
        <v>20.471041769395001</v>
      </c>
      <c r="G77" s="3">
        <v>20.992011780095901</v>
      </c>
      <c r="H77" s="3">
        <v>17.213382093764999</v>
      </c>
      <c r="I77" s="3">
        <v>31.715920404389902</v>
      </c>
      <c r="J77" s="3">
        <v>24.347116376058999</v>
      </c>
      <c r="K77" s="3">
        <v>23.9538881522158</v>
      </c>
      <c r="L77" s="3">
        <v>22.634051646674799</v>
      </c>
      <c r="M77" s="3">
        <v>18.309536482257499</v>
      </c>
      <c r="N77" s="3">
        <v>18.764734268899399</v>
      </c>
    </row>
    <row r="78" spans="1:14" x14ac:dyDescent="0.35">
      <c r="A78" s="2">
        <v>44146</v>
      </c>
      <c r="B78" s="3">
        <v>35.819768709220902</v>
      </c>
      <c r="C78" s="3">
        <v>21.348314550574099</v>
      </c>
      <c r="D78" s="3">
        <v>19.225386711404798</v>
      </c>
      <c r="E78" s="3">
        <v>20.512267380912501</v>
      </c>
      <c r="F78" s="3">
        <v>21.917619296594001</v>
      </c>
      <c r="G78" s="3">
        <v>21.211152185793399</v>
      </c>
      <c r="H78" s="3">
        <v>17.954972927966999</v>
      </c>
      <c r="I78" s="3">
        <v>31.869156572083501</v>
      </c>
      <c r="J78" s="3">
        <v>24.764407454190099</v>
      </c>
      <c r="K78" s="3">
        <v>26.892903166227999</v>
      </c>
      <c r="L78" s="3">
        <v>24.557785984743699</v>
      </c>
      <c r="M78" s="3">
        <v>16.432798222092799</v>
      </c>
      <c r="N78" s="3">
        <v>20.557332427112701</v>
      </c>
    </row>
    <row r="79" spans="1:14" x14ac:dyDescent="0.35">
      <c r="A79" s="2">
        <v>44176</v>
      </c>
      <c r="B79" s="3">
        <v>37.121253672062601</v>
      </c>
      <c r="C79" s="3">
        <v>22.528460991955999</v>
      </c>
      <c r="D79" s="3">
        <v>20.211759591420002</v>
      </c>
      <c r="E79" s="3">
        <v>20.7392148199832</v>
      </c>
      <c r="F79" s="3">
        <v>22.732381446741801</v>
      </c>
      <c r="G79" s="3">
        <v>21.082547609437899</v>
      </c>
      <c r="H79" s="3">
        <v>19.2846537022257</v>
      </c>
      <c r="I79" s="3">
        <v>33.705663478941503</v>
      </c>
      <c r="J79" s="3">
        <v>25.7995542692281</v>
      </c>
      <c r="K79" s="3">
        <v>27.8729524541519</v>
      </c>
      <c r="L79" s="3">
        <v>25.980191050456099</v>
      </c>
      <c r="M79" s="3">
        <v>17.045695638435301</v>
      </c>
      <c r="N79" s="3">
        <v>22.271072725982801</v>
      </c>
    </row>
    <row r="80" spans="1:14" x14ac:dyDescent="0.35">
      <c r="A80" s="2">
        <v>44207</v>
      </c>
      <c r="B80" s="3">
        <v>38.269166121396701</v>
      </c>
      <c r="C80" s="3">
        <v>23.341242684214901</v>
      </c>
      <c r="D80" s="3">
        <v>21.201369143818699</v>
      </c>
      <c r="E80" s="3">
        <v>22.1236907955054</v>
      </c>
      <c r="F80" s="3">
        <v>23.989511838037501</v>
      </c>
      <c r="G80" s="3">
        <v>22.0515718137131</v>
      </c>
      <c r="H80" s="3">
        <v>20.300696223787199</v>
      </c>
      <c r="I80" s="3">
        <v>35.065970305114298</v>
      </c>
      <c r="J80" s="3">
        <v>27.535301267792399</v>
      </c>
      <c r="K80" s="3">
        <v>29.084060916432001</v>
      </c>
      <c r="L80" s="3">
        <v>27.7458481389958</v>
      </c>
      <c r="M80" s="3">
        <v>18.526428084257699</v>
      </c>
      <c r="N80" s="3">
        <v>23.6152581957571</v>
      </c>
    </row>
    <row r="81" spans="1:14" x14ac:dyDescent="0.35">
      <c r="A81" s="2">
        <v>44238</v>
      </c>
      <c r="B81" s="3">
        <v>35.365414714488402</v>
      </c>
      <c r="C81" s="3">
        <v>23.100557532638401</v>
      </c>
      <c r="D81" s="3">
        <v>21.037255121497299</v>
      </c>
      <c r="E81" s="3">
        <v>21.551878581627101</v>
      </c>
      <c r="F81" s="3">
        <v>23.739758735730899</v>
      </c>
      <c r="G81" s="3">
        <v>21.202255745518102</v>
      </c>
      <c r="H81" s="3">
        <v>19.338524515296498</v>
      </c>
      <c r="I81" s="3">
        <v>35.403501199736098</v>
      </c>
      <c r="J81" s="3">
        <v>27.309759990163801</v>
      </c>
      <c r="K81" s="3">
        <v>27.350826156</v>
      </c>
      <c r="L81" s="3">
        <v>30.009191527788602</v>
      </c>
      <c r="M81" s="3">
        <v>17.500111715855301</v>
      </c>
      <c r="N81" s="3">
        <v>20.655476703707599</v>
      </c>
    </row>
    <row r="82" spans="1:14" x14ac:dyDescent="0.35">
      <c r="A82" s="2">
        <v>44266</v>
      </c>
      <c r="B82" s="3">
        <v>34.372200535645597</v>
      </c>
      <c r="C82" s="3">
        <v>21.6503772072194</v>
      </c>
      <c r="D82" s="3">
        <v>19.8889177035317</v>
      </c>
      <c r="E82" s="3">
        <v>20.246617223273901</v>
      </c>
      <c r="F82" s="3">
        <v>21.5502239323026</v>
      </c>
      <c r="G82" s="3">
        <v>20.488170063550999</v>
      </c>
      <c r="H82" s="3">
        <v>18.679258769357801</v>
      </c>
      <c r="I82" s="3">
        <v>32.805815319571799</v>
      </c>
      <c r="J82" s="3">
        <v>26.2269673463224</v>
      </c>
      <c r="K82" s="3">
        <v>26.852802023283601</v>
      </c>
      <c r="L82" s="3">
        <v>28.817979537917001</v>
      </c>
      <c r="M82" s="3">
        <v>17.9046078603835</v>
      </c>
      <c r="N82" s="3">
        <v>20.149551351665099</v>
      </c>
    </row>
    <row r="83" spans="1:14" x14ac:dyDescent="0.35">
      <c r="A83" s="2">
        <v>44295</v>
      </c>
      <c r="B83" s="3">
        <v>34.475465548886802</v>
      </c>
      <c r="C83" s="3">
        <v>21.312188187047902</v>
      </c>
      <c r="D83" s="3">
        <v>19.528842338619601</v>
      </c>
      <c r="E83" s="3">
        <v>19.9978889789909</v>
      </c>
      <c r="F83" s="3">
        <v>21.210984557333202</v>
      </c>
      <c r="G83" s="3">
        <v>20.629868606695702</v>
      </c>
      <c r="H83" s="3">
        <v>18.117631967266501</v>
      </c>
      <c r="I83" s="3">
        <v>32.885490917016</v>
      </c>
      <c r="J83" s="3">
        <v>26.087149040061401</v>
      </c>
      <c r="K83" s="3">
        <v>26.110520804262201</v>
      </c>
      <c r="L83" s="3">
        <v>28.563993736014499</v>
      </c>
      <c r="M83" s="3">
        <v>18.350123751526599</v>
      </c>
      <c r="N83" s="3">
        <v>19.5983226751671</v>
      </c>
    </row>
    <row r="84" spans="1:14" x14ac:dyDescent="0.35">
      <c r="A84" s="2">
        <v>44327</v>
      </c>
      <c r="B84" s="3">
        <v>34.918058506712001</v>
      </c>
      <c r="C84" s="3">
        <v>20.929364741298901</v>
      </c>
      <c r="D84" s="3">
        <v>19.081108814594</v>
      </c>
      <c r="E84" s="3">
        <v>19.063642672860599</v>
      </c>
      <c r="F84" s="3">
        <v>20.563975794694201</v>
      </c>
      <c r="G84" s="3">
        <v>20.375835607984001</v>
      </c>
      <c r="H84" s="3">
        <v>17.448822172792799</v>
      </c>
      <c r="I84" s="3">
        <v>31.579295893707599</v>
      </c>
      <c r="J84" s="3">
        <v>25.311489983786199</v>
      </c>
      <c r="K84" s="3">
        <v>25.0181297548693</v>
      </c>
      <c r="L84" s="3">
        <v>27.389376824111299</v>
      </c>
      <c r="M84" s="3">
        <v>17.422280892392699</v>
      </c>
      <c r="N84" s="3">
        <v>18.768233333425002</v>
      </c>
    </row>
    <row r="85" spans="1:14" x14ac:dyDescent="0.35">
      <c r="A85" s="2">
        <v>44358</v>
      </c>
      <c r="B85" s="3">
        <v>35.367087335165699</v>
      </c>
      <c r="C85" s="3">
        <v>20.573340417432298</v>
      </c>
      <c r="D85" s="3">
        <v>18.677681258182101</v>
      </c>
      <c r="E85" s="3">
        <v>18.748567137033302</v>
      </c>
      <c r="F85" s="3">
        <v>20.1178243068643</v>
      </c>
      <c r="G85" s="3">
        <v>20.8677443041449</v>
      </c>
      <c r="H85" s="3">
        <v>16.953976715968398</v>
      </c>
      <c r="I85" s="3">
        <v>31.558010409969</v>
      </c>
      <c r="J85" s="3">
        <v>24.998538882522698</v>
      </c>
      <c r="K85" s="3">
        <v>24.409192919984299</v>
      </c>
      <c r="L85" s="3">
        <v>27.073149352725999</v>
      </c>
      <c r="M85" s="3">
        <v>17.905341109193898</v>
      </c>
      <c r="N85" s="3">
        <v>18.478375208142499</v>
      </c>
    </row>
    <row r="86" spans="1:14" x14ac:dyDescent="0.35">
      <c r="A86" s="2">
        <v>44386</v>
      </c>
      <c r="B86" s="3">
        <v>36.422849785520299</v>
      </c>
      <c r="C86" s="3">
        <v>19.624520693059701</v>
      </c>
      <c r="D86" s="3">
        <v>18.3030045215367</v>
      </c>
      <c r="E86" s="3">
        <v>18.196791688604399</v>
      </c>
      <c r="F86" s="3">
        <v>19.467577230745199</v>
      </c>
      <c r="G86" s="3">
        <v>20.894420909583001</v>
      </c>
      <c r="H86" s="3">
        <v>16.186239229244801</v>
      </c>
      <c r="I86" s="3">
        <v>32.052181675656797</v>
      </c>
      <c r="J86" s="3">
        <v>24.877015455113401</v>
      </c>
      <c r="K86" s="3">
        <v>23.2889973445042</v>
      </c>
      <c r="L86" s="3">
        <v>26.364370449469</v>
      </c>
      <c r="M86" s="3">
        <v>18.130150858729799</v>
      </c>
      <c r="N86" s="3">
        <v>17.703134076901001</v>
      </c>
    </row>
    <row r="87" spans="1:14" x14ac:dyDescent="0.35">
      <c r="A87" s="2">
        <v>44419</v>
      </c>
      <c r="B87" s="3">
        <v>36.832027502881097</v>
      </c>
      <c r="C87" s="3">
        <v>19.320965779916602</v>
      </c>
      <c r="D87" s="3">
        <v>17.612546806815899</v>
      </c>
      <c r="E87" s="3">
        <v>17.316706484786302</v>
      </c>
      <c r="F87" s="3">
        <v>19.030019008139</v>
      </c>
      <c r="G87" s="3">
        <v>21.106813377298199</v>
      </c>
      <c r="H87" s="3">
        <v>15.2996319736062</v>
      </c>
      <c r="I87" s="3">
        <v>31.2320400098072</v>
      </c>
      <c r="J87" s="3">
        <v>24.081240358116499</v>
      </c>
      <c r="K87" s="3">
        <v>22.017003901746499</v>
      </c>
      <c r="L87" s="3">
        <v>26.218176205811801</v>
      </c>
      <c r="M87" s="3">
        <v>17.645417466083501</v>
      </c>
      <c r="N87" s="3">
        <v>16.417523725548801</v>
      </c>
    </row>
    <row r="88" spans="1:14" x14ac:dyDescent="0.35">
      <c r="A88" s="2">
        <v>44449</v>
      </c>
      <c r="B88" s="3">
        <v>38.3842548037291</v>
      </c>
      <c r="C88" s="3">
        <v>18.788300771824101</v>
      </c>
      <c r="D88" s="3">
        <v>17.021492261053101</v>
      </c>
      <c r="E88" s="3">
        <v>16.620089408538</v>
      </c>
      <c r="F88" s="3">
        <v>18.820843895982801</v>
      </c>
      <c r="G88" s="3">
        <v>20.8101064904038</v>
      </c>
      <c r="H88" s="3">
        <v>14.4050657471326</v>
      </c>
      <c r="I88" s="3">
        <v>31.449193354956499</v>
      </c>
      <c r="J88" s="3">
        <v>23.6659699782799</v>
      </c>
      <c r="K88" s="3">
        <v>20.691609493361899</v>
      </c>
      <c r="L88" s="3">
        <v>25.666575610446799</v>
      </c>
      <c r="M88" s="3">
        <v>17.4599766898171</v>
      </c>
      <c r="N88" s="3">
        <v>15.264180025746599</v>
      </c>
    </row>
    <row r="89" spans="1:14" x14ac:dyDescent="0.35">
      <c r="A89" s="2">
        <v>44480</v>
      </c>
      <c r="B89" s="3">
        <v>38.414320543874503</v>
      </c>
      <c r="C89" s="3">
        <v>18.556452631314901</v>
      </c>
      <c r="D89" s="3">
        <v>16.445342804250402</v>
      </c>
      <c r="E89" s="3">
        <v>15.8195465784178</v>
      </c>
      <c r="F89" s="3">
        <v>17.735888934420899</v>
      </c>
      <c r="G89" s="3">
        <v>20.2151664231137</v>
      </c>
      <c r="H89" s="3">
        <v>13.897885427538901</v>
      </c>
      <c r="I89" s="3">
        <v>30.1373271575663</v>
      </c>
      <c r="J89" s="3">
        <v>22.9325259367386</v>
      </c>
      <c r="K89" s="3">
        <v>19.211594630493199</v>
      </c>
      <c r="L89" s="3">
        <v>23.911951592977001</v>
      </c>
      <c r="M89" s="3">
        <v>16.852965320691801</v>
      </c>
      <c r="N89" s="3">
        <v>14.444175530843699</v>
      </c>
    </row>
    <row r="90" spans="1:14" x14ac:dyDescent="0.35">
      <c r="A90" s="2">
        <v>44511</v>
      </c>
      <c r="B90" s="3">
        <v>39.191809237276303</v>
      </c>
      <c r="C90" s="3">
        <v>18.2466947039735</v>
      </c>
      <c r="D90" s="3">
        <v>16.533393286636201</v>
      </c>
      <c r="E90" s="3">
        <v>15.3977232305858</v>
      </c>
      <c r="F90" s="3">
        <v>17.416536436066799</v>
      </c>
      <c r="G90" s="3">
        <v>20.945249845716301</v>
      </c>
      <c r="H90" s="3">
        <v>13.3652069637279</v>
      </c>
      <c r="I90" s="3">
        <v>31.641434579744299</v>
      </c>
      <c r="J90" s="3">
        <v>23.287792654358999</v>
      </c>
      <c r="K90" s="3">
        <v>18.670447787140699</v>
      </c>
      <c r="L90" s="3">
        <v>24.4672728418922</v>
      </c>
      <c r="M90" s="3">
        <v>16.7825416464892</v>
      </c>
      <c r="N90" s="3">
        <v>13.91922246715</v>
      </c>
    </row>
    <row r="91" spans="1:14" x14ac:dyDescent="0.35">
      <c r="A91" s="2">
        <v>44540</v>
      </c>
      <c r="B91" s="3">
        <v>39.306031645682303</v>
      </c>
      <c r="C91" s="3">
        <v>17.8301644683925</v>
      </c>
      <c r="D91" s="3">
        <v>15.546549303892901</v>
      </c>
      <c r="E91" s="3">
        <v>14.382121113429299</v>
      </c>
      <c r="F91" s="3">
        <v>16.4080912074262</v>
      </c>
      <c r="G91" s="3">
        <v>21.098797138186502</v>
      </c>
      <c r="H91" s="3">
        <v>12.518250410842001</v>
      </c>
      <c r="I91" s="3">
        <v>31.891218122845199</v>
      </c>
      <c r="J91" s="3">
        <v>23.156426650009202</v>
      </c>
      <c r="K91" s="3">
        <v>17.5094176622944</v>
      </c>
      <c r="L91" s="3">
        <v>22.6955153336399</v>
      </c>
      <c r="M91" s="3">
        <v>16.5781978280861</v>
      </c>
      <c r="N91" s="3">
        <v>12.361884312128799</v>
      </c>
    </row>
    <row r="92" spans="1:14" x14ac:dyDescent="0.35">
      <c r="A92" s="2">
        <v>44572</v>
      </c>
      <c r="B92" s="3">
        <v>38.5275557468118</v>
      </c>
      <c r="C92" s="3">
        <v>17.637852733163498</v>
      </c>
      <c r="D92" s="3">
        <v>15.4631108271139</v>
      </c>
      <c r="E92" s="3">
        <v>14.113465987575699</v>
      </c>
      <c r="F92" s="3">
        <v>16.010230430923901</v>
      </c>
      <c r="G92" s="3">
        <v>21.0652878438929</v>
      </c>
      <c r="H92" s="3">
        <v>12.563572976905499</v>
      </c>
      <c r="I92" s="3">
        <v>30.870848324487099</v>
      </c>
      <c r="J92" s="3">
        <v>22.900744338825699</v>
      </c>
      <c r="K92" s="3">
        <v>17.151151095480198</v>
      </c>
      <c r="L92" s="3">
        <v>21.874542241694702</v>
      </c>
      <c r="M92" s="3">
        <v>16.079437407693099</v>
      </c>
      <c r="N92" s="3">
        <v>12.2069172441674</v>
      </c>
    </row>
    <row r="93" spans="1:14" x14ac:dyDescent="0.35">
      <c r="A93" s="2">
        <v>44603</v>
      </c>
      <c r="B93" s="3">
        <v>36.833960226324002</v>
      </c>
      <c r="C93" s="3">
        <v>16.114745618012901</v>
      </c>
      <c r="D93" s="3">
        <v>15.702805996948101</v>
      </c>
      <c r="E93" s="3">
        <v>13.354393690856901</v>
      </c>
      <c r="F93" s="3">
        <v>15.411752175885001</v>
      </c>
      <c r="G93" s="3">
        <v>18.684306645798902</v>
      </c>
      <c r="H93" s="3">
        <v>12.8897101201569</v>
      </c>
      <c r="I93" s="3">
        <v>26.918513082126701</v>
      </c>
      <c r="J93" s="3">
        <v>21.061190767777699</v>
      </c>
      <c r="K93" s="3">
        <v>16.118428637424</v>
      </c>
      <c r="L93" s="3">
        <v>20.009613894591698</v>
      </c>
      <c r="M93" s="3">
        <v>12.3356387412845</v>
      </c>
      <c r="N93" s="3">
        <v>11.7749939214889</v>
      </c>
    </row>
    <row r="94" spans="1:14" x14ac:dyDescent="0.35">
      <c r="A94" s="2">
        <v>44631</v>
      </c>
      <c r="B94" s="3">
        <v>35.072985904634997</v>
      </c>
      <c r="C94" s="3">
        <v>15.6568677021589</v>
      </c>
      <c r="D94" s="3">
        <v>15.122545629736701</v>
      </c>
      <c r="E94" s="3">
        <v>12.3681779584845</v>
      </c>
      <c r="F94" s="3">
        <v>14.5151455437849</v>
      </c>
      <c r="G94" s="3">
        <v>18.3477996915388</v>
      </c>
      <c r="H94" s="3">
        <v>12.407786421183699</v>
      </c>
      <c r="I94" s="3">
        <v>26.327299756590499</v>
      </c>
      <c r="J94" s="3">
        <v>20.500497757643</v>
      </c>
      <c r="K94" s="3">
        <v>15.2608608620444</v>
      </c>
      <c r="L94" s="3">
        <v>18.162327039589002</v>
      </c>
      <c r="M94" s="3">
        <v>11.720601284966399</v>
      </c>
      <c r="N94" s="3">
        <v>10.499769005712601</v>
      </c>
    </row>
    <row r="95" spans="1:14" x14ac:dyDescent="0.35">
      <c r="A95" s="2">
        <v>44662</v>
      </c>
      <c r="B95" s="3">
        <v>34.551111915668798</v>
      </c>
      <c r="C95" s="3">
        <v>15.7076326352541</v>
      </c>
      <c r="D95" s="3">
        <v>14.942568247227401</v>
      </c>
      <c r="E95" s="3">
        <v>12.3701007601036</v>
      </c>
      <c r="F95" s="3">
        <v>14.456268184329099</v>
      </c>
      <c r="G95" s="3">
        <v>18.7112642392478</v>
      </c>
      <c r="H95" s="3">
        <v>12.264769785585001</v>
      </c>
      <c r="I95" s="3">
        <v>26.400019526049501</v>
      </c>
      <c r="J95" s="3">
        <v>20.5212392896028</v>
      </c>
      <c r="K95" s="3">
        <v>15.0992720704271</v>
      </c>
      <c r="L95" s="3">
        <v>18.3953214957894</v>
      </c>
      <c r="M95" s="3">
        <v>12.154289707640601</v>
      </c>
      <c r="N95" s="3">
        <v>10.522821639467701</v>
      </c>
    </row>
    <row r="96" spans="1:14" x14ac:dyDescent="0.35">
      <c r="A96" s="2">
        <v>44692</v>
      </c>
      <c r="B96" s="3">
        <v>34.276066739199699</v>
      </c>
      <c r="C96" s="3">
        <v>15.0978516046875</v>
      </c>
      <c r="D96" s="3">
        <v>14.253543996977299</v>
      </c>
      <c r="E96" s="3">
        <v>12.0505522287059</v>
      </c>
      <c r="F96" s="3">
        <v>14.145224041726699</v>
      </c>
      <c r="G96" s="3">
        <v>18.148877955530399</v>
      </c>
      <c r="H96" s="3">
        <v>11.7619494572827</v>
      </c>
      <c r="I96" s="3">
        <v>25.106371771273999</v>
      </c>
      <c r="J96" s="3">
        <v>19.606915928274901</v>
      </c>
      <c r="K96" s="3">
        <v>14.4888399470337</v>
      </c>
      <c r="L96" s="3">
        <v>17.860951319222799</v>
      </c>
      <c r="M96" s="3">
        <v>13.134900478703999</v>
      </c>
      <c r="N96" s="3">
        <v>10.2563673925551</v>
      </c>
    </row>
    <row r="97" spans="1:14" x14ac:dyDescent="0.35">
      <c r="A97" s="2">
        <v>44722</v>
      </c>
      <c r="B97" s="3">
        <v>33.295324649265503</v>
      </c>
      <c r="C97" s="3">
        <v>14.635138294422701</v>
      </c>
      <c r="D97" s="3">
        <v>14.0463034229785</v>
      </c>
      <c r="E97" s="3">
        <v>11.8684936581831</v>
      </c>
      <c r="F97" s="3">
        <v>14.2245688782032</v>
      </c>
      <c r="G97" s="3">
        <v>17.742327155282101</v>
      </c>
      <c r="H97" s="3">
        <v>11.478751117952999</v>
      </c>
      <c r="I97" s="3">
        <v>24.5884922756916</v>
      </c>
      <c r="J97" s="3">
        <v>19.1923119553358</v>
      </c>
      <c r="K97" s="3">
        <v>14.0425128573098</v>
      </c>
      <c r="L97" s="3">
        <v>18.294588909933399</v>
      </c>
      <c r="M97" s="3">
        <v>13.4548493770405</v>
      </c>
      <c r="N97" s="3">
        <v>9.6772776234804496</v>
      </c>
    </row>
    <row r="98" spans="1:14" x14ac:dyDescent="0.35">
      <c r="A98" s="2">
        <v>44753</v>
      </c>
      <c r="B98" s="3">
        <v>32.991773726115703</v>
      </c>
      <c r="C98" s="3">
        <v>13.9968562838986</v>
      </c>
      <c r="D98" s="3">
        <v>13.256474173388799</v>
      </c>
      <c r="E98" s="3">
        <v>11.341738229891099</v>
      </c>
      <c r="F98" s="3">
        <v>13.9318939732331</v>
      </c>
      <c r="G98" s="3">
        <v>17.7259797990964</v>
      </c>
      <c r="H98" s="3">
        <v>10.943126455676101</v>
      </c>
      <c r="I98" s="3">
        <v>24.311018890694999</v>
      </c>
      <c r="J98" s="3">
        <v>18.7702315103821</v>
      </c>
      <c r="K98" s="3">
        <v>13.3518028989883</v>
      </c>
      <c r="L98" s="3">
        <v>18.174725369587499</v>
      </c>
      <c r="M98" s="3">
        <v>13.7585936563479</v>
      </c>
      <c r="N98" s="3">
        <v>9.2641774747207108</v>
      </c>
    </row>
    <row r="99" spans="1:14" x14ac:dyDescent="0.35">
      <c r="A99" s="2">
        <v>44784</v>
      </c>
      <c r="B99" s="3">
        <v>33.455298733390002</v>
      </c>
      <c r="C99" s="3">
        <v>14.6563458012222</v>
      </c>
      <c r="D99" s="3">
        <v>13.2974674080388</v>
      </c>
      <c r="E99" s="3">
        <v>11.2902213577109</v>
      </c>
      <c r="F99" s="3">
        <v>13.874513912424</v>
      </c>
      <c r="G99" s="3">
        <v>18.434725452580601</v>
      </c>
      <c r="H99" s="3">
        <v>10.842860345766899</v>
      </c>
      <c r="I99" s="3">
        <v>26.1119222530561</v>
      </c>
      <c r="J99" s="3">
        <v>19.512218993751201</v>
      </c>
      <c r="K99" s="3">
        <v>13.2761452442878</v>
      </c>
      <c r="L99" s="3">
        <v>19.650135800248702</v>
      </c>
      <c r="M99" s="3">
        <v>14.8196843938864</v>
      </c>
      <c r="N99" s="3">
        <v>8.8924881609970203</v>
      </c>
    </row>
    <row r="100" spans="1:14" x14ac:dyDescent="0.35">
      <c r="A100" s="2">
        <v>44813</v>
      </c>
      <c r="B100" s="3">
        <v>34.322327634276597</v>
      </c>
      <c r="C100" s="3">
        <v>14.1354768250674</v>
      </c>
      <c r="D100" s="3">
        <v>12.9163798040129</v>
      </c>
      <c r="E100" s="3">
        <v>10.8861633542092</v>
      </c>
      <c r="F100" s="3">
        <v>13.764446778748599</v>
      </c>
      <c r="G100" s="3">
        <v>17.9840443064741</v>
      </c>
      <c r="H100" s="3">
        <v>10.264478895724</v>
      </c>
      <c r="I100" s="3">
        <v>25.069481839261801</v>
      </c>
      <c r="J100" s="3">
        <v>18.9155022453883</v>
      </c>
      <c r="K100" s="3">
        <v>12.5202092682736</v>
      </c>
      <c r="L100" s="3">
        <v>18.732643490024799</v>
      </c>
      <c r="M100" s="3">
        <v>14.754993837536601</v>
      </c>
      <c r="N100" s="3">
        <v>8.4789112696545406</v>
      </c>
    </row>
    <row r="101" spans="1:14" x14ac:dyDescent="0.35">
      <c r="A101" s="2">
        <v>44845</v>
      </c>
      <c r="B101" s="3">
        <v>31.419389603838901</v>
      </c>
      <c r="C101" s="3">
        <v>13.2906286691942</v>
      </c>
      <c r="D101" s="3">
        <v>11.931869550575501</v>
      </c>
      <c r="E101" s="3">
        <v>10.023894847256299</v>
      </c>
      <c r="F101" s="3">
        <v>13.0475058319507</v>
      </c>
      <c r="G101" s="3">
        <v>16.7412266473744</v>
      </c>
      <c r="H101" s="3">
        <v>9.3827332413479905</v>
      </c>
      <c r="I101" s="3">
        <v>22.318332531457301</v>
      </c>
      <c r="J101" s="3">
        <v>17.173344311772102</v>
      </c>
      <c r="K101" s="3">
        <v>11.402774729086101</v>
      </c>
      <c r="L101" s="3">
        <v>16.820075544071301</v>
      </c>
      <c r="M101" s="3">
        <v>14.41604817689</v>
      </c>
      <c r="N101" s="3">
        <v>7.9287247942918997</v>
      </c>
    </row>
    <row r="102" spans="1:14" x14ac:dyDescent="0.35">
      <c r="A102" s="2">
        <v>44876</v>
      </c>
      <c r="B102" s="3">
        <v>31.294800957603101</v>
      </c>
      <c r="C102" s="3">
        <v>14.1967677109023</v>
      </c>
      <c r="D102" s="3">
        <v>12.7041396517295</v>
      </c>
      <c r="E102" s="3">
        <v>11.0081201475376</v>
      </c>
      <c r="F102" s="3">
        <v>13.539753874156601</v>
      </c>
      <c r="G102" s="3">
        <v>19.750684915010101</v>
      </c>
      <c r="H102" s="3">
        <v>9.6873200762054701</v>
      </c>
      <c r="I102" s="3">
        <v>23.936888435804299</v>
      </c>
      <c r="J102" s="3">
        <v>18.456939223694398</v>
      </c>
      <c r="K102" s="3">
        <v>12.2316324443377</v>
      </c>
      <c r="L102" s="3">
        <v>18.466703201275301</v>
      </c>
      <c r="M102" s="3">
        <v>14.2778378826689</v>
      </c>
      <c r="N102" s="3">
        <v>8.4650800712173506</v>
      </c>
    </row>
    <row r="103" spans="1:14" x14ac:dyDescent="0.35">
      <c r="A103" s="2">
        <v>44904</v>
      </c>
      <c r="B103" s="3">
        <v>29.533625619538299</v>
      </c>
      <c r="C103" s="3">
        <v>14.291287379939201</v>
      </c>
      <c r="D103" s="3">
        <v>12.537394119697501</v>
      </c>
      <c r="E103" s="3">
        <v>10.830433009428599</v>
      </c>
      <c r="F103" s="3">
        <v>13.3748552408007</v>
      </c>
      <c r="G103" s="3">
        <v>20.350156298493999</v>
      </c>
      <c r="H103" s="3">
        <v>9.8868489869349894</v>
      </c>
      <c r="I103" s="3">
        <v>23.161152756456101</v>
      </c>
      <c r="J103" s="3">
        <v>17.993770934044399</v>
      </c>
      <c r="K103" s="3">
        <v>12.052945544045899</v>
      </c>
      <c r="L103" s="3">
        <v>18.601560982588602</v>
      </c>
      <c r="M103" s="3">
        <v>15.7272486297867</v>
      </c>
      <c r="N103" s="3">
        <v>7.7161479398413499</v>
      </c>
    </row>
    <row r="104" spans="1:14" x14ac:dyDescent="0.35">
      <c r="A104" s="2">
        <v>44937</v>
      </c>
      <c r="B104" s="3">
        <v>29.430977385565001</v>
      </c>
      <c r="C104" s="3">
        <v>14.204294315963701</v>
      </c>
      <c r="D104" s="3">
        <v>12.3898363575325</v>
      </c>
      <c r="E104" s="3">
        <v>11.2840184746858</v>
      </c>
      <c r="F104" s="3">
        <v>12.8774996711906</v>
      </c>
      <c r="G104" s="3">
        <v>21.145482930809401</v>
      </c>
      <c r="H104" s="3">
        <v>9.9833114681898198</v>
      </c>
      <c r="I104" s="3">
        <v>23.628359116915501</v>
      </c>
      <c r="J104" s="3">
        <v>18.009816759365901</v>
      </c>
      <c r="K104" s="3">
        <v>12.3708389397991</v>
      </c>
      <c r="L104" s="3">
        <v>19.3057995135024</v>
      </c>
      <c r="M104" s="3">
        <v>16.618998707831501</v>
      </c>
      <c r="N104" s="3">
        <v>7.9348522047297099</v>
      </c>
    </row>
    <row r="105" spans="1:14" x14ac:dyDescent="0.35">
      <c r="A105" s="2">
        <v>44967</v>
      </c>
      <c r="B105" s="3">
        <v>30.110523204903402</v>
      </c>
      <c r="C105" s="3">
        <v>14.660398601413499</v>
      </c>
      <c r="D105" s="3">
        <v>12.8442552131191</v>
      </c>
      <c r="E105" s="3">
        <v>11.552809884740199</v>
      </c>
      <c r="F105" s="3">
        <v>13.5554160303936</v>
      </c>
      <c r="G105" s="3">
        <v>21.1586703077434</v>
      </c>
      <c r="H105" s="3">
        <v>10.116851755384401</v>
      </c>
      <c r="I105" s="3">
        <v>25.638827004445901</v>
      </c>
      <c r="J105" s="3">
        <v>18.584098753411201</v>
      </c>
      <c r="K105" s="3">
        <v>12.6108939279409</v>
      </c>
      <c r="L105" s="3">
        <v>20.707762537319599</v>
      </c>
      <c r="M105" s="3">
        <v>25.909019594324299</v>
      </c>
      <c r="N105" s="3">
        <v>8.2605335123049404</v>
      </c>
    </row>
    <row r="106" spans="1:14" x14ac:dyDescent="0.35">
      <c r="A106" s="2">
        <v>44995</v>
      </c>
      <c r="B106" s="3">
        <v>29.281977351298899</v>
      </c>
      <c r="C106" s="3">
        <v>14.2048637400215</v>
      </c>
      <c r="D106" s="3">
        <v>12.546110652759401</v>
      </c>
      <c r="E106" s="3">
        <v>11.3525927837404</v>
      </c>
      <c r="F106" s="3">
        <v>13.680716977957699</v>
      </c>
      <c r="G106" s="3">
        <v>20.523771025583201</v>
      </c>
      <c r="H106" s="3">
        <v>10.232138501839</v>
      </c>
      <c r="I106" s="3">
        <v>25.1199688813123</v>
      </c>
      <c r="J106" s="3">
        <v>17.9533947757612</v>
      </c>
      <c r="K106" s="3">
        <v>12.910421625221501</v>
      </c>
      <c r="L106" s="3">
        <v>20.492173846840299</v>
      </c>
      <c r="M106" s="3">
        <v>25.230322906889398</v>
      </c>
      <c r="N106" s="3">
        <v>8.2920659420718703</v>
      </c>
    </row>
    <row r="107" spans="1:14" x14ac:dyDescent="0.35">
      <c r="A107" s="2">
        <v>45027</v>
      </c>
      <c r="B107" s="3">
        <v>28.7393326297613</v>
      </c>
      <c r="C107" s="3">
        <v>14.320335345215399</v>
      </c>
      <c r="D107" s="3">
        <v>12.699864179789699</v>
      </c>
      <c r="E107" s="3">
        <v>11.38976921802</v>
      </c>
      <c r="F107" s="3">
        <v>13.6354496326516</v>
      </c>
      <c r="G107" s="3">
        <v>20.3925097652976</v>
      </c>
      <c r="H107" s="3">
        <v>10.3494950570132</v>
      </c>
      <c r="I107" s="3">
        <v>25.5893968800514</v>
      </c>
      <c r="J107" s="3">
        <v>18.249505405344301</v>
      </c>
      <c r="K107" s="3">
        <v>13.0696098717517</v>
      </c>
      <c r="L107" s="3">
        <v>20.190883430752301</v>
      </c>
      <c r="M107" s="3">
        <v>23.986532872730098</v>
      </c>
      <c r="N107" s="3">
        <v>8.3610144567648206</v>
      </c>
    </row>
    <row r="108" spans="1:14" x14ac:dyDescent="0.35">
      <c r="A108" s="2">
        <v>45057</v>
      </c>
      <c r="B108" s="3">
        <v>28.233435988415302</v>
      </c>
      <c r="C108" s="3">
        <v>14.364726939001301</v>
      </c>
      <c r="D108" s="3">
        <v>12.8245067969054</v>
      </c>
      <c r="E108" s="3">
        <v>11.3311723689046</v>
      </c>
      <c r="F108" s="3">
        <v>13.829465157894001</v>
      </c>
      <c r="G108" s="3">
        <v>20.2033334670339</v>
      </c>
      <c r="H108" s="3">
        <v>10.345533474108599</v>
      </c>
      <c r="I108" s="3">
        <v>25.7729640207031</v>
      </c>
      <c r="J108" s="3">
        <v>18.304530176485599</v>
      </c>
      <c r="K108" s="3">
        <v>13.133421211589299</v>
      </c>
      <c r="L108" s="3">
        <v>19.640756656404701</v>
      </c>
      <c r="M108" s="3">
        <v>22.8162367310882</v>
      </c>
      <c r="N108" s="3">
        <v>8.2764621651199697</v>
      </c>
    </row>
    <row r="109" spans="1:14" x14ac:dyDescent="0.35">
      <c r="A109" s="2">
        <v>45086</v>
      </c>
      <c r="B109" s="3">
        <v>26.476695542162599</v>
      </c>
      <c r="C109" s="3">
        <v>14.382888054159199</v>
      </c>
      <c r="D109" s="3">
        <v>12.8744996703987</v>
      </c>
      <c r="E109" s="3">
        <v>11.232146150223</v>
      </c>
      <c r="F109" s="3">
        <v>14.304200876182099</v>
      </c>
      <c r="G109" s="3">
        <v>19.482153679856399</v>
      </c>
      <c r="H109" s="3">
        <v>10.312195912981601</v>
      </c>
      <c r="I109" s="3">
        <v>26.64713799471</v>
      </c>
      <c r="J109" s="3">
        <v>18.665070870086499</v>
      </c>
      <c r="K109" s="3">
        <v>13.090008223274999</v>
      </c>
      <c r="L109" s="3">
        <v>19.330597866154299</v>
      </c>
      <c r="M109" s="3">
        <v>21.763340898304101</v>
      </c>
      <c r="N109" s="3">
        <v>8.4437226725269099</v>
      </c>
    </row>
    <row r="110" spans="1:14" x14ac:dyDescent="0.35">
      <c r="A110" s="2">
        <v>45118</v>
      </c>
      <c r="B110" s="3">
        <v>25.799401909814101</v>
      </c>
      <c r="C110" s="3">
        <v>14.533455188680101</v>
      </c>
      <c r="D110" s="3">
        <v>13.01905779426</v>
      </c>
      <c r="E110" s="3">
        <v>11.1532649197892</v>
      </c>
      <c r="F110" s="3">
        <v>14.4233598679109</v>
      </c>
      <c r="G110" s="3">
        <v>19.049803697643</v>
      </c>
      <c r="H110" s="3">
        <v>10.2342900373181</v>
      </c>
      <c r="I110" s="3">
        <v>27.326938660184801</v>
      </c>
      <c r="J110" s="3">
        <v>19.210411240425699</v>
      </c>
      <c r="K110" s="3">
        <v>13.1542002656956</v>
      </c>
      <c r="L110" s="3">
        <v>19.002199758435101</v>
      </c>
      <c r="M110" s="3">
        <v>20.3294351719213</v>
      </c>
      <c r="N110" s="3">
        <v>8.5661529341386693</v>
      </c>
    </row>
    <row r="111" spans="1:14" x14ac:dyDescent="0.35">
      <c r="A111" s="2">
        <v>45149</v>
      </c>
      <c r="B111" s="3">
        <v>24.874991764904902</v>
      </c>
      <c r="C111" s="3">
        <v>15.010201799914601</v>
      </c>
      <c r="D111" s="3">
        <v>13.4825825054393</v>
      </c>
      <c r="E111" s="3">
        <v>11.1961324924858</v>
      </c>
      <c r="F111" s="3">
        <v>14.660281933581199</v>
      </c>
      <c r="G111" s="3">
        <v>18.949367158167401</v>
      </c>
      <c r="H111" s="3">
        <v>10.541841579119099</v>
      </c>
      <c r="I111" s="3">
        <v>26.335286601897799</v>
      </c>
      <c r="J111" s="3">
        <v>19.3625547405133</v>
      </c>
      <c r="K111" s="3">
        <v>13.333168460801501</v>
      </c>
      <c r="L111" s="3">
        <v>18.333359119702902</v>
      </c>
      <c r="M111" s="3">
        <v>18.9451671231805</v>
      </c>
      <c r="N111" s="3">
        <v>8.2448394774171891</v>
      </c>
    </row>
    <row r="112" spans="1:14" x14ac:dyDescent="0.35">
      <c r="A112" s="2">
        <v>45180</v>
      </c>
      <c r="B112" s="3">
        <v>24.119067250312</v>
      </c>
      <c r="C112" s="3">
        <v>15.0363833781349</v>
      </c>
      <c r="D112" s="3">
        <v>13.5354771931546</v>
      </c>
      <c r="E112" s="3">
        <v>11.2328222771885</v>
      </c>
      <c r="F112" s="3">
        <v>14.922409470097</v>
      </c>
      <c r="G112" s="3">
        <v>18.619259421176402</v>
      </c>
      <c r="H112" s="3">
        <v>10.5276072269669</v>
      </c>
      <c r="I112" s="3">
        <v>26.804212354754799</v>
      </c>
      <c r="J112" s="3">
        <v>19.561043790404302</v>
      </c>
      <c r="K112" s="3">
        <v>13.2430641051068</v>
      </c>
      <c r="L112" s="3">
        <v>17.397817638709299</v>
      </c>
      <c r="M112" s="3">
        <v>17.553308426595599</v>
      </c>
      <c r="N112" s="3">
        <v>8.3712596759651596</v>
      </c>
    </row>
    <row r="113" spans="1:25" x14ac:dyDescent="0.35">
      <c r="A113" s="2">
        <v>45210</v>
      </c>
      <c r="B113" s="3">
        <v>23.5003573867012</v>
      </c>
      <c r="C113" s="3">
        <v>14.8181841687786</v>
      </c>
      <c r="D113" s="3">
        <v>13.3534632080768</v>
      </c>
      <c r="E113" s="3">
        <v>11.0843263603956</v>
      </c>
      <c r="F113" s="3">
        <v>14.7693548336566</v>
      </c>
      <c r="G113" s="3">
        <v>18.503923041547601</v>
      </c>
      <c r="H113" s="3">
        <v>10.6561984235561</v>
      </c>
      <c r="I113" s="3">
        <v>26.707216321376901</v>
      </c>
      <c r="J113" s="3">
        <v>19.421880931215899</v>
      </c>
      <c r="K113" s="3">
        <v>12.9831512286381</v>
      </c>
      <c r="L113" s="3">
        <v>16.634112519990602</v>
      </c>
      <c r="M113" s="3">
        <v>16.455833580809902</v>
      </c>
      <c r="N113" s="3">
        <v>8.2429865171084309</v>
      </c>
    </row>
    <row r="114" spans="1:25" x14ac:dyDescent="0.35">
      <c r="A114" s="2">
        <v>45240</v>
      </c>
      <c r="B114" s="3">
        <v>22.682577030795599</v>
      </c>
      <c r="C114" s="3">
        <v>14.844325676166299</v>
      </c>
      <c r="D114" s="3">
        <v>13.379936027682801</v>
      </c>
      <c r="E114" s="3">
        <v>10.977035365185399</v>
      </c>
      <c r="F114" s="3">
        <v>14.999364766823399</v>
      </c>
      <c r="G114" s="3">
        <v>17.617186131734499</v>
      </c>
      <c r="H114" s="3">
        <v>10.396429631099499</v>
      </c>
      <c r="I114" s="3">
        <v>26.9993362105463</v>
      </c>
      <c r="J114" s="3">
        <v>19.738079167675799</v>
      </c>
      <c r="K114" s="3">
        <v>12.8845314804823</v>
      </c>
      <c r="L114" s="3">
        <v>16.1277450085766</v>
      </c>
      <c r="M114" s="3">
        <v>15.5916466989067</v>
      </c>
      <c r="N114" s="3">
        <v>8.1110625098612896</v>
      </c>
    </row>
    <row r="115" spans="1:25" x14ac:dyDescent="0.35">
      <c r="A115" s="2">
        <v>45271</v>
      </c>
      <c r="B115" s="3">
        <v>23.457958861834101</v>
      </c>
      <c r="C115" s="3">
        <v>15.3932230374865</v>
      </c>
      <c r="D115" s="3">
        <v>14.021731101908101</v>
      </c>
      <c r="E115" s="3">
        <v>11.9364272239867</v>
      </c>
      <c r="F115" s="3">
        <v>15.1340172205093</v>
      </c>
      <c r="G115" s="3">
        <v>18.2582204846621</v>
      </c>
      <c r="H115" s="3">
        <v>10.911569287529399</v>
      </c>
      <c r="I115" s="3">
        <v>28.1609975307829</v>
      </c>
      <c r="J115" s="3">
        <v>20.775956627442199</v>
      </c>
      <c r="K115" s="3">
        <v>13.916182177298101</v>
      </c>
      <c r="L115" s="3">
        <v>16.679391482078699</v>
      </c>
      <c r="M115" s="3">
        <v>17.896451430605001</v>
      </c>
      <c r="N115" s="3">
        <v>8.8061443629889897</v>
      </c>
    </row>
    <row r="116" spans="1:25" x14ac:dyDescent="0.35">
      <c r="A116" s="2">
        <v>45302</v>
      </c>
      <c r="B116" s="3">
        <v>24.002167398294599</v>
      </c>
      <c r="C116" s="3">
        <v>16.248264321548898</v>
      </c>
      <c r="D116" s="3">
        <v>14.5526046461283</v>
      </c>
      <c r="E116" s="3">
        <v>11.790041231110999</v>
      </c>
      <c r="F116" s="3">
        <v>16.117231083782901</v>
      </c>
      <c r="G116" s="3">
        <v>18.282952342511301</v>
      </c>
      <c r="H116" s="3">
        <v>11.1599931536915</v>
      </c>
      <c r="I116" s="3">
        <v>29.056988760260399</v>
      </c>
      <c r="J116" s="3">
        <v>21.752072145818602</v>
      </c>
      <c r="K116" s="3">
        <v>13.9103011684038</v>
      </c>
      <c r="L116" s="3">
        <v>16.318427097193702</v>
      </c>
      <c r="M116" s="3">
        <v>17.229145052158898</v>
      </c>
      <c r="N116" s="3">
        <v>8.8861426365602991</v>
      </c>
    </row>
    <row r="117" spans="1:25" x14ac:dyDescent="0.35">
      <c r="A117" s="2">
        <v>45331</v>
      </c>
      <c r="B117" s="3">
        <v>23.29424360869</v>
      </c>
      <c r="C117" s="3">
        <v>16.5067742385129</v>
      </c>
      <c r="D117" s="3">
        <v>14.6301487896657</v>
      </c>
      <c r="E117" s="3">
        <v>12.026773450266001</v>
      </c>
      <c r="F117" s="3">
        <v>16.4645883214584</v>
      </c>
      <c r="G117" s="3">
        <v>18.6877126428436</v>
      </c>
      <c r="H117" s="3">
        <v>11.1812844991282</v>
      </c>
      <c r="I117" s="3">
        <v>30.441195907151101</v>
      </c>
      <c r="J117" s="3">
        <v>22.599180406945599</v>
      </c>
      <c r="K117" s="3">
        <v>14.6913277729786</v>
      </c>
      <c r="L117" s="3">
        <v>17.972117801648299</v>
      </c>
      <c r="M117" s="3">
        <v>15.0839530821309</v>
      </c>
      <c r="N117" s="3">
        <v>9.0846110574636008</v>
      </c>
    </row>
    <row r="118" spans="1:25" x14ac:dyDescent="0.35">
      <c r="A118" s="2">
        <v>45362</v>
      </c>
      <c r="B118" s="3">
        <v>23.788477484841</v>
      </c>
      <c r="C118" s="3">
        <v>16.617510344255798</v>
      </c>
      <c r="D118" s="3">
        <v>14.9128755400288</v>
      </c>
      <c r="E118" s="3">
        <v>12.5211736237745</v>
      </c>
      <c r="F118" s="3">
        <v>16.9747502560684</v>
      </c>
      <c r="G118" s="3">
        <v>19.215233081959401</v>
      </c>
      <c r="H118" s="3">
        <v>11.4568607720428</v>
      </c>
      <c r="I118" s="3">
        <v>30.166596762276299</v>
      </c>
      <c r="J118" s="3">
        <v>22.7248516991075</v>
      </c>
      <c r="K118" s="3">
        <v>15.492125374874799</v>
      </c>
      <c r="L118" s="3">
        <v>18.458464772639399</v>
      </c>
      <c r="M118" s="3">
        <v>15.8611778216213</v>
      </c>
      <c r="N118" s="3">
        <v>9.3798521048059698</v>
      </c>
    </row>
    <row r="119" spans="1:25" x14ac:dyDescent="0.35">
      <c r="A119" s="2">
        <v>45393</v>
      </c>
      <c r="B119" s="3">
        <v>24.100086642901601</v>
      </c>
      <c r="C119" s="3">
        <v>16.668486920955001</v>
      </c>
      <c r="D119" s="3">
        <v>14.934410024588701</v>
      </c>
      <c r="E119" s="3">
        <v>12.518797934187401</v>
      </c>
      <c r="F119" s="3">
        <v>16.9435867734082</v>
      </c>
      <c r="G119" s="3">
        <v>18.985503455581402</v>
      </c>
      <c r="H119" s="3">
        <v>11.5266707058761</v>
      </c>
      <c r="I119" s="3">
        <v>29.957401590056701</v>
      </c>
      <c r="J119" s="3">
        <v>22.681366751740001</v>
      </c>
      <c r="K119" s="3">
        <v>15.4202818783835</v>
      </c>
      <c r="L119" s="3">
        <v>18.3602387002142</v>
      </c>
      <c r="M119" s="3">
        <v>15.890391110464099</v>
      </c>
      <c r="N119" s="3">
        <v>9.4135636542927195</v>
      </c>
    </row>
    <row r="120" spans="1:25" x14ac:dyDescent="0.35">
      <c r="A120" s="2">
        <v>45422</v>
      </c>
      <c r="B120" s="3">
        <v>24.444113563850902</v>
      </c>
      <c r="C120" s="3">
        <v>16.6785673828198</v>
      </c>
      <c r="D120" s="3">
        <v>14.983460885666799</v>
      </c>
      <c r="E120" s="3">
        <v>12.620995028375701</v>
      </c>
      <c r="F120" s="3">
        <v>16.740449662213798</v>
      </c>
      <c r="G120" s="3">
        <v>18.8862665224575</v>
      </c>
      <c r="H120" s="3">
        <v>11.760023631117299</v>
      </c>
      <c r="I120" s="3">
        <v>29.617606412500699</v>
      </c>
      <c r="J120" s="3">
        <v>22.5291070286567</v>
      </c>
      <c r="K120" s="3">
        <v>15.5339664753498</v>
      </c>
      <c r="L120" s="3">
        <v>18.268518962730301</v>
      </c>
      <c r="M120" s="3">
        <v>16.109759547626499</v>
      </c>
      <c r="N120" s="3">
        <v>9.5554112344578606</v>
      </c>
    </row>
    <row r="121" spans="1:25" x14ac:dyDescent="0.35">
      <c r="A121" s="2">
        <v>45454</v>
      </c>
      <c r="B121" s="3">
        <v>24.157461833726</v>
      </c>
      <c r="C121" s="3">
        <v>16.764637860227499</v>
      </c>
      <c r="D121" s="3">
        <v>14.8317846094464</v>
      </c>
      <c r="E121" s="3">
        <v>12.501992791480101</v>
      </c>
      <c r="F121" s="3">
        <v>16.758499220020699</v>
      </c>
      <c r="G121" s="3">
        <v>18.868993631385798</v>
      </c>
      <c r="H121" s="3">
        <v>11.631818876990801</v>
      </c>
      <c r="I121" s="3">
        <v>29.881928053030101</v>
      </c>
      <c r="J121" s="3">
        <v>22.627703004292201</v>
      </c>
      <c r="K121" s="3">
        <v>15.1663001223313</v>
      </c>
      <c r="L121" s="3">
        <v>18.465969695903599</v>
      </c>
      <c r="M121" s="3">
        <v>16.051964553674999</v>
      </c>
      <c r="N121" s="3">
        <v>9.5080505929477805</v>
      </c>
    </row>
    <row r="122" spans="1:25" x14ac:dyDescent="0.35">
      <c r="A122" s="2">
        <v>45483</v>
      </c>
      <c r="B122" s="3">
        <v>24.593129910640801</v>
      </c>
      <c r="C122" s="3">
        <v>16.9527341205625</v>
      </c>
      <c r="D122" s="3">
        <v>14.9867463675132</v>
      </c>
      <c r="E122" s="3">
        <v>12.515705833630401</v>
      </c>
      <c r="F122" s="3">
        <v>17.107169725677</v>
      </c>
      <c r="G122" s="3">
        <v>18.777358477117399</v>
      </c>
      <c r="H122" s="3">
        <v>11.6939917925669</v>
      </c>
      <c r="I122" s="3">
        <v>30.476777438568298</v>
      </c>
      <c r="J122" s="3">
        <v>23.1314052317502</v>
      </c>
      <c r="K122" s="3">
        <v>14.938518217303701</v>
      </c>
      <c r="L122" s="3">
        <v>18.516598886624902</v>
      </c>
      <c r="M122" s="3">
        <v>16.052881095398</v>
      </c>
      <c r="N122" s="3">
        <v>9.6330244441920705</v>
      </c>
    </row>
    <row r="124" spans="1:25" x14ac:dyDescent="0.35">
      <c r="A124" s="2" t="s">
        <v>91</v>
      </c>
      <c r="B124" s="3" cm="1">
        <f t="array" ref="B124">MIN(_xlfn._xlws.FILTER(B1:B122, ISNUMBER(B1:B122)))</f>
        <v>17.801663600251398</v>
      </c>
      <c r="C124" s="3" cm="1">
        <f t="array" ref="C124">MIN(_xlfn._xlws.FILTER(C1:C122, ISNUMBER(C1:C122)))</f>
        <v>13.2906286691942</v>
      </c>
      <c r="D124" s="3" cm="1">
        <f t="array" ref="D124">MIN(_xlfn._xlws.FILTER(D1:D122, ISNUMBER(D1:D122)))</f>
        <v>11.931869550575501</v>
      </c>
      <c r="E124" s="3" cm="1">
        <f t="array" ref="E124">MIN(_xlfn._xlws.FILTER(E1:E122, ISNUMBER(E1:E122)))</f>
        <v>10.023894847256299</v>
      </c>
      <c r="F124" s="3" cm="1">
        <f t="array" ref="F124">MIN(_xlfn._xlws.FILTER(F1:F122, ISNUMBER(F1:F122)))</f>
        <v>11.791634012400801</v>
      </c>
      <c r="G124" s="3" cm="1">
        <f t="array" ref="G124">MIN(_xlfn._xlws.FILTER(G1:G122, ISNUMBER(G1:G122)))</f>
        <v>15.755327166834901</v>
      </c>
      <c r="H124" s="3" cm="1">
        <f t="array" ref="H124">MIN(_xlfn._xlws.FILTER(H1:H122, ISNUMBER(H1:H122)))</f>
        <v>9.3827332413479905</v>
      </c>
      <c r="I124" s="3" cm="1">
        <f t="array" ref="I124">MIN(_xlfn._xlws.FILTER(I1:I122, ISNUMBER(I1:I122)))</f>
        <v>17.360061995441399</v>
      </c>
      <c r="J124" s="3" cm="1">
        <f t="array" ref="J124">MIN(_xlfn._xlws.FILTER(J1:J122, ISNUMBER(J1:J122)))</f>
        <v>15.976446953628599</v>
      </c>
      <c r="K124" s="3" cm="1">
        <f t="array" ref="K124">MIN(_xlfn._xlws.FILTER(K1:K122, ISNUMBER(K1:K122)))</f>
        <v>11.402774729086101</v>
      </c>
      <c r="L124" s="3" cm="1">
        <f t="array" ref="L124">MIN(_xlfn._xlws.FILTER(L1:L122, ISNUMBER(L1:L122)))</f>
        <v>14.4969750345718</v>
      </c>
      <c r="M124" s="3" cm="1">
        <f t="array" ref="M124">MIN(_xlfn._xlws.FILTER(M1:M122, ISNUMBER(M1:M122)))</f>
        <v>11.720601284966399</v>
      </c>
      <c r="N124" s="3" cm="1">
        <f t="array" ref="N124">MIN(_xlfn._xlws.FILTER(N1:N122, ISNUMBER(N1:N122)))</f>
        <v>7.7161479398413499</v>
      </c>
    </row>
    <row r="125" spans="1:25" x14ac:dyDescent="0.35">
      <c r="A125" s="2" t="s">
        <v>92</v>
      </c>
      <c r="B125" s="3" cm="1">
        <f t="array" ref="B125">MAX(_xlfn._xlws.FILTER(B1:B122, ISNUMBER(B1:B122)))</f>
        <v>39.306031645682303</v>
      </c>
      <c r="C125" s="3" cm="1">
        <f t="array" ref="C125">MAX(_xlfn._xlws.FILTER(C1:C122, ISNUMBER(C1:C122)))</f>
        <v>23.341242684214901</v>
      </c>
      <c r="D125" s="3" cm="1">
        <f t="array" ref="D125">MAX(_xlfn._xlws.FILTER(D1:D122, ISNUMBER(D1:D122)))</f>
        <v>21.201369143818699</v>
      </c>
      <c r="E125" s="3" cm="1">
        <f t="array" ref="E125">MAX(_xlfn._xlws.FILTER(E1:E122, ISNUMBER(E1:E122)))</f>
        <v>22.1236907955054</v>
      </c>
      <c r="F125" s="3" cm="1">
        <f t="array" ref="F125">MAX(_xlfn._xlws.FILTER(F1:F122, ISNUMBER(F1:F122)))</f>
        <v>23.989511838037501</v>
      </c>
      <c r="G125" s="3" cm="1">
        <f t="array" ref="G125">MAX(_xlfn._xlws.FILTER(G1:G122, ISNUMBER(G1:G122)))</f>
        <v>22.0515718137131</v>
      </c>
      <c r="H125" s="3" cm="1">
        <f t="array" ref="H125">MAX(_xlfn._xlws.FILTER(H1:H122, ISNUMBER(H1:H122)))</f>
        <v>20.300696223787199</v>
      </c>
      <c r="I125" s="3" cm="1">
        <f t="array" ref="I125">MAX(_xlfn._xlws.FILTER(I1:I122, ISNUMBER(I1:I122)))</f>
        <v>35.403501199736098</v>
      </c>
      <c r="J125" s="3" cm="1">
        <f t="array" ref="J125">MAX(_xlfn._xlws.FILTER(J1:J122, ISNUMBER(J1:J122)))</f>
        <v>27.535301267792399</v>
      </c>
      <c r="K125" s="3" cm="1">
        <f t="array" ref="K125">MAX(_xlfn._xlws.FILTER(K1:K122, ISNUMBER(K1:K122)))</f>
        <v>29.084060916432001</v>
      </c>
      <c r="L125" s="3" cm="1">
        <f t="array" ref="L125">MAX(_xlfn._xlws.FILTER(L1:L122, ISNUMBER(L1:L122)))</f>
        <v>30.009191527788602</v>
      </c>
      <c r="M125" s="3" cm="1">
        <f t="array" ref="M125">MAX(_xlfn._xlws.FILTER(M1:M122, ISNUMBER(M1:M122)))</f>
        <v>25.909019594324299</v>
      </c>
      <c r="N125" s="3" cm="1">
        <f t="array" ref="N125">MAX(_xlfn._xlws.FILTER(N1:N122, ISNUMBER(N1:N122)))</f>
        <v>83.693688577698495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0.54900000000000004</v>
      </c>
      <c r="C127" s="9" cm="1">
        <f t="array" ref="C127">_xlfn.PERCENTRANK.EXC(_xlfn._xlws.FILTER(C1:C122, ISNUMBER(C1:C122)),C121)</f>
        <v>0.68</v>
      </c>
      <c r="D127" s="9" cm="1">
        <f t="array" ref="D127">_xlfn.PERCENTRANK.EXC(_xlfn._xlws.FILTER(D1:D122, ISNUMBER(D1:D122)),D121)</f>
        <v>0.31900000000000001</v>
      </c>
      <c r="E127" s="9" cm="1">
        <f t="array" ref="E127">_xlfn.PERCENTRANK.EXC(_xlfn._xlws.FILTER(E1:E122, ISNUMBER(E1:E122)),E121)</f>
        <v>0.22900000000000001</v>
      </c>
      <c r="F127" s="9" cm="1">
        <f t="array" ref="F127">_xlfn.PERCENTRANK.EXC(_xlfn._xlws.FILTER(F1:F122, ISNUMBER(F1:F122)),F121)</f>
        <v>0.77800000000000002</v>
      </c>
      <c r="G127" s="9" cm="1">
        <f t="array" ref="G127">_xlfn.PERCENTRANK.EXC(_xlfn._xlws.FILTER(G1:G122, ISNUMBER(G1:G122)),G121)</f>
        <v>0.54900000000000004</v>
      </c>
      <c r="H127" s="9" cm="1">
        <f t="array" ref="H127">_xlfn.PERCENTRANK.EXC(_xlfn._xlws.FILTER(H1:H122, ISNUMBER(H1:H122)),H121)</f>
        <v>0.19600000000000001</v>
      </c>
      <c r="I127" s="9" cm="1">
        <f t="array" ref="I127">_xlfn.PERCENTRANK.EXC(_xlfn._xlws.FILTER(I1:I122, ISNUMBER(I1:I122)),I121)</f>
        <v>0.82699999999999996</v>
      </c>
      <c r="J127" s="9" cm="1">
        <f t="array" ref="J127">_xlfn.PERCENTRANK.EXC(_xlfn._xlws.FILTER(J1:J122, ISNUMBER(J1:J122)),J121)</f>
        <v>0.82699999999999996</v>
      </c>
      <c r="K127" s="9" cm="1">
        <f t="array" ref="K127">_xlfn.PERCENTRANK.EXC(_xlfn._xlws.FILTER(K1:K122, ISNUMBER(K1:K122)),K121)</f>
        <v>0.45900000000000002</v>
      </c>
      <c r="L127" s="9" cm="1">
        <f t="array" ref="L127">_xlfn.PERCENTRANK.EXC(_xlfn._xlws.FILTER(L1:L122, ISNUMBER(L1:L122)),L121)</f>
        <v>0.64700000000000002</v>
      </c>
      <c r="M127" s="9" cm="1">
        <f t="array" ref="M127">_xlfn.PERCENTRANK.EXC(_xlfn._xlws.FILTER(M1:M122, ISNUMBER(M1:M122)),M121)</f>
        <v>0.311</v>
      </c>
      <c r="N127" s="9" cm="1">
        <f t="array" ref="N127">_xlfn.PERCENTRANK.EXC(_xlfn._xlws.FILTER(N1:N122, ISNUMBER(N1:N122)),N121)</f>
        <v>0.188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41831</v>
      </c>
      <c r="B2" s="3" cm="1">
        <f t="array" ref="B2:B122">_xll.FDS(B1,"FMA_PE(NTMA,-10AY,0,AM,""PORTAGG"",""MEANR"")")</f>
        <v>17.104599473607799</v>
      </c>
      <c r="C2" s="3" cm="1">
        <f t="array" ref="C2:C122">_xll.FDS(C1,"FMA_PE(NTMA,-10AY,0,AM,""PORTAGG"",""MEANR"")")</f>
        <v>14.634583411235599</v>
      </c>
      <c r="D2" s="3" cm="1">
        <f t="array" ref="D2:D122">_xll.FDS(D1,"FMA_PE(NTMA,-10AY,0,AM,""PORTAGG"",""MEANR"")")</f>
        <v>14.999089709596101</v>
      </c>
      <c r="E2" s="3" cm="1">
        <f t="array" ref="E2:E122">_xll.FDS(E1,"FMA_PE(NTMA,-10AY,0,AM,""PORTAGG"",""MEANR"")")</f>
        <v>12.842789239977</v>
      </c>
      <c r="F2" s="3" cm="1">
        <f t="array" ref="F2:F122">_xll.FDS(F1,"FMA_PE(NTMA,-10AY,0,AM,""PORTAGG"",""MEANR"")")</f>
        <v>13.626301398241401</v>
      </c>
      <c r="G2" s="3" cm="1">
        <f t="array" ref="G2:G122">_xll.FDS(G1,"FMA_PE(NTMA,-10AY,0,AM,""PORTAGG"",""MEANR"")")</f>
        <v>15.8759194942779</v>
      </c>
      <c r="H2" s="3" cm="1">
        <f t="array" ref="H2:H122">_xll.FDS(H1,"FMA_PE(NTMA,-10AY,0,AM,""PORTAGG"",""MEANR"")")</f>
        <v>13.4705476197054</v>
      </c>
      <c r="I2" s="3" cm="1">
        <f t="array" ref="I2:I122">_xll.FDS(I1,"FMA_PE(NTMA,-10AY,0,AM,""PORTAGG"",""MEANR"")")</f>
        <v>17.611067068309101</v>
      </c>
      <c r="J2" s="3" cm="1">
        <f t="array" ref="J2:J122">_xll.FDS(J1,"FMA_PE(NTMA,-10AY,0,AM,""PORTAGG"",""MEANR"")")</f>
        <v>15.3433437721194</v>
      </c>
      <c r="K2" s="3" cm="1">
        <f t="array" ref="K2:K122">_xll.FDS(K1,"FMA_PE(NTMA,-10AY,0,AM,""PORTAGG"",""MEANR"")")</f>
        <v>13.588114167799599</v>
      </c>
      <c r="L2" s="3" cm="1">
        <f t="array" ref="L2:L122">_xll.FDS(L1,"FMA_PE(NTMA,-10AY,0,AM,""PORTAGG"",""MEANR"")")</f>
        <v>14.0701072000707</v>
      </c>
      <c r="M2" s="3" cm="1">
        <f t="array" ref="M2:M122">_xll.FDS(M1,"FMA_PE(NTMA,-10AY,0,AM,""PORTAGG"",""MEANR"")")</f>
        <v>15.2762404082585</v>
      </c>
      <c r="N2" s="3" cm="1">
        <f t="array" ref="N2:N122">_xll.FDS(N1,"FMA_PE(NTMA,-10AY,0,AM,""PORTAGG"",""MEANR"")")</f>
        <v>13.8617157517757</v>
      </c>
    </row>
    <row r="3" spans="1:14" x14ac:dyDescent="0.35">
      <c r="A3" s="2">
        <v>41862</v>
      </c>
      <c r="B3" s="3">
        <v>16.834209035957301</v>
      </c>
      <c r="C3" s="3">
        <v>14.4824954408226</v>
      </c>
      <c r="D3" s="3">
        <v>14.9275366338774</v>
      </c>
      <c r="E3" s="3">
        <v>12.2608350206265</v>
      </c>
      <c r="F3" s="3">
        <v>13.436295766999301</v>
      </c>
      <c r="G3" s="3">
        <v>15.6850965645641</v>
      </c>
      <c r="H3" s="3">
        <v>13.288946583881399</v>
      </c>
      <c r="I3" s="3">
        <v>17.232698838315098</v>
      </c>
      <c r="J3" s="3">
        <v>14.911178096053</v>
      </c>
      <c r="K3" s="3">
        <v>13.203470159929701</v>
      </c>
      <c r="L3" s="3">
        <v>13.812391956606501</v>
      </c>
      <c r="M3" s="3">
        <v>15.120042761399599</v>
      </c>
      <c r="N3" s="3">
        <v>13.0501676734161</v>
      </c>
    </row>
    <row r="4" spans="1:14" x14ac:dyDescent="0.35">
      <c r="A4" s="2">
        <v>41893</v>
      </c>
      <c r="B4" s="3">
        <v>17.332820441001399</v>
      </c>
      <c r="C4" s="3">
        <v>14.6519973626464</v>
      </c>
      <c r="D4" s="3">
        <v>15.1253873944008</v>
      </c>
      <c r="E4" s="3">
        <v>12.8097101702167</v>
      </c>
      <c r="F4" s="3">
        <v>13.910954889313899</v>
      </c>
      <c r="G4" s="3">
        <v>16.199620224247301</v>
      </c>
      <c r="H4" s="3">
        <v>13.3706986723975</v>
      </c>
      <c r="I4" s="3">
        <v>17.790403863959099</v>
      </c>
      <c r="J4" s="3">
        <v>15.270087137268799</v>
      </c>
      <c r="K4" s="3">
        <v>13.7605765986515</v>
      </c>
      <c r="L4" s="3">
        <v>14.6303597529757</v>
      </c>
      <c r="M4" s="3">
        <v>14.613659192772401</v>
      </c>
      <c r="N4" s="3">
        <v>14.075993161282501</v>
      </c>
    </row>
    <row r="5" spans="1:14" x14ac:dyDescent="0.35">
      <c r="A5" s="2">
        <v>41922</v>
      </c>
      <c r="B5" s="3">
        <v>17.079922742082999</v>
      </c>
      <c r="C5" s="3">
        <v>13.640520379406899</v>
      </c>
      <c r="D5" s="3">
        <v>13.756697344018299</v>
      </c>
      <c r="E5" s="3">
        <v>11.6096709554332</v>
      </c>
      <c r="F5" s="3">
        <v>13.1596564540028</v>
      </c>
      <c r="G5" s="3">
        <v>15.1180215919904</v>
      </c>
      <c r="H5" s="3">
        <v>12.506996740650401</v>
      </c>
      <c r="I5" s="3">
        <v>16.590143960872499</v>
      </c>
      <c r="J5" s="3">
        <v>14.5264828399597</v>
      </c>
      <c r="K5" s="3">
        <v>12.6193460181865</v>
      </c>
      <c r="L5" s="3">
        <v>13.8188359071062</v>
      </c>
      <c r="M5" s="3">
        <v>13.574358497269699</v>
      </c>
      <c r="N5" s="3">
        <v>12.515040725635499</v>
      </c>
    </row>
    <row r="6" spans="1:14" x14ac:dyDescent="0.35">
      <c r="A6" s="2">
        <v>41954</v>
      </c>
      <c r="B6" s="3">
        <v>18.191747917382902</v>
      </c>
      <c r="C6" s="3">
        <v>14.5153528099667</v>
      </c>
      <c r="D6" s="3">
        <v>14.5445853863277</v>
      </c>
      <c r="E6" s="3">
        <v>12.351012542325901</v>
      </c>
      <c r="F6" s="3">
        <v>14.4133810712487</v>
      </c>
      <c r="G6" s="3">
        <v>16.017169938659499</v>
      </c>
      <c r="H6" s="3">
        <v>13.3917479464262</v>
      </c>
      <c r="I6" s="3">
        <v>17.7946329147507</v>
      </c>
      <c r="J6" s="3">
        <v>15.629654253249001</v>
      </c>
      <c r="K6" s="3">
        <v>13.2773254318945</v>
      </c>
      <c r="L6" s="3">
        <v>14.7337717604417</v>
      </c>
      <c r="M6" s="3">
        <v>15.4067685165563</v>
      </c>
      <c r="N6" s="3">
        <v>12.6794841454221</v>
      </c>
    </row>
    <row r="7" spans="1:14" x14ac:dyDescent="0.35">
      <c r="A7" s="2">
        <v>41984</v>
      </c>
      <c r="B7" s="3">
        <v>17.962098875325001</v>
      </c>
      <c r="C7" s="3">
        <v>13.8229396404654</v>
      </c>
      <c r="D7" s="3">
        <v>14.357763242894499</v>
      </c>
      <c r="E7" s="3">
        <v>12.949184231844001</v>
      </c>
      <c r="F7" s="3">
        <v>14.222929110902999</v>
      </c>
      <c r="G7" s="3">
        <v>15.8844671221898</v>
      </c>
      <c r="H7" s="3">
        <v>13.528226612622801</v>
      </c>
      <c r="I7" s="3">
        <v>17.7956949581197</v>
      </c>
      <c r="J7" s="3">
        <v>15.6943080585517</v>
      </c>
      <c r="K7" s="3">
        <v>13.5775812964051</v>
      </c>
      <c r="L7" s="3">
        <v>14.8608766344374</v>
      </c>
      <c r="M7" s="3">
        <v>15.5779463083836</v>
      </c>
      <c r="N7" s="3">
        <v>12.5771436691365</v>
      </c>
    </row>
    <row r="8" spans="1:14" x14ac:dyDescent="0.35">
      <c r="A8" s="2">
        <v>42013</v>
      </c>
      <c r="B8" s="3">
        <v>18.425153265231799</v>
      </c>
      <c r="C8" s="3">
        <v>14.7910246106693</v>
      </c>
      <c r="D8" s="3">
        <v>15.314983069742899</v>
      </c>
      <c r="E8" s="3">
        <v>12.6855910791261</v>
      </c>
      <c r="F8" s="3">
        <v>13.922453698624601</v>
      </c>
      <c r="G8" s="3">
        <v>15.756515836934099</v>
      </c>
      <c r="H8" s="3">
        <v>13.6574947514962</v>
      </c>
      <c r="I8" s="3">
        <v>17.305556239870899</v>
      </c>
      <c r="J8" s="3">
        <v>16.0157856576161</v>
      </c>
      <c r="K8" s="3">
        <v>13.5183553642329</v>
      </c>
      <c r="L8" s="3">
        <v>14.594353983902</v>
      </c>
      <c r="M8" s="3">
        <v>15.4187242794354</v>
      </c>
      <c r="N8" s="3">
        <v>11.756665961575999</v>
      </c>
    </row>
    <row r="9" spans="1:14" x14ac:dyDescent="0.35">
      <c r="A9" s="2">
        <v>42046</v>
      </c>
      <c r="B9" s="3">
        <v>19.102638488416101</v>
      </c>
      <c r="C9" s="3">
        <v>15.7533452056629</v>
      </c>
      <c r="D9" s="3">
        <v>17.242852979671</v>
      </c>
      <c r="E9" s="3">
        <v>14.0071864268729</v>
      </c>
      <c r="F9" s="3">
        <v>14.170991455079299</v>
      </c>
      <c r="G9" s="3">
        <v>16.768840558576802</v>
      </c>
      <c r="H9" s="3">
        <v>15.336208644109</v>
      </c>
      <c r="I9" s="3">
        <v>17.527667026957499</v>
      </c>
      <c r="J9" s="3">
        <v>16.627058798884399</v>
      </c>
      <c r="K9" s="3">
        <v>15.5465980907725</v>
      </c>
      <c r="L9" s="3">
        <v>15.8929376378321</v>
      </c>
      <c r="M9" s="3">
        <v>16.298873437850901</v>
      </c>
      <c r="N9" s="3">
        <v>14.097001353956999</v>
      </c>
    </row>
    <row r="10" spans="1:14" x14ac:dyDescent="0.35">
      <c r="A10" s="2">
        <v>42074</v>
      </c>
      <c r="B10" s="3">
        <v>19.0889007357545</v>
      </c>
      <c r="C10" s="3">
        <v>15.8074675603033</v>
      </c>
      <c r="D10" s="3">
        <v>16.894706940950002</v>
      </c>
      <c r="E10" s="3">
        <v>15.3035799927152</v>
      </c>
      <c r="F10" s="3">
        <v>15.0933031416665</v>
      </c>
      <c r="G10" s="3">
        <v>17.430784293927399</v>
      </c>
      <c r="H10" s="3">
        <v>15.1335206255697</v>
      </c>
      <c r="I10" s="3">
        <v>17.4826444052859</v>
      </c>
      <c r="J10" s="3">
        <v>16.3545738307633</v>
      </c>
      <c r="K10" s="3">
        <v>16.4012653524154</v>
      </c>
      <c r="L10" s="3">
        <v>17.451439233474002</v>
      </c>
      <c r="M10" s="3">
        <v>17.095716747103101</v>
      </c>
      <c r="N10" s="3">
        <v>15.6873068172108</v>
      </c>
    </row>
    <row r="11" spans="1:14" x14ac:dyDescent="0.35">
      <c r="A11" s="2">
        <v>42104</v>
      </c>
      <c r="B11" s="3">
        <v>18.401874526003201</v>
      </c>
      <c r="C11" s="3">
        <v>16.583015198882499</v>
      </c>
      <c r="D11" s="3">
        <v>17.3889493103798</v>
      </c>
      <c r="E11" s="3">
        <v>15.90603691566</v>
      </c>
      <c r="F11" s="3">
        <v>15.6172877626872</v>
      </c>
      <c r="G11" s="3">
        <v>18.287365841318898</v>
      </c>
      <c r="H11" s="3">
        <v>16.080304276995498</v>
      </c>
      <c r="I11" s="3">
        <v>17.9983431695291</v>
      </c>
      <c r="J11" s="3">
        <v>16.750617980344799</v>
      </c>
      <c r="K11" s="3">
        <v>17.1212684363433</v>
      </c>
      <c r="L11" s="3">
        <v>17.799055538552899</v>
      </c>
      <c r="M11" s="3">
        <v>17.103165084414901</v>
      </c>
      <c r="N11" s="3">
        <v>16.238930682903199</v>
      </c>
    </row>
    <row r="12" spans="1:14" x14ac:dyDescent="0.35">
      <c r="A12" s="2">
        <v>42135</v>
      </c>
      <c r="B12" s="3">
        <v>18.291521688372502</v>
      </c>
      <c r="C12" s="3">
        <v>15.7693163286506</v>
      </c>
      <c r="D12" s="3">
        <v>16.933720739617002</v>
      </c>
      <c r="E12" s="3">
        <v>14.5938137322233</v>
      </c>
      <c r="F12" s="3">
        <v>15.8649527554514</v>
      </c>
      <c r="G12" s="3">
        <v>17.58207468929</v>
      </c>
      <c r="H12" s="3">
        <v>16.247935620918799</v>
      </c>
      <c r="I12" s="3">
        <v>17.829595899981701</v>
      </c>
      <c r="J12" s="3">
        <v>16.6242589328258</v>
      </c>
      <c r="K12" s="3">
        <v>16.252362895652301</v>
      </c>
      <c r="L12" s="3">
        <v>16.994371350245199</v>
      </c>
      <c r="M12" s="3">
        <v>15.459893602036701</v>
      </c>
      <c r="N12" s="3">
        <v>15.849683704831399</v>
      </c>
    </row>
    <row r="13" spans="1:14" x14ac:dyDescent="0.35">
      <c r="A13" s="2">
        <v>42166</v>
      </c>
      <c r="B13" s="3">
        <v>18.266485641263699</v>
      </c>
      <c r="C13" s="3">
        <v>15.3122804398733</v>
      </c>
      <c r="D13" s="3">
        <v>16.327797957145201</v>
      </c>
      <c r="E13" s="3">
        <v>13.9054443079359</v>
      </c>
      <c r="F13" s="3">
        <v>15.8944301363612</v>
      </c>
      <c r="G13" s="3">
        <v>17.450772212449699</v>
      </c>
      <c r="H13" s="3">
        <v>15.715969769033499</v>
      </c>
      <c r="I13" s="3">
        <v>17.900455092277799</v>
      </c>
      <c r="J13" s="3">
        <v>16.506397022640801</v>
      </c>
      <c r="K13" s="3">
        <v>15.939695531496</v>
      </c>
      <c r="L13" s="3">
        <v>16.606450956846999</v>
      </c>
      <c r="M13" s="3">
        <v>15.996486433288201</v>
      </c>
      <c r="N13" s="3">
        <v>15.398033552802101</v>
      </c>
    </row>
    <row r="14" spans="1:14" x14ac:dyDescent="0.35">
      <c r="A14" s="2">
        <v>42195</v>
      </c>
      <c r="B14" s="3">
        <v>17.805612125920199</v>
      </c>
      <c r="C14" s="3">
        <v>15.1095200696876</v>
      </c>
      <c r="D14" s="3">
        <v>15.650755207904499</v>
      </c>
      <c r="E14" s="3">
        <v>13.7483321944471</v>
      </c>
      <c r="F14" s="3">
        <v>14.9094105664143</v>
      </c>
      <c r="G14" s="3">
        <v>17.3141890608346</v>
      </c>
      <c r="H14" s="3">
        <v>15.2118083680274</v>
      </c>
      <c r="I14" s="3">
        <v>17.511051871763001</v>
      </c>
      <c r="J14" s="3">
        <v>16.184584271081899</v>
      </c>
      <c r="K14" s="3">
        <v>15.502702290150401</v>
      </c>
      <c r="L14" s="3">
        <v>16.449163423840901</v>
      </c>
      <c r="M14" s="3">
        <v>15.902158617015299</v>
      </c>
      <c r="N14" s="3">
        <v>14.977426109166201</v>
      </c>
    </row>
    <row r="15" spans="1:14" x14ac:dyDescent="0.35">
      <c r="A15" s="2">
        <v>42227</v>
      </c>
      <c r="B15" s="3">
        <v>18.0702673860077</v>
      </c>
      <c r="C15" s="3">
        <v>15.1347073694528</v>
      </c>
      <c r="D15" s="3">
        <v>15.5731427351293</v>
      </c>
      <c r="E15" s="3">
        <v>13.632640015787899</v>
      </c>
      <c r="F15" s="3">
        <v>15.690743455700201</v>
      </c>
      <c r="G15" s="3">
        <v>17.532974826151602</v>
      </c>
      <c r="H15" s="3">
        <v>15.3723210295655</v>
      </c>
      <c r="I15" s="3">
        <v>18.295257726721999</v>
      </c>
      <c r="J15" s="3">
        <v>16.2621647863037</v>
      </c>
      <c r="K15" s="3">
        <v>15.706054636652199</v>
      </c>
      <c r="L15" s="3">
        <v>16.629381347608302</v>
      </c>
      <c r="M15" s="3">
        <v>16.142034083653002</v>
      </c>
      <c r="N15" s="3">
        <v>15.594321332886899</v>
      </c>
    </row>
    <row r="16" spans="1:14" x14ac:dyDescent="0.35">
      <c r="A16" s="2">
        <v>42258</v>
      </c>
      <c r="B16" s="3">
        <v>17.321012404112398</v>
      </c>
      <c r="C16" s="3">
        <v>14.302800692076501</v>
      </c>
      <c r="D16" s="3">
        <v>14.6495285211832</v>
      </c>
      <c r="E16" s="3">
        <v>12.272080495621401</v>
      </c>
      <c r="F16" s="3">
        <v>13.6481190642019</v>
      </c>
      <c r="G16" s="3">
        <v>16.438363475601101</v>
      </c>
      <c r="H16" s="3">
        <v>14.325634596936</v>
      </c>
      <c r="I16" s="3">
        <v>17.422084545231002</v>
      </c>
      <c r="J16" s="3">
        <v>15.2817631966567</v>
      </c>
      <c r="K16" s="3">
        <v>14.1123860445249</v>
      </c>
      <c r="L16" s="3">
        <v>14.559729005272001</v>
      </c>
      <c r="M16" s="3">
        <v>14.810978363045299</v>
      </c>
      <c r="N16" s="3">
        <v>14.3746031426826</v>
      </c>
    </row>
    <row r="17" spans="1:14" x14ac:dyDescent="0.35">
      <c r="A17" s="2">
        <v>42286</v>
      </c>
      <c r="B17" s="3">
        <v>17.031612061579601</v>
      </c>
      <c r="C17" s="3">
        <v>15.1554685743865</v>
      </c>
      <c r="D17" s="3">
        <v>15.217111641436301</v>
      </c>
      <c r="E17" s="3">
        <v>12.411436294847601</v>
      </c>
      <c r="F17" s="3">
        <v>14.0086136298185</v>
      </c>
      <c r="G17" s="3">
        <v>16.514842923924299</v>
      </c>
      <c r="H17" s="3">
        <v>15.3093024904814</v>
      </c>
      <c r="I17" s="3">
        <v>17.575455015094299</v>
      </c>
      <c r="J17" s="3">
        <v>15.7512636421626</v>
      </c>
      <c r="K17" s="3">
        <v>14.6264557862971</v>
      </c>
      <c r="L17" s="3">
        <v>14.864067789783499</v>
      </c>
      <c r="M17" s="3">
        <v>15.076400971001901</v>
      </c>
      <c r="N17" s="3">
        <v>14.597173581211599</v>
      </c>
    </row>
    <row r="18" spans="1:14" x14ac:dyDescent="0.35">
      <c r="A18" s="2">
        <v>42319</v>
      </c>
      <c r="B18" s="3">
        <v>18.004283830298998</v>
      </c>
      <c r="C18" s="3">
        <v>14.7288041770361</v>
      </c>
      <c r="D18" s="3">
        <v>14.5905254796864</v>
      </c>
      <c r="E18" s="3">
        <v>13.5167808945896</v>
      </c>
      <c r="F18" s="3">
        <v>14.7293037420449</v>
      </c>
      <c r="G18" s="3">
        <v>16.9195713641884</v>
      </c>
      <c r="H18" s="3">
        <v>15.2086428510713</v>
      </c>
      <c r="I18" s="3">
        <v>18.588817776427302</v>
      </c>
      <c r="J18" s="3">
        <v>16.266071793900199</v>
      </c>
      <c r="K18" s="3">
        <v>15.3558216511101</v>
      </c>
      <c r="L18" s="3">
        <v>16.326053300659101</v>
      </c>
      <c r="M18" s="3">
        <v>15.527181313019801</v>
      </c>
      <c r="N18" s="3">
        <v>14.8171529052627</v>
      </c>
    </row>
    <row r="19" spans="1:14" x14ac:dyDescent="0.35">
      <c r="A19" s="2">
        <v>42349</v>
      </c>
      <c r="B19" s="3">
        <v>18.072781372492699</v>
      </c>
      <c r="C19" s="3">
        <v>14.7746093515713</v>
      </c>
      <c r="D19" s="3">
        <v>13.9753990109654</v>
      </c>
      <c r="E19" s="3">
        <v>12.9023751221756</v>
      </c>
      <c r="F19" s="3">
        <v>14.1751031803682</v>
      </c>
      <c r="G19" s="3">
        <v>16.362903978108498</v>
      </c>
      <c r="H19" s="3">
        <v>14.5504639555129</v>
      </c>
      <c r="I19" s="3">
        <v>18.1011851659073</v>
      </c>
      <c r="J19" s="3">
        <v>15.7300489831403</v>
      </c>
      <c r="K19" s="3">
        <v>14.2868704415095</v>
      </c>
      <c r="L19" s="3">
        <v>15.2061614074946</v>
      </c>
      <c r="M19" s="3">
        <v>14.455218149881899</v>
      </c>
      <c r="N19" s="3">
        <v>13.899697213056101</v>
      </c>
    </row>
    <row r="20" spans="1:14" x14ac:dyDescent="0.35">
      <c r="A20" s="2">
        <v>42380</v>
      </c>
      <c r="B20" s="3">
        <v>17.5835165878356</v>
      </c>
      <c r="C20" s="3">
        <v>14.651498770841799</v>
      </c>
      <c r="D20" s="3">
        <v>13.429947166069301</v>
      </c>
      <c r="E20" s="3">
        <v>12.161826660102401</v>
      </c>
      <c r="F20" s="3">
        <v>13.096959716825401</v>
      </c>
      <c r="G20" s="3">
        <v>15.8714021057983</v>
      </c>
      <c r="H20" s="3">
        <v>14.4149357757584</v>
      </c>
      <c r="I20" s="3">
        <v>17.207371393548801</v>
      </c>
      <c r="J20" s="3">
        <v>15.0965716788976</v>
      </c>
      <c r="K20" s="3">
        <v>13.6063345345065</v>
      </c>
      <c r="L20" s="3">
        <v>14.410949356219501</v>
      </c>
      <c r="M20" s="3">
        <v>14.0184570305259</v>
      </c>
      <c r="N20" s="3">
        <v>13.320868564344201</v>
      </c>
    </row>
    <row r="21" spans="1:14" x14ac:dyDescent="0.35">
      <c r="A21" s="2">
        <v>42411</v>
      </c>
      <c r="B21" s="3">
        <v>16.86631790205</v>
      </c>
      <c r="C21" s="3">
        <v>14.757898499176299</v>
      </c>
      <c r="D21" s="3">
        <v>13.8540433656348</v>
      </c>
      <c r="E21" s="3">
        <v>11.100026615974</v>
      </c>
      <c r="F21" s="3">
        <v>11.6158565025075</v>
      </c>
      <c r="G21" s="3">
        <v>15.343807823222299</v>
      </c>
      <c r="H21" s="3">
        <v>14.345943354490201</v>
      </c>
      <c r="I21" s="3">
        <v>16.016312574444498</v>
      </c>
      <c r="J21" s="3">
        <v>15.5099438140132</v>
      </c>
      <c r="K21" s="3">
        <v>12.757815792003401</v>
      </c>
      <c r="L21" s="3">
        <v>13.3741320426759</v>
      </c>
      <c r="M21" s="3">
        <v>13.764219185379</v>
      </c>
      <c r="N21" s="3">
        <v>11.3227524659391</v>
      </c>
    </row>
    <row r="22" spans="1:14" x14ac:dyDescent="0.35">
      <c r="A22" s="2">
        <v>42440</v>
      </c>
      <c r="B22" s="3">
        <v>18.153055509205</v>
      </c>
      <c r="C22" s="3">
        <v>16.116603670777199</v>
      </c>
      <c r="D22" s="3">
        <v>15.764855796023999</v>
      </c>
      <c r="E22" s="3">
        <v>12.541298654621199</v>
      </c>
      <c r="F22" s="3">
        <v>12.948215571104599</v>
      </c>
      <c r="G22" s="3">
        <v>16.685050964592602</v>
      </c>
      <c r="H22" s="3">
        <v>16.020247807802001</v>
      </c>
      <c r="I22" s="3">
        <v>17.434393650333401</v>
      </c>
      <c r="J22" s="3">
        <v>15.516736353630501</v>
      </c>
      <c r="K22" s="3">
        <v>14.675120516163499</v>
      </c>
      <c r="L22" s="3">
        <v>15.303880693061</v>
      </c>
      <c r="M22" s="3">
        <v>15.6747655272162</v>
      </c>
      <c r="N22" s="3">
        <v>13.7408450918804</v>
      </c>
    </row>
    <row r="23" spans="1:14" x14ac:dyDescent="0.35">
      <c r="A23" s="2">
        <v>42471</v>
      </c>
      <c r="B23" s="3">
        <v>18.4070110583007</v>
      </c>
      <c r="C23" s="3">
        <v>15.159083135023799</v>
      </c>
      <c r="D23" s="3">
        <v>15.8029088203313</v>
      </c>
      <c r="E23" s="3">
        <v>12.350598264384301</v>
      </c>
      <c r="F23" s="3">
        <v>12.177422687757399</v>
      </c>
      <c r="G23" s="3">
        <v>16.3693736019375</v>
      </c>
      <c r="H23" s="3">
        <v>16.104139870292901</v>
      </c>
      <c r="I23" s="3">
        <v>17.727155705710999</v>
      </c>
      <c r="J23" s="3">
        <v>16.500463546018398</v>
      </c>
      <c r="K23" s="3">
        <v>14.1454799319496</v>
      </c>
      <c r="L23" s="3">
        <v>14.978748634947401</v>
      </c>
      <c r="M23" s="3">
        <v>15.131549673209101</v>
      </c>
      <c r="N23" s="3">
        <v>12.905730800551501</v>
      </c>
    </row>
    <row r="24" spans="1:14" x14ac:dyDescent="0.35">
      <c r="A24" s="2">
        <v>42501</v>
      </c>
      <c r="B24" s="3">
        <v>19.261372566235298</v>
      </c>
      <c r="C24" s="3">
        <v>16.573253035326399</v>
      </c>
      <c r="D24" s="3">
        <v>16.296189177830399</v>
      </c>
      <c r="E24" s="3">
        <v>12.5265451761279</v>
      </c>
      <c r="F24" s="3">
        <v>12.978261304033801</v>
      </c>
      <c r="G24" s="3">
        <v>16.721841076532499</v>
      </c>
      <c r="H24" s="3">
        <v>15.804992213133501</v>
      </c>
      <c r="I24" s="3">
        <v>17.526763978103599</v>
      </c>
      <c r="J24" s="3">
        <v>16.522677016730398</v>
      </c>
      <c r="K24" s="3">
        <v>14.1592695070849</v>
      </c>
      <c r="L24" s="3">
        <v>14.805616815808399</v>
      </c>
      <c r="M24" s="3">
        <v>14.873774023359401</v>
      </c>
      <c r="N24" s="3">
        <v>13.138113469434099</v>
      </c>
    </row>
    <row r="25" spans="1:14" x14ac:dyDescent="0.35">
      <c r="A25" s="2">
        <v>42531</v>
      </c>
      <c r="B25" s="3">
        <v>19.325858525158701</v>
      </c>
      <c r="C25" s="3">
        <v>16.2466950378194</v>
      </c>
      <c r="D25" s="3">
        <v>16.5638660182303</v>
      </c>
      <c r="E25" s="3">
        <v>12.1514418532897</v>
      </c>
      <c r="F25" s="3">
        <v>13.3577855484663</v>
      </c>
      <c r="G25" s="3">
        <v>16.665406035274199</v>
      </c>
      <c r="H25" s="3">
        <v>15.456618916031999</v>
      </c>
      <c r="I25" s="3">
        <v>17.724918026053398</v>
      </c>
      <c r="J25" s="3">
        <v>16.533254702551702</v>
      </c>
      <c r="K25" s="3">
        <v>13.891646825214901</v>
      </c>
      <c r="L25" s="3">
        <v>14.525945561051101</v>
      </c>
      <c r="M25" s="3">
        <v>14.415651769368001</v>
      </c>
      <c r="N25" s="3">
        <v>12.490673351837501</v>
      </c>
    </row>
    <row r="26" spans="1:14" x14ac:dyDescent="0.35">
      <c r="A26" s="2">
        <v>42562</v>
      </c>
      <c r="B26" s="3">
        <v>19.537175612481001</v>
      </c>
      <c r="C26" s="3">
        <v>16.136615702889099</v>
      </c>
      <c r="D26" s="3">
        <v>16.495144255070201</v>
      </c>
      <c r="E26" s="3">
        <v>12.148584751631301</v>
      </c>
      <c r="F26" s="3">
        <v>12.7816112765091</v>
      </c>
      <c r="G26" s="3">
        <v>16.890929615897701</v>
      </c>
      <c r="H26" s="3">
        <v>16.038794519724298</v>
      </c>
      <c r="I26" s="3">
        <v>18.151621364455401</v>
      </c>
      <c r="J26" s="3">
        <v>16.7895077164128</v>
      </c>
      <c r="K26" s="3">
        <v>13.6675695651591</v>
      </c>
      <c r="L26" s="3">
        <v>14.3420045489848</v>
      </c>
      <c r="M26" s="3">
        <v>14.830783368694499</v>
      </c>
      <c r="N26" s="3">
        <v>11.8298291647199</v>
      </c>
    </row>
    <row r="27" spans="1:14" x14ac:dyDescent="0.35">
      <c r="A27" s="2">
        <v>42593</v>
      </c>
      <c r="B27" s="3">
        <v>20.320301331654299</v>
      </c>
      <c r="C27" s="3">
        <v>16.7145837992522</v>
      </c>
      <c r="D27" s="3">
        <v>16.597783304682299</v>
      </c>
      <c r="E27" s="3">
        <v>13.2010690973247</v>
      </c>
      <c r="F27" s="3">
        <v>13.355987288380501</v>
      </c>
      <c r="G27" s="3">
        <v>17.632974680332001</v>
      </c>
      <c r="H27" s="3">
        <v>16.3529542493336</v>
      </c>
      <c r="I27" s="3">
        <v>18.8327012653276</v>
      </c>
      <c r="J27" s="3">
        <v>17.0120438063636</v>
      </c>
      <c r="K27" s="3">
        <v>14.2262639764753</v>
      </c>
      <c r="L27" s="3">
        <v>15.054401137051901</v>
      </c>
      <c r="M27" s="3">
        <v>15.5708713496777</v>
      </c>
      <c r="N27" s="3">
        <v>12.7968485458617</v>
      </c>
    </row>
    <row r="28" spans="1:14" x14ac:dyDescent="0.35">
      <c r="A28" s="2">
        <v>42622</v>
      </c>
      <c r="B28" s="3">
        <v>20.985895910256001</v>
      </c>
      <c r="C28" s="3">
        <v>16.067738212727701</v>
      </c>
      <c r="D28" s="3">
        <v>16.105541077750001</v>
      </c>
      <c r="E28" s="3">
        <v>12.982670768163301</v>
      </c>
      <c r="F28" s="3">
        <v>13.623194582680799</v>
      </c>
      <c r="G28" s="3">
        <v>17.3492168529548</v>
      </c>
      <c r="H28" s="3">
        <v>15.786246641616801</v>
      </c>
      <c r="I28" s="3">
        <v>18.090205728453199</v>
      </c>
      <c r="J28" s="3">
        <v>16.443516067558999</v>
      </c>
      <c r="K28" s="3">
        <v>14.081852774977699</v>
      </c>
      <c r="L28" s="3">
        <v>14.874296463428299</v>
      </c>
      <c r="M28" s="3">
        <v>15.4947158805012</v>
      </c>
      <c r="N28" s="3">
        <v>12.4798024463263</v>
      </c>
    </row>
    <row r="29" spans="1:14" x14ac:dyDescent="0.35">
      <c r="A29" s="2">
        <v>42654</v>
      </c>
      <c r="B29" s="3">
        <v>19.524082687774801</v>
      </c>
      <c r="C29" s="3">
        <v>16.3355035757947</v>
      </c>
      <c r="D29" s="3">
        <v>15.942254304831</v>
      </c>
      <c r="E29" s="3">
        <v>12.9232060016651</v>
      </c>
      <c r="F29" s="3">
        <v>13.558754989926699</v>
      </c>
      <c r="G29" s="3">
        <v>16.947284416337101</v>
      </c>
      <c r="H29" s="3">
        <v>15.5253735063551</v>
      </c>
      <c r="I29" s="3">
        <v>18.388429294010599</v>
      </c>
      <c r="J29" s="3">
        <v>16.378285030845301</v>
      </c>
      <c r="K29" s="3">
        <v>13.8509123610012</v>
      </c>
      <c r="L29" s="3">
        <v>14.799252925478401</v>
      </c>
      <c r="M29" s="3">
        <v>15.9130016960997</v>
      </c>
      <c r="N29" s="3">
        <v>11.728082178670601</v>
      </c>
    </row>
    <row r="30" spans="1:14" x14ac:dyDescent="0.35">
      <c r="A30" s="2">
        <v>42685</v>
      </c>
      <c r="B30" s="3">
        <v>18.2548768664489</v>
      </c>
      <c r="C30" s="3">
        <v>15.9164664958631</v>
      </c>
      <c r="D30" s="3">
        <v>15.6758626920737</v>
      </c>
      <c r="E30" s="3">
        <v>12.8149234703325</v>
      </c>
      <c r="F30" s="3">
        <v>13.688755478082401</v>
      </c>
      <c r="G30" s="3">
        <v>16.458958123938402</v>
      </c>
      <c r="H30" s="3">
        <v>14.374385281030101</v>
      </c>
      <c r="I30" s="3">
        <v>17.936490780206501</v>
      </c>
      <c r="J30" s="3">
        <v>16.526103060481901</v>
      </c>
      <c r="K30" s="3">
        <v>13.6999609196774</v>
      </c>
      <c r="L30" s="3">
        <v>14.410159051439701</v>
      </c>
      <c r="M30" s="3">
        <v>15.953479396277899</v>
      </c>
      <c r="N30" s="3">
        <v>11.8434378398969</v>
      </c>
    </row>
    <row r="31" spans="1:14" x14ac:dyDescent="0.35">
      <c r="A31" s="2">
        <v>42713</v>
      </c>
      <c r="B31" s="3">
        <v>18.596965123911499</v>
      </c>
      <c r="C31" s="3">
        <v>15.902515362013</v>
      </c>
      <c r="D31" s="3">
        <v>15.996948232407901</v>
      </c>
      <c r="E31" s="3">
        <v>13.3932021891696</v>
      </c>
      <c r="F31" s="3">
        <v>14.988333420923301</v>
      </c>
      <c r="G31" s="3">
        <v>16.6379478574713</v>
      </c>
      <c r="H31" s="3">
        <v>14.4597164461922</v>
      </c>
      <c r="I31" s="3">
        <v>18.283669809778001</v>
      </c>
      <c r="J31" s="3">
        <v>17.081772933173902</v>
      </c>
      <c r="K31" s="3">
        <v>14.396355790909899</v>
      </c>
      <c r="L31" s="3">
        <v>14.7895848907391</v>
      </c>
      <c r="M31" s="3">
        <v>16.650737117459801</v>
      </c>
      <c r="N31" s="3">
        <v>12.8113917756079</v>
      </c>
    </row>
    <row r="32" spans="1:14" x14ac:dyDescent="0.35">
      <c r="A32" s="2">
        <v>42746</v>
      </c>
      <c r="B32" s="3">
        <v>19.015599938572599</v>
      </c>
      <c r="C32" s="3">
        <v>16.024046797540301</v>
      </c>
      <c r="D32" s="3">
        <v>15.9306054538742</v>
      </c>
      <c r="E32" s="3">
        <v>13.7984669251419</v>
      </c>
      <c r="F32" s="3">
        <v>14.9310463794758</v>
      </c>
      <c r="G32" s="3">
        <v>17.1329667105597</v>
      </c>
      <c r="H32" s="3">
        <v>14.412741185201901</v>
      </c>
      <c r="I32" s="3">
        <v>18.684358083426002</v>
      </c>
      <c r="J32" s="3">
        <v>17.0133824231897</v>
      </c>
      <c r="K32" s="3">
        <v>14.5879543865023</v>
      </c>
      <c r="L32" s="3">
        <v>15.008732219788</v>
      </c>
      <c r="M32" s="3">
        <v>16.391810986332501</v>
      </c>
      <c r="N32" s="3">
        <v>13.4855074143449</v>
      </c>
    </row>
    <row r="33" spans="1:14" x14ac:dyDescent="0.35">
      <c r="A33" s="2">
        <v>42776</v>
      </c>
      <c r="B33" s="3">
        <v>19.171644371050999</v>
      </c>
      <c r="C33" s="3">
        <v>15.8687074156165</v>
      </c>
      <c r="D33" s="3">
        <v>16.237924967249501</v>
      </c>
      <c r="E33" s="3">
        <v>13.629762368562099</v>
      </c>
      <c r="F33" s="3">
        <v>14.4869528859572</v>
      </c>
      <c r="G33" s="3">
        <v>17.380002483009498</v>
      </c>
      <c r="H33" s="3">
        <v>14.5121104342617</v>
      </c>
      <c r="I33" s="3">
        <v>19.752540610370499</v>
      </c>
      <c r="J33" s="3">
        <v>17.357313516161799</v>
      </c>
      <c r="K33" s="3">
        <v>14.2086830911331</v>
      </c>
      <c r="L33" s="3">
        <v>15.2732373653177</v>
      </c>
      <c r="M33" s="3">
        <v>16.053573845926401</v>
      </c>
      <c r="N33" s="3">
        <v>13.0473965591938</v>
      </c>
    </row>
    <row r="34" spans="1:14" x14ac:dyDescent="0.35">
      <c r="A34" s="2">
        <v>42804</v>
      </c>
      <c r="B34" s="3">
        <v>18.956193852494899</v>
      </c>
      <c r="C34" s="3">
        <v>15.8277049015119</v>
      </c>
      <c r="D34" s="3">
        <v>15.9114596927576</v>
      </c>
      <c r="E34" s="3">
        <v>13.8574938465021</v>
      </c>
      <c r="F34" s="3">
        <v>14.403819184986</v>
      </c>
      <c r="G34" s="3">
        <v>17.639037454638501</v>
      </c>
      <c r="H34" s="3">
        <v>14.341533303434099</v>
      </c>
      <c r="I34" s="3">
        <v>20.128858016644099</v>
      </c>
      <c r="J34" s="3">
        <v>17.6868555093764</v>
      </c>
      <c r="K34" s="3">
        <v>14.520479109223601</v>
      </c>
      <c r="L34" s="3">
        <v>16.065830795563301</v>
      </c>
      <c r="M34" s="3">
        <v>16.852744495405901</v>
      </c>
      <c r="N34" s="3">
        <v>13.286304268017901</v>
      </c>
    </row>
    <row r="35" spans="1:14" x14ac:dyDescent="0.35">
      <c r="A35" s="2">
        <v>42836</v>
      </c>
      <c r="B35" s="3">
        <v>19.1983999009394</v>
      </c>
      <c r="C35" s="3">
        <v>15.909579233854799</v>
      </c>
      <c r="D35" s="3">
        <v>15.9734362876492</v>
      </c>
      <c r="E35" s="3">
        <v>13.842746436495601</v>
      </c>
      <c r="F35" s="3">
        <v>13.5847484796143</v>
      </c>
      <c r="G35" s="3">
        <v>17.3655432380124</v>
      </c>
      <c r="H35" s="3">
        <v>14.4925347863581</v>
      </c>
      <c r="I35" s="3">
        <v>19.9390544478359</v>
      </c>
      <c r="J35" s="3">
        <v>17.388586186115401</v>
      </c>
      <c r="K35" s="3">
        <v>14.8031882976187</v>
      </c>
      <c r="L35" s="3">
        <v>16.183603503157801</v>
      </c>
      <c r="M35" s="3">
        <v>16.911318215519302</v>
      </c>
      <c r="N35" s="3">
        <v>13.204779617522499</v>
      </c>
    </row>
    <row r="36" spans="1:14" x14ac:dyDescent="0.35">
      <c r="A36" s="2">
        <v>42866</v>
      </c>
      <c r="B36" s="3">
        <v>19.796154381164499</v>
      </c>
      <c r="C36" s="3">
        <v>15.719232491698699</v>
      </c>
      <c r="D36" s="3">
        <v>15.618645777461801</v>
      </c>
      <c r="E36" s="3">
        <v>14.011767657901</v>
      </c>
      <c r="F36" s="3">
        <v>14.366506611773101</v>
      </c>
      <c r="G36" s="3">
        <v>17.963634243040701</v>
      </c>
      <c r="H36" s="3">
        <v>14.5895890380697</v>
      </c>
      <c r="I36" s="3">
        <v>20.671117852708601</v>
      </c>
      <c r="J36" s="3">
        <v>17.4609592662087</v>
      </c>
      <c r="K36" s="3">
        <v>15.3663404721992</v>
      </c>
      <c r="L36" s="3">
        <v>16.463425896530399</v>
      </c>
      <c r="M36" s="3">
        <v>17.105246351462</v>
      </c>
      <c r="N36" s="3">
        <v>13.8339827809243</v>
      </c>
    </row>
    <row r="37" spans="1:14" x14ac:dyDescent="0.35">
      <c r="A37" s="2">
        <v>42895</v>
      </c>
      <c r="B37" s="3">
        <v>19.341945265785199</v>
      </c>
      <c r="C37" s="3">
        <v>15.1595002902089</v>
      </c>
      <c r="D37" s="3">
        <v>15.526547027327499</v>
      </c>
      <c r="E37" s="3">
        <v>13.8798517892156</v>
      </c>
      <c r="F37" s="3">
        <v>14.354416422436</v>
      </c>
      <c r="G37" s="3">
        <v>17.85127543502</v>
      </c>
      <c r="H37" s="3">
        <v>14.7216397543999</v>
      </c>
      <c r="I37" s="3">
        <v>20.640936077665199</v>
      </c>
      <c r="J37" s="3">
        <v>17.589292207425601</v>
      </c>
      <c r="K37" s="3">
        <v>15.0857833266054</v>
      </c>
      <c r="L37" s="3">
        <v>16.3278039027341</v>
      </c>
      <c r="M37" s="3">
        <v>16.912913838454202</v>
      </c>
      <c r="N37" s="3">
        <v>13.3966175320939</v>
      </c>
    </row>
    <row r="38" spans="1:14" x14ac:dyDescent="0.35">
      <c r="A38" s="2">
        <v>42927</v>
      </c>
      <c r="B38" s="3">
        <v>19.4592623057958</v>
      </c>
      <c r="C38" s="3">
        <v>15.432855913832601</v>
      </c>
      <c r="D38" s="3">
        <v>15.254434093692399</v>
      </c>
      <c r="E38" s="3">
        <v>13.405520091582501</v>
      </c>
      <c r="F38" s="3">
        <v>14.3388340762752</v>
      </c>
      <c r="G38" s="3">
        <v>17.5884797474274</v>
      </c>
      <c r="H38" s="3">
        <v>14.396914413108901</v>
      </c>
      <c r="I38" s="3">
        <v>20.2103927074971</v>
      </c>
      <c r="J38" s="3">
        <v>17.395062540132098</v>
      </c>
      <c r="K38" s="3">
        <v>14.6040341489278</v>
      </c>
      <c r="L38" s="3">
        <v>15.7466602926556</v>
      </c>
      <c r="M38" s="3">
        <v>16.573929261823999</v>
      </c>
      <c r="N38" s="3">
        <v>13.2858010619716</v>
      </c>
    </row>
    <row r="39" spans="1:14" x14ac:dyDescent="0.35">
      <c r="A39" s="2">
        <v>42958</v>
      </c>
      <c r="B39" s="3">
        <v>19.807790712729702</v>
      </c>
      <c r="C39" s="3">
        <v>15.5353954973803</v>
      </c>
      <c r="D39" s="3">
        <v>15.434874862793899</v>
      </c>
      <c r="E39" s="3">
        <v>12.9152603873323</v>
      </c>
      <c r="F39" s="3">
        <v>13.959277085652801</v>
      </c>
      <c r="G39" s="3">
        <v>17.4298361216625</v>
      </c>
      <c r="H39" s="3">
        <v>14.4243020492942</v>
      </c>
      <c r="I39" s="3">
        <v>20.349037668167</v>
      </c>
      <c r="J39" s="3">
        <v>17.371682975951099</v>
      </c>
      <c r="K39" s="3">
        <v>14.375045067435501</v>
      </c>
      <c r="L39" s="3">
        <v>15.700577475079999</v>
      </c>
      <c r="M39" s="3">
        <v>15.7500476247099</v>
      </c>
      <c r="N39" s="3">
        <v>13.1548267937409</v>
      </c>
    </row>
    <row r="40" spans="1:14" x14ac:dyDescent="0.35">
      <c r="A40" s="2">
        <v>42989</v>
      </c>
      <c r="B40" s="3">
        <v>19.953951147409601</v>
      </c>
      <c r="C40" s="3">
        <v>15.5792195528617</v>
      </c>
      <c r="D40" s="3">
        <v>15.180890040695299</v>
      </c>
      <c r="E40" s="3">
        <v>13.322021843813699</v>
      </c>
      <c r="F40" s="3">
        <v>13.577881022662</v>
      </c>
      <c r="G40" s="3">
        <v>17.624489182334798</v>
      </c>
      <c r="H40" s="3">
        <v>14.6419703772834</v>
      </c>
      <c r="I40" s="3">
        <v>20.578631071178499</v>
      </c>
      <c r="J40" s="3">
        <v>17.565052976254101</v>
      </c>
      <c r="K40" s="3">
        <v>14.7563592044011</v>
      </c>
      <c r="L40" s="3">
        <v>15.788375649841001</v>
      </c>
      <c r="M40" s="3">
        <v>16.0972210170825</v>
      </c>
      <c r="N40" s="3">
        <v>13.410112197033399</v>
      </c>
    </row>
    <row r="41" spans="1:14" x14ac:dyDescent="0.35">
      <c r="A41" s="2">
        <v>43019</v>
      </c>
      <c r="B41" s="3">
        <v>20.006851047366599</v>
      </c>
      <c r="C41" s="3">
        <v>15.5466707966009</v>
      </c>
      <c r="D41" s="3">
        <v>15.8415611904095</v>
      </c>
      <c r="E41" s="3">
        <v>13.796413819958399</v>
      </c>
      <c r="F41" s="3">
        <v>14.0988393887013</v>
      </c>
      <c r="G41" s="3">
        <v>17.9228212917989</v>
      </c>
      <c r="H41" s="3">
        <v>14.626277357359299</v>
      </c>
      <c r="I41" s="3">
        <v>20.627316087286999</v>
      </c>
      <c r="J41" s="3">
        <v>17.935227602339499</v>
      </c>
      <c r="K41" s="3">
        <v>15.1907856279079</v>
      </c>
      <c r="L41" s="3">
        <v>16.136728738471</v>
      </c>
      <c r="M41" s="3">
        <v>16.7057657375322</v>
      </c>
      <c r="N41" s="3">
        <v>13.634354487772301</v>
      </c>
    </row>
    <row r="42" spans="1:14" x14ac:dyDescent="0.35">
      <c r="A42" s="2">
        <v>43049</v>
      </c>
      <c r="B42" s="3">
        <v>20.025792988519999</v>
      </c>
      <c r="C42" s="3">
        <v>16.131743422553001</v>
      </c>
      <c r="D42" s="3">
        <v>15.9309487680888</v>
      </c>
      <c r="E42" s="3">
        <v>13.971175985629101</v>
      </c>
      <c r="F42" s="3">
        <v>14.8770236369231</v>
      </c>
      <c r="G42" s="3">
        <v>17.613219778274701</v>
      </c>
      <c r="H42" s="3">
        <v>14.370770244548201</v>
      </c>
      <c r="I42" s="3">
        <v>20.873642674146399</v>
      </c>
      <c r="J42" s="3">
        <v>17.915816601730398</v>
      </c>
      <c r="K42" s="3">
        <v>15.0117688428659</v>
      </c>
      <c r="L42" s="3">
        <v>16.1161194546651</v>
      </c>
      <c r="M42" s="3">
        <v>16.899718848763602</v>
      </c>
      <c r="N42" s="3">
        <v>13.446000596365799</v>
      </c>
    </row>
    <row r="43" spans="1:14" x14ac:dyDescent="0.35">
      <c r="A43" s="2">
        <v>43080</v>
      </c>
      <c r="B43" s="3">
        <v>20.637288870393899</v>
      </c>
      <c r="C43" s="3">
        <v>15.8507053868471</v>
      </c>
      <c r="D43" s="3">
        <v>15.985656626958701</v>
      </c>
      <c r="E43" s="3">
        <v>13.980524004807</v>
      </c>
      <c r="F43" s="3">
        <v>14.746323867689201</v>
      </c>
      <c r="G43" s="3">
        <v>17.568442691950299</v>
      </c>
      <c r="H43" s="3">
        <v>14.3561488322185</v>
      </c>
      <c r="I43" s="3">
        <v>20.880469135846202</v>
      </c>
      <c r="J43" s="3">
        <v>18.2513691551672</v>
      </c>
      <c r="K43" s="3">
        <v>15.0449558953683</v>
      </c>
      <c r="L43" s="3">
        <v>16.049551834763001</v>
      </c>
      <c r="M43" s="3">
        <v>16.518240588650499</v>
      </c>
      <c r="N43" s="3">
        <v>13.5620771047574</v>
      </c>
    </row>
    <row r="44" spans="1:14" x14ac:dyDescent="0.35">
      <c r="A44" s="2">
        <v>43111</v>
      </c>
      <c r="B44" s="3">
        <v>20.421253289033601</v>
      </c>
      <c r="C44" s="3">
        <v>15.9728125145996</v>
      </c>
      <c r="D44" s="3">
        <v>15.860088498449199</v>
      </c>
      <c r="E44" s="3">
        <v>13.9948531093446</v>
      </c>
      <c r="F44" s="3">
        <v>15.3895464285226</v>
      </c>
      <c r="G44" s="3">
        <v>17.8194456158752</v>
      </c>
      <c r="H44" s="3">
        <v>14.758940105758899</v>
      </c>
      <c r="I44" s="3">
        <v>21.625189277383601</v>
      </c>
      <c r="J44" s="3">
        <v>18.313330505318699</v>
      </c>
      <c r="K44" s="3">
        <v>15.1754615893931</v>
      </c>
      <c r="L44" s="3">
        <v>16.194850332880499</v>
      </c>
      <c r="M44" s="3">
        <v>16.658768254657701</v>
      </c>
      <c r="N44" s="3">
        <v>13.589191798577399</v>
      </c>
    </row>
    <row r="45" spans="1:14" x14ac:dyDescent="0.35">
      <c r="A45" s="2">
        <v>43140</v>
      </c>
      <c r="B45" s="3">
        <v>19.182985607953899</v>
      </c>
      <c r="C45" s="3">
        <v>15.156225273290699</v>
      </c>
      <c r="D45" s="3">
        <v>14.2710920811937</v>
      </c>
      <c r="E45" s="3">
        <v>12.829917061255699</v>
      </c>
      <c r="F45" s="3">
        <v>13.724401386297799</v>
      </c>
      <c r="G45" s="3">
        <v>16.264885605742101</v>
      </c>
      <c r="H45" s="3">
        <v>13.3277442334801</v>
      </c>
      <c r="I45" s="3">
        <v>19.656531410308599</v>
      </c>
      <c r="J45" s="3">
        <v>16.431939713911301</v>
      </c>
      <c r="K45" s="3">
        <v>14.030264621436499</v>
      </c>
      <c r="L45" s="3">
        <v>15.1646814553608</v>
      </c>
      <c r="M45" s="3">
        <v>15.5817227402787</v>
      </c>
      <c r="N45" s="3">
        <v>12.426312143246999</v>
      </c>
    </row>
    <row r="46" spans="1:14" x14ac:dyDescent="0.35">
      <c r="A46" s="2">
        <v>43168</v>
      </c>
      <c r="B46" s="3">
        <v>20.323956360460802</v>
      </c>
      <c r="C46" s="3">
        <v>15.4056068152723</v>
      </c>
      <c r="D46" s="3">
        <v>14.4567043259723</v>
      </c>
      <c r="E46" s="3">
        <v>13.088952967584101</v>
      </c>
      <c r="F46" s="3">
        <v>12.841037980382101</v>
      </c>
      <c r="G46" s="3">
        <v>16.4759389556176</v>
      </c>
      <c r="H46" s="3">
        <v>13.5669654160062</v>
      </c>
      <c r="I46" s="3">
        <v>21.475115815503798</v>
      </c>
      <c r="J46" s="3">
        <v>17.2975432074564</v>
      </c>
      <c r="K46" s="3">
        <v>14.556108266567801</v>
      </c>
      <c r="L46" s="3">
        <v>15.7741675501155</v>
      </c>
      <c r="M46" s="3">
        <v>16.381201992008901</v>
      </c>
      <c r="N46" s="3">
        <v>12.717101374817</v>
      </c>
    </row>
    <row r="47" spans="1:14" x14ac:dyDescent="0.35">
      <c r="A47" s="2">
        <v>43201</v>
      </c>
      <c r="B47" s="3">
        <v>20.2202499204706</v>
      </c>
      <c r="C47" s="3">
        <v>14.956776002940799</v>
      </c>
      <c r="D47" s="3">
        <v>13.9631541236636</v>
      </c>
      <c r="E47" s="3">
        <v>12.934281179508799</v>
      </c>
      <c r="F47" s="3">
        <v>12.839661859536401</v>
      </c>
      <c r="G47" s="3">
        <v>15.9882902806959</v>
      </c>
      <c r="H47" s="3">
        <v>13.622976399497199</v>
      </c>
      <c r="I47" s="3">
        <v>19.707579693730299</v>
      </c>
      <c r="J47" s="3">
        <v>16.251410222260901</v>
      </c>
      <c r="K47" s="3">
        <v>14.439874412685</v>
      </c>
      <c r="L47" s="3">
        <v>15.5797520988146</v>
      </c>
      <c r="M47" s="3">
        <v>15.416482708367401</v>
      </c>
      <c r="N47" s="3">
        <v>12.715387258635699</v>
      </c>
    </row>
    <row r="48" spans="1:14" x14ac:dyDescent="0.35">
      <c r="A48" s="2">
        <v>43231</v>
      </c>
      <c r="B48" s="3">
        <v>20.552967536494599</v>
      </c>
      <c r="C48" s="3">
        <v>15.507339788188499</v>
      </c>
      <c r="D48" s="3">
        <v>14.3439645129227</v>
      </c>
      <c r="E48" s="3">
        <v>13.4341788607517</v>
      </c>
      <c r="F48" s="3">
        <v>13.3479615239113</v>
      </c>
      <c r="G48" s="3">
        <v>16.331958952854102</v>
      </c>
      <c r="H48" s="3">
        <v>13.989143912593599</v>
      </c>
      <c r="I48" s="3">
        <v>20.196240228417999</v>
      </c>
      <c r="J48" s="3">
        <v>16.450508145846399</v>
      </c>
      <c r="K48" s="3">
        <v>14.843720225171101</v>
      </c>
      <c r="L48" s="3">
        <v>15.7079210668555</v>
      </c>
      <c r="M48" s="3">
        <v>16.012922068086599</v>
      </c>
      <c r="N48" s="3">
        <v>12.9419183625077</v>
      </c>
    </row>
    <row r="49" spans="1:14" x14ac:dyDescent="0.35">
      <c r="A49" s="2">
        <v>43262</v>
      </c>
      <c r="B49" s="3">
        <v>21.2378351186799</v>
      </c>
      <c r="C49" s="3">
        <v>15.1267339329547</v>
      </c>
      <c r="D49" s="3">
        <v>14.3856922031861</v>
      </c>
      <c r="E49" s="3">
        <v>13.2933333278259</v>
      </c>
      <c r="F49" s="3">
        <v>13.2141139861734</v>
      </c>
      <c r="G49" s="3">
        <v>15.717729924614799</v>
      </c>
      <c r="H49" s="3">
        <v>13.618191830355</v>
      </c>
      <c r="I49" s="3">
        <v>20.561271489953299</v>
      </c>
      <c r="J49" s="3">
        <v>16.6011132635123</v>
      </c>
      <c r="K49" s="3">
        <v>14.4140285714724</v>
      </c>
      <c r="L49" s="3">
        <v>16.025183970832199</v>
      </c>
      <c r="M49" s="3">
        <v>15.5197271687816</v>
      </c>
      <c r="N49" s="3">
        <v>11.6542418697284</v>
      </c>
    </row>
    <row r="50" spans="1:14" x14ac:dyDescent="0.35">
      <c r="A50" s="2">
        <v>43292</v>
      </c>
      <c r="B50" s="3">
        <v>21.193739418590798</v>
      </c>
      <c r="C50" s="3">
        <v>15.455828867082101</v>
      </c>
      <c r="D50" s="3">
        <v>14.2384652717835</v>
      </c>
      <c r="E50" s="3">
        <v>12.8634241458736</v>
      </c>
      <c r="F50" s="3">
        <v>12.5869207000207</v>
      </c>
      <c r="G50" s="3">
        <v>15.7493936931123</v>
      </c>
      <c r="H50" s="3">
        <v>13.159129243960701</v>
      </c>
      <c r="I50" s="3">
        <v>20.618871661934101</v>
      </c>
      <c r="J50" s="3">
        <v>16.3985340136262</v>
      </c>
      <c r="K50" s="3">
        <v>13.9761408451209</v>
      </c>
      <c r="L50" s="3">
        <v>15.5216592746206</v>
      </c>
      <c r="M50" s="3">
        <v>15.1730816867006</v>
      </c>
      <c r="N50" s="3">
        <v>11.3582594777778</v>
      </c>
    </row>
    <row r="51" spans="1:14" x14ac:dyDescent="0.35">
      <c r="A51" s="2">
        <v>43322</v>
      </c>
      <c r="B51" s="3">
        <v>21.268626498125801</v>
      </c>
      <c r="C51" s="3">
        <v>15.601110355645501</v>
      </c>
      <c r="D51" s="3">
        <v>14.0206898622599</v>
      </c>
      <c r="E51" s="3">
        <v>12.8581373553285</v>
      </c>
      <c r="F51" s="3">
        <v>12.6502865565222</v>
      </c>
      <c r="G51" s="3">
        <v>16.027255560649799</v>
      </c>
      <c r="H51" s="3">
        <v>13.0323955034441</v>
      </c>
      <c r="I51" s="3">
        <v>20.58621890021</v>
      </c>
      <c r="J51" s="3">
        <v>16.502657469115199</v>
      </c>
      <c r="K51" s="3">
        <v>13.8598306658398</v>
      </c>
      <c r="L51" s="3">
        <v>15.640740861733001</v>
      </c>
      <c r="M51" s="3">
        <v>15.569101598569899</v>
      </c>
      <c r="N51" s="3">
        <v>11.0899770874372</v>
      </c>
    </row>
    <row r="52" spans="1:14" x14ac:dyDescent="0.35">
      <c r="A52" s="2">
        <v>43354</v>
      </c>
      <c r="B52" s="3">
        <v>21.643584477201301</v>
      </c>
      <c r="C52" s="3">
        <v>15.2022605041444</v>
      </c>
      <c r="D52" s="3">
        <v>13.5875683893646</v>
      </c>
      <c r="E52" s="3">
        <v>12.432418608155499</v>
      </c>
      <c r="F52" s="3">
        <v>12.4188164443487</v>
      </c>
      <c r="G52" s="3">
        <v>15.8603191003457</v>
      </c>
      <c r="H52" s="3">
        <v>12.353942522969501</v>
      </c>
      <c r="I52" s="3">
        <v>20.6175204794942</v>
      </c>
      <c r="J52" s="3">
        <v>16.666776456979701</v>
      </c>
      <c r="K52" s="3">
        <v>13.4380188300971</v>
      </c>
      <c r="L52" s="3">
        <v>14.936914636377599</v>
      </c>
      <c r="M52" s="3">
        <v>15.489517546686001</v>
      </c>
      <c r="N52" s="3">
        <v>10.742584693412701</v>
      </c>
    </row>
    <row r="53" spans="1:14" x14ac:dyDescent="0.35">
      <c r="A53" s="2">
        <v>43384</v>
      </c>
      <c r="B53" s="3">
        <v>20.055970245241301</v>
      </c>
      <c r="C53" s="3">
        <v>14.3832098140669</v>
      </c>
      <c r="D53" s="3">
        <v>12.8070533140333</v>
      </c>
      <c r="E53" s="3">
        <v>11.8814087807551</v>
      </c>
      <c r="F53" s="3">
        <v>12.4206107536519</v>
      </c>
      <c r="G53" s="3">
        <v>15.099561828975</v>
      </c>
      <c r="H53" s="3">
        <v>11.8834158727692</v>
      </c>
      <c r="I53" s="3">
        <v>19.009146828458</v>
      </c>
      <c r="J53" s="3">
        <v>15.6512502728195</v>
      </c>
      <c r="K53" s="3">
        <v>12.789961410945301</v>
      </c>
      <c r="L53" s="3">
        <v>14.0371414103715</v>
      </c>
      <c r="M53" s="3">
        <v>14.668603243743901</v>
      </c>
      <c r="N53" s="3">
        <v>9.9291555027653207</v>
      </c>
    </row>
    <row r="54" spans="1:14" x14ac:dyDescent="0.35">
      <c r="A54" s="2">
        <v>43413</v>
      </c>
      <c r="B54" s="3">
        <v>20.5368053214283</v>
      </c>
      <c r="C54" s="3">
        <v>14.647037538523</v>
      </c>
      <c r="D54" s="3">
        <v>12.6934806330384</v>
      </c>
      <c r="E54" s="3">
        <v>11.8044807401602</v>
      </c>
      <c r="F54" s="3">
        <v>12.1830320458456</v>
      </c>
      <c r="G54" s="3">
        <v>15.776399258642201</v>
      </c>
      <c r="H54" s="3">
        <v>11.931797352236501</v>
      </c>
      <c r="I54" s="3">
        <v>19.046710566253999</v>
      </c>
      <c r="J54" s="3">
        <v>15.893384522402901</v>
      </c>
      <c r="K54" s="3">
        <v>12.8255122560701</v>
      </c>
      <c r="L54" s="3">
        <v>14.369722066343099</v>
      </c>
      <c r="M54" s="3">
        <v>14.3961772472307</v>
      </c>
      <c r="N54" s="3">
        <v>9.8325002246017306</v>
      </c>
    </row>
    <row r="55" spans="1:14" x14ac:dyDescent="0.35">
      <c r="A55" s="2">
        <v>43445</v>
      </c>
      <c r="B55" s="3">
        <v>19.795519826201598</v>
      </c>
      <c r="C55" s="3">
        <v>13.830385769617999</v>
      </c>
      <c r="D55" s="3">
        <v>12.3666107161248</v>
      </c>
      <c r="E55" s="3">
        <v>11.1793499057058</v>
      </c>
      <c r="F55" s="3">
        <v>11.628603927806999</v>
      </c>
      <c r="G55" s="3">
        <v>15.0717087920287</v>
      </c>
      <c r="H55" s="3">
        <v>11.3641677993985</v>
      </c>
      <c r="I55" s="3">
        <v>18.119461015513998</v>
      </c>
      <c r="J55" s="3">
        <v>15.0545656237265</v>
      </c>
      <c r="K55" s="3">
        <v>12.0963683408196</v>
      </c>
      <c r="L55" s="3">
        <v>13.5306330965405</v>
      </c>
      <c r="M55" s="3">
        <v>13.710364692443999</v>
      </c>
      <c r="N55" s="3">
        <v>9.2622542527981508</v>
      </c>
    </row>
    <row r="56" spans="1:14" x14ac:dyDescent="0.35">
      <c r="A56" s="2">
        <v>43476</v>
      </c>
      <c r="B56" s="3">
        <v>20.3463813494912</v>
      </c>
      <c r="C56" s="3">
        <v>14.4239379752127</v>
      </c>
      <c r="D56" s="3">
        <v>12.912822728411101</v>
      </c>
      <c r="E56" s="3">
        <v>11.320512875057799</v>
      </c>
      <c r="F56" s="3">
        <v>11.464576670402099</v>
      </c>
      <c r="G56" s="3">
        <v>15.2151961802266</v>
      </c>
      <c r="H56" s="3">
        <v>11.8642334111706</v>
      </c>
      <c r="I56" s="3">
        <v>18.137204718204799</v>
      </c>
      <c r="J56" s="3">
        <v>15.0726387797725</v>
      </c>
      <c r="K56" s="3">
        <v>12.224642076677799</v>
      </c>
      <c r="L56" s="3">
        <v>13.4132960063511</v>
      </c>
      <c r="M56" s="3">
        <v>13.963117162935299</v>
      </c>
      <c r="N56" s="3">
        <v>9.6942155158619698</v>
      </c>
    </row>
    <row r="57" spans="1:14" x14ac:dyDescent="0.35">
      <c r="A57" s="2">
        <v>43507</v>
      </c>
      <c r="B57" s="3">
        <v>21.018048082461</v>
      </c>
      <c r="C57" s="3">
        <v>15.0143237482287</v>
      </c>
      <c r="D57" s="3">
        <v>13.714506295609</v>
      </c>
      <c r="E57" s="3">
        <v>11.623631606715501</v>
      </c>
      <c r="F57" s="3">
        <v>11.7866121654903</v>
      </c>
      <c r="G57" s="3">
        <v>15.642013385746001</v>
      </c>
      <c r="H57" s="3">
        <v>12.299172957813701</v>
      </c>
      <c r="I57" s="3">
        <v>19.089682290998699</v>
      </c>
      <c r="J57" s="3">
        <v>15.782871229039401</v>
      </c>
      <c r="K57" s="3">
        <v>12.864210379575599</v>
      </c>
      <c r="L57" s="3">
        <v>14.496105265076899</v>
      </c>
      <c r="M57" s="3">
        <v>14.5966803943034</v>
      </c>
      <c r="N57" s="3">
        <v>10.0729848571755</v>
      </c>
    </row>
    <row r="58" spans="1:14" x14ac:dyDescent="0.35">
      <c r="A58" s="2">
        <v>43535</v>
      </c>
      <c r="B58" s="3">
        <v>21.690350108097601</v>
      </c>
      <c r="C58" s="3">
        <v>15.242092725835599</v>
      </c>
      <c r="D58" s="3">
        <v>14.185150615116999</v>
      </c>
      <c r="E58" s="3">
        <v>12.1782239728969</v>
      </c>
      <c r="F58" s="3">
        <v>12.334280269502701</v>
      </c>
      <c r="G58" s="3">
        <v>16.2407004674962</v>
      </c>
      <c r="H58" s="3">
        <v>12.344600939153899</v>
      </c>
      <c r="I58" s="3">
        <v>19.8067663480177</v>
      </c>
      <c r="J58" s="3">
        <v>16.164915302123401</v>
      </c>
      <c r="K58" s="3">
        <v>13.4573991283777</v>
      </c>
      <c r="L58" s="3">
        <v>14.841497872486199</v>
      </c>
      <c r="M58" s="3">
        <v>14.759937828688701</v>
      </c>
      <c r="N58" s="3">
        <v>10.475005669469001</v>
      </c>
    </row>
    <row r="59" spans="1:14" x14ac:dyDescent="0.35">
      <c r="A59" s="2">
        <v>43566</v>
      </c>
      <c r="B59" s="3">
        <v>22.061504208796102</v>
      </c>
      <c r="C59" s="3">
        <v>15.218423072911699</v>
      </c>
      <c r="D59" s="3">
        <v>14.246338178553399</v>
      </c>
      <c r="E59" s="3">
        <v>12.5848991666603</v>
      </c>
      <c r="F59" s="3">
        <v>12.610160769338201</v>
      </c>
      <c r="G59" s="3">
        <v>16.821493592493798</v>
      </c>
      <c r="H59" s="3">
        <v>12.7521685424105</v>
      </c>
      <c r="I59" s="3">
        <v>20.865180660382599</v>
      </c>
      <c r="J59" s="3">
        <v>16.735658159890999</v>
      </c>
      <c r="K59" s="3">
        <v>13.9291600121577</v>
      </c>
      <c r="L59" s="3">
        <v>15.467297042716</v>
      </c>
      <c r="M59" s="3">
        <v>15.141418135700899</v>
      </c>
      <c r="N59" s="3">
        <v>10.8716695057461</v>
      </c>
    </row>
    <row r="60" spans="1:14" x14ac:dyDescent="0.35">
      <c r="A60" s="2">
        <v>43595</v>
      </c>
      <c r="B60" s="3">
        <v>22.865927315471101</v>
      </c>
      <c r="C60" s="3">
        <v>15.3891090344512</v>
      </c>
      <c r="D60" s="3">
        <v>13.600233920858001</v>
      </c>
      <c r="E60" s="3">
        <v>12.5783091446634</v>
      </c>
      <c r="F60" s="3">
        <v>12.237521143842599</v>
      </c>
      <c r="G60" s="3">
        <v>16.454854266911699</v>
      </c>
      <c r="H60" s="3">
        <v>12.2672687034365</v>
      </c>
      <c r="I60" s="3">
        <v>20.715539920337399</v>
      </c>
      <c r="J60" s="3">
        <v>16.513264553926899</v>
      </c>
      <c r="K60" s="3">
        <v>13.493352237088899</v>
      </c>
      <c r="L60" s="3">
        <v>15.2539616935744</v>
      </c>
      <c r="M60" s="3">
        <v>14.9813018503785</v>
      </c>
      <c r="N60" s="3">
        <v>10.391440239369601</v>
      </c>
    </row>
    <row r="61" spans="1:14" x14ac:dyDescent="0.35">
      <c r="A61" s="2">
        <v>43627</v>
      </c>
      <c r="B61" s="3">
        <v>22.831613384570201</v>
      </c>
      <c r="C61" s="3">
        <v>15.935346846117501</v>
      </c>
      <c r="D61" s="3">
        <v>13.523076052580601</v>
      </c>
      <c r="E61" s="3">
        <v>12.4397800289799</v>
      </c>
      <c r="F61" s="3">
        <v>12.7114930420534</v>
      </c>
      <c r="G61" s="3">
        <v>17.033285112198499</v>
      </c>
      <c r="H61" s="3">
        <v>12.537344195806799</v>
      </c>
      <c r="I61" s="3">
        <v>20.335385277983399</v>
      </c>
      <c r="J61" s="3">
        <v>16.4176908126895</v>
      </c>
      <c r="K61" s="3">
        <v>13.637612013092699</v>
      </c>
      <c r="L61" s="3">
        <v>15.373177016801399</v>
      </c>
      <c r="M61" s="3">
        <v>14.796190737989001</v>
      </c>
      <c r="N61" s="3">
        <v>10.1395791921148</v>
      </c>
    </row>
    <row r="62" spans="1:14" x14ac:dyDescent="0.35">
      <c r="A62" s="2">
        <v>43657</v>
      </c>
      <c r="B62" s="3">
        <v>24.2845775339852</v>
      </c>
      <c r="C62" s="3">
        <v>16.1393043559798</v>
      </c>
      <c r="D62" s="3">
        <v>13.7223338957749</v>
      </c>
      <c r="E62" s="3">
        <v>12.8250601798765</v>
      </c>
      <c r="F62" s="3">
        <v>12.947720635818399</v>
      </c>
      <c r="G62" s="3">
        <v>17.047807147461501</v>
      </c>
      <c r="H62" s="3">
        <v>12.6340609798896</v>
      </c>
      <c r="I62" s="3">
        <v>21.329660463856602</v>
      </c>
      <c r="J62" s="3">
        <v>17.0590432703296</v>
      </c>
      <c r="K62" s="3">
        <v>13.9382808562414</v>
      </c>
      <c r="L62" s="3">
        <v>15.488770531435501</v>
      </c>
      <c r="M62" s="3">
        <v>14.989609933328</v>
      </c>
      <c r="N62" s="3">
        <v>10.936789592336501</v>
      </c>
    </row>
    <row r="63" spans="1:14" x14ac:dyDescent="0.35">
      <c r="A63" s="2">
        <v>43686</v>
      </c>
      <c r="B63" s="3">
        <v>24.659804053511099</v>
      </c>
      <c r="C63" s="3">
        <v>15.9716847105929</v>
      </c>
      <c r="D63" s="3">
        <v>13.5866796270719</v>
      </c>
      <c r="E63" s="3">
        <v>12.3727481152197</v>
      </c>
      <c r="F63" s="3">
        <v>12.391694539685799</v>
      </c>
      <c r="G63" s="3">
        <v>16.845491991456701</v>
      </c>
      <c r="H63" s="3">
        <v>11.9961277207802</v>
      </c>
      <c r="I63" s="3">
        <v>20.474755478142999</v>
      </c>
      <c r="J63" s="3">
        <v>16.601354700813001</v>
      </c>
      <c r="K63" s="3">
        <v>13.503200648412401</v>
      </c>
      <c r="L63" s="3">
        <v>15.0337846097366</v>
      </c>
      <c r="M63" s="3">
        <v>13.6686927913931</v>
      </c>
      <c r="N63" s="3">
        <v>10.017967986368699</v>
      </c>
    </row>
    <row r="64" spans="1:14" x14ac:dyDescent="0.35">
      <c r="A64" s="2">
        <v>43719</v>
      </c>
      <c r="B64" s="3">
        <v>25.919959323824301</v>
      </c>
      <c r="C64" s="3">
        <v>16.434082270763199</v>
      </c>
      <c r="D64" s="3">
        <v>13.881043634262699</v>
      </c>
      <c r="E64" s="3">
        <v>13.0750316134367</v>
      </c>
      <c r="F64" s="3">
        <v>13.2140156323714</v>
      </c>
      <c r="G64" s="3">
        <v>17.241635005573301</v>
      </c>
      <c r="H64" s="3">
        <v>12.3403694005886</v>
      </c>
      <c r="I64" s="3">
        <v>20.891723459968301</v>
      </c>
      <c r="J64" s="3">
        <v>16.9491013974875</v>
      </c>
      <c r="K64" s="3">
        <v>14.093770979515099</v>
      </c>
      <c r="L64" s="3">
        <v>15.9743150731324</v>
      </c>
      <c r="M64" s="3">
        <v>14.533086562280699</v>
      </c>
      <c r="N64" s="3">
        <v>10.7296148385626</v>
      </c>
    </row>
    <row r="65" spans="1:14" x14ac:dyDescent="0.35">
      <c r="A65" s="2">
        <v>43749</v>
      </c>
      <c r="B65" s="3">
        <v>25.265198976926101</v>
      </c>
      <c r="C65" s="3">
        <v>16.510480801007599</v>
      </c>
      <c r="D65" s="3">
        <v>13.769537392674</v>
      </c>
      <c r="E65" s="3">
        <v>13.1175008100439</v>
      </c>
      <c r="F65" s="3">
        <v>13.2674942504699</v>
      </c>
      <c r="G65" s="3">
        <v>17.0625929798254</v>
      </c>
      <c r="H65" s="3">
        <v>12.439949269100699</v>
      </c>
      <c r="I65" s="3">
        <v>20.6079454240265</v>
      </c>
      <c r="J65" s="3">
        <v>16.789181090950301</v>
      </c>
      <c r="K65" s="3">
        <v>14.2294375836525</v>
      </c>
      <c r="L65" s="3">
        <v>16.202814806379902</v>
      </c>
      <c r="M65" s="3">
        <v>15.066774520973601</v>
      </c>
      <c r="N65" s="3">
        <v>10.857192979290399</v>
      </c>
    </row>
    <row r="66" spans="1:14" x14ac:dyDescent="0.35">
      <c r="A66" s="2">
        <v>43780</v>
      </c>
      <c r="B66" s="3">
        <v>24.922221790836598</v>
      </c>
      <c r="C66" s="3">
        <v>17.255301596915999</v>
      </c>
      <c r="D66" s="3">
        <v>14.295945242106001</v>
      </c>
      <c r="E66" s="3">
        <v>13.8728768692879</v>
      </c>
      <c r="F66" s="3">
        <v>14.157682800776801</v>
      </c>
      <c r="G66" s="3">
        <v>17.397591235939998</v>
      </c>
      <c r="H66" s="3">
        <v>12.784890755066201</v>
      </c>
      <c r="I66" s="3">
        <v>21.503862335695398</v>
      </c>
      <c r="J66" s="3">
        <v>17.424596879692199</v>
      </c>
      <c r="K66" s="3">
        <v>14.7417129310261</v>
      </c>
      <c r="L66" s="3">
        <v>16.666884067760801</v>
      </c>
      <c r="M66" s="3">
        <v>15.9049335712408</v>
      </c>
      <c r="N66" s="3">
        <v>11.3806577159949</v>
      </c>
    </row>
    <row r="67" spans="1:14" x14ac:dyDescent="0.35">
      <c r="A67" s="2">
        <v>43810</v>
      </c>
      <c r="B67" s="3">
        <v>25.579062941533302</v>
      </c>
      <c r="C67" s="3">
        <v>17.2335091596144</v>
      </c>
      <c r="D67" s="3">
        <v>14.2739681310682</v>
      </c>
      <c r="E67" s="3">
        <v>13.9866212019194</v>
      </c>
      <c r="F67" s="3">
        <v>14.4741880309421</v>
      </c>
      <c r="G67" s="3">
        <v>17.447566371325699</v>
      </c>
      <c r="H67" s="3">
        <v>12.866754054745501</v>
      </c>
      <c r="I67" s="3">
        <v>21.914214053991198</v>
      </c>
      <c r="J67" s="3">
        <v>17.680669046995</v>
      </c>
      <c r="K67" s="3">
        <v>14.631461049021301</v>
      </c>
      <c r="L67" s="3">
        <v>16.813938608343399</v>
      </c>
      <c r="M67" s="3">
        <v>15.7739868275546</v>
      </c>
      <c r="N67" s="3">
        <v>11.224247609952601</v>
      </c>
    </row>
    <row r="68" spans="1:14" x14ac:dyDescent="0.35">
      <c r="A68" s="2">
        <v>43840</v>
      </c>
      <c r="B68" s="3">
        <v>25.780770417409901</v>
      </c>
      <c r="C68" s="3">
        <v>17.697331398395601</v>
      </c>
      <c r="D68" s="3">
        <v>14.4543699521625</v>
      </c>
      <c r="E68" s="3">
        <v>14.355246360408101</v>
      </c>
      <c r="F68" s="3">
        <v>14.649000771404699</v>
      </c>
      <c r="G68" s="3">
        <v>17.7647889301834</v>
      </c>
      <c r="H68" s="3">
        <v>13.4547526246979</v>
      </c>
      <c r="I68" s="3">
        <v>23.252654751588299</v>
      </c>
      <c r="J68" s="3">
        <v>18.3089397600708</v>
      </c>
      <c r="K68" s="3">
        <v>14.998734210265701</v>
      </c>
      <c r="L68" s="3">
        <v>17.1620643650941</v>
      </c>
      <c r="M68" s="3">
        <v>16.2701914172908</v>
      </c>
      <c r="N68" s="3">
        <v>11.6285504676505</v>
      </c>
    </row>
    <row r="69" spans="1:14" x14ac:dyDescent="0.35">
      <c r="A69" s="2">
        <v>43872</v>
      </c>
      <c r="B69" s="3">
        <v>26.715295596041098</v>
      </c>
      <c r="C69" s="3">
        <v>18.034629795972201</v>
      </c>
      <c r="D69" s="3">
        <v>14.8830097279104</v>
      </c>
      <c r="E69" s="3">
        <v>14.449495299775601</v>
      </c>
      <c r="F69" s="3">
        <v>14.4689547416391</v>
      </c>
      <c r="G69" s="3">
        <v>18.456408949185601</v>
      </c>
      <c r="H69" s="3">
        <v>13.433127792080599</v>
      </c>
      <c r="I69" s="3">
        <v>24.106767403029998</v>
      </c>
      <c r="J69" s="3">
        <v>18.827921486970901</v>
      </c>
      <c r="K69" s="3">
        <v>15.0753556398519</v>
      </c>
      <c r="L69" s="3">
        <v>18.018331824072199</v>
      </c>
      <c r="M69" s="3">
        <v>17.002428004206799</v>
      </c>
      <c r="N69" s="3">
        <v>11.8042046385782</v>
      </c>
    </row>
    <row r="70" spans="1:14" x14ac:dyDescent="0.35">
      <c r="A70" s="2">
        <v>43901</v>
      </c>
      <c r="B70" s="3">
        <v>24.896876028643899</v>
      </c>
      <c r="C70" s="3">
        <v>14.8577018102295</v>
      </c>
      <c r="D70" s="3">
        <v>12.3609884938578</v>
      </c>
      <c r="E70" s="3">
        <v>11.2420323231631</v>
      </c>
      <c r="F70" s="3">
        <v>12.0433411635927</v>
      </c>
      <c r="G70" s="3">
        <v>15.5532674730645</v>
      </c>
      <c r="H70" s="3">
        <v>10.9508504475153</v>
      </c>
      <c r="I70" s="3">
        <v>20.2424599860421</v>
      </c>
      <c r="J70" s="3">
        <v>15.4682637275698</v>
      </c>
      <c r="K70" s="3">
        <v>12.155940089491001</v>
      </c>
      <c r="L70" s="3">
        <v>14.244513427559999</v>
      </c>
      <c r="M70" s="3">
        <v>13.5169052584348</v>
      </c>
      <c r="N70" s="3">
        <v>8.7559871226185493</v>
      </c>
    </row>
    <row r="71" spans="1:14" x14ac:dyDescent="0.35">
      <c r="A71" s="2">
        <v>43930</v>
      </c>
      <c r="B71" s="3">
        <v>26.4067438196473</v>
      </c>
      <c r="C71" s="3">
        <v>15.7640645999622</v>
      </c>
      <c r="D71" s="3">
        <v>14.693336572665901</v>
      </c>
      <c r="E71" s="3">
        <v>13.5012910233363</v>
      </c>
      <c r="F71" s="3">
        <v>12.876598753997399</v>
      </c>
      <c r="G71" s="3">
        <v>17.201386624659001</v>
      </c>
      <c r="H71" s="3">
        <v>13.2269464740455</v>
      </c>
      <c r="I71" s="3">
        <v>22.2789833780514</v>
      </c>
      <c r="J71" s="3">
        <v>17.965854762913899</v>
      </c>
      <c r="K71" s="3">
        <v>14.490862398676899</v>
      </c>
      <c r="L71" s="3">
        <v>15.830024078587201</v>
      </c>
      <c r="M71" s="3">
        <v>15.6842281394485</v>
      </c>
      <c r="N71" s="3">
        <v>10.5489472602225</v>
      </c>
    </row>
    <row r="72" spans="1:14" x14ac:dyDescent="0.35">
      <c r="A72" s="2">
        <v>43962</v>
      </c>
      <c r="B72" s="3">
        <v>30.2453716660557</v>
      </c>
      <c r="C72" s="3">
        <v>17.413832662833698</v>
      </c>
      <c r="D72" s="3">
        <v>17.674745069575302</v>
      </c>
      <c r="E72" s="3">
        <v>15.2945283110361</v>
      </c>
      <c r="F72" s="3">
        <v>14.403232598187101</v>
      </c>
      <c r="G72" s="3">
        <v>18.4684854374838</v>
      </c>
      <c r="H72" s="3">
        <v>15.127820945820201</v>
      </c>
      <c r="I72" s="3">
        <v>26.669137406046001</v>
      </c>
      <c r="J72" s="3">
        <v>20.831624151072401</v>
      </c>
      <c r="K72" s="3">
        <v>16.551275327328799</v>
      </c>
      <c r="L72" s="3">
        <v>17.5345484317724</v>
      </c>
      <c r="M72" s="3">
        <v>18.053172620118598</v>
      </c>
      <c r="N72" s="3">
        <v>14.9128710219147</v>
      </c>
    </row>
    <row r="73" spans="1:14" x14ac:dyDescent="0.35">
      <c r="A73" s="2">
        <v>43993</v>
      </c>
      <c r="B73" s="3">
        <v>30.295418824275298</v>
      </c>
      <c r="C73" s="3">
        <v>19.3763788261573</v>
      </c>
      <c r="D73" s="3">
        <v>17.5365475514038</v>
      </c>
      <c r="E73" s="3">
        <v>17.3699323788362</v>
      </c>
      <c r="F73" s="3">
        <v>17.335600464585902</v>
      </c>
      <c r="G73" s="3">
        <v>18.9415663556914</v>
      </c>
      <c r="H73" s="3">
        <v>15.905327873804</v>
      </c>
      <c r="I73" s="3">
        <v>27.2320487038225</v>
      </c>
      <c r="J73" s="3">
        <v>21.180139597453898</v>
      </c>
      <c r="K73" s="3">
        <v>18.2323290411417</v>
      </c>
      <c r="L73" s="3">
        <v>18.827555358507801</v>
      </c>
      <c r="M73" s="3">
        <v>18.445719477610901</v>
      </c>
      <c r="N73" s="3">
        <v>17.116784832088602</v>
      </c>
    </row>
    <row r="74" spans="1:14" x14ac:dyDescent="0.35">
      <c r="A74" s="2">
        <v>44022</v>
      </c>
      <c r="B74" s="3">
        <v>31.497270905286602</v>
      </c>
      <c r="C74" s="3">
        <v>18.816503995777701</v>
      </c>
      <c r="D74" s="3">
        <v>17.5855953562723</v>
      </c>
      <c r="E74" s="3">
        <v>18.308896687491899</v>
      </c>
      <c r="F74" s="3">
        <v>17.493828081862599</v>
      </c>
      <c r="G74" s="3">
        <v>19.627224632589002</v>
      </c>
      <c r="H74" s="3">
        <v>15.6119715922575</v>
      </c>
      <c r="I74" s="3">
        <v>30.0704993187267</v>
      </c>
      <c r="J74" s="3">
        <v>22.179891410790901</v>
      </c>
      <c r="K74" s="3">
        <v>19.181058187043799</v>
      </c>
      <c r="L74" s="3">
        <v>20.107883748229</v>
      </c>
      <c r="M74" s="3">
        <v>19.519934253414899</v>
      </c>
      <c r="N74" s="3">
        <v>17.324407478026998</v>
      </c>
    </row>
    <row r="75" spans="1:14" x14ac:dyDescent="0.35">
      <c r="A75" s="2">
        <v>44054</v>
      </c>
      <c r="B75" s="3">
        <v>32.151854986707797</v>
      </c>
      <c r="C75" s="3">
        <v>19.527874151212899</v>
      </c>
      <c r="D75" s="3">
        <v>17.570813337292002</v>
      </c>
      <c r="E75" s="3">
        <v>18.086380344463699</v>
      </c>
      <c r="F75" s="3">
        <v>17.9964216666048</v>
      </c>
      <c r="G75" s="3">
        <v>19.4476161836401</v>
      </c>
      <c r="H75" s="3">
        <v>15.7583812967152</v>
      </c>
      <c r="I75" s="3">
        <v>28.557921347838299</v>
      </c>
      <c r="J75" s="3">
        <v>22.139612628350001</v>
      </c>
      <c r="K75" s="3">
        <v>20.045049073027698</v>
      </c>
      <c r="L75" s="3">
        <v>19.934858950791</v>
      </c>
      <c r="M75" s="3">
        <v>18.923300685034299</v>
      </c>
      <c r="N75" s="3">
        <v>16.7733821331543</v>
      </c>
    </row>
    <row r="76" spans="1:14" x14ac:dyDescent="0.35">
      <c r="A76" s="2">
        <v>44085</v>
      </c>
      <c r="B76" s="3">
        <v>32.100482047173301</v>
      </c>
      <c r="C76" s="3">
        <v>18.473219825056599</v>
      </c>
      <c r="D76" s="3">
        <v>16.747630176198999</v>
      </c>
      <c r="E76" s="3">
        <v>17.749671334157199</v>
      </c>
      <c r="F76" s="3">
        <v>18.3689634145497</v>
      </c>
      <c r="G76" s="3">
        <v>19.554147192866399</v>
      </c>
      <c r="H76" s="3">
        <v>15.0329871236299</v>
      </c>
      <c r="I76" s="3">
        <v>28.645969427839901</v>
      </c>
      <c r="J76" s="3">
        <v>21.6520384602833</v>
      </c>
      <c r="K76" s="3">
        <v>19.272055725543499</v>
      </c>
      <c r="L76" s="3">
        <v>19.558688038693798</v>
      </c>
      <c r="M76" s="3">
        <v>18.267104554075399</v>
      </c>
      <c r="N76" s="3">
        <v>15.7376439361044</v>
      </c>
    </row>
    <row r="77" spans="1:14" x14ac:dyDescent="0.35">
      <c r="A77" s="2">
        <v>44113</v>
      </c>
      <c r="B77" s="3">
        <v>33.165620467497902</v>
      </c>
      <c r="C77" s="3">
        <v>18.786548073320201</v>
      </c>
      <c r="D77" s="3">
        <v>16.495290586817401</v>
      </c>
      <c r="E77" s="3">
        <v>16.952928779255501</v>
      </c>
      <c r="F77" s="3">
        <v>18.2031712999812</v>
      </c>
      <c r="G77" s="3">
        <v>19.148914637055199</v>
      </c>
      <c r="H77" s="3">
        <v>14.5779776791155</v>
      </c>
      <c r="I77" s="3">
        <v>29.824990202257698</v>
      </c>
      <c r="J77" s="3">
        <v>22.077193524247999</v>
      </c>
      <c r="K77" s="3">
        <v>18.447506379148098</v>
      </c>
      <c r="L77" s="3">
        <v>19.893271946184999</v>
      </c>
      <c r="M77" s="3">
        <v>18.3378146547211</v>
      </c>
      <c r="N77" s="3">
        <v>14.815388534663599</v>
      </c>
    </row>
    <row r="78" spans="1:14" x14ac:dyDescent="0.35">
      <c r="A78" s="2">
        <v>44146</v>
      </c>
      <c r="B78" s="3">
        <v>32.9937032055781</v>
      </c>
      <c r="C78" s="3">
        <v>19.261795449331402</v>
      </c>
      <c r="D78" s="3">
        <v>16.145760442999102</v>
      </c>
      <c r="E78" s="3">
        <v>16.162697493570899</v>
      </c>
      <c r="F78" s="3">
        <v>18.516088237581499</v>
      </c>
      <c r="G78" s="3">
        <v>19.048940851757099</v>
      </c>
      <c r="H78" s="3">
        <v>14.858083331065499</v>
      </c>
      <c r="I78" s="3">
        <v>29.131570390979</v>
      </c>
      <c r="J78" s="3">
        <v>21.832974758602202</v>
      </c>
      <c r="K78" s="3">
        <v>19.171428787141998</v>
      </c>
      <c r="L78" s="3">
        <v>20.619540193803399</v>
      </c>
      <c r="M78" s="3">
        <v>17.149141721201701</v>
      </c>
      <c r="N78" s="3">
        <v>14.8602130540076</v>
      </c>
    </row>
    <row r="79" spans="1:14" x14ac:dyDescent="0.35">
      <c r="A79" s="2">
        <v>44176</v>
      </c>
      <c r="B79" s="3">
        <v>33.229776290467001</v>
      </c>
      <c r="C79" s="3">
        <v>19.254131767378301</v>
      </c>
      <c r="D79" s="3">
        <v>16.1704747839626</v>
      </c>
      <c r="E79" s="3">
        <v>15.7093616352893</v>
      </c>
      <c r="F79" s="3">
        <v>18.482922357873701</v>
      </c>
      <c r="G79" s="3">
        <v>18.409198600848899</v>
      </c>
      <c r="H79" s="3">
        <v>14.799463156626199</v>
      </c>
      <c r="I79" s="3">
        <v>29.619207776131098</v>
      </c>
      <c r="J79" s="3">
        <v>21.832103410604201</v>
      </c>
      <c r="K79" s="3">
        <v>18.482260997412801</v>
      </c>
      <c r="L79" s="3">
        <v>20.2011656746262</v>
      </c>
      <c r="M79" s="3">
        <v>17.174245119859499</v>
      </c>
      <c r="N79" s="3">
        <v>14.7921811915182</v>
      </c>
    </row>
    <row r="80" spans="1:14" x14ac:dyDescent="0.35">
      <c r="A80" s="2">
        <v>44207</v>
      </c>
      <c r="B80" s="3">
        <v>34.3189478681902</v>
      </c>
      <c r="C80" s="3">
        <v>19.273089005235999</v>
      </c>
      <c r="D80" s="3">
        <v>16.1667006994007</v>
      </c>
      <c r="E80" s="3">
        <v>16.175176906480999</v>
      </c>
      <c r="F80" s="3">
        <v>18.720963889368299</v>
      </c>
      <c r="G80" s="3">
        <v>19.0330054440361</v>
      </c>
      <c r="H80" s="3">
        <v>14.709815058101601</v>
      </c>
      <c r="I80" s="3">
        <v>29.9074238272506</v>
      </c>
      <c r="J80" s="3">
        <v>22.4761158544033</v>
      </c>
      <c r="K80" s="3">
        <v>18.1056062110172</v>
      </c>
      <c r="L80" s="3">
        <v>21.026909022971601</v>
      </c>
      <c r="M80" s="3">
        <v>18.641899723465102</v>
      </c>
      <c r="N80" s="3">
        <v>14.9427126998914</v>
      </c>
    </row>
    <row r="81" spans="1:14" x14ac:dyDescent="0.35">
      <c r="A81" s="2">
        <v>44238</v>
      </c>
      <c r="B81" s="3">
        <v>31.961673698861599</v>
      </c>
      <c r="C81" s="3">
        <v>19.189058662722498</v>
      </c>
      <c r="D81" s="3">
        <v>16.182230763625402</v>
      </c>
      <c r="E81" s="3">
        <v>15.873958188662099</v>
      </c>
      <c r="F81" s="3">
        <v>18.9175726399273</v>
      </c>
      <c r="G81" s="3">
        <v>18.942724000044699</v>
      </c>
      <c r="H81" s="3">
        <v>13.949476834617199</v>
      </c>
      <c r="I81" s="3">
        <v>30.150357586553401</v>
      </c>
      <c r="J81" s="3">
        <v>22.171928386881898</v>
      </c>
      <c r="K81" s="3">
        <v>17.847092589477299</v>
      </c>
      <c r="L81" s="3">
        <v>22.4660990068584</v>
      </c>
      <c r="M81" s="3">
        <v>18.724153817189201</v>
      </c>
      <c r="N81" s="3">
        <v>14.3289421919993</v>
      </c>
    </row>
    <row r="82" spans="1:14" x14ac:dyDescent="0.35">
      <c r="A82" s="2">
        <v>44266</v>
      </c>
      <c r="B82" s="3">
        <v>31.8353417216934</v>
      </c>
      <c r="C82" s="3">
        <v>17.981785040402499</v>
      </c>
      <c r="D82" s="3">
        <v>15.5852539170192</v>
      </c>
      <c r="E82" s="3">
        <v>15.979753299864599</v>
      </c>
      <c r="F82" s="3">
        <v>17.702728907340401</v>
      </c>
      <c r="G82" s="3">
        <v>18.636689888681499</v>
      </c>
      <c r="H82" s="3">
        <v>14.0823871362135</v>
      </c>
      <c r="I82" s="3">
        <v>27.994959662916202</v>
      </c>
      <c r="J82" s="3">
        <v>21.903397369318402</v>
      </c>
      <c r="K82" s="3">
        <v>18.4374405376889</v>
      </c>
      <c r="L82" s="3">
        <v>21.935228575453099</v>
      </c>
      <c r="M82" s="3">
        <v>20.096071294357898</v>
      </c>
      <c r="N82" s="3">
        <v>13.984067020280801</v>
      </c>
    </row>
    <row r="83" spans="1:14" x14ac:dyDescent="0.35">
      <c r="A83" s="2">
        <v>44295</v>
      </c>
      <c r="B83" s="3">
        <v>32.257058569745801</v>
      </c>
      <c r="C83" s="3">
        <v>18.082195436540498</v>
      </c>
      <c r="D83" s="3">
        <v>15.6017763665735</v>
      </c>
      <c r="E83" s="3">
        <v>16.240469114610399</v>
      </c>
      <c r="F83" s="3">
        <v>17.486929713860501</v>
      </c>
      <c r="G83" s="3">
        <v>19.431866213927499</v>
      </c>
      <c r="H83" s="3">
        <v>13.5394059689414</v>
      </c>
      <c r="I83" s="3">
        <v>29.443319424963398</v>
      </c>
      <c r="J83" s="3">
        <v>22.506885036705899</v>
      </c>
      <c r="K83" s="3">
        <v>18.335940659116901</v>
      </c>
      <c r="L83" s="3">
        <v>22.884572283335501</v>
      </c>
      <c r="M83" s="3">
        <v>20.6106303205753</v>
      </c>
      <c r="N83" s="3">
        <v>13.8515871782921</v>
      </c>
    </row>
    <row r="84" spans="1:14" x14ac:dyDescent="0.35">
      <c r="A84" s="2">
        <v>44327</v>
      </c>
      <c r="B84" s="3">
        <v>32.902193180933402</v>
      </c>
      <c r="C84" s="3">
        <v>18.0681195699038</v>
      </c>
      <c r="D84" s="3">
        <v>15.438227557426799</v>
      </c>
      <c r="E84" s="3">
        <v>14.728061729045899</v>
      </c>
      <c r="F84" s="3">
        <v>16.608830759077801</v>
      </c>
      <c r="G84" s="3">
        <v>18.756354951486902</v>
      </c>
      <c r="H84" s="3">
        <v>13.180125524806799</v>
      </c>
      <c r="I84" s="3">
        <v>26.553975124990401</v>
      </c>
      <c r="J84" s="3">
        <v>21.249886580779599</v>
      </c>
      <c r="K84" s="3">
        <v>17.585225515291199</v>
      </c>
      <c r="L84" s="3">
        <v>21.064274246712401</v>
      </c>
      <c r="M84" s="3">
        <v>17.746361659223801</v>
      </c>
      <c r="N84" s="3">
        <v>13.1546707212197</v>
      </c>
    </row>
    <row r="85" spans="1:14" x14ac:dyDescent="0.35">
      <c r="A85" s="2">
        <v>44358</v>
      </c>
      <c r="B85" s="3">
        <v>33.149293119320198</v>
      </c>
      <c r="C85" s="3">
        <v>18.127207576317499</v>
      </c>
      <c r="D85" s="3">
        <v>15.582146778551101</v>
      </c>
      <c r="E85" s="3">
        <v>15.018537786155299</v>
      </c>
      <c r="F85" s="3">
        <v>16.480393234941499</v>
      </c>
      <c r="G85" s="3">
        <v>19.893438135895401</v>
      </c>
      <c r="H85" s="3">
        <v>13.218660242375201</v>
      </c>
      <c r="I85" s="3">
        <v>27.400508489806899</v>
      </c>
      <c r="J85" s="3">
        <v>21.321503016641898</v>
      </c>
      <c r="K85" s="3">
        <v>17.995774689377299</v>
      </c>
      <c r="L85" s="3">
        <v>21.637078690848501</v>
      </c>
      <c r="M85" s="3">
        <v>18.696316529963099</v>
      </c>
      <c r="N85" s="3">
        <v>13.7436947531938</v>
      </c>
    </row>
    <row r="86" spans="1:14" x14ac:dyDescent="0.35">
      <c r="A86" s="2">
        <v>44386</v>
      </c>
      <c r="B86" s="3">
        <v>34.323605971582801</v>
      </c>
      <c r="C86" s="3">
        <v>17.0199912304574</v>
      </c>
      <c r="D86" s="3">
        <v>15.5256302553181</v>
      </c>
      <c r="E86" s="3">
        <v>14.702281825777</v>
      </c>
      <c r="F86" s="3">
        <v>15.8682687959974</v>
      </c>
      <c r="G86" s="3">
        <v>19.7674143893801</v>
      </c>
      <c r="H86" s="3">
        <v>12.6549612456171</v>
      </c>
      <c r="I86" s="3">
        <v>28.735735507926801</v>
      </c>
      <c r="J86" s="3">
        <v>21.611683394039702</v>
      </c>
      <c r="K86" s="3">
        <v>17.248995940130399</v>
      </c>
      <c r="L86" s="3">
        <v>21.0945241265939</v>
      </c>
      <c r="M86" s="3">
        <v>18.886115661660799</v>
      </c>
      <c r="N86" s="3">
        <v>13.134379470346801</v>
      </c>
    </row>
    <row r="87" spans="1:14" x14ac:dyDescent="0.35">
      <c r="A87" s="2">
        <v>44419</v>
      </c>
      <c r="B87" s="3">
        <v>33.786966955077901</v>
      </c>
      <c r="C87" s="3">
        <v>17.221766617484601</v>
      </c>
      <c r="D87" s="3">
        <v>15.1078359664142</v>
      </c>
      <c r="E87" s="3">
        <v>14.306231184463099</v>
      </c>
      <c r="F87" s="3">
        <v>15.8135862294264</v>
      </c>
      <c r="G87" s="3">
        <v>19.912565253748902</v>
      </c>
      <c r="H87" s="3">
        <v>12.448726122841</v>
      </c>
      <c r="I87" s="3">
        <v>27.812755636496298</v>
      </c>
      <c r="J87" s="3">
        <v>21.045527567961098</v>
      </c>
      <c r="K87" s="3">
        <v>16.873001589858202</v>
      </c>
      <c r="L87" s="3">
        <v>21.799261200584901</v>
      </c>
      <c r="M87" s="3">
        <v>18.705965796334301</v>
      </c>
      <c r="N87" s="3">
        <v>12.4119748862931</v>
      </c>
    </row>
    <row r="88" spans="1:14" x14ac:dyDescent="0.35">
      <c r="A88" s="2">
        <v>44449</v>
      </c>
      <c r="B88" s="3">
        <v>34.688577725070502</v>
      </c>
      <c r="C88" s="3">
        <v>17.016473567125701</v>
      </c>
      <c r="D88" s="3">
        <v>14.863504860944399</v>
      </c>
      <c r="E88" s="3">
        <v>14.027002608384</v>
      </c>
      <c r="F88" s="3">
        <v>16.1230625216707</v>
      </c>
      <c r="G88" s="3">
        <v>19.291137404274199</v>
      </c>
      <c r="H88" s="3">
        <v>11.976314975679999</v>
      </c>
      <c r="I88" s="3">
        <v>28.255653802455999</v>
      </c>
      <c r="J88" s="3">
        <v>20.8570526776756</v>
      </c>
      <c r="K88" s="3">
        <v>16.2113077780878</v>
      </c>
      <c r="L88" s="3">
        <v>21.737472888542499</v>
      </c>
      <c r="M88" s="3">
        <v>18.475843664768199</v>
      </c>
      <c r="N88" s="3">
        <v>11.719117586318299</v>
      </c>
    </row>
    <row r="89" spans="1:14" x14ac:dyDescent="0.35">
      <c r="A89" s="2">
        <v>44480</v>
      </c>
      <c r="B89" s="3">
        <v>33.589693216148802</v>
      </c>
      <c r="C89" s="3">
        <v>17.254234465607102</v>
      </c>
      <c r="D89" s="3">
        <v>14.557841287259301</v>
      </c>
      <c r="E89" s="3">
        <v>13.4698990622488</v>
      </c>
      <c r="F89" s="3">
        <v>15.1710522402891</v>
      </c>
      <c r="G89" s="3">
        <v>18.440787499336</v>
      </c>
      <c r="H89" s="3">
        <v>12.1561525105573</v>
      </c>
      <c r="I89" s="3">
        <v>26.852575816206901</v>
      </c>
      <c r="J89" s="3">
        <v>20.278168093228</v>
      </c>
      <c r="K89" s="3">
        <v>15.5196262508967</v>
      </c>
      <c r="L89" s="3">
        <v>20.171555021827199</v>
      </c>
      <c r="M89" s="3">
        <v>17.630829734189401</v>
      </c>
      <c r="N89" s="3">
        <v>11.615399947347001</v>
      </c>
    </row>
    <row r="90" spans="1:14" x14ac:dyDescent="0.35">
      <c r="A90" s="2">
        <v>44511</v>
      </c>
      <c r="B90" s="3">
        <v>33.386919179028602</v>
      </c>
      <c r="C90" s="3">
        <v>17.340521166986601</v>
      </c>
      <c r="D90" s="3">
        <v>14.981237394112901</v>
      </c>
      <c r="E90" s="3">
        <v>13.791651553329</v>
      </c>
      <c r="F90" s="3">
        <v>15.2131548410908</v>
      </c>
      <c r="G90" s="3">
        <v>19.335164133414601</v>
      </c>
      <c r="H90" s="3">
        <v>12.1852295422597</v>
      </c>
      <c r="I90" s="3">
        <v>29.1012371157892</v>
      </c>
      <c r="J90" s="3">
        <v>21.228267420665901</v>
      </c>
      <c r="K90" s="3">
        <v>15.9164898207513</v>
      </c>
      <c r="L90" s="3">
        <v>21.423722688064199</v>
      </c>
      <c r="M90" s="3">
        <v>18.756898389862499</v>
      </c>
      <c r="N90" s="3">
        <v>11.751245684555601</v>
      </c>
    </row>
    <row r="91" spans="1:14" x14ac:dyDescent="0.35">
      <c r="A91" s="2">
        <v>44540</v>
      </c>
      <c r="B91" s="3">
        <v>32.437050414225098</v>
      </c>
      <c r="C91" s="3">
        <v>17.2270474645054</v>
      </c>
      <c r="D91" s="3">
        <v>14.2121602392571</v>
      </c>
      <c r="E91" s="3">
        <v>13.2990535981244</v>
      </c>
      <c r="F91" s="3">
        <v>14.532284251199901</v>
      </c>
      <c r="G91" s="3">
        <v>19.339885542312199</v>
      </c>
      <c r="H91" s="3">
        <v>11.9373582331542</v>
      </c>
      <c r="I91" s="3">
        <v>29.199178944871999</v>
      </c>
      <c r="J91" s="3">
        <v>21.1865411819267</v>
      </c>
      <c r="K91" s="3">
        <v>15.556072641673801</v>
      </c>
      <c r="L91" s="3">
        <v>20.211059989213101</v>
      </c>
      <c r="M91" s="3">
        <v>18.999171537292</v>
      </c>
      <c r="N91" s="3">
        <v>10.8563034542595</v>
      </c>
    </row>
    <row r="92" spans="1:14" x14ac:dyDescent="0.35">
      <c r="A92" s="2">
        <v>44572</v>
      </c>
      <c r="B92" s="3">
        <v>31.5721355438606</v>
      </c>
      <c r="C92" s="3">
        <v>17.296331608498701</v>
      </c>
      <c r="D92" s="3">
        <v>14.394473156410101</v>
      </c>
      <c r="E92" s="3">
        <v>13.363982535773999</v>
      </c>
      <c r="F92" s="3">
        <v>14.4476579481745</v>
      </c>
      <c r="G92" s="3">
        <v>19.154052139712999</v>
      </c>
      <c r="H92" s="3">
        <v>12.3552529626355</v>
      </c>
      <c r="I92" s="3">
        <v>28.202864992577702</v>
      </c>
      <c r="J92" s="3">
        <v>20.983882852647099</v>
      </c>
      <c r="K92" s="3">
        <v>15.6790807182864</v>
      </c>
      <c r="L92" s="3">
        <v>19.867914985101098</v>
      </c>
      <c r="M92" s="3">
        <v>17.711967251595802</v>
      </c>
      <c r="N92" s="3">
        <v>11.1790075066485</v>
      </c>
    </row>
    <row r="93" spans="1:14" x14ac:dyDescent="0.35">
      <c r="A93" s="2">
        <v>44603</v>
      </c>
      <c r="B93" s="3">
        <v>30.002821874121</v>
      </c>
      <c r="C93" s="3">
        <v>15.9710431809822</v>
      </c>
      <c r="D93" s="3">
        <v>14.3682561642342</v>
      </c>
      <c r="E93" s="3">
        <v>12.8248312926141</v>
      </c>
      <c r="F93" s="3">
        <v>13.9109997209209</v>
      </c>
      <c r="G93" s="3">
        <v>18.345573487205002</v>
      </c>
      <c r="H93" s="3">
        <v>12.4026246604778</v>
      </c>
      <c r="I93" s="3">
        <v>25.076205120290801</v>
      </c>
      <c r="J93" s="3">
        <v>19.4146286105941</v>
      </c>
      <c r="K93" s="3">
        <v>14.643549542867</v>
      </c>
      <c r="L93" s="3">
        <v>18.404909822267602</v>
      </c>
      <c r="M93" s="3">
        <v>16.430317400705199</v>
      </c>
      <c r="N93" s="3">
        <v>10.6758535162701</v>
      </c>
    </row>
    <row r="94" spans="1:14" x14ac:dyDescent="0.35">
      <c r="A94" s="2">
        <v>44631</v>
      </c>
      <c r="B94" s="3">
        <v>28.666404040804601</v>
      </c>
      <c r="C94" s="3">
        <v>15.4753693266256</v>
      </c>
      <c r="D94" s="3">
        <v>13.526453986745601</v>
      </c>
      <c r="E94" s="3">
        <v>11.077053404893601</v>
      </c>
      <c r="F94" s="3">
        <v>12.325586924388499</v>
      </c>
      <c r="G94" s="3">
        <v>17.2783782289093</v>
      </c>
      <c r="H94" s="3">
        <v>11.3002413464471</v>
      </c>
      <c r="I94" s="3">
        <v>23.047884408759401</v>
      </c>
      <c r="J94" s="3">
        <v>18.186842899861301</v>
      </c>
      <c r="K94" s="3">
        <v>13.0027329203982</v>
      </c>
      <c r="L94" s="3">
        <v>16.6233333739332</v>
      </c>
      <c r="M94" s="3">
        <v>14.733313390745099</v>
      </c>
      <c r="N94" s="3">
        <v>9.1821889784922401</v>
      </c>
    </row>
    <row r="95" spans="1:14" x14ac:dyDescent="0.35">
      <c r="A95" s="2">
        <v>44662</v>
      </c>
      <c r="B95" s="3">
        <v>28.3278762567478</v>
      </c>
      <c r="C95" s="3">
        <v>15.8531807318743</v>
      </c>
      <c r="D95" s="3">
        <v>13.3920569808281</v>
      </c>
      <c r="E95" s="3">
        <v>11.394584528838999</v>
      </c>
      <c r="F95" s="3">
        <v>12.8436398543164</v>
      </c>
      <c r="G95" s="3">
        <v>18.681740434286301</v>
      </c>
      <c r="H95" s="3">
        <v>11.2400857069692</v>
      </c>
      <c r="I95" s="3">
        <v>24.073458386133801</v>
      </c>
      <c r="J95" s="3">
        <v>18.853170560086699</v>
      </c>
      <c r="K95" s="3">
        <v>13.2066462748093</v>
      </c>
      <c r="L95" s="3">
        <v>17.610059238267901</v>
      </c>
      <c r="M95" s="3">
        <v>14.9725016124632</v>
      </c>
      <c r="N95" s="3">
        <v>9.6939694123404898</v>
      </c>
    </row>
    <row r="96" spans="1:14" x14ac:dyDescent="0.35">
      <c r="A96" s="2">
        <v>44692</v>
      </c>
      <c r="B96" s="3">
        <v>27.843531172671302</v>
      </c>
      <c r="C96" s="3">
        <v>14.149024800812001</v>
      </c>
      <c r="D96" s="3">
        <v>11.920747477160001</v>
      </c>
      <c r="E96" s="3">
        <v>10.681805658294</v>
      </c>
      <c r="F96" s="3">
        <v>12.4213160174412</v>
      </c>
      <c r="G96" s="3">
        <v>16.840987814800901</v>
      </c>
      <c r="H96" s="3">
        <v>10.190351247317199</v>
      </c>
      <c r="I96" s="3">
        <v>20.773539184209898</v>
      </c>
      <c r="J96" s="3">
        <v>16.625315988625601</v>
      </c>
      <c r="K96" s="3">
        <v>12.1129146282885</v>
      </c>
      <c r="L96" s="3">
        <v>15.9935374967908</v>
      </c>
      <c r="M96" s="3">
        <v>15.6370023128172</v>
      </c>
      <c r="N96" s="3">
        <v>9.1260550893480694</v>
      </c>
    </row>
    <row r="97" spans="1:14" x14ac:dyDescent="0.35">
      <c r="A97" s="2">
        <v>44722</v>
      </c>
      <c r="B97" s="3">
        <v>26.025025820899</v>
      </c>
      <c r="C97" s="3">
        <v>13.453368530673499</v>
      </c>
      <c r="D97" s="3">
        <v>12.059516001118601</v>
      </c>
      <c r="E97" s="3">
        <v>10.490052045548101</v>
      </c>
      <c r="F97" s="3">
        <v>12.9388352819487</v>
      </c>
      <c r="G97" s="3">
        <v>15.9733284461668</v>
      </c>
      <c r="H97" s="3">
        <v>9.9884807650701202</v>
      </c>
      <c r="I97" s="3">
        <v>20.374703921414099</v>
      </c>
      <c r="J97" s="3">
        <v>16.297850933478099</v>
      </c>
      <c r="K97" s="3">
        <v>11.750528814555301</v>
      </c>
      <c r="L97" s="3">
        <v>16.606528812537299</v>
      </c>
      <c r="M97" s="3">
        <v>15.192987101441499</v>
      </c>
      <c r="N97" s="3">
        <v>8.1645442922353197</v>
      </c>
    </row>
    <row r="98" spans="1:14" x14ac:dyDescent="0.35">
      <c r="A98" s="2">
        <v>44753</v>
      </c>
      <c r="B98" s="3">
        <v>25.864418330061099</v>
      </c>
      <c r="C98" s="3">
        <v>12.702674872909199</v>
      </c>
      <c r="D98" s="3">
        <v>11.092153557795299</v>
      </c>
      <c r="E98" s="3">
        <v>9.8015726860047607</v>
      </c>
      <c r="F98" s="3">
        <v>12.603885813679399</v>
      </c>
      <c r="G98" s="3">
        <v>16.107769001346199</v>
      </c>
      <c r="H98" s="3">
        <v>9.4683732312860194</v>
      </c>
      <c r="I98" s="3">
        <v>20.546745496654701</v>
      </c>
      <c r="J98" s="3">
        <v>16.0864468299132</v>
      </c>
      <c r="K98" s="3">
        <v>11.1085635980339</v>
      </c>
      <c r="L98" s="3">
        <v>16.086037674000298</v>
      </c>
      <c r="M98" s="3">
        <v>14.548442626863601</v>
      </c>
      <c r="N98" s="3">
        <v>7.7839779919698904</v>
      </c>
    </row>
    <row r="99" spans="1:14" x14ac:dyDescent="0.35">
      <c r="A99" s="2">
        <v>44784</v>
      </c>
      <c r="B99" s="3">
        <v>26.571319540855999</v>
      </c>
      <c r="C99" s="3">
        <v>14.164866447333401</v>
      </c>
      <c r="D99" s="3">
        <v>11.7380472699879</v>
      </c>
      <c r="E99" s="3">
        <v>10.2843964888198</v>
      </c>
      <c r="F99" s="3">
        <v>12.6949211882797</v>
      </c>
      <c r="G99" s="3">
        <v>17.012871856975298</v>
      </c>
      <c r="H99" s="3">
        <v>9.8335573581690294</v>
      </c>
      <c r="I99" s="3">
        <v>23.699319730436699</v>
      </c>
      <c r="J99" s="3">
        <v>17.758503337206399</v>
      </c>
      <c r="K99" s="3">
        <v>11.871315263124901</v>
      </c>
      <c r="L99" s="3">
        <v>17.813971304426399</v>
      </c>
      <c r="M99" s="3">
        <v>15.068476410716301</v>
      </c>
      <c r="N99" s="3">
        <v>7.7696884908353399</v>
      </c>
    </row>
    <row r="100" spans="1:14" x14ac:dyDescent="0.35">
      <c r="A100" s="2">
        <v>44813</v>
      </c>
      <c r="B100" s="3">
        <v>27.0220488287042</v>
      </c>
      <c r="C100" s="3">
        <v>13.6558920110344</v>
      </c>
      <c r="D100" s="3">
        <v>11.626240581114899</v>
      </c>
      <c r="E100" s="3">
        <v>9.8114101378520697</v>
      </c>
      <c r="F100" s="3">
        <v>12.849589190331001</v>
      </c>
      <c r="G100" s="3">
        <v>16.201735306469999</v>
      </c>
      <c r="H100" s="3">
        <v>9.3113985817199101</v>
      </c>
      <c r="I100" s="3">
        <v>22.319863677090702</v>
      </c>
      <c r="J100" s="3">
        <v>17.096969697118901</v>
      </c>
      <c r="K100" s="3">
        <v>11.217122860991299</v>
      </c>
      <c r="L100" s="3">
        <v>16.2211275956255</v>
      </c>
      <c r="M100" s="3">
        <v>14.100412797836199</v>
      </c>
      <c r="N100" s="3">
        <v>7.64621193624032</v>
      </c>
    </row>
    <row r="101" spans="1:14" x14ac:dyDescent="0.35">
      <c r="A101" s="2">
        <v>44845</v>
      </c>
      <c r="B101" s="3">
        <v>23.702079487114201</v>
      </c>
      <c r="C101" s="3">
        <v>12.8345208882583</v>
      </c>
      <c r="D101" s="3">
        <v>10.6334838230127</v>
      </c>
      <c r="E101" s="3">
        <v>9.0478599218191196</v>
      </c>
      <c r="F101" s="3">
        <v>12.0974591836804</v>
      </c>
      <c r="G101" s="3">
        <v>14.796269903738001</v>
      </c>
      <c r="H101" s="3">
        <v>8.5711551083067494</v>
      </c>
      <c r="I101" s="3">
        <v>19.232779203074699</v>
      </c>
      <c r="J101" s="3">
        <v>15.1891950320764</v>
      </c>
      <c r="K101" s="3">
        <v>10.3520759711799</v>
      </c>
      <c r="L101" s="3">
        <v>14.0476674113243</v>
      </c>
      <c r="M101" s="3">
        <v>12.940129087087501</v>
      </c>
      <c r="N101" s="3">
        <v>7.2512160855449803</v>
      </c>
    </row>
    <row r="102" spans="1:14" x14ac:dyDescent="0.35">
      <c r="A102" s="2">
        <v>44876</v>
      </c>
      <c r="B102" s="3">
        <v>23.516688413296201</v>
      </c>
      <c r="C102" s="3">
        <v>14.26953039134</v>
      </c>
      <c r="D102" s="3">
        <v>11.956472095347801</v>
      </c>
      <c r="E102" s="3">
        <v>10.704598021815301</v>
      </c>
      <c r="F102" s="3">
        <v>12.881688779773199</v>
      </c>
      <c r="G102" s="3">
        <v>16.979621944777499</v>
      </c>
      <c r="H102" s="3">
        <v>9.3916587337376107</v>
      </c>
      <c r="I102" s="3">
        <v>22.014863343859801</v>
      </c>
      <c r="J102" s="3">
        <v>17.3034950497693</v>
      </c>
      <c r="K102" s="3">
        <v>11.8858695894584</v>
      </c>
      <c r="L102" s="3">
        <v>16.293865261173799</v>
      </c>
      <c r="M102" s="3">
        <v>13.240135921201301</v>
      </c>
      <c r="N102" s="3">
        <v>8.2903370569823291</v>
      </c>
    </row>
    <row r="103" spans="1:14" x14ac:dyDescent="0.35">
      <c r="A103" s="2">
        <v>44904</v>
      </c>
      <c r="B103" s="3">
        <v>23.2466483788271</v>
      </c>
      <c r="C103" s="3">
        <v>14.453192080048799</v>
      </c>
      <c r="D103" s="3">
        <v>12.159486171524099</v>
      </c>
      <c r="E103" s="3">
        <v>10.7051481635387</v>
      </c>
      <c r="F103" s="3">
        <v>12.750040595522901</v>
      </c>
      <c r="G103" s="3">
        <v>16.781087288449001</v>
      </c>
      <c r="H103" s="3">
        <v>9.94151917243423</v>
      </c>
      <c r="I103" s="3">
        <v>21.462161439793501</v>
      </c>
      <c r="J103" s="3">
        <v>17.029096111950999</v>
      </c>
      <c r="K103" s="3">
        <v>12.144143933622299</v>
      </c>
      <c r="L103" s="3">
        <v>16.342847567862499</v>
      </c>
      <c r="M103" s="3">
        <v>13.2761821999965</v>
      </c>
      <c r="N103" s="3">
        <v>7.7910508857829299</v>
      </c>
    </row>
    <row r="104" spans="1:14" x14ac:dyDescent="0.35">
      <c r="A104" s="2">
        <v>44937</v>
      </c>
      <c r="B104" s="3">
        <v>23.431725048813998</v>
      </c>
      <c r="C104" s="3">
        <v>14.2521793611965</v>
      </c>
      <c r="D104" s="3">
        <v>12.3983011768509</v>
      </c>
      <c r="E104" s="3">
        <v>11.3025345171243</v>
      </c>
      <c r="F104" s="3">
        <v>12.3443907474526</v>
      </c>
      <c r="G104" s="3">
        <v>17.123578587953698</v>
      </c>
      <c r="H104" s="3">
        <v>10.209102659802999</v>
      </c>
      <c r="I104" s="3">
        <v>21.720094288369499</v>
      </c>
      <c r="J104" s="3">
        <v>17.249018700018901</v>
      </c>
      <c r="K104" s="3">
        <v>12.709134656597101</v>
      </c>
      <c r="L104" s="3">
        <v>16.828350863574201</v>
      </c>
      <c r="M104" s="3">
        <v>13.6234290778399</v>
      </c>
      <c r="N104" s="3">
        <v>8.1583034203766207</v>
      </c>
    </row>
    <row r="105" spans="1:14" x14ac:dyDescent="0.35">
      <c r="A105" s="2">
        <v>44967</v>
      </c>
      <c r="B105" s="3">
        <v>24.4308318321944</v>
      </c>
      <c r="C105" s="3">
        <v>14.822442698247199</v>
      </c>
      <c r="D105" s="3">
        <v>12.880529812131901</v>
      </c>
      <c r="E105" s="3">
        <v>11.6378126646984</v>
      </c>
      <c r="F105" s="3">
        <v>13.046294514830899</v>
      </c>
      <c r="G105" s="3">
        <v>17.033805211601901</v>
      </c>
      <c r="H105" s="3">
        <v>10.5513876867065</v>
      </c>
      <c r="I105" s="3">
        <v>23.789883515000501</v>
      </c>
      <c r="J105" s="3">
        <v>18.0459977713077</v>
      </c>
      <c r="K105" s="3">
        <v>13.1139805184522</v>
      </c>
      <c r="L105" s="3">
        <v>16.870120907587701</v>
      </c>
      <c r="M105" s="3">
        <v>13.9522418566358</v>
      </c>
      <c r="N105" s="3">
        <v>8.4001322415510806</v>
      </c>
    </row>
    <row r="106" spans="1:14" x14ac:dyDescent="0.35">
      <c r="A106" s="2">
        <v>44995</v>
      </c>
      <c r="B106" s="3">
        <v>23.112869183847899</v>
      </c>
      <c r="C106" s="3">
        <v>14.132160683637199</v>
      </c>
      <c r="D106" s="3">
        <v>12.4714298839436</v>
      </c>
      <c r="E106" s="3">
        <v>11.471717465613899</v>
      </c>
      <c r="F106" s="3">
        <v>13.276627516284501</v>
      </c>
      <c r="G106" s="3">
        <v>16.650808195795101</v>
      </c>
      <c r="H106" s="3">
        <v>10.3258797280825</v>
      </c>
      <c r="I106" s="3">
        <v>22.620721561266599</v>
      </c>
      <c r="J106" s="3">
        <v>16.956878164391799</v>
      </c>
      <c r="K106" s="3">
        <v>13.145556801423099</v>
      </c>
      <c r="L106" s="3">
        <v>16.186811518452402</v>
      </c>
      <c r="M106" s="3">
        <v>13.7023566875891</v>
      </c>
      <c r="N106" s="3">
        <v>8.5595105920185706</v>
      </c>
    </row>
    <row r="107" spans="1:14" x14ac:dyDescent="0.35">
      <c r="A107" s="2">
        <v>45027</v>
      </c>
      <c r="B107" s="3">
        <v>23.352609508445202</v>
      </c>
      <c r="C107" s="3">
        <v>14.579912865383299</v>
      </c>
      <c r="D107" s="3">
        <v>12.8849376191797</v>
      </c>
      <c r="E107" s="3">
        <v>11.358818587671101</v>
      </c>
      <c r="F107" s="3">
        <v>13.093367918261</v>
      </c>
      <c r="G107" s="3">
        <v>17.3460177269749</v>
      </c>
      <c r="H107" s="3">
        <v>10.6396540475034</v>
      </c>
      <c r="I107" s="3">
        <v>24.5587234606508</v>
      </c>
      <c r="J107" s="3">
        <v>18.069691678182899</v>
      </c>
      <c r="K107" s="3">
        <v>13.4362302838078</v>
      </c>
      <c r="L107" s="3">
        <v>16.331331248974799</v>
      </c>
      <c r="M107" s="3">
        <v>13.647461163719599</v>
      </c>
      <c r="N107" s="3">
        <v>8.6458488113212706</v>
      </c>
    </row>
    <row r="108" spans="1:14" x14ac:dyDescent="0.35">
      <c r="A108" s="2">
        <v>45057</v>
      </c>
      <c r="B108" s="3">
        <v>23.393652333776501</v>
      </c>
      <c r="C108" s="3">
        <v>14.631264313976001</v>
      </c>
      <c r="D108" s="3">
        <v>13.0102907485771</v>
      </c>
      <c r="E108" s="3">
        <v>11.0546087395791</v>
      </c>
      <c r="F108" s="3">
        <v>13.6351573960198</v>
      </c>
      <c r="G108" s="3">
        <v>17.528841944663601</v>
      </c>
      <c r="H108" s="3">
        <v>10.4763236372431</v>
      </c>
      <c r="I108" s="3">
        <v>24.711849065995999</v>
      </c>
      <c r="J108" s="3">
        <v>17.975155123865299</v>
      </c>
      <c r="K108" s="3">
        <v>13.337269592918499</v>
      </c>
      <c r="L108" s="3">
        <v>15.608338922297101</v>
      </c>
      <c r="M108" s="3">
        <v>13.465455787011299</v>
      </c>
      <c r="N108" s="3">
        <v>8.3172982118222691</v>
      </c>
    </row>
    <row r="109" spans="1:14" x14ac:dyDescent="0.35">
      <c r="A109" s="2">
        <v>45086</v>
      </c>
      <c r="B109" s="3">
        <v>20.686226303935602</v>
      </c>
      <c r="C109" s="3">
        <v>14.5726792864749</v>
      </c>
      <c r="D109" s="3">
        <v>12.853799126184899</v>
      </c>
      <c r="E109" s="3">
        <v>10.7651912296208</v>
      </c>
      <c r="F109" s="3">
        <v>14.556397133742999</v>
      </c>
      <c r="G109" s="3">
        <v>16.4810585049268</v>
      </c>
      <c r="H109" s="3">
        <v>10.296823183812601</v>
      </c>
      <c r="I109" s="3">
        <v>26.083990951441901</v>
      </c>
      <c r="J109" s="3">
        <v>18.501837128770699</v>
      </c>
      <c r="K109" s="3">
        <v>13.0086664486207</v>
      </c>
      <c r="L109" s="3">
        <v>15.6427384978921</v>
      </c>
      <c r="M109" s="3">
        <v>13.7103782183028</v>
      </c>
      <c r="N109" s="3">
        <v>8.5631520822216007</v>
      </c>
    </row>
    <row r="110" spans="1:14" x14ac:dyDescent="0.35">
      <c r="A110" s="2">
        <v>45118</v>
      </c>
      <c r="B110" s="3">
        <v>20.911280705462001</v>
      </c>
      <c r="C110" s="3">
        <v>14.740350790179701</v>
      </c>
      <c r="D110" s="3">
        <v>12.859196310292599</v>
      </c>
      <c r="E110" s="3">
        <v>10.558241726727299</v>
      </c>
      <c r="F110" s="3">
        <v>14.442733776643101</v>
      </c>
      <c r="G110" s="3">
        <v>16.241318696317698</v>
      </c>
      <c r="H110" s="3">
        <v>10.094735368475201</v>
      </c>
      <c r="I110" s="3">
        <v>26.532707138149298</v>
      </c>
      <c r="J110" s="3">
        <v>19.0726029348547</v>
      </c>
      <c r="K110" s="3">
        <v>12.952013153287499</v>
      </c>
      <c r="L110" s="3">
        <v>15.6326495298696</v>
      </c>
      <c r="M110" s="3">
        <v>13.283042636058701</v>
      </c>
      <c r="N110" s="3">
        <v>8.7075451325264392</v>
      </c>
    </row>
    <row r="111" spans="1:14" x14ac:dyDescent="0.35">
      <c r="A111" s="2">
        <v>45149</v>
      </c>
      <c r="B111" s="3">
        <v>20.508116515971501</v>
      </c>
      <c r="C111" s="3">
        <v>15.4037629449184</v>
      </c>
      <c r="D111" s="3">
        <v>13.261257567465799</v>
      </c>
      <c r="E111" s="3">
        <v>10.6329017311486</v>
      </c>
      <c r="F111" s="3">
        <v>14.5307347833241</v>
      </c>
      <c r="G111" s="3">
        <v>16.593396458618599</v>
      </c>
      <c r="H111" s="3">
        <v>10.503761804625</v>
      </c>
      <c r="I111" s="3">
        <v>24.446268752625599</v>
      </c>
      <c r="J111" s="3">
        <v>18.901903786032499</v>
      </c>
      <c r="K111" s="3">
        <v>13.0827653277683</v>
      </c>
      <c r="L111" s="3">
        <v>15.2821923786263</v>
      </c>
      <c r="M111" s="3">
        <v>13.0924612303311</v>
      </c>
      <c r="N111" s="3">
        <v>8.2821661749431392</v>
      </c>
    </row>
    <row r="112" spans="1:14" x14ac:dyDescent="0.35">
      <c r="A112" s="2">
        <v>45180</v>
      </c>
      <c r="B112" s="3">
        <v>20.217469834674699</v>
      </c>
      <c r="C112" s="3">
        <v>15.3374949556746</v>
      </c>
      <c r="D112" s="3">
        <v>13.0550904354086</v>
      </c>
      <c r="E112" s="3">
        <v>10.595828500821099</v>
      </c>
      <c r="F112" s="3">
        <v>14.671999501377099</v>
      </c>
      <c r="G112" s="3">
        <v>16.398226983048801</v>
      </c>
      <c r="H112" s="3">
        <v>10.385466194844</v>
      </c>
      <c r="I112" s="3">
        <v>24.4872896039411</v>
      </c>
      <c r="J112" s="3">
        <v>18.711981588610399</v>
      </c>
      <c r="K112" s="3">
        <v>12.8635689076158</v>
      </c>
      <c r="L112" s="3">
        <v>14.271909438568599</v>
      </c>
      <c r="M112" s="3">
        <v>13.024524924572001</v>
      </c>
      <c r="N112" s="3">
        <v>8.4333578488603305</v>
      </c>
    </row>
    <row r="113" spans="1:25" x14ac:dyDescent="0.35">
      <c r="A113" s="2">
        <v>45210</v>
      </c>
      <c r="B113" s="3">
        <v>19.9174420064607</v>
      </c>
      <c r="C113" s="3">
        <v>14.872971194338</v>
      </c>
      <c r="D113" s="3">
        <v>12.647144345744399</v>
      </c>
      <c r="E113" s="3">
        <v>10.338405265832399</v>
      </c>
      <c r="F113" s="3">
        <v>14.254649771704401</v>
      </c>
      <c r="G113" s="3">
        <v>16.315552280294401</v>
      </c>
      <c r="H113" s="3">
        <v>10.4682635231545</v>
      </c>
      <c r="I113" s="3">
        <v>23.890029524222498</v>
      </c>
      <c r="J113" s="3">
        <v>18.177847199438698</v>
      </c>
      <c r="K113" s="3">
        <v>12.4841629319069</v>
      </c>
      <c r="L113" s="3">
        <v>13.7148069202907</v>
      </c>
      <c r="M113" s="3">
        <v>13.1391250558575</v>
      </c>
      <c r="N113" s="3">
        <v>8.2367150758833692</v>
      </c>
    </row>
    <row r="114" spans="1:25" x14ac:dyDescent="0.35">
      <c r="A114" s="2">
        <v>45240</v>
      </c>
      <c r="B114" s="3">
        <v>20.092742270674801</v>
      </c>
      <c r="C114" s="3">
        <v>14.7527074569694</v>
      </c>
      <c r="D114" s="3">
        <v>12.4872963005758</v>
      </c>
      <c r="E114" s="3">
        <v>10.256169930466999</v>
      </c>
      <c r="F114" s="3">
        <v>14.2218305339527</v>
      </c>
      <c r="G114" s="3">
        <v>15.7195907330994</v>
      </c>
      <c r="H114" s="3">
        <v>10.070236203153801</v>
      </c>
      <c r="I114" s="3">
        <v>23.991423499685801</v>
      </c>
      <c r="J114" s="3">
        <v>18.256596475232399</v>
      </c>
      <c r="K114" s="3">
        <v>12.4353552357616</v>
      </c>
      <c r="L114" s="3">
        <v>14.0587137534642</v>
      </c>
      <c r="M114" s="3">
        <v>12.7984855615799</v>
      </c>
      <c r="N114" s="3">
        <v>8.0912472326038092</v>
      </c>
    </row>
    <row r="115" spans="1:25" x14ac:dyDescent="0.35">
      <c r="A115" s="2">
        <v>45271</v>
      </c>
      <c r="B115" s="3">
        <v>21.7202830387421</v>
      </c>
      <c r="C115" s="3">
        <v>15.400957452178501</v>
      </c>
      <c r="D115" s="3">
        <v>13.161139691665699</v>
      </c>
      <c r="E115" s="3">
        <v>11.249148321835699</v>
      </c>
      <c r="F115" s="3">
        <v>14.074154618433701</v>
      </c>
      <c r="G115" s="3">
        <v>16.605659191729998</v>
      </c>
      <c r="H115" s="3">
        <v>10.6226045684464</v>
      </c>
      <c r="I115" s="3">
        <v>24.504333385889201</v>
      </c>
      <c r="J115" s="3">
        <v>18.896761141329101</v>
      </c>
      <c r="K115" s="3">
        <v>13.330502277570799</v>
      </c>
      <c r="L115" s="3">
        <v>14.9563333866682</v>
      </c>
      <c r="M115" s="3">
        <v>15.249460766705401</v>
      </c>
      <c r="N115" s="3">
        <v>8.8451883366657302</v>
      </c>
    </row>
    <row r="116" spans="1:25" x14ac:dyDescent="0.35">
      <c r="A116" s="2">
        <v>45302</v>
      </c>
      <c r="B116" s="3">
        <v>22.898048080623401</v>
      </c>
      <c r="C116" s="3">
        <v>16.157713347636399</v>
      </c>
      <c r="D116" s="3">
        <v>13.5955195424149</v>
      </c>
      <c r="E116" s="3">
        <v>11.013007903713801</v>
      </c>
      <c r="F116" s="3">
        <v>14.7111985333405</v>
      </c>
      <c r="G116" s="3">
        <v>16.883163278205</v>
      </c>
      <c r="H116" s="3">
        <v>10.9007739796238</v>
      </c>
      <c r="I116" s="3">
        <v>24.9678550741727</v>
      </c>
      <c r="J116" s="3">
        <v>19.533416080798599</v>
      </c>
      <c r="K116" s="3">
        <v>13.184712583186499</v>
      </c>
      <c r="L116" s="3">
        <v>14.691136602144301</v>
      </c>
      <c r="M116" s="3">
        <v>15.236273075382099</v>
      </c>
      <c r="N116" s="3">
        <v>8.8863826269650694</v>
      </c>
    </row>
    <row r="117" spans="1:25" x14ac:dyDescent="0.35">
      <c r="A117" s="2">
        <v>45331</v>
      </c>
      <c r="B117" s="3">
        <v>22.2274988672056</v>
      </c>
      <c r="C117" s="3">
        <v>16.436646456317298</v>
      </c>
      <c r="D117" s="3">
        <v>13.893771261462501</v>
      </c>
      <c r="E117" s="3">
        <v>11.5220639326529</v>
      </c>
      <c r="F117" s="3">
        <v>15.015127191424501</v>
      </c>
      <c r="G117" s="3">
        <v>17.0331664846492</v>
      </c>
      <c r="H117" s="3">
        <v>11.0051009619906</v>
      </c>
      <c r="I117" s="3">
        <v>26.389464428184599</v>
      </c>
      <c r="J117" s="3">
        <v>20.397519981230499</v>
      </c>
      <c r="K117" s="3">
        <v>13.7989093968107</v>
      </c>
      <c r="L117" s="3">
        <v>16.292803910068699</v>
      </c>
      <c r="M117" s="3">
        <v>15.6974883778289</v>
      </c>
      <c r="N117" s="3">
        <v>9.0091752844517607</v>
      </c>
    </row>
    <row r="118" spans="1:25" x14ac:dyDescent="0.35">
      <c r="A118" s="2">
        <v>45362</v>
      </c>
      <c r="B118" s="3">
        <v>24.783105009623299</v>
      </c>
      <c r="C118" s="3">
        <v>16.5977296052783</v>
      </c>
      <c r="D118" s="3">
        <v>14.4639649026527</v>
      </c>
      <c r="E118" s="3">
        <v>12.0594268525348</v>
      </c>
      <c r="F118" s="3">
        <v>15.378451877741901</v>
      </c>
      <c r="G118" s="3">
        <v>17.7433276188432</v>
      </c>
      <c r="H118" s="3">
        <v>11.264790749098101</v>
      </c>
      <c r="I118" s="3">
        <v>25.935729479251702</v>
      </c>
      <c r="J118" s="3">
        <v>20.4771885753891</v>
      </c>
      <c r="K118" s="3">
        <v>14.442741638294001</v>
      </c>
      <c r="L118" s="3">
        <v>16.048459110029</v>
      </c>
      <c r="M118" s="3">
        <v>16.458144242341501</v>
      </c>
      <c r="N118" s="3">
        <v>9.425813180374</v>
      </c>
    </row>
    <row r="119" spans="1:25" x14ac:dyDescent="0.35">
      <c r="A119" s="2">
        <v>45393</v>
      </c>
      <c r="B119" s="3">
        <v>24.992781425320398</v>
      </c>
      <c r="C119" s="3">
        <v>16.710594339864901</v>
      </c>
      <c r="D119" s="3">
        <v>14.4626862124261</v>
      </c>
      <c r="E119" s="3">
        <v>11.998319040093101</v>
      </c>
      <c r="F119" s="3">
        <v>15.677916431125601</v>
      </c>
      <c r="G119" s="3">
        <v>17.164096693520101</v>
      </c>
      <c r="H119" s="3">
        <v>11.427792373482101</v>
      </c>
      <c r="I119" s="3">
        <v>26.128879323745199</v>
      </c>
      <c r="J119" s="3">
        <v>20.727599157666699</v>
      </c>
      <c r="K119" s="3">
        <v>14.3495141344497</v>
      </c>
      <c r="L119" s="3">
        <v>16.1780171280421</v>
      </c>
      <c r="M119" s="3">
        <v>16.155205500576699</v>
      </c>
      <c r="N119" s="3">
        <v>9.4932099429180408</v>
      </c>
    </row>
    <row r="120" spans="1:25" x14ac:dyDescent="0.35">
      <c r="A120" s="2">
        <v>45422</v>
      </c>
      <c r="B120" s="3">
        <v>25.144097666378801</v>
      </c>
      <c r="C120" s="3">
        <v>16.629598853641099</v>
      </c>
      <c r="D120" s="3">
        <v>14.470233614893999</v>
      </c>
      <c r="E120" s="3">
        <v>12.226299219007201</v>
      </c>
      <c r="F120" s="3">
        <v>15.318826271253499</v>
      </c>
      <c r="G120" s="3">
        <v>17.160922402842001</v>
      </c>
      <c r="H120" s="3">
        <v>11.927384769377699</v>
      </c>
      <c r="I120" s="3">
        <v>25.645637389427002</v>
      </c>
      <c r="J120" s="3">
        <v>20.475952650347399</v>
      </c>
      <c r="K120" s="3">
        <v>14.760093916816199</v>
      </c>
      <c r="L120" s="3">
        <v>16.138138323752798</v>
      </c>
      <c r="M120" s="3">
        <v>16.467775131116401</v>
      </c>
      <c r="N120" s="3">
        <v>9.7694569187658402</v>
      </c>
    </row>
    <row r="121" spans="1:25" x14ac:dyDescent="0.35">
      <c r="A121" s="2">
        <v>45454</v>
      </c>
      <c r="B121" s="3">
        <v>23.944863720867801</v>
      </c>
      <c r="C121" s="3">
        <v>16.742961463358402</v>
      </c>
      <c r="D121" s="3">
        <v>14.0085091155645</v>
      </c>
      <c r="E121" s="3">
        <v>11.830649933415801</v>
      </c>
      <c r="F121" s="3">
        <v>15.509393494587901</v>
      </c>
      <c r="G121" s="3">
        <v>17.265115691258099</v>
      </c>
      <c r="H121" s="3">
        <v>11.438031284707501</v>
      </c>
      <c r="I121" s="3">
        <v>26.506328354882399</v>
      </c>
      <c r="J121" s="3">
        <v>20.761907895336201</v>
      </c>
      <c r="K121" s="3">
        <v>13.9209824627701</v>
      </c>
      <c r="L121" s="3">
        <v>16.606737288769999</v>
      </c>
      <c r="M121" s="3">
        <v>16.072942623390102</v>
      </c>
      <c r="N121" s="3">
        <v>9.5134160385517106</v>
      </c>
    </row>
    <row r="122" spans="1:25" x14ac:dyDescent="0.35">
      <c r="A122" s="2">
        <v>45483</v>
      </c>
      <c r="B122" s="3">
        <v>24.415623610730201</v>
      </c>
      <c r="C122" s="3">
        <v>17.001612284353602</v>
      </c>
      <c r="D122" s="3">
        <v>14.1869990153247</v>
      </c>
      <c r="E122" s="3">
        <v>11.807159539009</v>
      </c>
      <c r="F122" s="3">
        <v>16.200434335485401</v>
      </c>
      <c r="G122" s="3">
        <v>17.1573122841002</v>
      </c>
      <c r="H122" s="3">
        <v>11.3959099502407</v>
      </c>
      <c r="I122" s="3">
        <v>27.501287347349901</v>
      </c>
      <c r="J122" s="3">
        <v>21.590413254622302</v>
      </c>
      <c r="K122" s="3">
        <v>13.5655338316322</v>
      </c>
      <c r="L122" s="3">
        <v>16.594851013667899</v>
      </c>
      <c r="M122" s="3">
        <v>15.8983938999432</v>
      </c>
      <c r="N122" s="3">
        <v>9.6366363711623997</v>
      </c>
    </row>
    <row r="124" spans="1:25" x14ac:dyDescent="0.35">
      <c r="A124" s="2" t="s">
        <v>91</v>
      </c>
      <c r="B124" s="3" cm="1">
        <f t="array" ref="B124">MIN(_xlfn._xlws.FILTER(B1:B122, ISNUMBER(B1:B122)))</f>
        <v>16.834209035957301</v>
      </c>
      <c r="C124" s="3" cm="1">
        <f t="array" ref="C124">MIN(_xlfn._xlws.FILTER(C1:C122, ISNUMBER(C1:C122)))</f>
        <v>12.702674872909199</v>
      </c>
      <c r="D124" s="3" cm="1">
        <f t="array" ref="D124">MIN(_xlfn._xlws.FILTER(D1:D122, ISNUMBER(D1:D122)))</f>
        <v>10.6334838230127</v>
      </c>
      <c r="E124" s="3" cm="1">
        <f t="array" ref="E124">MIN(_xlfn._xlws.FILTER(E1:E122, ISNUMBER(E1:E122)))</f>
        <v>9.0478599218191196</v>
      </c>
      <c r="F124" s="3" cm="1">
        <f t="array" ref="F124">MIN(_xlfn._xlws.FILTER(F1:F122, ISNUMBER(F1:F122)))</f>
        <v>11.464576670402099</v>
      </c>
      <c r="G124" s="3" cm="1">
        <f t="array" ref="G124">MIN(_xlfn._xlws.FILTER(G1:G122, ISNUMBER(G1:G122)))</f>
        <v>14.796269903738001</v>
      </c>
      <c r="H124" s="3" cm="1">
        <f t="array" ref="H124">MIN(_xlfn._xlws.FILTER(H1:H122, ISNUMBER(H1:H122)))</f>
        <v>8.5711551083067494</v>
      </c>
      <c r="I124" s="3" cm="1">
        <f t="array" ref="I124">MIN(_xlfn._xlws.FILTER(I1:I122, ISNUMBER(I1:I122)))</f>
        <v>16.016312574444498</v>
      </c>
      <c r="J124" s="3" cm="1">
        <f t="array" ref="J124">MIN(_xlfn._xlws.FILTER(J1:J122, ISNUMBER(J1:J122)))</f>
        <v>14.5264828399597</v>
      </c>
      <c r="K124" s="3" cm="1">
        <f t="array" ref="K124">MIN(_xlfn._xlws.FILTER(K1:K122, ISNUMBER(K1:K122)))</f>
        <v>10.3520759711799</v>
      </c>
      <c r="L124" s="3" cm="1">
        <f t="array" ref="L124">MIN(_xlfn._xlws.FILTER(L1:L122, ISNUMBER(L1:L122)))</f>
        <v>13.3741320426759</v>
      </c>
      <c r="M124" s="3" cm="1">
        <f t="array" ref="M124">MIN(_xlfn._xlws.FILTER(M1:M122, ISNUMBER(M1:M122)))</f>
        <v>12.7984855615799</v>
      </c>
      <c r="N124" s="3" cm="1">
        <f t="array" ref="N124">MIN(_xlfn._xlws.FILTER(N1:N122, ISNUMBER(N1:N122)))</f>
        <v>7.2512160855449803</v>
      </c>
    </row>
    <row r="125" spans="1:25" x14ac:dyDescent="0.35">
      <c r="A125" s="2" t="s">
        <v>92</v>
      </c>
      <c r="B125" s="3" cm="1">
        <f t="array" ref="B125">MAX(_xlfn._xlws.FILTER(B1:B122, ISNUMBER(B1:B122)))</f>
        <v>34.688577725070502</v>
      </c>
      <c r="C125" s="3" cm="1">
        <f t="array" ref="C125">MAX(_xlfn._xlws.FILTER(C1:C122, ISNUMBER(C1:C122)))</f>
        <v>19.527874151212899</v>
      </c>
      <c r="D125" s="3" cm="1">
        <f t="array" ref="D125">MAX(_xlfn._xlws.FILTER(D1:D122, ISNUMBER(D1:D122)))</f>
        <v>17.674745069575302</v>
      </c>
      <c r="E125" s="3" cm="1">
        <f t="array" ref="E125">MAX(_xlfn._xlws.FILTER(E1:E122, ISNUMBER(E1:E122)))</f>
        <v>18.308896687491899</v>
      </c>
      <c r="F125" s="3" cm="1">
        <f t="array" ref="F125">MAX(_xlfn._xlws.FILTER(F1:F122, ISNUMBER(F1:F122)))</f>
        <v>18.9175726399273</v>
      </c>
      <c r="G125" s="3" cm="1">
        <f t="array" ref="G125">MAX(_xlfn._xlws.FILTER(G1:G122, ISNUMBER(G1:G122)))</f>
        <v>19.912565253748902</v>
      </c>
      <c r="H125" s="3" cm="1">
        <f t="array" ref="H125">MAX(_xlfn._xlws.FILTER(H1:H122, ISNUMBER(H1:H122)))</f>
        <v>16.3529542493336</v>
      </c>
      <c r="I125" s="3" cm="1">
        <f t="array" ref="I125">MAX(_xlfn._xlws.FILTER(I1:I122, ISNUMBER(I1:I122)))</f>
        <v>30.150357586553401</v>
      </c>
      <c r="J125" s="3" cm="1">
        <f t="array" ref="J125">MAX(_xlfn._xlws.FILTER(J1:J122, ISNUMBER(J1:J122)))</f>
        <v>22.506885036705899</v>
      </c>
      <c r="K125" s="3" cm="1">
        <f t="array" ref="K125">MAX(_xlfn._xlws.FILTER(K1:K122, ISNUMBER(K1:K122)))</f>
        <v>20.045049073027698</v>
      </c>
      <c r="L125" s="3" cm="1">
        <f t="array" ref="L125">MAX(_xlfn._xlws.FILTER(L1:L122, ISNUMBER(L1:L122)))</f>
        <v>22.884572283335501</v>
      </c>
      <c r="M125" s="3" cm="1">
        <f t="array" ref="M125">MAX(_xlfn._xlws.FILTER(M1:M122, ISNUMBER(M1:M122)))</f>
        <v>20.6106303205753</v>
      </c>
      <c r="N125" s="3" cm="1">
        <f t="array" ref="N125">MAX(_xlfn._xlws.FILTER(N1:N122, ISNUMBER(N1:N122)))</f>
        <v>17.324407478026998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0.64700000000000002</v>
      </c>
      <c r="C127" s="9" cm="1">
        <f t="array" ref="C127">_xlfn.PERCENTRANK.EXC(_xlfn._xlws.FILTER(C1:C122, ISNUMBER(C1:C122)),C122)</f>
        <v>0.78600000000000003</v>
      </c>
      <c r="D127" s="9" cm="1">
        <f t="array" ref="D127">_xlfn.PERCENTRANK.EXC(_xlfn._xlws.FILTER(D1:D122, ISNUMBER(D1:D122)),D122)</f>
        <v>0.377</v>
      </c>
      <c r="E127" s="9" cm="1">
        <f t="array" ref="E127">_xlfn.PERCENTRANK.EXC(_xlfn._xlws.FILTER(E1:E122, ISNUMBER(E1:E122)),E122)</f>
        <v>0.26200000000000001</v>
      </c>
      <c r="F127" s="9" cm="1">
        <f t="array" ref="F127">_xlfn.PERCENTRANK.EXC(_xlfn._xlws.FILTER(F1:F122, ISNUMBER(F1:F122)),F122)</f>
        <v>0.88500000000000001</v>
      </c>
      <c r="G127" s="9" cm="1">
        <f t="array" ref="G127">_xlfn.PERCENTRANK.EXC(_xlfn._xlws.FILTER(G1:G122, ISNUMBER(G1:G122)),G122)</f>
        <v>0.53200000000000003</v>
      </c>
      <c r="H127" s="9" cm="1">
        <f t="array" ref="H127">_xlfn.PERCENTRANK.EXC(_xlfn._xlws.FILTER(H1:H122, ISNUMBER(H1:H122)),H122)</f>
        <v>0.22900000000000001</v>
      </c>
      <c r="I127" s="9" cm="1">
        <f t="array" ref="I127">_xlfn.PERCENTRANK.EXC(_xlfn._xlws.FILTER(I1:I122, ISNUMBER(I1:I122)),I122)</f>
        <v>0.86</v>
      </c>
      <c r="J127" s="9" cm="1">
        <f t="array" ref="J127">_xlfn.PERCENTRANK.EXC(_xlfn._xlws.FILTER(J1:J122, ISNUMBER(J1:J122)),J122)</f>
        <v>0.90100000000000002</v>
      </c>
      <c r="K127" s="9" cm="1">
        <f t="array" ref="K127">_xlfn.PERCENTRANK.EXC(_xlfn._xlws.FILTER(K1:K122, ISNUMBER(K1:K122)),K122)</f>
        <v>0.31900000000000001</v>
      </c>
      <c r="L127" s="9" cm="1">
        <f t="array" ref="L127">_xlfn.PERCENTRANK.EXC(_xlfn._xlws.FILTER(L1:L122, ISNUMBER(L1:L122)),L122)</f>
        <v>0.68</v>
      </c>
      <c r="M127" s="9" cm="1">
        <f t="array" ref="M127">_xlfn.PERCENTRANK.EXC(_xlfn._xlws.FILTER(M1:M122, ISNUMBER(M1:M122)),M122)</f>
        <v>0.56499999999999995</v>
      </c>
      <c r="N127" s="9" cm="1">
        <f t="array" ref="N127">_xlfn.PERCENTRANK.EXC(_xlfn._xlws.FILTER(N1:N122, ISNUMBER(N1:N122)),N122)</f>
        <v>0.23699999999999999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41831</v>
      </c>
      <c r="B2" s="3" cm="1">
        <f t="array" ref="B2:B122">_xll.FDS(B1,"FMA_DIV_YLD(NTMA,-10AY,0,AM,""PORTAGG"",""MEANR"")")</f>
        <v>4.4706559522873697</v>
      </c>
      <c r="C2" s="3" cm="1">
        <f t="array" ref="C2:C122">_xll.FDS(C1,"FMA_DIV_YLD(NTMA,-10AY,0,AM,""PORTAGG"",""MEANR"")")</f>
        <v>4.74636694716592</v>
      </c>
      <c r="D2" s="3" cm="1">
        <f t="array" ref="D2:D122">_xll.FDS(D1,"FMA_DIV_YLD(NTMA,-10AY,0,AM,""PORTAGG"",""MEANR"")")</f>
        <v>2.8071727138462501</v>
      </c>
      <c r="E2" s="3" cm="1">
        <f t="array" ref="E2:E122">_xll.FDS(E1,"FMA_DIV_YLD(NTMA,-10AY,0,AM,""PORTAGG"",""MEANR"")")</f>
        <v>3.1047782099557901</v>
      </c>
      <c r="F2" s="3" cm="1">
        <f t="array" ref="F2:F122">_xll.FDS(F1,"FMA_DIV_YLD(NTMA,-10AY,0,AM,""PORTAGG"",""MEANR"")")</f>
        <v>2.09376186010652</v>
      </c>
      <c r="G2" s="3" cm="1">
        <f t="array" ref="G2:G122">_xll.FDS(G1,"FMA_DIV_YLD(NTMA,-10AY,0,AM,""PORTAGG"",""MEANR"")")</f>
        <v>3.3614189513838602</v>
      </c>
      <c r="H2" s="3" cm="1">
        <f t="array" ref="H2:H122">_xll.FDS(H1,"FMA_DIV_YLD(NTMA,-10AY,0,AM,""PORTAGG"",""MEANR"")")</f>
        <v>3.9071045523781001</v>
      </c>
      <c r="I2" s="3" cm="1">
        <f t="array" ref="I2:I122">_xll.FDS(I1,"FMA_DIV_YLD(NTMA,-10AY,0,AM,""PORTAGG"",""MEANR"")")</f>
        <v>1.25295638039516</v>
      </c>
      <c r="J2" s="3" cm="1">
        <f t="array" ref="J2:J122">_xll.FDS(J1,"FMA_DIV_YLD(NTMA,-10AY,0,AM,""PORTAGG"",""MEANR"")")</f>
        <v>2.09999318935238</v>
      </c>
      <c r="K2" s="3" cm="1">
        <f t="array" ref="K2:K122">_xll.FDS(K1,"FMA_DIV_YLD(NTMA,-10AY,0,AM,""PORTAGG"",""MEANR"")")</f>
        <v>3.5309499366028598</v>
      </c>
      <c r="L2" s="3" cm="1">
        <f t="array" ref="L2:L122">_xll.FDS(L1,"FMA_DIV_YLD(NTMA,-10AY,0,AM,""PORTAGG"",""MEANR"")")</f>
        <v>2.8934778200279099</v>
      </c>
      <c r="M2" s="3" cm="1">
        <f t="array" ref="M2:M122">_xll.FDS(M1,"FMA_DIV_YLD(NTMA,-10AY,0,AM,""PORTAGG"",""MEANR"")")</f>
        <v>4.2206382373416096</v>
      </c>
      <c r="N2" s="3" cm="1">
        <f t="array" ref="N2:N122">_xll.FDS(N1,"FMA_DIV_YLD(NTMA,-10AY,0,AM,""PORTAGG"",""MEANR"")")</f>
        <v>3.5025622944953199</v>
      </c>
    </row>
    <row r="3" spans="1:14" x14ac:dyDescent="0.35">
      <c r="A3" s="2">
        <v>41862</v>
      </c>
      <c r="B3" s="3">
        <v>4.5693588510354397</v>
      </c>
      <c r="C3" s="3">
        <v>4.8102377872130599</v>
      </c>
      <c r="D3" s="3">
        <v>2.8065390556978702</v>
      </c>
      <c r="E3" s="3">
        <v>3.2626553155012901</v>
      </c>
      <c r="F3" s="3">
        <v>2.1122501062420702</v>
      </c>
      <c r="G3" s="3">
        <v>3.4294238429343902</v>
      </c>
      <c r="H3" s="3">
        <v>3.9806874208260199</v>
      </c>
      <c r="I3" s="3">
        <v>1.2629506521424301</v>
      </c>
      <c r="J3" s="3">
        <v>2.1490567428407501</v>
      </c>
      <c r="K3" s="3">
        <v>3.6610390361291998</v>
      </c>
      <c r="L3" s="3">
        <v>3.0614907577211699</v>
      </c>
      <c r="M3" s="3">
        <v>4.2963647150136897</v>
      </c>
      <c r="N3" s="3">
        <v>3.7610097445983901</v>
      </c>
    </row>
    <row r="4" spans="1:14" x14ac:dyDescent="0.35">
      <c r="A4" s="2">
        <v>41893</v>
      </c>
      <c r="B4" s="3">
        <v>4.5333669239743601</v>
      </c>
      <c r="C4" s="3">
        <v>4.7839392023096403</v>
      </c>
      <c r="D4" s="3">
        <v>2.76066052060937</v>
      </c>
      <c r="E4" s="3">
        <v>3.1094442316862398</v>
      </c>
      <c r="F4" s="3">
        <v>2.0366968838124699</v>
      </c>
      <c r="G4" s="3">
        <v>3.2827567540574401</v>
      </c>
      <c r="H4" s="3">
        <v>3.9315634124081802</v>
      </c>
      <c r="I4" s="3">
        <v>1.2103736052229199</v>
      </c>
      <c r="J4" s="3">
        <v>2.0960184849190302</v>
      </c>
      <c r="K4" s="3">
        <v>3.5099484873133102</v>
      </c>
      <c r="L4" s="3">
        <v>3.0010400179035899</v>
      </c>
      <c r="M4" s="3">
        <v>4.2358517168115597</v>
      </c>
      <c r="N4" s="3">
        <v>3.5086756649992101</v>
      </c>
    </row>
    <row r="5" spans="1:14" x14ac:dyDescent="0.35">
      <c r="A5" s="2">
        <v>41922</v>
      </c>
      <c r="B5" s="3">
        <v>4.6080429488613497</v>
      </c>
      <c r="C5" s="3">
        <v>5.16716047928794</v>
      </c>
      <c r="D5" s="3">
        <v>3.0380649890814602</v>
      </c>
      <c r="E5" s="3">
        <v>3.4436631308143402</v>
      </c>
      <c r="F5" s="3">
        <v>2.16223506059452</v>
      </c>
      <c r="G5" s="3">
        <v>3.50999395957838</v>
      </c>
      <c r="H5" s="3">
        <v>4.2420047503523097</v>
      </c>
      <c r="I5" s="3">
        <v>1.2989766103771301</v>
      </c>
      <c r="J5" s="3">
        <v>2.2110482118582699</v>
      </c>
      <c r="K5" s="3">
        <v>3.84671942820626</v>
      </c>
      <c r="L5" s="3">
        <v>3.1775086043443799</v>
      </c>
      <c r="M5" s="3">
        <v>4.5304000248011098</v>
      </c>
      <c r="N5" s="3">
        <v>3.9751912211832301</v>
      </c>
    </row>
    <row r="6" spans="1:14" x14ac:dyDescent="0.35">
      <c r="A6" s="2">
        <v>41954</v>
      </c>
      <c r="B6" s="3">
        <v>4.4387770140195704</v>
      </c>
      <c r="C6" s="3">
        <v>4.8570303764696998</v>
      </c>
      <c r="D6" s="3">
        <v>2.9392538209761301</v>
      </c>
      <c r="E6" s="3">
        <v>3.29287443282985</v>
      </c>
      <c r="F6" s="3">
        <v>1.96294654736754</v>
      </c>
      <c r="G6" s="3">
        <v>3.2902281338877399</v>
      </c>
      <c r="H6" s="3">
        <v>4.0620479855265597</v>
      </c>
      <c r="I6" s="3">
        <v>1.2204705397011599</v>
      </c>
      <c r="J6" s="3">
        <v>2.08943500819661</v>
      </c>
      <c r="K6" s="3">
        <v>3.6862219273000099</v>
      </c>
      <c r="L6" s="3">
        <v>3.0891315608205701</v>
      </c>
      <c r="M6" s="3">
        <v>4.1414590438945602</v>
      </c>
      <c r="N6" s="3">
        <v>3.9650009624393698</v>
      </c>
    </row>
    <row r="7" spans="1:14" x14ac:dyDescent="0.35">
      <c r="A7" s="2">
        <v>41984</v>
      </c>
      <c r="B7" s="3">
        <v>4.4917657762411602</v>
      </c>
      <c r="C7" s="3">
        <v>5.1310688903129504</v>
      </c>
      <c r="D7" s="3">
        <v>3.0932463764297502</v>
      </c>
      <c r="E7" s="3">
        <v>3.1694277495514598</v>
      </c>
      <c r="F7" s="3">
        <v>1.9852166314743001</v>
      </c>
      <c r="G7" s="3">
        <v>3.2715913632931501</v>
      </c>
      <c r="H7" s="3">
        <v>4.1827615726106799</v>
      </c>
      <c r="I7" s="3">
        <v>1.2202785792086099</v>
      </c>
      <c r="J7" s="3">
        <v>2.1145065702026402</v>
      </c>
      <c r="K7" s="3">
        <v>3.6772572744449801</v>
      </c>
      <c r="L7" s="3">
        <v>3.06095932154212</v>
      </c>
      <c r="M7" s="3">
        <v>4.1043410191542096</v>
      </c>
      <c r="N7" s="3">
        <v>3.9953139360256098</v>
      </c>
    </row>
    <row r="8" spans="1:14" x14ac:dyDescent="0.35">
      <c r="A8" s="2">
        <v>42013</v>
      </c>
      <c r="B8" s="3">
        <v>4.42916115987728</v>
      </c>
      <c r="C8" s="3">
        <v>4.92127442003952</v>
      </c>
      <c r="D8" s="3">
        <v>2.99801577403161</v>
      </c>
      <c r="E8" s="3">
        <v>3.2380933413870099</v>
      </c>
      <c r="F8" s="3">
        <v>2.0245622381747199</v>
      </c>
      <c r="G8" s="3">
        <v>3.2964771795412098</v>
      </c>
      <c r="H8" s="3">
        <v>4.2231316795904101</v>
      </c>
      <c r="I8" s="3">
        <v>1.2123606656738199</v>
      </c>
      <c r="J8" s="3">
        <v>2.12001625623554</v>
      </c>
      <c r="K8" s="3">
        <v>3.7138369547049099</v>
      </c>
      <c r="L8" s="3">
        <v>3.13375663660281</v>
      </c>
      <c r="M8" s="3">
        <v>4.1537943816742002</v>
      </c>
      <c r="N8" s="3">
        <v>4.2721827037801603</v>
      </c>
    </row>
    <row r="9" spans="1:14" x14ac:dyDescent="0.35">
      <c r="A9" s="2">
        <v>42046</v>
      </c>
      <c r="B9" s="3">
        <v>4.2700922875562499</v>
      </c>
      <c r="C9" s="3">
        <v>4.7137863836908203</v>
      </c>
      <c r="D9" s="3">
        <v>2.8675086814903898</v>
      </c>
      <c r="E9" s="3">
        <v>2.9443839503697</v>
      </c>
      <c r="F9" s="3">
        <v>1.99431479589481</v>
      </c>
      <c r="G9" s="3">
        <v>3.3064586882823002</v>
      </c>
      <c r="H9" s="3">
        <v>4.0166274986585098</v>
      </c>
      <c r="I9" s="3">
        <v>1.2436272525478</v>
      </c>
      <c r="J9" s="3">
        <v>2.13107715552629</v>
      </c>
      <c r="K9" s="3">
        <v>3.3080710605632202</v>
      </c>
      <c r="L9" s="3">
        <v>2.8814342100663999</v>
      </c>
      <c r="M9" s="3">
        <v>3.7954281760759199</v>
      </c>
      <c r="N9" s="3">
        <v>3.73714986584717</v>
      </c>
    </row>
    <row r="10" spans="1:14" x14ac:dyDescent="0.35">
      <c r="A10" s="2">
        <v>42074</v>
      </c>
      <c r="B10" s="3">
        <v>4.3039722808867404</v>
      </c>
      <c r="C10" s="3">
        <v>4.6979204549114799</v>
      </c>
      <c r="D10" s="3">
        <v>2.94967590743087</v>
      </c>
      <c r="E10" s="3">
        <v>2.6942456522601899</v>
      </c>
      <c r="F10" s="3">
        <v>1.8882312392251099</v>
      </c>
      <c r="G10" s="3">
        <v>3.18457671174765</v>
      </c>
      <c r="H10" s="3">
        <v>4.0527804644594401</v>
      </c>
      <c r="I10" s="3">
        <v>1.2797937716713601</v>
      </c>
      <c r="J10" s="3">
        <v>2.2042811464575101</v>
      </c>
      <c r="K10" s="3">
        <v>3.2089547097095399</v>
      </c>
      <c r="L10" s="3">
        <v>2.6386387075458599</v>
      </c>
      <c r="M10" s="3">
        <v>3.6725445423396801</v>
      </c>
      <c r="N10" s="3">
        <v>3.3936196499097901</v>
      </c>
    </row>
    <row r="11" spans="1:14" x14ac:dyDescent="0.35">
      <c r="A11" s="2">
        <v>42104</v>
      </c>
      <c r="B11" s="3">
        <v>4.4310958647291399</v>
      </c>
      <c r="C11" s="3">
        <v>4.5410517069019702</v>
      </c>
      <c r="D11" s="3">
        <v>2.8222379352445599</v>
      </c>
      <c r="E11" s="3">
        <v>2.6063371978410701</v>
      </c>
      <c r="F11" s="3">
        <v>1.84121609437922</v>
      </c>
      <c r="G11" s="3">
        <v>3.0236438881932699</v>
      </c>
      <c r="H11" s="3">
        <v>3.89618276633237</v>
      </c>
      <c r="I11" s="3">
        <v>1.2530926120260599</v>
      </c>
      <c r="J11" s="3">
        <v>2.1471923019209802</v>
      </c>
      <c r="K11" s="3">
        <v>3.0849576101286602</v>
      </c>
      <c r="L11" s="3">
        <v>2.5831034787212399</v>
      </c>
      <c r="M11" s="3">
        <v>3.6075712904039001</v>
      </c>
      <c r="N11" s="3">
        <v>3.0821105234421502</v>
      </c>
    </row>
    <row r="12" spans="1:14" x14ac:dyDescent="0.35">
      <c r="A12" s="2">
        <v>42135</v>
      </c>
      <c r="B12" s="3">
        <v>4.46684507537055</v>
      </c>
      <c r="C12" s="3">
        <v>4.7767182649225903</v>
      </c>
      <c r="D12" s="3">
        <v>2.8613496354099501</v>
      </c>
      <c r="E12" s="3">
        <v>2.8380717616133699</v>
      </c>
      <c r="F12" s="3">
        <v>1.8758173330885399</v>
      </c>
      <c r="G12" s="3">
        <v>3.1157079918827599</v>
      </c>
      <c r="H12" s="3">
        <v>3.85448538187116</v>
      </c>
      <c r="I12" s="3">
        <v>1.2526952135260401</v>
      </c>
      <c r="J12" s="3">
        <v>2.1571098774583799</v>
      </c>
      <c r="K12" s="3">
        <v>3.2684495284642998</v>
      </c>
      <c r="L12" s="3">
        <v>2.7379114069072701</v>
      </c>
      <c r="M12" s="3">
        <v>3.8416921391436598</v>
      </c>
      <c r="N12" s="3">
        <v>3.17529418561015</v>
      </c>
    </row>
    <row r="13" spans="1:14" x14ac:dyDescent="0.35">
      <c r="A13" s="2">
        <v>42166</v>
      </c>
      <c r="B13" s="3">
        <v>4.4573468434758601</v>
      </c>
      <c r="C13" s="3">
        <v>4.8993750853005098</v>
      </c>
      <c r="D13" s="3">
        <v>2.9350833750585399</v>
      </c>
      <c r="E13" s="3">
        <v>2.9735991790019098</v>
      </c>
      <c r="F13" s="3">
        <v>1.8827762472737799</v>
      </c>
      <c r="G13" s="3">
        <v>3.1514790242324202</v>
      </c>
      <c r="H13" s="3">
        <v>3.9806657336663802</v>
      </c>
      <c r="I13" s="3">
        <v>1.24669843572773</v>
      </c>
      <c r="J13" s="3">
        <v>2.1626499767144298</v>
      </c>
      <c r="K13" s="3">
        <v>3.3192438493692702</v>
      </c>
      <c r="L13" s="3">
        <v>2.8843171760219799</v>
      </c>
      <c r="M13" s="3">
        <v>3.9041324576169001</v>
      </c>
      <c r="N13" s="3">
        <v>3.25948103308547</v>
      </c>
    </row>
    <row r="14" spans="1:14" x14ac:dyDescent="0.35">
      <c r="A14" s="2">
        <v>42195</v>
      </c>
      <c r="B14" s="3">
        <v>4.7104570306395699</v>
      </c>
      <c r="C14" s="3">
        <v>4.9663562887948203</v>
      </c>
      <c r="D14" s="3">
        <v>3.04958986768268</v>
      </c>
      <c r="E14" s="3">
        <v>2.9998593647693701</v>
      </c>
      <c r="F14" s="3">
        <v>1.9819089937400201</v>
      </c>
      <c r="G14" s="3">
        <v>3.1847482100504099</v>
      </c>
      <c r="H14" s="3">
        <v>4.1361340750537998</v>
      </c>
      <c r="I14" s="3">
        <v>1.26815330981798</v>
      </c>
      <c r="J14" s="3">
        <v>2.1948353186870202</v>
      </c>
      <c r="K14" s="3">
        <v>3.37716442667806</v>
      </c>
      <c r="L14" s="3">
        <v>2.9206618986266299</v>
      </c>
      <c r="M14" s="3">
        <v>3.9618229023014102</v>
      </c>
      <c r="N14" s="3">
        <v>3.27861299320685</v>
      </c>
    </row>
    <row r="15" spans="1:14" x14ac:dyDescent="0.35">
      <c r="A15" s="2">
        <v>42227</v>
      </c>
      <c r="B15" s="3">
        <v>4.6374026730323799</v>
      </c>
      <c r="C15" s="3">
        <v>5.0234905150281204</v>
      </c>
      <c r="D15" s="3">
        <v>3.07734746774373</v>
      </c>
      <c r="E15" s="3">
        <v>3.02486378795582</v>
      </c>
      <c r="F15" s="3">
        <v>1.87726875301063</v>
      </c>
      <c r="G15" s="3">
        <v>3.1260975559977999</v>
      </c>
      <c r="H15" s="3">
        <v>4.0927454563587</v>
      </c>
      <c r="I15" s="3">
        <v>1.28562219136825</v>
      </c>
      <c r="J15" s="3">
        <v>2.21782471067056</v>
      </c>
      <c r="K15" s="3">
        <v>3.3007631269595201</v>
      </c>
      <c r="L15" s="3">
        <v>3.05314144297488</v>
      </c>
      <c r="M15" s="3">
        <v>3.9752948209936201</v>
      </c>
      <c r="N15" s="3">
        <v>3.1004747749986499</v>
      </c>
    </row>
    <row r="16" spans="1:14" x14ac:dyDescent="0.35">
      <c r="A16" s="2">
        <v>42258</v>
      </c>
      <c r="B16" s="3">
        <v>5.1486023360600504</v>
      </c>
      <c r="C16" s="3">
        <v>5.4458340373105303</v>
      </c>
      <c r="D16" s="3">
        <v>3.2570279026889501</v>
      </c>
      <c r="E16" s="3">
        <v>3.3728284632024499</v>
      </c>
      <c r="F16" s="3">
        <v>2.1527634328178298</v>
      </c>
      <c r="G16" s="3">
        <v>3.3507392668331399</v>
      </c>
      <c r="H16" s="3">
        <v>4.4886625599263104</v>
      </c>
      <c r="I16" s="3">
        <v>1.3494695638882701</v>
      </c>
      <c r="J16" s="3">
        <v>2.3678583434000999</v>
      </c>
      <c r="K16" s="3">
        <v>3.6971294280582501</v>
      </c>
      <c r="L16" s="3">
        <v>3.5050289078308299</v>
      </c>
      <c r="M16" s="3">
        <v>4.3310705810123702</v>
      </c>
      <c r="N16" s="3">
        <v>3.4114612262337598</v>
      </c>
    </row>
    <row r="17" spans="1:14" x14ac:dyDescent="0.35">
      <c r="A17" s="2">
        <v>42286</v>
      </c>
      <c r="B17" s="3">
        <v>5.25610306562709</v>
      </c>
      <c r="C17" s="3">
        <v>5.1552897042727404</v>
      </c>
      <c r="D17" s="3">
        <v>3.1550501563961602</v>
      </c>
      <c r="E17" s="3">
        <v>3.3047440099960399</v>
      </c>
      <c r="F17" s="3">
        <v>2.1033070475893498</v>
      </c>
      <c r="G17" s="3">
        <v>3.34018456735464</v>
      </c>
      <c r="H17" s="3">
        <v>4.2159246806871904</v>
      </c>
      <c r="I17" s="3">
        <v>1.3388914690956</v>
      </c>
      <c r="J17" s="3">
        <v>2.3097088038473301</v>
      </c>
      <c r="K17" s="3">
        <v>3.5633729323425101</v>
      </c>
      <c r="L17" s="3">
        <v>3.4620863924617602</v>
      </c>
      <c r="M17" s="3">
        <v>4.3101516872700101</v>
      </c>
      <c r="N17" s="3">
        <v>3.5599579937008698</v>
      </c>
    </row>
    <row r="18" spans="1:14" x14ac:dyDescent="0.35">
      <c r="A18" s="2">
        <v>42319</v>
      </c>
      <c r="B18" s="3">
        <v>4.8914851664573398</v>
      </c>
      <c r="C18" s="3">
        <v>5.3618793500795299</v>
      </c>
      <c r="D18" s="3">
        <v>3.3121583055756298</v>
      </c>
      <c r="E18" s="3">
        <v>2.97937048237063</v>
      </c>
      <c r="F18" s="3">
        <v>2.0089739763153598</v>
      </c>
      <c r="G18" s="3">
        <v>3.26423234883833</v>
      </c>
      <c r="H18" s="3">
        <v>4.2710455017678797</v>
      </c>
      <c r="I18" s="3">
        <v>1.2770032228831201</v>
      </c>
      <c r="J18" s="3">
        <v>2.2743415676182699</v>
      </c>
      <c r="K18" s="3">
        <v>3.4087274981011699</v>
      </c>
      <c r="L18" s="3">
        <v>3.14261294474862</v>
      </c>
      <c r="M18" s="3">
        <v>4.1730351287121099</v>
      </c>
      <c r="N18" s="3">
        <v>3.5900991799834601</v>
      </c>
    </row>
    <row r="19" spans="1:14" x14ac:dyDescent="0.35">
      <c r="A19" s="2">
        <v>42349</v>
      </c>
      <c r="B19" s="3">
        <v>4.8069018589791899</v>
      </c>
      <c r="C19" s="3">
        <v>5.4070191142767099</v>
      </c>
      <c r="D19" s="3">
        <v>3.4645427904955</v>
      </c>
      <c r="E19" s="3">
        <v>3.14603142088753</v>
      </c>
      <c r="F19" s="3">
        <v>2.0773737355173498</v>
      </c>
      <c r="G19" s="3">
        <v>3.38242276260618</v>
      </c>
      <c r="H19" s="3">
        <v>4.4715631538906804</v>
      </c>
      <c r="I19" s="3">
        <v>1.31058183502697</v>
      </c>
      <c r="J19" s="3">
        <v>2.3410329467533502</v>
      </c>
      <c r="K19" s="3">
        <v>3.66685130327929</v>
      </c>
      <c r="L19" s="3">
        <v>3.3703178124924</v>
      </c>
      <c r="M19" s="3">
        <v>4.4659113915458004</v>
      </c>
      <c r="N19" s="3">
        <v>3.8695717516854402</v>
      </c>
    </row>
    <row r="20" spans="1:14" x14ac:dyDescent="0.35">
      <c r="A20" s="2">
        <v>42380</v>
      </c>
      <c r="B20" s="3">
        <v>4.9150071039696597</v>
      </c>
      <c r="C20" s="3">
        <v>5.5245834330527703</v>
      </c>
      <c r="D20" s="3">
        <v>3.5671858417309998</v>
      </c>
      <c r="E20" s="3">
        <v>3.3262364506815199</v>
      </c>
      <c r="F20" s="3">
        <v>2.2535110357338999</v>
      </c>
      <c r="G20" s="3">
        <v>3.5161464880745901</v>
      </c>
      <c r="H20" s="3">
        <v>4.5899596051179596</v>
      </c>
      <c r="I20" s="3">
        <v>1.3536844242650801</v>
      </c>
      <c r="J20" s="3">
        <v>2.46484935821878</v>
      </c>
      <c r="K20" s="3">
        <v>3.8628278476906899</v>
      </c>
      <c r="L20" s="3">
        <v>3.3261614406089102</v>
      </c>
      <c r="M20" s="3">
        <v>4.5935019739944902</v>
      </c>
      <c r="N20" s="3">
        <v>4.1661805521312498</v>
      </c>
    </row>
    <row r="21" spans="1:14" x14ac:dyDescent="0.35">
      <c r="A21" s="2">
        <v>42411</v>
      </c>
      <c r="B21" s="3">
        <v>5.0050658777604502</v>
      </c>
      <c r="C21" s="3">
        <v>5.24910746642355</v>
      </c>
      <c r="D21" s="3">
        <v>3.5526449096126198</v>
      </c>
      <c r="E21" s="3">
        <v>3.7487991231714899</v>
      </c>
      <c r="F21" s="3">
        <v>2.5789848815479002</v>
      </c>
      <c r="G21" s="3">
        <v>3.7203992450258001</v>
      </c>
      <c r="H21" s="3">
        <v>4.8499634148795598</v>
      </c>
      <c r="I21" s="3">
        <v>1.49207259848398</v>
      </c>
      <c r="J21" s="3">
        <v>2.4518202590146898</v>
      </c>
      <c r="K21" s="3">
        <v>4.2212002672750701</v>
      </c>
      <c r="L21" s="3">
        <v>3.7308549735685399</v>
      </c>
      <c r="M21" s="3">
        <v>4.8064428121267797</v>
      </c>
      <c r="N21" s="3">
        <v>5.08168473647802</v>
      </c>
    </row>
    <row r="22" spans="1:14" x14ac:dyDescent="0.35">
      <c r="A22" s="2">
        <v>42440</v>
      </c>
      <c r="B22" s="3">
        <v>4.6904502486222102</v>
      </c>
      <c r="C22" s="3">
        <v>4.7275102218109</v>
      </c>
      <c r="D22" s="3">
        <v>3.1324792774025201</v>
      </c>
      <c r="E22" s="3">
        <v>3.3352913116052298</v>
      </c>
      <c r="F22" s="3">
        <v>2.3669027526949198</v>
      </c>
      <c r="G22" s="3">
        <v>3.4683861172342501</v>
      </c>
      <c r="H22" s="3">
        <v>4.3718682996087699</v>
      </c>
      <c r="I22" s="3">
        <v>1.36792810606793</v>
      </c>
      <c r="J22" s="3">
        <v>2.4751977345461702</v>
      </c>
      <c r="K22" s="3">
        <v>3.6914779752048501</v>
      </c>
      <c r="L22" s="3">
        <v>3.3070368016114999</v>
      </c>
      <c r="M22" s="3">
        <v>4.2408242350116101</v>
      </c>
      <c r="N22" s="3">
        <v>4.1769494941506302</v>
      </c>
    </row>
    <row r="23" spans="1:14" x14ac:dyDescent="0.35">
      <c r="A23" s="2">
        <v>42471</v>
      </c>
      <c r="B23" s="3">
        <v>4.5746675999712503</v>
      </c>
      <c r="C23" s="3">
        <v>4.9951060847394597</v>
      </c>
      <c r="D23" s="3">
        <v>3.1807135339543802</v>
      </c>
      <c r="E23" s="3">
        <v>3.3892853609742999</v>
      </c>
      <c r="F23" s="3">
        <v>2.5266463467521798</v>
      </c>
      <c r="G23" s="3">
        <v>3.56164380480201</v>
      </c>
      <c r="H23" s="3">
        <v>4.3476708942253799</v>
      </c>
      <c r="I23" s="3">
        <v>1.3438318667012901</v>
      </c>
      <c r="J23" s="3">
        <v>2.2917987413403398</v>
      </c>
      <c r="K23" s="3">
        <v>3.8258150669134499</v>
      </c>
      <c r="L23" s="3">
        <v>3.3598306330436598</v>
      </c>
      <c r="M23" s="3">
        <v>4.38461017202569</v>
      </c>
      <c r="N23" s="3">
        <v>4.5300070412556401</v>
      </c>
    </row>
    <row r="24" spans="1:14" x14ac:dyDescent="0.35">
      <c r="A24" s="2">
        <v>42501</v>
      </c>
      <c r="B24" s="3">
        <v>4.4868031433250701</v>
      </c>
      <c r="C24" s="3">
        <v>4.5536270509519303</v>
      </c>
      <c r="D24" s="3">
        <v>3.10042399759906</v>
      </c>
      <c r="E24" s="3">
        <v>3.3383000687626301</v>
      </c>
      <c r="F24" s="3">
        <v>2.4007019460297498</v>
      </c>
      <c r="G24" s="3">
        <v>3.5334653645284799</v>
      </c>
      <c r="H24" s="3">
        <v>4.3527992881821396</v>
      </c>
      <c r="I24" s="3">
        <v>1.38816296263704</v>
      </c>
      <c r="J24" s="3">
        <v>2.2927014117324598</v>
      </c>
      <c r="K24" s="3">
        <v>3.8057631727257202</v>
      </c>
      <c r="L24" s="3">
        <v>3.40019443182294</v>
      </c>
      <c r="M24" s="3">
        <v>4.4343962082716004</v>
      </c>
      <c r="N24" s="3">
        <v>4.54673457015378</v>
      </c>
    </row>
    <row r="25" spans="1:14" x14ac:dyDescent="0.35">
      <c r="A25" s="2">
        <v>42531</v>
      </c>
      <c r="B25" s="3">
        <v>4.3649597620195904</v>
      </c>
      <c r="C25" s="3">
        <v>4.6091748829277304</v>
      </c>
      <c r="D25" s="3">
        <v>3.0661596082904099</v>
      </c>
      <c r="E25" s="3">
        <v>3.4186106729555998</v>
      </c>
      <c r="F25" s="3">
        <v>2.3792828658984901</v>
      </c>
      <c r="G25" s="3">
        <v>3.5485109459125201</v>
      </c>
      <c r="H25" s="3">
        <v>4.3872951075890096</v>
      </c>
      <c r="I25" s="3">
        <v>1.3621594770997001</v>
      </c>
      <c r="J25" s="3">
        <v>2.2771095330445799</v>
      </c>
      <c r="K25" s="3">
        <v>3.8509698530239</v>
      </c>
      <c r="L25" s="3">
        <v>3.2714917012433</v>
      </c>
      <c r="M25" s="3">
        <v>4.5578898164159503</v>
      </c>
      <c r="N25" s="3">
        <v>4.7878873173571899</v>
      </c>
    </row>
    <row r="26" spans="1:14" x14ac:dyDescent="0.35">
      <c r="A26" s="2">
        <v>42562</v>
      </c>
      <c r="B26" s="3">
        <v>4.2831841958804802</v>
      </c>
      <c r="C26" s="3">
        <v>4.61161008700289</v>
      </c>
      <c r="D26" s="3">
        <v>3.0261737322197999</v>
      </c>
      <c r="E26" s="3">
        <v>3.4300871154920398</v>
      </c>
      <c r="F26" s="3">
        <v>2.5111312259002099</v>
      </c>
      <c r="G26" s="3">
        <v>3.52193031585186</v>
      </c>
      <c r="H26" s="3">
        <v>4.1813138025015997</v>
      </c>
      <c r="I26" s="3">
        <v>1.32770628270816</v>
      </c>
      <c r="J26" s="3">
        <v>2.24414840435916</v>
      </c>
      <c r="K26" s="3">
        <v>3.8809665454610802</v>
      </c>
      <c r="L26" s="3">
        <v>3.2938390917533198</v>
      </c>
      <c r="M26" s="3">
        <v>4.42365633023973</v>
      </c>
      <c r="N26" s="3">
        <v>4.9581691020530601</v>
      </c>
    </row>
    <row r="27" spans="1:14" x14ac:dyDescent="0.35">
      <c r="A27" s="2">
        <v>42593</v>
      </c>
      <c r="B27" s="3">
        <v>4.1390822276906398</v>
      </c>
      <c r="C27" s="3">
        <v>4.4699532697052096</v>
      </c>
      <c r="D27" s="3">
        <v>2.93621492598905</v>
      </c>
      <c r="E27" s="3">
        <v>3.1339545408624998</v>
      </c>
      <c r="F27" s="3">
        <v>2.3950013673871098</v>
      </c>
      <c r="G27" s="3">
        <v>3.4109046424302401</v>
      </c>
      <c r="H27" s="3">
        <v>4.0542262803787699</v>
      </c>
      <c r="I27" s="3">
        <v>1.27622703615651</v>
      </c>
      <c r="J27" s="3">
        <v>2.20100067632346</v>
      </c>
      <c r="K27" s="3">
        <v>3.6823717137215901</v>
      </c>
      <c r="L27" s="3">
        <v>3.1317785194134902</v>
      </c>
      <c r="M27" s="3">
        <v>4.2108811768811796</v>
      </c>
      <c r="N27" s="3">
        <v>4.6944462352213199</v>
      </c>
    </row>
    <row r="28" spans="1:14" x14ac:dyDescent="0.35">
      <c r="A28" s="2">
        <v>42622</v>
      </c>
      <c r="B28" s="3">
        <v>4.1503589274878303</v>
      </c>
      <c r="C28" s="3">
        <v>4.6205031078713503</v>
      </c>
      <c r="D28" s="3">
        <v>2.98454648841571</v>
      </c>
      <c r="E28" s="3">
        <v>3.1846259917613899</v>
      </c>
      <c r="F28" s="3">
        <v>2.34644872613198</v>
      </c>
      <c r="G28" s="3">
        <v>3.4483318970418</v>
      </c>
      <c r="H28" s="3">
        <v>4.1605879941920696</v>
      </c>
      <c r="I28" s="3">
        <v>1.31642251813892</v>
      </c>
      <c r="J28" s="3">
        <v>2.2631754895949201</v>
      </c>
      <c r="K28" s="3">
        <v>3.6855396281123101</v>
      </c>
      <c r="L28" s="3">
        <v>3.1553595598421502</v>
      </c>
      <c r="M28" s="3">
        <v>4.2212904624640899</v>
      </c>
      <c r="N28" s="3">
        <v>4.7194869864076896</v>
      </c>
    </row>
    <row r="29" spans="1:14" x14ac:dyDescent="0.35">
      <c r="A29" s="2">
        <v>42654</v>
      </c>
      <c r="B29" s="3">
        <v>4.4706226726187301</v>
      </c>
      <c r="C29" s="3">
        <v>4.5104207314270397</v>
      </c>
      <c r="D29" s="3">
        <v>2.9656785649331199</v>
      </c>
      <c r="E29" s="3">
        <v>3.1420778387813399</v>
      </c>
      <c r="F29" s="3">
        <v>2.3499917181000001</v>
      </c>
      <c r="G29" s="3">
        <v>3.5237536413603698</v>
      </c>
      <c r="H29" s="3">
        <v>4.2173278434616703</v>
      </c>
      <c r="I29" s="3">
        <v>1.2756180896615099</v>
      </c>
      <c r="J29" s="3">
        <v>2.2549087532643899</v>
      </c>
      <c r="K29" s="3">
        <v>3.7440031194699501</v>
      </c>
      <c r="L29" s="3">
        <v>3.11936472266154</v>
      </c>
      <c r="M29" s="3">
        <v>4.1472806198077796</v>
      </c>
      <c r="N29" s="3">
        <v>4.9686592842391502</v>
      </c>
    </row>
    <row r="30" spans="1:14" x14ac:dyDescent="0.35">
      <c r="A30" s="2">
        <v>42685</v>
      </c>
      <c r="B30" s="3">
        <v>4.7555114686851798</v>
      </c>
      <c r="C30" s="3">
        <v>4.5986708853671896</v>
      </c>
      <c r="D30" s="3">
        <v>2.9679249249367698</v>
      </c>
      <c r="E30" s="3">
        <v>3.1771732656000302</v>
      </c>
      <c r="F30" s="3">
        <v>2.3274291750015599</v>
      </c>
      <c r="G30" s="3">
        <v>3.6313695520579898</v>
      </c>
      <c r="H30" s="3">
        <v>4.44036754672159</v>
      </c>
      <c r="I30" s="3">
        <v>1.3095585627694699</v>
      </c>
      <c r="J30" s="3">
        <v>2.2389148105699599</v>
      </c>
      <c r="K30" s="3">
        <v>3.7385914600099999</v>
      </c>
      <c r="L30" s="3">
        <v>3.1886850683928398</v>
      </c>
      <c r="M30" s="3">
        <v>4.1067813234676098</v>
      </c>
      <c r="N30" s="3">
        <v>4.7824175439346499</v>
      </c>
    </row>
    <row r="31" spans="1:14" x14ac:dyDescent="0.35">
      <c r="A31" s="2">
        <v>42713</v>
      </c>
      <c r="B31" s="3">
        <v>4.6078893654269004</v>
      </c>
      <c r="C31" s="3">
        <v>4.5290890574088696</v>
      </c>
      <c r="D31" s="3">
        <v>2.8336727189192699</v>
      </c>
      <c r="E31" s="3">
        <v>3.0388274934947002</v>
      </c>
      <c r="F31" s="3">
        <v>2.1008705476222902</v>
      </c>
      <c r="G31" s="3">
        <v>3.5978337402602798</v>
      </c>
      <c r="H31" s="3">
        <v>4.3294080662077796</v>
      </c>
      <c r="I31" s="3">
        <v>1.2868140146648199</v>
      </c>
      <c r="J31" s="3">
        <v>2.1628905059160499</v>
      </c>
      <c r="K31" s="3">
        <v>3.5387359039136501</v>
      </c>
      <c r="L31" s="3">
        <v>3.04139651137152</v>
      </c>
      <c r="M31" s="3">
        <v>3.8795934791461</v>
      </c>
      <c r="N31" s="3">
        <v>4.5355066729458704</v>
      </c>
    </row>
    <row r="32" spans="1:14" x14ac:dyDescent="0.35">
      <c r="A32" s="2">
        <v>42746</v>
      </c>
      <c r="B32" s="3">
        <v>4.4987939179352097</v>
      </c>
      <c r="C32" s="3">
        <v>4.4480679773978604</v>
      </c>
      <c r="D32" s="3">
        <v>2.8135644247507701</v>
      </c>
      <c r="E32" s="3">
        <v>2.9379228836923001</v>
      </c>
      <c r="F32" s="3">
        <v>2.0885332566751602</v>
      </c>
      <c r="G32" s="3">
        <v>3.48744955070643</v>
      </c>
      <c r="H32" s="3">
        <v>4.2471245057569202</v>
      </c>
      <c r="I32" s="3">
        <v>1.25559775260767</v>
      </c>
      <c r="J32" s="3">
        <v>2.15944661425271</v>
      </c>
      <c r="K32" s="3">
        <v>3.4510809273946799</v>
      </c>
      <c r="L32" s="3">
        <v>2.9509043083037199</v>
      </c>
      <c r="M32" s="3">
        <v>3.9147571069179299</v>
      </c>
      <c r="N32" s="3">
        <v>4.3059189368542903</v>
      </c>
    </row>
    <row r="33" spans="1:14" x14ac:dyDescent="0.35">
      <c r="A33" s="2">
        <v>42776</v>
      </c>
      <c r="B33" s="3">
        <v>4.5066770999080497</v>
      </c>
      <c r="C33" s="3">
        <v>4.5227661126483003</v>
      </c>
      <c r="D33" s="3">
        <v>2.7980843190457798</v>
      </c>
      <c r="E33" s="3">
        <v>2.9746206237300399</v>
      </c>
      <c r="F33" s="3">
        <v>2.1241671633640098</v>
      </c>
      <c r="G33" s="3">
        <v>3.4192880236010801</v>
      </c>
      <c r="H33" s="3">
        <v>4.2569869973863996</v>
      </c>
      <c r="I33" s="3">
        <v>1.2402075972484099</v>
      </c>
      <c r="J33" s="3">
        <v>2.1411789885740502</v>
      </c>
      <c r="K33" s="3">
        <v>3.5044872333195398</v>
      </c>
      <c r="L33" s="3">
        <v>2.915858114188</v>
      </c>
      <c r="M33" s="3">
        <v>3.6679564289329898</v>
      </c>
      <c r="N33" s="3">
        <v>4.4459997597640504</v>
      </c>
    </row>
    <row r="34" spans="1:14" x14ac:dyDescent="0.35">
      <c r="A34" s="2">
        <v>42804</v>
      </c>
      <c r="B34" s="3">
        <v>4.5628965855188603</v>
      </c>
      <c r="C34" s="3">
        <v>4.5355825319113299</v>
      </c>
      <c r="D34" s="3">
        <v>2.9046325043350398</v>
      </c>
      <c r="E34" s="3">
        <v>2.9547148932438598</v>
      </c>
      <c r="F34" s="3">
        <v>2.1197184052445399</v>
      </c>
      <c r="G34" s="3">
        <v>3.34952494544337</v>
      </c>
      <c r="H34" s="3">
        <v>4.3278016601036997</v>
      </c>
      <c r="I34" s="3">
        <v>1.2149528090967501</v>
      </c>
      <c r="J34" s="3">
        <v>2.1010324022583902</v>
      </c>
      <c r="K34" s="3">
        <v>3.4274483038200101</v>
      </c>
      <c r="L34" s="3">
        <v>2.7703963195297798</v>
      </c>
      <c r="M34" s="3">
        <v>3.6302758418666201</v>
      </c>
      <c r="N34" s="3">
        <v>4.0675020700204296</v>
      </c>
    </row>
    <row r="35" spans="1:14" x14ac:dyDescent="0.35">
      <c r="A35" s="2">
        <v>42836</v>
      </c>
      <c r="B35" s="3">
        <v>4.5478276524419599</v>
      </c>
      <c r="C35" s="3">
        <v>4.4825261537706904</v>
      </c>
      <c r="D35" s="3">
        <v>2.8975608114154201</v>
      </c>
      <c r="E35" s="3">
        <v>2.93630368038807</v>
      </c>
      <c r="F35" s="3">
        <v>2.24987170835159</v>
      </c>
      <c r="G35" s="3">
        <v>3.4297400567990501</v>
      </c>
      <c r="H35" s="3">
        <v>4.3230777522226003</v>
      </c>
      <c r="I35" s="3">
        <v>1.2200606821811499</v>
      </c>
      <c r="J35" s="3">
        <v>2.1270782557171999</v>
      </c>
      <c r="K35" s="3">
        <v>3.3709049841861498</v>
      </c>
      <c r="L35" s="3">
        <v>2.7656499446578802</v>
      </c>
      <c r="M35" s="3">
        <v>3.66357608593722</v>
      </c>
      <c r="N35" s="3">
        <v>3.9833061519351798</v>
      </c>
    </row>
    <row r="36" spans="1:14" x14ac:dyDescent="0.35">
      <c r="A36" s="2">
        <v>42866</v>
      </c>
      <c r="B36" s="3">
        <v>4.4120669030521</v>
      </c>
      <c r="C36" s="3">
        <v>4.53909731751365</v>
      </c>
      <c r="D36" s="3">
        <v>2.9496373738213002</v>
      </c>
      <c r="E36" s="3">
        <v>2.8783057347672099</v>
      </c>
      <c r="F36" s="3">
        <v>2.1478005285270498</v>
      </c>
      <c r="G36" s="3">
        <v>3.3116751081537501</v>
      </c>
      <c r="H36" s="3">
        <v>4.2869772582001202</v>
      </c>
      <c r="I36" s="3">
        <v>1.1753959862272201</v>
      </c>
      <c r="J36" s="3">
        <v>2.1060133762222302</v>
      </c>
      <c r="K36" s="3">
        <v>3.2135003784679301</v>
      </c>
      <c r="L36" s="3">
        <v>2.7027668625285401</v>
      </c>
      <c r="M36" s="3">
        <v>3.51774103840985</v>
      </c>
      <c r="N36" s="3">
        <v>3.7746095041341499</v>
      </c>
    </row>
    <row r="37" spans="1:14" x14ac:dyDescent="0.35">
      <c r="A37" s="2">
        <v>42895</v>
      </c>
      <c r="B37" s="3">
        <v>4.4598393393556801</v>
      </c>
      <c r="C37" s="3">
        <v>4.6941197291704704</v>
      </c>
      <c r="D37" s="3">
        <v>2.9769386552952599</v>
      </c>
      <c r="E37" s="3">
        <v>2.9050955420522002</v>
      </c>
      <c r="F37" s="3">
        <v>2.1754745053292401</v>
      </c>
      <c r="G37" s="3">
        <v>3.3523527457648399</v>
      </c>
      <c r="H37" s="3">
        <v>4.2551061588346899</v>
      </c>
      <c r="I37" s="3">
        <v>1.1712495905960101</v>
      </c>
      <c r="J37" s="3">
        <v>2.08510706554299</v>
      </c>
      <c r="K37" s="3">
        <v>3.2590683370733702</v>
      </c>
      <c r="L37" s="3">
        <v>2.7011164576511901</v>
      </c>
      <c r="M37" s="3">
        <v>3.5303843169262099</v>
      </c>
      <c r="N37" s="3">
        <v>3.7589785943263601</v>
      </c>
    </row>
    <row r="38" spans="1:14" x14ac:dyDescent="0.35">
      <c r="A38" s="2">
        <v>42927</v>
      </c>
      <c r="B38" s="3">
        <v>4.39765769190603</v>
      </c>
      <c r="C38" s="3">
        <v>4.6239396590606203</v>
      </c>
      <c r="D38" s="3">
        <v>3.0502428272374198</v>
      </c>
      <c r="E38" s="3">
        <v>3.0150900787556298</v>
      </c>
      <c r="F38" s="3">
        <v>2.1540777932914499</v>
      </c>
      <c r="G38" s="3">
        <v>3.3201534010266198</v>
      </c>
      <c r="H38" s="3">
        <v>4.3636399136845396</v>
      </c>
      <c r="I38" s="3">
        <v>1.20431437770814</v>
      </c>
      <c r="J38" s="3">
        <v>2.1164381560793002</v>
      </c>
      <c r="K38" s="3">
        <v>3.3868932581145201</v>
      </c>
      <c r="L38" s="3">
        <v>2.8170095718387498</v>
      </c>
      <c r="M38" s="3">
        <v>3.5747756285883798</v>
      </c>
      <c r="N38" s="3">
        <v>3.8144701371359302</v>
      </c>
    </row>
    <row r="39" spans="1:14" x14ac:dyDescent="0.35">
      <c r="A39" s="2">
        <v>42958</v>
      </c>
      <c r="B39" s="3">
        <v>4.3746201818481802</v>
      </c>
      <c r="C39" s="3">
        <v>4.6380719123600302</v>
      </c>
      <c r="D39" s="3">
        <v>3.0704819754264201</v>
      </c>
      <c r="E39" s="3">
        <v>3.1308945220073898</v>
      </c>
      <c r="F39" s="3">
        <v>2.1869646802361902</v>
      </c>
      <c r="G39" s="3">
        <v>3.3382492609488699</v>
      </c>
      <c r="H39" s="3">
        <v>4.3657053390213303</v>
      </c>
      <c r="I39" s="3">
        <v>1.18881283492331</v>
      </c>
      <c r="J39" s="3">
        <v>2.1152182596982101</v>
      </c>
      <c r="K39" s="3">
        <v>3.4446711197802</v>
      </c>
      <c r="L39" s="3">
        <v>2.8187921463375298</v>
      </c>
      <c r="M39" s="3">
        <v>3.77350324160059</v>
      </c>
      <c r="N39" s="3">
        <v>3.83046937246452</v>
      </c>
    </row>
    <row r="40" spans="1:14" x14ac:dyDescent="0.35">
      <c r="A40" s="2">
        <v>42989</v>
      </c>
      <c r="B40" s="3">
        <v>4.3767492512482402</v>
      </c>
      <c r="C40" s="3">
        <v>4.5890401072701597</v>
      </c>
      <c r="D40" s="3">
        <v>3.1046950538920601</v>
      </c>
      <c r="E40" s="3">
        <v>3.0587141838093199</v>
      </c>
      <c r="F40" s="3">
        <v>2.2265541913354099</v>
      </c>
      <c r="G40" s="3">
        <v>3.2879279732638902</v>
      </c>
      <c r="H40" s="3">
        <v>4.3097858799161397</v>
      </c>
      <c r="I40" s="3">
        <v>1.1626814868071</v>
      </c>
      <c r="J40" s="3">
        <v>2.0849928987163802</v>
      </c>
      <c r="K40" s="3">
        <v>3.3646919146247001</v>
      </c>
      <c r="L40" s="3">
        <v>2.8448515478132101</v>
      </c>
      <c r="M40" s="3">
        <v>3.7192942454583102</v>
      </c>
      <c r="N40" s="3">
        <v>3.7347901240718699</v>
      </c>
    </row>
    <row r="41" spans="1:14" x14ac:dyDescent="0.35">
      <c r="A41" s="2">
        <v>43019</v>
      </c>
      <c r="B41" s="3">
        <v>4.3797550005856696</v>
      </c>
      <c r="C41" s="3">
        <v>4.5767234098747904</v>
      </c>
      <c r="D41" s="3">
        <v>2.9527553717523598</v>
      </c>
      <c r="E41" s="3">
        <v>2.95669364923216</v>
      </c>
      <c r="F41" s="3">
        <v>2.1373350969818299</v>
      </c>
      <c r="G41" s="3">
        <v>3.2364900173783702</v>
      </c>
      <c r="H41" s="3">
        <v>4.2641743516809001</v>
      </c>
      <c r="I41" s="3">
        <v>1.1446057416050399</v>
      </c>
      <c r="J41" s="3">
        <v>2.0362104204013098</v>
      </c>
      <c r="K41" s="3">
        <v>3.2848765231337902</v>
      </c>
      <c r="L41" s="3">
        <v>2.77117276080204</v>
      </c>
      <c r="M41" s="3">
        <v>3.5499128688234198</v>
      </c>
      <c r="N41" s="3">
        <v>3.7812418058525101</v>
      </c>
    </row>
    <row r="42" spans="1:14" x14ac:dyDescent="0.35">
      <c r="A42" s="2">
        <v>43049</v>
      </c>
      <c r="B42" s="3">
        <v>4.4607155755972903</v>
      </c>
      <c r="C42" s="3">
        <v>4.4140457730554798</v>
      </c>
      <c r="D42" s="3">
        <v>2.9111263206446698</v>
      </c>
      <c r="E42" s="3">
        <v>2.9204788304332499</v>
      </c>
      <c r="F42" s="3">
        <v>2.0383483458576102</v>
      </c>
      <c r="G42" s="3">
        <v>3.2885925121739299</v>
      </c>
      <c r="H42" s="3">
        <v>4.3445070054819199</v>
      </c>
      <c r="I42" s="3">
        <v>1.11365373427376</v>
      </c>
      <c r="J42" s="3">
        <v>2.0327167048612602</v>
      </c>
      <c r="K42" s="3">
        <v>3.3059796618769699</v>
      </c>
      <c r="L42" s="3">
        <v>2.8011573690836098</v>
      </c>
      <c r="M42" s="3">
        <v>3.6023419289012599</v>
      </c>
      <c r="N42" s="3">
        <v>3.8220699349343898</v>
      </c>
    </row>
    <row r="43" spans="1:14" x14ac:dyDescent="0.35">
      <c r="A43" s="2">
        <v>43080</v>
      </c>
      <c r="B43" s="3">
        <v>4.27337967167598</v>
      </c>
      <c r="C43" s="3">
        <v>4.5026018216158903</v>
      </c>
      <c r="D43" s="3">
        <v>2.91009506508518</v>
      </c>
      <c r="E43" s="3">
        <v>2.9049077699678501</v>
      </c>
      <c r="F43" s="3">
        <v>2.05275898417894</v>
      </c>
      <c r="G43" s="3">
        <v>3.2433927289198499</v>
      </c>
      <c r="H43" s="3">
        <v>4.3337545135965101</v>
      </c>
      <c r="I43" s="3">
        <v>1.10733130112958</v>
      </c>
      <c r="J43" s="3">
        <v>1.96681663098966</v>
      </c>
      <c r="K43" s="3">
        <v>3.2744136801239798</v>
      </c>
      <c r="L43" s="3">
        <v>2.8214146298831002</v>
      </c>
      <c r="M43" s="3">
        <v>3.6715800927551898</v>
      </c>
      <c r="N43" s="3">
        <v>3.8302166324323501</v>
      </c>
    </row>
    <row r="44" spans="1:14" x14ac:dyDescent="0.35">
      <c r="A44" s="2">
        <v>43111</v>
      </c>
      <c r="B44" s="3">
        <v>4.3032674583204296</v>
      </c>
      <c r="C44" s="3">
        <v>4.4568547744939302</v>
      </c>
      <c r="D44" s="3">
        <v>2.8989367700176798</v>
      </c>
      <c r="E44" s="3">
        <v>2.8958074969944101</v>
      </c>
      <c r="F44" s="3">
        <v>1.9834905819670201</v>
      </c>
      <c r="G44" s="3">
        <v>3.1788778529199901</v>
      </c>
      <c r="H44" s="3">
        <v>4.1687466146057801</v>
      </c>
      <c r="I44" s="3">
        <v>1.05297296948924</v>
      </c>
      <c r="J44" s="3">
        <v>1.90167278905507</v>
      </c>
      <c r="K44" s="3">
        <v>3.2296295718637</v>
      </c>
      <c r="L44" s="3">
        <v>2.79917723071026</v>
      </c>
      <c r="M44" s="3">
        <v>3.6342814038828002</v>
      </c>
      <c r="N44" s="3">
        <v>3.7768890745343699</v>
      </c>
    </row>
    <row r="45" spans="1:14" x14ac:dyDescent="0.35">
      <c r="A45" s="2">
        <v>43140</v>
      </c>
      <c r="B45" s="3">
        <v>4.56959119117219</v>
      </c>
      <c r="C45" s="3">
        <v>4.69933442738275</v>
      </c>
      <c r="D45" s="3">
        <v>3.1788995062432699</v>
      </c>
      <c r="E45" s="3">
        <v>3.1995050472628401</v>
      </c>
      <c r="F45" s="3">
        <v>2.1998108020825602</v>
      </c>
      <c r="G45" s="3">
        <v>3.4658549924693598</v>
      </c>
      <c r="H45" s="3">
        <v>4.5264876281874198</v>
      </c>
      <c r="I45" s="3">
        <v>1.12646340323705</v>
      </c>
      <c r="J45" s="3">
        <v>2.0390592771745002</v>
      </c>
      <c r="K45" s="3">
        <v>3.5006775932964498</v>
      </c>
      <c r="L45" s="3">
        <v>2.9942815518622101</v>
      </c>
      <c r="M45" s="3">
        <v>4.0255692611866598</v>
      </c>
      <c r="N45" s="3">
        <v>4.0296985547953001</v>
      </c>
    </row>
    <row r="46" spans="1:14" x14ac:dyDescent="0.35">
      <c r="A46" s="2">
        <v>43168</v>
      </c>
      <c r="B46" s="3">
        <v>4.2123106214898796</v>
      </c>
      <c r="C46" s="3">
        <v>4.6465649673457197</v>
      </c>
      <c r="D46" s="3">
        <v>3.1324454970368398</v>
      </c>
      <c r="E46" s="3">
        <v>3.14791412114316</v>
      </c>
      <c r="F46" s="3">
        <v>2.2567325470921</v>
      </c>
      <c r="G46" s="3">
        <v>3.4171061937060498</v>
      </c>
      <c r="H46" s="3">
        <v>4.4657534601630298</v>
      </c>
      <c r="I46" s="3">
        <v>1.0310229614611099</v>
      </c>
      <c r="J46" s="3">
        <v>1.9400306374887799</v>
      </c>
      <c r="K46" s="3">
        <v>3.3831862399343802</v>
      </c>
      <c r="L46" s="3">
        <v>2.9074005252661599</v>
      </c>
      <c r="M46" s="3">
        <v>3.8373338303506199</v>
      </c>
      <c r="N46" s="3">
        <v>4.0024374941438898</v>
      </c>
    </row>
    <row r="47" spans="1:14" x14ac:dyDescent="0.35">
      <c r="A47" s="2">
        <v>43201</v>
      </c>
      <c r="B47" s="3">
        <v>4.2485732940234797</v>
      </c>
      <c r="C47" s="3">
        <v>4.7773872114702298</v>
      </c>
      <c r="D47" s="3">
        <v>3.2196185827364601</v>
      </c>
      <c r="E47" s="3">
        <v>3.2178609278010599</v>
      </c>
      <c r="F47" s="3">
        <v>2.2621386262046101</v>
      </c>
      <c r="G47" s="3">
        <v>3.5050998082206402</v>
      </c>
      <c r="H47" s="3">
        <v>4.42528558298073</v>
      </c>
      <c r="I47" s="3">
        <v>1.1257488601307599</v>
      </c>
      <c r="J47" s="3">
        <v>2.0650293118626002</v>
      </c>
      <c r="K47" s="3">
        <v>3.4080420205330002</v>
      </c>
      <c r="L47" s="3">
        <v>2.9467083821344402</v>
      </c>
      <c r="M47" s="3">
        <v>4.1621343362074397</v>
      </c>
      <c r="N47" s="3">
        <v>4.0058427649528001</v>
      </c>
    </row>
    <row r="48" spans="1:14" x14ac:dyDescent="0.35">
      <c r="A48" s="2">
        <v>43231</v>
      </c>
      <c r="B48" s="3">
        <v>4.1689139682675904</v>
      </c>
      <c r="C48" s="3">
        <v>4.6041341656190999</v>
      </c>
      <c r="D48" s="3">
        <v>3.08208078040371</v>
      </c>
      <c r="E48" s="3">
        <v>3.09773286075758</v>
      </c>
      <c r="F48" s="3">
        <v>2.1931818030902201</v>
      </c>
      <c r="G48" s="3">
        <v>3.4215136055201101</v>
      </c>
      <c r="H48" s="3">
        <v>4.2620540999122003</v>
      </c>
      <c r="I48" s="3">
        <v>1.08179633413312</v>
      </c>
      <c r="J48" s="3">
        <v>2.0202760267077098</v>
      </c>
      <c r="K48" s="3">
        <v>3.2806644984856601</v>
      </c>
      <c r="L48" s="3">
        <v>2.9079412644047098</v>
      </c>
      <c r="M48" s="3">
        <v>3.9768049945508701</v>
      </c>
      <c r="N48" s="3">
        <v>3.8953853268645702</v>
      </c>
    </row>
    <row r="49" spans="1:14" x14ac:dyDescent="0.35">
      <c r="A49" s="2">
        <v>43262</v>
      </c>
      <c r="B49" s="3">
        <v>4.0200383613095596</v>
      </c>
      <c r="C49" s="3">
        <v>4.7306907944333103</v>
      </c>
      <c r="D49" s="3">
        <v>3.0589831078438801</v>
      </c>
      <c r="E49" s="3">
        <v>3.1335901834714699</v>
      </c>
      <c r="F49" s="3">
        <v>2.2273305883083299</v>
      </c>
      <c r="G49" s="3">
        <v>3.54243139952615</v>
      </c>
      <c r="H49" s="3">
        <v>4.3157173372340996</v>
      </c>
      <c r="I49" s="3">
        <v>1.05629860663771</v>
      </c>
      <c r="J49" s="3">
        <v>1.9916672108364799</v>
      </c>
      <c r="K49" s="3">
        <v>3.3615826725338702</v>
      </c>
      <c r="L49" s="3">
        <v>2.8514314834981498</v>
      </c>
      <c r="M49" s="3">
        <v>4.0831643379063198</v>
      </c>
      <c r="N49" s="3">
        <v>4.3751583803580996</v>
      </c>
    </row>
    <row r="50" spans="1:14" x14ac:dyDescent="0.35">
      <c r="A50" s="2">
        <v>43292</v>
      </c>
      <c r="B50" s="3">
        <v>4.0431850956532598</v>
      </c>
      <c r="C50" s="3">
        <v>4.59918665742528</v>
      </c>
      <c r="D50" s="3">
        <v>3.0499733716914399</v>
      </c>
      <c r="E50" s="3">
        <v>3.2462720393215898</v>
      </c>
      <c r="F50" s="3">
        <v>2.3387675194264101</v>
      </c>
      <c r="G50" s="3">
        <v>3.5223025386121201</v>
      </c>
      <c r="H50" s="3">
        <v>4.4340987555056399</v>
      </c>
      <c r="I50" s="3">
        <v>1.05016478041227</v>
      </c>
      <c r="J50" s="3">
        <v>2.0213687539154699</v>
      </c>
      <c r="K50" s="3">
        <v>3.43827938536606</v>
      </c>
      <c r="L50" s="3">
        <v>2.9618853000585998</v>
      </c>
      <c r="M50" s="3">
        <v>4.2206368631382896</v>
      </c>
      <c r="N50" s="3">
        <v>4.4915715174271202</v>
      </c>
    </row>
    <row r="51" spans="1:14" x14ac:dyDescent="0.35">
      <c r="A51" s="2">
        <v>43322</v>
      </c>
      <c r="B51" s="3">
        <v>4.0650993842197902</v>
      </c>
      <c r="C51" s="3">
        <v>4.59308548319681</v>
      </c>
      <c r="D51" s="3">
        <v>3.0843743354381399</v>
      </c>
      <c r="E51" s="3">
        <v>3.2519524927080199</v>
      </c>
      <c r="F51" s="3">
        <v>2.3291754142151602</v>
      </c>
      <c r="G51" s="3">
        <v>3.42229033877822</v>
      </c>
      <c r="H51" s="3">
        <v>4.4552285263663203</v>
      </c>
      <c r="I51" s="3">
        <v>1.07776980813142</v>
      </c>
      <c r="J51" s="3">
        <v>1.9964466556320399</v>
      </c>
      <c r="K51" s="3">
        <v>3.4452181008822902</v>
      </c>
      <c r="L51" s="3">
        <v>2.9040084032989202</v>
      </c>
      <c r="M51" s="3">
        <v>4.1003084781985502</v>
      </c>
      <c r="N51" s="3">
        <v>4.5769263603455999</v>
      </c>
    </row>
    <row r="52" spans="1:14" x14ac:dyDescent="0.35">
      <c r="A52" s="2">
        <v>43354</v>
      </c>
      <c r="B52" s="3">
        <v>3.9642094069004301</v>
      </c>
      <c r="C52" s="3">
        <v>4.7667465055398699</v>
      </c>
      <c r="D52" s="3">
        <v>3.16484600225701</v>
      </c>
      <c r="E52" s="3">
        <v>3.3701215295750901</v>
      </c>
      <c r="F52" s="3">
        <v>2.3671175584330202</v>
      </c>
      <c r="G52" s="3">
        <v>3.4424579606730599</v>
      </c>
      <c r="H52" s="3">
        <v>4.6660349726766599</v>
      </c>
      <c r="I52" s="3">
        <v>1.0747419050304201</v>
      </c>
      <c r="J52" s="3">
        <v>1.9692798498881301</v>
      </c>
      <c r="K52" s="3">
        <v>3.5358971370294201</v>
      </c>
      <c r="L52" s="3">
        <v>3.0407263287995301</v>
      </c>
      <c r="M52" s="3">
        <v>4.1137990419296804</v>
      </c>
      <c r="N52" s="3">
        <v>4.6457144881262602</v>
      </c>
    </row>
    <row r="53" spans="1:14" x14ac:dyDescent="0.35">
      <c r="A53" s="2">
        <v>43384</v>
      </c>
      <c r="B53" s="3">
        <v>4.2979046707754804</v>
      </c>
      <c r="C53" s="3">
        <v>5.0390618908337901</v>
      </c>
      <c r="D53" s="3">
        <v>3.3522228718531499</v>
      </c>
      <c r="E53" s="3">
        <v>3.5414034675482</v>
      </c>
      <c r="F53" s="3">
        <v>2.3726625216991</v>
      </c>
      <c r="G53" s="3">
        <v>3.63628464490984</v>
      </c>
      <c r="H53" s="3">
        <v>4.8369568443086104</v>
      </c>
      <c r="I53" s="3">
        <v>1.16626803583183</v>
      </c>
      <c r="J53" s="3">
        <v>2.0964258824047901</v>
      </c>
      <c r="K53" s="3">
        <v>3.7020390613815399</v>
      </c>
      <c r="L53" s="3">
        <v>3.21760442026084</v>
      </c>
      <c r="M53" s="3">
        <v>4.2883690768566298</v>
      </c>
      <c r="N53" s="3">
        <v>5.0124055775970398</v>
      </c>
    </row>
    <row r="54" spans="1:14" x14ac:dyDescent="0.35">
      <c r="A54" s="2">
        <v>43413</v>
      </c>
      <c r="B54" s="3">
        <v>4.16232154472356</v>
      </c>
      <c r="C54" s="3">
        <v>5.0499308616618697</v>
      </c>
      <c r="D54" s="3">
        <v>3.3630114352463898</v>
      </c>
      <c r="E54" s="3">
        <v>3.5892581790342102</v>
      </c>
      <c r="F54" s="3">
        <v>2.4338955750887901</v>
      </c>
      <c r="G54" s="3">
        <v>3.4937729380199798</v>
      </c>
      <c r="H54" s="3">
        <v>4.8262063903137502</v>
      </c>
      <c r="I54" s="3">
        <v>1.1699223930601199</v>
      </c>
      <c r="J54" s="3">
        <v>2.0601000338608899</v>
      </c>
      <c r="K54" s="3">
        <v>3.70226286608094</v>
      </c>
      <c r="L54" s="3">
        <v>3.1656999123635998</v>
      </c>
      <c r="M54" s="3">
        <v>4.3832048548656699</v>
      </c>
      <c r="N54" s="3">
        <v>5.0771297402242697</v>
      </c>
    </row>
    <row r="55" spans="1:14" x14ac:dyDescent="0.35">
      <c r="A55" s="2">
        <v>43445</v>
      </c>
      <c r="B55" s="3">
        <v>4.2072097561295001</v>
      </c>
      <c r="C55" s="3">
        <v>5.4084640455803399</v>
      </c>
      <c r="D55" s="3">
        <v>3.5174512048915298</v>
      </c>
      <c r="E55" s="3">
        <v>3.85813964465166</v>
      </c>
      <c r="F55" s="3">
        <v>2.5945314057531599</v>
      </c>
      <c r="G55" s="3">
        <v>3.6468756380401302</v>
      </c>
      <c r="H55" s="3">
        <v>5.1590068275273104</v>
      </c>
      <c r="I55" s="3">
        <v>1.24660870765988</v>
      </c>
      <c r="J55" s="3">
        <v>2.1925800814693699</v>
      </c>
      <c r="K55" s="3">
        <v>3.9445434386223601</v>
      </c>
      <c r="L55" s="3">
        <v>3.37134496957496</v>
      </c>
      <c r="M55" s="3">
        <v>4.5873476414041301</v>
      </c>
      <c r="N55" s="3">
        <v>5.3606478658997201</v>
      </c>
    </row>
    <row r="56" spans="1:14" x14ac:dyDescent="0.35">
      <c r="A56" s="2">
        <v>43476</v>
      </c>
      <c r="B56" s="3">
        <v>4.1042452683789596</v>
      </c>
      <c r="C56" s="3">
        <v>5.1998373835704301</v>
      </c>
      <c r="D56" s="3">
        <v>3.4558842174348001</v>
      </c>
      <c r="E56" s="3">
        <v>3.82866141842785</v>
      </c>
      <c r="F56" s="3">
        <v>2.6915453504690499</v>
      </c>
      <c r="G56" s="3">
        <v>3.53945959907157</v>
      </c>
      <c r="H56" s="3">
        <v>5.17625245358321</v>
      </c>
      <c r="I56" s="3">
        <v>1.2689362360521601</v>
      </c>
      <c r="J56" s="3">
        <v>2.24375147571903</v>
      </c>
      <c r="K56" s="3">
        <v>3.9506837853383598</v>
      </c>
      <c r="L56" s="3">
        <v>3.3843752777250198</v>
      </c>
      <c r="M56" s="3">
        <v>4.5130918265105899</v>
      </c>
      <c r="N56" s="3">
        <v>5.17574795645191</v>
      </c>
    </row>
    <row r="57" spans="1:14" x14ac:dyDescent="0.35">
      <c r="A57" s="2">
        <v>43507</v>
      </c>
      <c r="B57" s="3">
        <v>4.0208236206945598</v>
      </c>
      <c r="C57" s="3">
        <v>4.9732304722714904</v>
      </c>
      <c r="D57" s="3">
        <v>3.3383675310199301</v>
      </c>
      <c r="E57" s="3">
        <v>3.7686640950218102</v>
      </c>
      <c r="F57" s="3">
        <v>2.6858820981623799</v>
      </c>
      <c r="G57" s="3">
        <v>3.44863266613664</v>
      </c>
      <c r="H57" s="3">
        <v>5.0132727020929302</v>
      </c>
      <c r="I57" s="3">
        <v>1.22449541408074</v>
      </c>
      <c r="J57" s="3">
        <v>2.1649344862951101</v>
      </c>
      <c r="K57" s="3">
        <v>3.7964852036464301</v>
      </c>
      <c r="L57" s="3">
        <v>3.1963435546618899</v>
      </c>
      <c r="M57" s="3">
        <v>4.2596315180047499</v>
      </c>
      <c r="N57" s="3">
        <v>5.0556795226815803</v>
      </c>
    </row>
    <row r="58" spans="1:14" x14ac:dyDescent="0.35">
      <c r="A58" s="2">
        <v>43535</v>
      </c>
      <c r="B58" s="3">
        <v>3.9051613985437799</v>
      </c>
      <c r="C58" s="3">
        <v>4.9642085519633898</v>
      </c>
      <c r="D58" s="3">
        <v>3.2711310811323799</v>
      </c>
      <c r="E58" s="3">
        <v>3.6116456168748798</v>
      </c>
      <c r="F58" s="3">
        <v>2.6080857960058701</v>
      </c>
      <c r="G58" s="3">
        <v>3.3767764279463699</v>
      </c>
      <c r="H58" s="3">
        <v>4.9983840674653504</v>
      </c>
      <c r="I58" s="3">
        <v>1.1699826063774501</v>
      </c>
      <c r="J58" s="3">
        <v>2.1135591433301699</v>
      </c>
      <c r="K58" s="3">
        <v>3.6424735059334301</v>
      </c>
      <c r="L58" s="3">
        <v>3.1289980037481002</v>
      </c>
      <c r="M58" s="3">
        <v>4.17905092054548</v>
      </c>
      <c r="N58" s="3">
        <v>4.80552436506738</v>
      </c>
    </row>
    <row r="59" spans="1:14" x14ac:dyDescent="0.35">
      <c r="A59" s="2">
        <v>43566</v>
      </c>
      <c r="B59" s="3">
        <v>3.79539484576937</v>
      </c>
      <c r="C59" s="3">
        <v>4.94890425670875</v>
      </c>
      <c r="D59" s="3">
        <v>3.21745552901106</v>
      </c>
      <c r="E59" s="3">
        <v>3.4991901185328702</v>
      </c>
      <c r="F59" s="3">
        <v>2.5813761381383</v>
      </c>
      <c r="G59" s="3">
        <v>3.26342900743091</v>
      </c>
      <c r="H59" s="3">
        <v>4.8290672912748702</v>
      </c>
      <c r="I59" s="3">
        <v>1.1093295974861399</v>
      </c>
      <c r="J59" s="3">
        <v>2.05472550576892</v>
      </c>
      <c r="K59" s="3">
        <v>3.5190906119280201</v>
      </c>
      <c r="L59" s="3">
        <v>3.01308524281793</v>
      </c>
      <c r="M59" s="3">
        <v>4.0588476620182998</v>
      </c>
      <c r="N59" s="3">
        <v>4.6386235888739202</v>
      </c>
    </row>
    <row r="60" spans="1:14" x14ac:dyDescent="0.35">
      <c r="A60" s="2">
        <v>43595</v>
      </c>
      <c r="B60" s="3">
        <v>3.6913386795783798</v>
      </c>
      <c r="C60" s="3">
        <v>4.8450417683979401</v>
      </c>
      <c r="D60" s="3">
        <v>3.27174218037938</v>
      </c>
      <c r="E60" s="3">
        <v>3.5093067866787901</v>
      </c>
      <c r="F60" s="3">
        <v>2.6736209541568798</v>
      </c>
      <c r="G60" s="3">
        <v>3.3447236971206502</v>
      </c>
      <c r="H60" s="3">
        <v>4.9873756788427803</v>
      </c>
      <c r="I60" s="3">
        <v>1.11979029855516</v>
      </c>
      <c r="J60" s="3">
        <v>2.0711479721314601</v>
      </c>
      <c r="K60" s="3">
        <v>3.6330443532710901</v>
      </c>
      <c r="L60" s="3">
        <v>3.05710668139763</v>
      </c>
      <c r="M60" s="3">
        <v>4.2065966612644496</v>
      </c>
      <c r="N60" s="3">
        <v>4.8655620489923299</v>
      </c>
    </row>
    <row r="61" spans="1:14" x14ac:dyDescent="0.35">
      <c r="A61" s="2">
        <v>43627</v>
      </c>
      <c r="B61" s="3">
        <v>3.6995821718462301</v>
      </c>
      <c r="C61" s="3">
        <v>4.6841403175893097</v>
      </c>
      <c r="D61" s="3">
        <v>3.3412532497360101</v>
      </c>
      <c r="E61" s="3">
        <v>3.5533002818520698</v>
      </c>
      <c r="F61" s="3">
        <v>2.67126126417197</v>
      </c>
      <c r="G61" s="3">
        <v>3.24276941433371</v>
      </c>
      <c r="H61" s="3">
        <v>4.78597450143352</v>
      </c>
      <c r="I61" s="3">
        <v>1.14121765196273</v>
      </c>
      <c r="J61" s="3">
        <v>2.0828117104668902</v>
      </c>
      <c r="K61" s="3">
        <v>3.5963201827515201</v>
      </c>
      <c r="L61" s="3">
        <v>3.0669532887272002</v>
      </c>
      <c r="M61" s="3">
        <v>4.2200440044210801</v>
      </c>
      <c r="N61" s="3">
        <v>4.9748559417741696</v>
      </c>
    </row>
    <row r="62" spans="1:14" x14ac:dyDescent="0.35">
      <c r="A62" s="2">
        <v>43657</v>
      </c>
      <c r="B62" s="3">
        <v>3.4533573095103098</v>
      </c>
      <c r="C62" s="3">
        <v>4.6142423198260403</v>
      </c>
      <c r="D62" s="3">
        <v>3.2969730841125</v>
      </c>
      <c r="E62" s="3">
        <v>3.4817423335075999</v>
      </c>
      <c r="F62" s="3">
        <v>2.6443790785088299</v>
      </c>
      <c r="G62" s="3">
        <v>3.2422731194479102</v>
      </c>
      <c r="H62" s="3">
        <v>4.7879650308773298</v>
      </c>
      <c r="I62" s="3">
        <v>1.08387909773571</v>
      </c>
      <c r="J62" s="3">
        <v>2.0151572024183002</v>
      </c>
      <c r="K62" s="3">
        <v>3.5340054274686699</v>
      </c>
      <c r="L62" s="3">
        <v>2.9849302174974999</v>
      </c>
      <c r="M62" s="3">
        <v>4.1748869513881797</v>
      </c>
      <c r="N62" s="3">
        <v>4.6279195829327699</v>
      </c>
    </row>
    <row r="63" spans="1:14" x14ac:dyDescent="0.35">
      <c r="A63" s="2">
        <v>43686</v>
      </c>
      <c r="B63" s="3">
        <v>3.3951655229526398</v>
      </c>
      <c r="C63" s="3">
        <v>4.6631395274054901</v>
      </c>
      <c r="D63" s="3">
        <v>3.3906077997891702</v>
      </c>
      <c r="E63" s="3">
        <v>3.6003553181978898</v>
      </c>
      <c r="F63" s="3">
        <v>2.7722626840163498</v>
      </c>
      <c r="G63" s="3">
        <v>3.2659763032467102</v>
      </c>
      <c r="H63" s="3">
        <v>5.0758623645746601</v>
      </c>
      <c r="I63" s="3">
        <v>1.1260832092651001</v>
      </c>
      <c r="J63" s="3">
        <v>2.0789180295774301</v>
      </c>
      <c r="K63" s="3">
        <v>3.6850737839903198</v>
      </c>
      <c r="L63" s="3">
        <v>3.0375478276863102</v>
      </c>
      <c r="M63" s="3">
        <v>4.2744558571031099</v>
      </c>
      <c r="N63" s="3">
        <v>5.0941292018989399</v>
      </c>
    </row>
    <row r="64" spans="1:14" x14ac:dyDescent="0.35">
      <c r="A64" s="2">
        <v>43719</v>
      </c>
      <c r="B64" s="3">
        <v>3.3238025739842301</v>
      </c>
      <c r="C64" s="3">
        <v>4.5058406602493504</v>
      </c>
      <c r="D64" s="3">
        <v>3.3392622633251401</v>
      </c>
      <c r="E64" s="3">
        <v>3.39568905264812</v>
      </c>
      <c r="F64" s="3">
        <v>2.6226297132173801</v>
      </c>
      <c r="G64" s="3">
        <v>3.1783293557787302</v>
      </c>
      <c r="H64" s="3">
        <v>4.9474386553901404</v>
      </c>
      <c r="I64" s="3">
        <v>1.0919506643437999</v>
      </c>
      <c r="J64" s="3">
        <v>2.0331065496369498</v>
      </c>
      <c r="K64" s="3">
        <v>3.5186155160133401</v>
      </c>
      <c r="L64" s="3">
        <v>2.8568117925778602</v>
      </c>
      <c r="M64" s="3">
        <v>3.9972798441142698</v>
      </c>
      <c r="N64" s="3">
        <v>4.7695763612733098</v>
      </c>
    </row>
    <row r="65" spans="1:14" x14ac:dyDescent="0.35">
      <c r="A65" s="2">
        <v>43749</v>
      </c>
      <c r="B65" s="3">
        <v>3.3390824189328598</v>
      </c>
      <c r="C65" s="3">
        <v>4.4830717731599803</v>
      </c>
      <c r="D65" s="3">
        <v>3.3674423388742301</v>
      </c>
      <c r="E65" s="3">
        <v>3.3776514959783301</v>
      </c>
      <c r="F65" s="3">
        <v>2.6150575010994199</v>
      </c>
      <c r="G65" s="3">
        <v>3.21834761065463</v>
      </c>
      <c r="H65" s="3">
        <v>4.9166485985350299</v>
      </c>
      <c r="I65" s="3">
        <v>1.10539224329674</v>
      </c>
      <c r="J65" s="3">
        <v>2.0647835650770698</v>
      </c>
      <c r="K65" s="3">
        <v>3.5018754089041999</v>
      </c>
      <c r="L65" s="3">
        <v>2.7474171708908899</v>
      </c>
      <c r="M65" s="3">
        <v>3.8849020926026401</v>
      </c>
      <c r="N65" s="3">
        <v>4.7333996357680999</v>
      </c>
    </row>
    <row r="66" spans="1:14" x14ac:dyDescent="0.35">
      <c r="A66" s="2">
        <v>43780</v>
      </c>
      <c r="B66" s="3">
        <v>3.3282931807480902</v>
      </c>
      <c r="C66" s="3">
        <v>4.31375028759361</v>
      </c>
      <c r="D66" s="3">
        <v>3.2666921127874202</v>
      </c>
      <c r="E66" s="3">
        <v>3.1431133753850502</v>
      </c>
      <c r="F66" s="3">
        <v>2.4623754034644598</v>
      </c>
      <c r="G66" s="3">
        <v>3.1360664874443902</v>
      </c>
      <c r="H66" s="3">
        <v>4.80167726218684</v>
      </c>
      <c r="I66" s="3">
        <v>1.06610027929173</v>
      </c>
      <c r="J66" s="3">
        <v>2.0001541633696598</v>
      </c>
      <c r="K66" s="3">
        <v>3.3780514468835698</v>
      </c>
      <c r="L66" s="3">
        <v>2.65745502778279</v>
      </c>
      <c r="M66" s="3">
        <v>3.67574080900543</v>
      </c>
      <c r="N66" s="3">
        <v>4.5375116113783003</v>
      </c>
    </row>
    <row r="67" spans="1:14" x14ac:dyDescent="0.35">
      <c r="A67" s="2">
        <v>43810</v>
      </c>
      <c r="B67" s="3">
        <v>3.2611968071219199</v>
      </c>
      <c r="C67" s="3">
        <v>4.2948769985349697</v>
      </c>
      <c r="D67" s="3">
        <v>3.2733845837522901</v>
      </c>
      <c r="E67" s="3">
        <v>3.12017552860434</v>
      </c>
      <c r="F67" s="3">
        <v>2.45022508632711</v>
      </c>
      <c r="G67" s="3">
        <v>3.1155524070604601</v>
      </c>
      <c r="H67" s="3">
        <v>4.78994647475308</v>
      </c>
      <c r="I67" s="3">
        <v>1.0741713396488599</v>
      </c>
      <c r="J67" s="3">
        <v>1.97695789429458</v>
      </c>
      <c r="K67" s="3">
        <v>3.4093282820192399</v>
      </c>
      <c r="L67" s="3">
        <v>2.64026991179438</v>
      </c>
      <c r="M67" s="3">
        <v>3.69397466283514</v>
      </c>
      <c r="N67" s="3">
        <v>4.5758308540602401</v>
      </c>
    </row>
    <row r="68" spans="1:14" x14ac:dyDescent="0.35">
      <c r="A68" s="2">
        <v>43840</v>
      </c>
      <c r="B68" s="3">
        <v>3.1611583646166102</v>
      </c>
      <c r="C68" s="3">
        <v>4.1857438454551898</v>
      </c>
      <c r="D68" s="3">
        <v>3.2373381162813799</v>
      </c>
      <c r="E68" s="3">
        <v>3.0512972122865798</v>
      </c>
      <c r="F68" s="3">
        <v>2.4297629493119701</v>
      </c>
      <c r="G68" s="3">
        <v>3.0373020959130699</v>
      </c>
      <c r="H68" s="3">
        <v>4.5752545931311897</v>
      </c>
      <c r="I68" s="3">
        <v>1.02233114907502</v>
      </c>
      <c r="J68" s="3">
        <v>1.91795070874364</v>
      </c>
      <c r="K68" s="3">
        <v>3.3279983946438598</v>
      </c>
      <c r="L68" s="3">
        <v>2.57652895081943</v>
      </c>
      <c r="M68" s="3">
        <v>3.58278924176226</v>
      </c>
      <c r="N68" s="3">
        <v>4.4275219148350704</v>
      </c>
    </row>
    <row r="69" spans="1:14" x14ac:dyDescent="0.35">
      <c r="A69" s="2">
        <v>43872</v>
      </c>
      <c r="B69" s="3">
        <v>3.0614920573975999</v>
      </c>
      <c r="C69" s="3">
        <v>4.1322079481103504</v>
      </c>
      <c r="D69" s="3">
        <v>3.2051670836428099</v>
      </c>
      <c r="E69" s="3">
        <v>3.0352081011492702</v>
      </c>
      <c r="F69" s="3">
        <v>2.4502951770295298</v>
      </c>
      <c r="G69" s="3">
        <v>2.9369196527826702</v>
      </c>
      <c r="H69" s="3">
        <v>4.6572117439738401</v>
      </c>
      <c r="I69" s="3">
        <v>0.96985686957649997</v>
      </c>
      <c r="J69" s="3">
        <v>1.8807524645632101</v>
      </c>
      <c r="K69" s="3">
        <v>3.3058418003924901</v>
      </c>
      <c r="L69" s="3">
        <v>2.4945019468220102</v>
      </c>
      <c r="M69" s="3">
        <v>3.4126876981677499</v>
      </c>
      <c r="N69" s="3">
        <v>4.4489814916758599</v>
      </c>
    </row>
    <row r="70" spans="1:14" x14ac:dyDescent="0.35">
      <c r="A70" s="2">
        <v>43901</v>
      </c>
      <c r="B70" s="3">
        <v>3.29041534704995</v>
      </c>
      <c r="C70" s="3">
        <v>5.0147839011716604</v>
      </c>
      <c r="D70" s="3">
        <v>4.0797483726464003</v>
      </c>
      <c r="E70" s="3">
        <v>3.9158384894060001</v>
      </c>
      <c r="F70" s="3">
        <v>2.99966821997107</v>
      </c>
      <c r="G70" s="3">
        <v>3.5112607024007199</v>
      </c>
      <c r="H70" s="3">
        <v>5.9588215500548403</v>
      </c>
      <c r="I70" s="3">
        <v>1.1591517289181299</v>
      </c>
      <c r="J70" s="3">
        <v>2.3159690452925901</v>
      </c>
      <c r="K70" s="3">
        <v>4.2408795012605998</v>
      </c>
      <c r="L70" s="3">
        <v>3.1858277939437398</v>
      </c>
      <c r="M70" s="3">
        <v>4.2486829078905197</v>
      </c>
      <c r="N70" s="3">
        <v>6.0755300210754104</v>
      </c>
    </row>
    <row r="71" spans="1:14" x14ac:dyDescent="0.35">
      <c r="A71" s="2">
        <v>43930</v>
      </c>
      <c r="B71" s="3">
        <v>2.9931535160139102</v>
      </c>
      <c r="C71" s="3">
        <v>4.6223915874541497</v>
      </c>
      <c r="D71" s="3">
        <v>4.0602260028667603</v>
      </c>
      <c r="E71" s="3">
        <v>3.5860512701863501</v>
      </c>
      <c r="F71" s="3">
        <v>2.9189127309020702</v>
      </c>
      <c r="G71" s="3">
        <v>3.40426873881295</v>
      </c>
      <c r="H71" s="3">
        <v>5.7693796561216599</v>
      </c>
      <c r="I71" s="3">
        <v>1.12674411195429</v>
      </c>
      <c r="J71" s="3">
        <v>2.2238056181740302</v>
      </c>
      <c r="K71" s="3">
        <v>3.95122385534405</v>
      </c>
      <c r="L71" s="3">
        <v>2.8833964806586998</v>
      </c>
      <c r="M71" s="3">
        <v>3.6166805394342099</v>
      </c>
      <c r="N71" s="3">
        <v>5.8767282508131702</v>
      </c>
    </row>
    <row r="72" spans="1:14" x14ac:dyDescent="0.35">
      <c r="A72" s="2">
        <v>43962</v>
      </c>
      <c r="B72" s="3">
        <v>2.5945884752748101</v>
      </c>
      <c r="C72" s="3">
        <v>3.8292020740375001</v>
      </c>
      <c r="D72" s="3">
        <v>3.6974358517574002</v>
      </c>
      <c r="E72" s="3">
        <v>3.3437789194479599</v>
      </c>
      <c r="F72" s="3">
        <v>2.7657750607488198</v>
      </c>
      <c r="G72" s="3">
        <v>3.2549758681355798</v>
      </c>
      <c r="H72" s="3">
        <v>4.6012567060914096</v>
      </c>
      <c r="I72" s="3">
        <v>0.98178138768594603</v>
      </c>
      <c r="J72" s="3">
        <v>2.0748823784547699</v>
      </c>
      <c r="K72" s="3">
        <v>3.54076394729507</v>
      </c>
      <c r="L72" s="3">
        <v>2.6268882828679798</v>
      </c>
      <c r="M72" s="3">
        <v>3.3234315822888698</v>
      </c>
      <c r="N72" s="3">
        <v>5.0290606823025303</v>
      </c>
    </row>
    <row r="73" spans="1:14" x14ac:dyDescent="0.35">
      <c r="A73" s="2">
        <v>43993</v>
      </c>
      <c r="B73" s="3">
        <v>2.56753949060891</v>
      </c>
      <c r="C73" s="3">
        <v>3.3890069694818599</v>
      </c>
      <c r="D73" s="3">
        <v>3.6553825423073998</v>
      </c>
      <c r="E73" s="3">
        <v>2.9782286669136901</v>
      </c>
      <c r="F73" s="3">
        <v>2.4855059254768102</v>
      </c>
      <c r="G73" s="3">
        <v>3.1492795549811099</v>
      </c>
      <c r="H73" s="3">
        <v>4.1563094267320198</v>
      </c>
      <c r="I73" s="3">
        <v>0.94765931051130803</v>
      </c>
      <c r="J73" s="3">
        <v>2.0082263028770999</v>
      </c>
      <c r="K73" s="3">
        <v>3.2306848231547001</v>
      </c>
      <c r="L73" s="3">
        <v>2.48417485709076</v>
      </c>
      <c r="M73" s="3">
        <v>3.1239898152950301</v>
      </c>
      <c r="N73" s="3">
        <v>4.3977688241281596</v>
      </c>
    </row>
    <row r="74" spans="1:14" x14ac:dyDescent="0.35">
      <c r="A74" s="2">
        <v>44022</v>
      </c>
      <c r="B74" s="3">
        <v>2.4860179130343498</v>
      </c>
      <c r="C74" s="3">
        <v>3.4824551633595502</v>
      </c>
      <c r="D74" s="3">
        <v>3.51201113177813</v>
      </c>
      <c r="E74" s="3">
        <v>2.8530827759517101</v>
      </c>
      <c r="F74" s="3">
        <v>2.54244668125274</v>
      </c>
      <c r="G74" s="3">
        <v>3.0151502831314998</v>
      </c>
      <c r="H74" s="3">
        <v>4.1467135356821396</v>
      </c>
      <c r="I74" s="3">
        <v>0.84060377160830202</v>
      </c>
      <c r="J74" s="3">
        <v>1.8712816578268201</v>
      </c>
      <c r="K74" s="3">
        <v>3.1252747648782799</v>
      </c>
      <c r="L74" s="3">
        <v>2.3234543630800402</v>
      </c>
      <c r="M74" s="3">
        <v>2.9889025838514498</v>
      </c>
      <c r="N74" s="3">
        <v>4.3154285182551702</v>
      </c>
    </row>
    <row r="75" spans="1:14" x14ac:dyDescent="0.35">
      <c r="A75" s="2">
        <v>44054</v>
      </c>
      <c r="B75" s="3">
        <v>2.4071000576121699</v>
      </c>
      <c r="C75" s="3">
        <v>3.3279458085252802</v>
      </c>
      <c r="D75" s="3">
        <v>3.3442842866775599</v>
      </c>
      <c r="E75" s="3">
        <v>2.8163739060967798</v>
      </c>
      <c r="F75" s="3">
        <v>2.4462222595140601</v>
      </c>
      <c r="G75" s="3">
        <v>2.9632076444022499</v>
      </c>
      <c r="H75" s="3">
        <v>3.9316125886840299</v>
      </c>
      <c r="I75" s="3">
        <v>0.83992327144122103</v>
      </c>
      <c r="J75" s="3">
        <v>1.7865024644613701</v>
      </c>
      <c r="K75" s="3">
        <v>3.0889079703564502</v>
      </c>
      <c r="L75" s="3">
        <v>2.3525196597325202</v>
      </c>
      <c r="M75" s="3">
        <v>2.9637501788738301</v>
      </c>
      <c r="N75" s="3">
        <v>3.8940049992304102</v>
      </c>
    </row>
    <row r="76" spans="1:14" x14ac:dyDescent="0.35">
      <c r="A76" s="2">
        <v>44085</v>
      </c>
      <c r="B76" s="3">
        <v>2.4228526464546301</v>
      </c>
      <c r="C76" s="3">
        <v>3.6144418922133101</v>
      </c>
      <c r="D76" s="3">
        <v>3.40981523896615</v>
      </c>
      <c r="E76" s="3">
        <v>2.79508690718946</v>
      </c>
      <c r="F76" s="3">
        <v>2.36236672653374</v>
      </c>
      <c r="G76" s="3">
        <v>2.8991881825005801</v>
      </c>
      <c r="H76" s="3">
        <v>4.11042161433814</v>
      </c>
      <c r="I76" s="3">
        <v>0.825129872897993</v>
      </c>
      <c r="J76" s="3">
        <v>1.7868549846478601</v>
      </c>
      <c r="K76" s="3">
        <v>3.1164058952691001</v>
      </c>
      <c r="L76" s="3">
        <v>2.3212251805638702</v>
      </c>
      <c r="M76" s="3">
        <v>2.9747423615353599</v>
      </c>
      <c r="N76" s="3">
        <v>4.02482703489546</v>
      </c>
    </row>
    <row r="77" spans="1:14" x14ac:dyDescent="0.35">
      <c r="A77" s="2">
        <v>44113</v>
      </c>
      <c r="B77" s="3">
        <v>2.3574516500659501</v>
      </c>
      <c r="C77" s="3">
        <v>3.55089826648606</v>
      </c>
      <c r="D77" s="3">
        <v>3.3603886881028799</v>
      </c>
      <c r="E77" s="3">
        <v>2.81433848698402</v>
      </c>
      <c r="F77" s="3">
        <v>2.36562247409557</v>
      </c>
      <c r="G77" s="3">
        <v>2.9282021754262599</v>
      </c>
      <c r="H77" s="3">
        <v>4.1821738704246103</v>
      </c>
      <c r="I77" s="3">
        <v>0.78390556791672195</v>
      </c>
      <c r="J77" s="3">
        <v>1.7195035062544799</v>
      </c>
      <c r="K77" s="3">
        <v>3.18530839872493</v>
      </c>
      <c r="L77" s="3">
        <v>2.2754463195611598</v>
      </c>
      <c r="M77" s="3">
        <v>2.9827723327350002</v>
      </c>
      <c r="N77" s="3">
        <v>4.1172181913705499</v>
      </c>
    </row>
    <row r="78" spans="1:14" x14ac:dyDescent="0.35">
      <c r="A78" s="2">
        <v>44146</v>
      </c>
      <c r="B78" s="3">
        <v>2.3554802696450099</v>
      </c>
      <c r="C78" s="3">
        <v>3.4927049820729699</v>
      </c>
      <c r="D78" s="3">
        <v>3.3063557193261</v>
      </c>
      <c r="E78" s="3">
        <v>2.84406706402069</v>
      </c>
      <c r="F78" s="3">
        <v>2.2524969750584201</v>
      </c>
      <c r="G78" s="3">
        <v>2.8859545210335198</v>
      </c>
      <c r="H78" s="3">
        <v>4.0046173150412896</v>
      </c>
      <c r="I78" s="3">
        <v>0.77866018623335098</v>
      </c>
      <c r="J78" s="3">
        <v>1.67847503796471</v>
      </c>
      <c r="K78" s="3">
        <v>2.93283949159754</v>
      </c>
      <c r="L78" s="3">
        <v>2.1846485874798001</v>
      </c>
      <c r="M78" s="3">
        <v>3.0301587447238099</v>
      </c>
      <c r="N78" s="3">
        <v>3.9837175960642002</v>
      </c>
    </row>
    <row r="79" spans="1:14" x14ac:dyDescent="0.35">
      <c r="A79" s="2">
        <v>44176</v>
      </c>
      <c r="B79" s="3">
        <v>2.3732908751519699</v>
      </c>
      <c r="C79" s="3">
        <v>3.5331016942892499</v>
      </c>
      <c r="D79" s="3">
        <v>3.1141176124538199</v>
      </c>
      <c r="E79" s="3">
        <v>2.8247533574273298</v>
      </c>
      <c r="F79" s="3">
        <v>2.1615740229026401</v>
      </c>
      <c r="G79" s="3">
        <v>2.91314693195398</v>
      </c>
      <c r="H79" s="3">
        <v>3.9136900213234198</v>
      </c>
      <c r="I79" s="3">
        <v>0.75304414557869304</v>
      </c>
      <c r="J79" s="3">
        <v>1.6406949928244601</v>
      </c>
      <c r="K79" s="3">
        <v>2.9420164419137</v>
      </c>
      <c r="L79" s="3">
        <v>2.0782691238884201</v>
      </c>
      <c r="M79" s="3">
        <v>3.0653159166576698</v>
      </c>
      <c r="N79" s="3">
        <v>3.9945362949049001</v>
      </c>
    </row>
    <row r="80" spans="1:14" x14ac:dyDescent="0.35">
      <c r="A80" s="2">
        <v>44207</v>
      </c>
      <c r="B80" s="3">
        <v>2.40389451621252</v>
      </c>
      <c r="C80" s="3">
        <v>3.52813078623354</v>
      </c>
      <c r="D80" s="3">
        <v>3.0322031068511199</v>
      </c>
      <c r="E80" s="3">
        <v>2.7140944606844699</v>
      </c>
      <c r="F80" s="3">
        <v>2.0864703394339399</v>
      </c>
      <c r="G80" s="3">
        <v>2.81253769128028</v>
      </c>
      <c r="H80" s="3">
        <v>3.8209313421758599</v>
      </c>
      <c r="I80" s="3">
        <v>0.76364047749816</v>
      </c>
      <c r="J80" s="3">
        <v>1.56314374883546</v>
      </c>
      <c r="K80" s="3">
        <v>2.9070358216755401</v>
      </c>
      <c r="L80" s="3">
        <v>1.9425788435251301</v>
      </c>
      <c r="M80" s="3">
        <v>3.0172262622501198</v>
      </c>
      <c r="N80" s="3">
        <v>3.8912733753058899</v>
      </c>
    </row>
    <row r="81" spans="1:14" x14ac:dyDescent="0.35">
      <c r="A81" s="2">
        <v>44238</v>
      </c>
      <c r="B81" s="3">
        <v>2.5586434976971701</v>
      </c>
      <c r="C81" s="3">
        <v>3.5877959792457701</v>
      </c>
      <c r="D81" s="3">
        <v>2.9435265984730998</v>
      </c>
      <c r="E81" s="3">
        <v>2.7302485371469301</v>
      </c>
      <c r="F81" s="3">
        <v>2.03061548667467</v>
      </c>
      <c r="G81" s="3">
        <v>2.81197636330235</v>
      </c>
      <c r="H81" s="3">
        <v>4.0250191920878704</v>
      </c>
      <c r="I81" s="3">
        <v>0.726005958282265</v>
      </c>
      <c r="J81" s="3">
        <v>1.53320286792983</v>
      </c>
      <c r="K81" s="3">
        <v>2.9180929810574798</v>
      </c>
      <c r="L81" s="3">
        <v>1.8903816595993701</v>
      </c>
      <c r="M81" s="3">
        <v>3.00317712733125</v>
      </c>
      <c r="N81" s="3">
        <v>3.92170587177807</v>
      </c>
    </row>
    <row r="82" spans="1:14" x14ac:dyDescent="0.35">
      <c r="A82" s="2">
        <v>44266</v>
      </c>
      <c r="B82" s="3">
        <v>2.61252028697769</v>
      </c>
      <c r="C82" s="3">
        <v>3.9128882420033002</v>
      </c>
      <c r="D82" s="3">
        <v>2.8430957626242002</v>
      </c>
      <c r="E82" s="3">
        <v>2.73573731358226</v>
      </c>
      <c r="F82" s="3">
        <v>2.0854756513982502</v>
      </c>
      <c r="G82" s="3">
        <v>2.8367387881189901</v>
      </c>
      <c r="H82" s="3">
        <v>3.9575399209439399</v>
      </c>
      <c r="I82" s="3">
        <v>0.76828154941043703</v>
      </c>
      <c r="J82" s="3">
        <v>1.5327598049737701</v>
      </c>
      <c r="K82" s="3">
        <v>2.7383445059667499</v>
      </c>
      <c r="L82" s="3">
        <v>2.00187877971717</v>
      </c>
      <c r="M82" s="3">
        <v>2.7780691685372099</v>
      </c>
      <c r="N82" s="3">
        <v>4.0701118391927</v>
      </c>
    </row>
    <row r="83" spans="1:14" x14ac:dyDescent="0.35">
      <c r="A83" s="2">
        <v>44295</v>
      </c>
      <c r="B83" s="3">
        <v>2.5805308361242498</v>
      </c>
      <c r="C83" s="3">
        <v>3.87995382583436</v>
      </c>
      <c r="D83" s="3">
        <v>2.7647229883792002</v>
      </c>
      <c r="E83" s="3">
        <v>2.6852374958264398</v>
      </c>
      <c r="F83" s="3">
        <v>2.0661803828927101</v>
      </c>
      <c r="G83" s="3">
        <v>2.7398261962533099</v>
      </c>
      <c r="H83" s="3">
        <v>3.95446355246998</v>
      </c>
      <c r="I83" s="3">
        <v>0.72669912765970401</v>
      </c>
      <c r="J83" s="3">
        <v>1.4692464965791401</v>
      </c>
      <c r="K83" s="3">
        <v>2.71755704150786</v>
      </c>
      <c r="L83" s="3">
        <v>1.9047206493658799</v>
      </c>
      <c r="M83" s="3">
        <v>2.7014630184670398</v>
      </c>
      <c r="N83" s="3">
        <v>4.0619168525482703</v>
      </c>
    </row>
    <row r="84" spans="1:14" x14ac:dyDescent="0.35">
      <c r="A84" s="2">
        <v>44327</v>
      </c>
      <c r="B84" s="3">
        <v>2.6147926813380802</v>
      </c>
      <c r="C84" s="3">
        <v>3.8791654912322899</v>
      </c>
      <c r="D84" s="3">
        <v>2.75146242279438</v>
      </c>
      <c r="E84" s="3">
        <v>2.8498598015043601</v>
      </c>
      <c r="F84" s="3">
        <v>2.1689480429820001</v>
      </c>
      <c r="G84" s="3">
        <v>2.7981147697451201</v>
      </c>
      <c r="H84" s="3">
        <v>3.9412275707751698</v>
      </c>
      <c r="I84" s="3">
        <v>0.757421363306371</v>
      </c>
      <c r="J84" s="3">
        <v>1.4715386899465701</v>
      </c>
      <c r="K84" s="3">
        <v>2.7344936175711498</v>
      </c>
      <c r="L84" s="3">
        <v>2.00607252422662</v>
      </c>
      <c r="M84" s="3">
        <v>2.88062276308154</v>
      </c>
      <c r="N84" s="3">
        <v>4.2225797491911203</v>
      </c>
    </row>
    <row r="85" spans="1:14" x14ac:dyDescent="0.35">
      <c r="A85" s="2">
        <v>44358</v>
      </c>
      <c r="B85" s="3">
        <v>2.6812794898652199</v>
      </c>
      <c r="C85" s="3">
        <v>3.8819695915485299</v>
      </c>
      <c r="D85" s="3">
        <v>2.5753467104645198</v>
      </c>
      <c r="E85" s="3">
        <v>2.7746417547647799</v>
      </c>
      <c r="F85" s="3">
        <v>2.1649057324765502</v>
      </c>
      <c r="G85" s="3">
        <v>2.6223880357757001</v>
      </c>
      <c r="H85" s="3">
        <v>3.88337557890241</v>
      </c>
      <c r="I85" s="3">
        <v>0.72924333071221403</v>
      </c>
      <c r="J85" s="3">
        <v>1.45106590793512</v>
      </c>
      <c r="K85" s="3">
        <v>2.64213018670968</v>
      </c>
      <c r="L85" s="3">
        <v>1.9758972903435099</v>
      </c>
      <c r="M85" s="3">
        <v>2.67979345871395</v>
      </c>
      <c r="N85" s="3">
        <v>4.0376420161647903</v>
      </c>
    </row>
    <row r="86" spans="1:14" x14ac:dyDescent="0.35">
      <c r="A86" s="2">
        <v>44386</v>
      </c>
      <c r="B86" s="3">
        <v>2.6137734241941901</v>
      </c>
      <c r="C86" s="3">
        <v>4.1266036331240699</v>
      </c>
      <c r="D86" s="3">
        <v>2.7044215802357501</v>
      </c>
      <c r="E86" s="3">
        <v>2.7988502482314099</v>
      </c>
      <c r="F86" s="3">
        <v>2.2358896298714299</v>
      </c>
      <c r="G86" s="3">
        <v>2.6218129698825701</v>
      </c>
      <c r="H86" s="3">
        <v>4.0069969911204204</v>
      </c>
      <c r="I86" s="3">
        <v>0.69248893502473197</v>
      </c>
      <c r="J86" s="3">
        <v>1.42719594966352</v>
      </c>
      <c r="K86" s="3">
        <v>2.70365670141515</v>
      </c>
      <c r="L86" s="3">
        <v>2.0257428399659201</v>
      </c>
      <c r="M86" s="3">
        <v>2.6720922371443301</v>
      </c>
      <c r="N86" s="3">
        <v>4.1960215560401402</v>
      </c>
    </row>
    <row r="87" spans="1:14" x14ac:dyDescent="0.35">
      <c r="A87" s="2">
        <v>44419</v>
      </c>
      <c r="B87" s="3">
        <v>2.6783901546884201</v>
      </c>
      <c r="C87" s="3">
        <v>4.0215355763228802</v>
      </c>
      <c r="D87" s="3">
        <v>2.6698074691363298</v>
      </c>
      <c r="E87" s="3">
        <v>2.8411450540002501</v>
      </c>
      <c r="F87" s="3">
        <v>2.2192547299066798</v>
      </c>
      <c r="G87" s="3">
        <v>2.5653611404088399</v>
      </c>
      <c r="H87" s="3">
        <v>4.1018373747493202</v>
      </c>
      <c r="I87" s="3">
        <v>0.70353674801410104</v>
      </c>
      <c r="J87" s="3">
        <v>1.41647135040795</v>
      </c>
      <c r="K87" s="3">
        <v>2.6801156924566398</v>
      </c>
      <c r="L87" s="3">
        <v>1.9404002085521901</v>
      </c>
      <c r="M87" s="3">
        <v>2.6975877908131101</v>
      </c>
      <c r="N87" s="3">
        <v>4.2586312499204801</v>
      </c>
    </row>
    <row r="88" spans="1:14" x14ac:dyDescent="0.35">
      <c r="A88" s="2">
        <v>44449</v>
      </c>
      <c r="B88" s="3">
        <v>2.6029570760018599</v>
      </c>
      <c r="C88" s="3">
        <v>4.08612980080773</v>
      </c>
      <c r="D88" s="3">
        <v>2.7457230310037102</v>
      </c>
      <c r="E88" s="3">
        <v>2.8735465022232498</v>
      </c>
      <c r="F88" s="3">
        <v>2.12996395018624</v>
      </c>
      <c r="G88" s="3">
        <v>2.63048266198272</v>
      </c>
      <c r="H88" s="3">
        <v>4.2252150154315897</v>
      </c>
      <c r="I88" s="3">
        <v>0.687638193436789</v>
      </c>
      <c r="J88" s="3">
        <v>1.4226711380820001</v>
      </c>
      <c r="K88" s="3">
        <v>2.7770121890525101</v>
      </c>
      <c r="L88" s="3">
        <v>1.8519866089264201</v>
      </c>
      <c r="M88" s="3">
        <v>2.75867244469713</v>
      </c>
      <c r="N88" s="3">
        <v>4.5017763605208199</v>
      </c>
    </row>
    <row r="89" spans="1:14" x14ac:dyDescent="0.35">
      <c r="A89" s="2">
        <v>44480</v>
      </c>
      <c r="B89" s="3">
        <v>2.6796942143820002</v>
      </c>
      <c r="C89" s="3">
        <v>4.06089465900215</v>
      </c>
      <c r="D89" s="3">
        <v>2.7870314053780798</v>
      </c>
      <c r="E89" s="3">
        <v>2.9977734761067198</v>
      </c>
      <c r="F89" s="3">
        <v>2.24909640702047</v>
      </c>
      <c r="G89" s="3">
        <v>2.74099051944376</v>
      </c>
      <c r="H89" s="3">
        <v>4.1094546573587696</v>
      </c>
      <c r="I89" s="3">
        <v>0.72839739504576495</v>
      </c>
      <c r="J89" s="3">
        <v>1.46223204238077</v>
      </c>
      <c r="K89" s="3">
        <v>2.8735654287075398</v>
      </c>
      <c r="L89" s="3">
        <v>1.9851100860541799</v>
      </c>
      <c r="M89" s="3">
        <v>2.9314445415922399</v>
      </c>
      <c r="N89" s="3">
        <v>4.4819180507967804</v>
      </c>
    </row>
    <row r="90" spans="1:14" x14ac:dyDescent="0.35">
      <c r="A90" s="2">
        <v>44511</v>
      </c>
      <c r="B90" s="3">
        <v>2.68312794802182</v>
      </c>
      <c r="C90" s="3">
        <v>4.0071259213047101</v>
      </c>
      <c r="D90" s="3">
        <v>2.6809782211494801</v>
      </c>
      <c r="E90" s="3">
        <v>2.93858869732076</v>
      </c>
      <c r="F90" s="3">
        <v>2.24331217297346</v>
      </c>
      <c r="G90" s="3">
        <v>2.5864255945504602</v>
      </c>
      <c r="H90" s="3">
        <v>3.9989128088545298</v>
      </c>
      <c r="I90" s="3">
        <v>0.67214625465984801</v>
      </c>
      <c r="J90" s="3">
        <v>1.38194585672334</v>
      </c>
      <c r="K90" s="3">
        <v>2.7362929981703901</v>
      </c>
      <c r="L90" s="3">
        <v>1.8515671394483799</v>
      </c>
      <c r="M90" s="3">
        <v>2.9668521909571202</v>
      </c>
      <c r="N90" s="3">
        <v>4.31844762971948</v>
      </c>
    </row>
    <row r="91" spans="1:14" x14ac:dyDescent="0.35">
      <c r="A91" s="2">
        <v>44540</v>
      </c>
      <c r="B91" s="3">
        <v>2.7818211720600199</v>
      </c>
      <c r="C91" s="3">
        <v>3.9635846270322901</v>
      </c>
      <c r="D91" s="3">
        <v>2.8391460976013301</v>
      </c>
      <c r="E91" s="3">
        <v>3.0588148115026401</v>
      </c>
      <c r="F91" s="3">
        <v>2.3194621850720401</v>
      </c>
      <c r="G91" s="3">
        <v>2.5803777112861801</v>
      </c>
      <c r="H91" s="3">
        <v>4.0212291939046603</v>
      </c>
      <c r="I91" s="3">
        <v>0.66581930577652004</v>
      </c>
      <c r="J91" s="3">
        <v>1.37014220761781</v>
      </c>
      <c r="K91" s="3">
        <v>2.7895650730322399</v>
      </c>
      <c r="L91" s="3">
        <v>1.9770197803366001</v>
      </c>
      <c r="M91" s="3">
        <v>2.92537469820634</v>
      </c>
      <c r="N91" s="3">
        <v>4.6461787413315996</v>
      </c>
    </row>
    <row r="92" spans="1:14" x14ac:dyDescent="0.35">
      <c r="A92" s="2">
        <v>44572</v>
      </c>
      <c r="B92" s="3">
        <v>2.8205335484845899</v>
      </c>
      <c r="C92" s="3">
        <v>3.90160546835952</v>
      </c>
      <c r="D92" s="3">
        <v>2.7718508181501802</v>
      </c>
      <c r="E92" s="3">
        <v>3.0550756035067899</v>
      </c>
      <c r="F92" s="3">
        <v>2.3250407200644201</v>
      </c>
      <c r="G92" s="3">
        <v>2.5956649439265802</v>
      </c>
      <c r="H92" s="3">
        <v>3.86128317245345</v>
      </c>
      <c r="I92" s="3">
        <v>0.69049499413597204</v>
      </c>
      <c r="J92" s="3">
        <v>1.3729362654505599</v>
      </c>
      <c r="K92" s="3">
        <v>2.7476238505656601</v>
      </c>
      <c r="L92" s="3">
        <v>2.0123372463521201</v>
      </c>
      <c r="M92" s="3">
        <v>2.92211595692459</v>
      </c>
      <c r="N92" s="3">
        <v>4.5963237630183098</v>
      </c>
    </row>
    <row r="93" spans="1:14" x14ac:dyDescent="0.35">
      <c r="A93" s="2">
        <v>44603</v>
      </c>
      <c r="B93" s="3">
        <v>2.9760735603810402</v>
      </c>
      <c r="C93" s="3">
        <v>4.2637750588302499</v>
      </c>
      <c r="D93" s="3">
        <v>2.76645078205049</v>
      </c>
      <c r="E93" s="3">
        <v>3.2026553438587801</v>
      </c>
      <c r="F93" s="3">
        <v>2.4180945689263398</v>
      </c>
      <c r="G93" s="3">
        <v>2.7467565309695101</v>
      </c>
      <c r="H93" s="3">
        <v>3.76214169445237</v>
      </c>
      <c r="I93" s="3">
        <v>0.778889564111646</v>
      </c>
      <c r="J93" s="3">
        <v>1.48784281195475</v>
      </c>
      <c r="K93" s="3">
        <v>2.8946058435774602</v>
      </c>
      <c r="L93" s="3">
        <v>2.2158444590612598</v>
      </c>
      <c r="M93" s="3">
        <v>2.9111191317277201</v>
      </c>
      <c r="N93" s="3">
        <v>4.7991335215583701</v>
      </c>
    </row>
    <row r="94" spans="1:14" x14ac:dyDescent="0.35">
      <c r="A94" s="2">
        <v>44631</v>
      </c>
      <c r="B94" s="3">
        <v>3.0845578396223301</v>
      </c>
      <c r="C94" s="3">
        <v>4.3753461069050203</v>
      </c>
      <c r="D94" s="3">
        <v>2.8501377418735001</v>
      </c>
      <c r="E94" s="3">
        <v>3.6899909641811202</v>
      </c>
      <c r="F94" s="3">
        <v>2.7057352109803099</v>
      </c>
      <c r="G94" s="3">
        <v>2.9374052576004002</v>
      </c>
      <c r="H94" s="3">
        <v>4.1660830701714104</v>
      </c>
      <c r="I94" s="3">
        <v>0.84546616309876199</v>
      </c>
      <c r="J94" s="3">
        <v>1.57145630337307</v>
      </c>
      <c r="K94" s="3">
        <v>3.2929379479201701</v>
      </c>
      <c r="L94" s="3">
        <v>2.4505024729031399</v>
      </c>
      <c r="M94" s="3">
        <v>3.2155711221188099</v>
      </c>
      <c r="N94" s="3">
        <v>5.4632311439903596</v>
      </c>
    </row>
    <row r="95" spans="1:14" x14ac:dyDescent="0.35">
      <c r="A95" s="2">
        <v>44662</v>
      </c>
      <c r="B95" s="3">
        <v>3.1218361376954702</v>
      </c>
      <c r="C95" s="3">
        <v>4.3322026426391496</v>
      </c>
      <c r="D95" s="3">
        <v>2.8539469788476701</v>
      </c>
      <c r="E95" s="3">
        <v>3.59782681502816</v>
      </c>
      <c r="F95" s="3">
        <v>2.5954032951553301</v>
      </c>
      <c r="G95" s="3">
        <v>2.7307824619355201</v>
      </c>
      <c r="H95" s="3">
        <v>3.9432930375430502</v>
      </c>
      <c r="I95" s="3">
        <v>0.80659190416170301</v>
      </c>
      <c r="J95" s="3">
        <v>1.4916405318878501</v>
      </c>
      <c r="K95" s="3">
        <v>3.13309718742057</v>
      </c>
      <c r="L95" s="3">
        <v>2.3218001430177901</v>
      </c>
      <c r="M95" s="3">
        <v>3.16462036941823</v>
      </c>
      <c r="N95" s="3">
        <v>5.0542803901906499</v>
      </c>
    </row>
    <row r="96" spans="1:14" x14ac:dyDescent="0.35">
      <c r="A96" s="2">
        <v>44692</v>
      </c>
      <c r="B96" s="3">
        <v>3.2216616910928799</v>
      </c>
      <c r="C96" s="3">
        <v>4.7527076468554004</v>
      </c>
      <c r="D96" s="3">
        <v>3.2316116632482399</v>
      </c>
      <c r="E96" s="3">
        <v>3.8597080904387302</v>
      </c>
      <c r="F96" s="3">
        <v>2.6771215245448601</v>
      </c>
      <c r="G96" s="3">
        <v>3.0044099701696201</v>
      </c>
      <c r="H96" s="3">
        <v>4.2000762176399098</v>
      </c>
      <c r="I96" s="3">
        <v>0.94730013480631603</v>
      </c>
      <c r="J96" s="3">
        <v>1.6833274363958199</v>
      </c>
      <c r="K96" s="3">
        <v>3.3150384612130099</v>
      </c>
      <c r="L96" s="3">
        <v>2.6127562786396599</v>
      </c>
      <c r="M96" s="3">
        <v>3.4753353730195302</v>
      </c>
      <c r="N96" s="3">
        <v>5.22122821831669</v>
      </c>
    </row>
    <row r="97" spans="1:14" x14ac:dyDescent="0.35">
      <c r="A97" s="2">
        <v>44722</v>
      </c>
      <c r="B97" s="3">
        <v>3.2704018202788698</v>
      </c>
      <c r="C97" s="3">
        <v>4.9321770342924598</v>
      </c>
      <c r="D97" s="3">
        <v>3.1869651570510098</v>
      </c>
      <c r="E97" s="3">
        <v>3.9161984245565198</v>
      </c>
      <c r="F97" s="3">
        <v>2.58655461015119</v>
      </c>
      <c r="G97" s="3">
        <v>3.12948282029368</v>
      </c>
      <c r="H97" s="3">
        <v>4.2189807825204797</v>
      </c>
      <c r="I97" s="3">
        <v>0.965087862658497</v>
      </c>
      <c r="J97" s="3">
        <v>1.7122890813512901</v>
      </c>
      <c r="K97" s="3">
        <v>3.37057316337562</v>
      </c>
      <c r="L97" s="3">
        <v>2.6446972027644802</v>
      </c>
      <c r="M97" s="3">
        <v>3.3929252975750899</v>
      </c>
      <c r="N97" s="3">
        <v>5.6457491433044398</v>
      </c>
    </row>
    <row r="98" spans="1:14" x14ac:dyDescent="0.35">
      <c r="A98" s="2">
        <v>44753</v>
      </c>
      <c r="B98" s="3">
        <v>3.3259623785811798</v>
      </c>
      <c r="C98" s="3">
        <v>5.2049269249833303</v>
      </c>
      <c r="D98" s="3">
        <v>3.4451237006760098</v>
      </c>
      <c r="E98" s="3">
        <v>4.1959087941942999</v>
      </c>
      <c r="F98" s="3">
        <v>2.6494466352392498</v>
      </c>
      <c r="G98" s="3">
        <v>3.1457206823454</v>
      </c>
      <c r="H98" s="3">
        <v>4.3241174820980603</v>
      </c>
      <c r="I98" s="3">
        <v>0.97182990743958597</v>
      </c>
      <c r="J98" s="3">
        <v>1.74469670943013</v>
      </c>
      <c r="K98" s="3">
        <v>3.5126131428783398</v>
      </c>
      <c r="L98" s="3">
        <v>3.3930749605151198</v>
      </c>
      <c r="M98" s="3">
        <v>3.6999572345054301</v>
      </c>
      <c r="N98" s="3">
        <v>5.8774518578151103</v>
      </c>
    </row>
    <row r="99" spans="1:14" x14ac:dyDescent="0.35">
      <c r="A99" s="2">
        <v>44784</v>
      </c>
      <c r="B99" s="3">
        <v>3.1976455006702098</v>
      </c>
      <c r="C99" s="3">
        <v>4.7095062437756896</v>
      </c>
      <c r="D99" s="3">
        <v>3.27275221321365</v>
      </c>
      <c r="E99" s="3">
        <v>3.9419850510416801</v>
      </c>
      <c r="F99" s="3">
        <v>2.6235421279389399</v>
      </c>
      <c r="G99" s="3">
        <v>3.0482406698547302</v>
      </c>
      <c r="H99" s="3">
        <v>4.1793217181913302</v>
      </c>
      <c r="I99" s="3">
        <v>0.87080060224697498</v>
      </c>
      <c r="J99" s="3">
        <v>1.6135736905309901</v>
      </c>
      <c r="K99" s="3">
        <v>3.2528005392192698</v>
      </c>
      <c r="L99" s="3">
        <v>3.0729392473252202</v>
      </c>
      <c r="M99" s="3">
        <v>3.4724380298989299</v>
      </c>
      <c r="N99" s="3">
        <v>5.7132467868476802</v>
      </c>
    </row>
    <row r="100" spans="1:14" x14ac:dyDescent="0.35">
      <c r="A100" s="2">
        <v>44813</v>
      </c>
      <c r="B100" s="3">
        <v>3.18309613799441</v>
      </c>
      <c r="C100" s="3">
        <v>4.8405899102899896</v>
      </c>
      <c r="D100" s="3">
        <v>3.3780283554433801</v>
      </c>
      <c r="E100" s="3">
        <v>4.1130352079400696</v>
      </c>
      <c r="F100" s="3">
        <v>2.5960490918410799</v>
      </c>
      <c r="G100" s="3">
        <v>3.17956822285297</v>
      </c>
      <c r="H100" s="3">
        <v>4.3968762506182903</v>
      </c>
      <c r="I100" s="3">
        <v>0.92639144583827804</v>
      </c>
      <c r="J100" s="3">
        <v>1.6823462898788</v>
      </c>
      <c r="K100" s="3">
        <v>3.46854601331157</v>
      </c>
      <c r="L100" s="3">
        <v>3.67773049128445</v>
      </c>
      <c r="M100" s="3">
        <v>3.6601165652056902</v>
      </c>
      <c r="N100" s="3">
        <v>5.6470088399328802</v>
      </c>
    </row>
    <row r="101" spans="1:14" x14ac:dyDescent="0.35">
      <c r="A101" s="2">
        <v>44845</v>
      </c>
      <c r="B101" s="3">
        <v>3.4534447402304602</v>
      </c>
      <c r="C101" s="3">
        <v>5.1344699666156002</v>
      </c>
      <c r="D101" s="3">
        <v>3.6852977870480599</v>
      </c>
      <c r="E101" s="3">
        <v>4.4478568248699197</v>
      </c>
      <c r="F101" s="3">
        <v>2.76325525469252</v>
      </c>
      <c r="G101" s="3">
        <v>3.4630417985152402</v>
      </c>
      <c r="H101" s="3">
        <v>4.7113760607659199</v>
      </c>
      <c r="I101" s="3">
        <v>1.0897542091635899</v>
      </c>
      <c r="J101" s="3">
        <v>1.9110469984611</v>
      </c>
      <c r="K101" s="3">
        <v>3.7407421315124001</v>
      </c>
      <c r="L101" s="3">
        <v>3.12449272678837</v>
      </c>
      <c r="M101" s="3">
        <v>3.8311626762048401</v>
      </c>
      <c r="N101" s="3">
        <v>6.2020942582269196</v>
      </c>
    </row>
    <row r="102" spans="1:14" x14ac:dyDescent="0.35">
      <c r="A102" s="2">
        <v>44876</v>
      </c>
      <c r="B102" s="3">
        <v>3.3868940581059501</v>
      </c>
      <c r="C102" s="3">
        <v>4.6266386133901296</v>
      </c>
      <c r="D102" s="3">
        <v>3.32398466028586</v>
      </c>
      <c r="E102" s="3">
        <v>3.8062627329432401</v>
      </c>
      <c r="F102" s="3">
        <v>2.59856578237879</v>
      </c>
      <c r="G102" s="3">
        <v>3.0908463792983301</v>
      </c>
      <c r="H102" s="3">
        <v>4.3809365674922898</v>
      </c>
      <c r="I102" s="3">
        <v>1.00380449172361</v>
      </c>
      <c r="J102" s="3">
        <v>1.7318426315991799</v>
      </c>
      <c r="K102" s="3">
        <v>3.3218000040069899</v>
      </c>
      <c r="L102" s="3">
        <v>2.7086926283033499</v>
      </c>
      <c r="M102" s="3">
        <v>3.5273106889933801</v>
      </c>
      <c r="N102" s="3">
        <v>5.4066945617336399</v>
      </c>
    </row>
    <row r="103" spans="1:14" x14ac:dyDescent="0.35">
      <c r="A103" s="2">
        <v>44904</v>
      </c>
      <c r="B103" s="3">
        <v>3.42404910768495</v>
      </c>
      <c r="C103" s="3">
        <v>4.4680186813534499</v>
      </c>
      <c r="D103" s="3">
        <v>3.36797165354136</v>
      </c>
      <c r="E103" s="3">
        <v>3.7434995978366499</v>
      </c>
      <c r="F103" s="3">
        <v>2.6460413036189498</v>
      </c>
      <c r="G103" s="3">
        <v>3.12580928770435</v>
      </c>
      <c r="H103" s="3">
        <v>4.2193098171333201</v>
      </c>
      <c r="I103" s="3">
        <v>1.0238547510331399</v>
      </c>
      <c r="J103" s="3">
        <v>1.76277422655773</v>
      </c>
      <c r="K103" s="3">
        <v>3.28545864528451</v>
      </c>
      <c r="L103" s="3">
        <v>2.6460751456140899</v>
      </c>
      <c r="M103" s="3">
        <v>3.5982176770812799</v>
      </c>
      <c r="N103" s="3">
        <v>5.7830098287023102</v>
      </c>
    </row>
    <row r="104" spans="1:14" x14ac:dyDescent="0.35">
      <c r="A104" s="2">
        <v>44937</v>
      </c>
      <c r="B104" s="3">
        <v>3.4181252057726699</v>
      </c>
      <c r="C104" s="3">
        <v>4.5117653580227</v>
      </c>
      <c r="D104" s="3">
        <v>3.3562911354241001</v>
      </c>
      <c r="E104" s="3">
        <v>3.56984847267797</v>
      </c>
      <c r="F104" s="3">
        <v>2.7298697632145399</v>
      </c>
      <c r="G104" s="3">
        <v>3.08543201342941</v>
      </c>
      <c r="H104" s="3">
        <v>4.1329759296411499</v>
      </c>
      <c r="I104" s="3">
        <v>0.99904365337002299</v>
      </c>
      <c r="J104" s="3">
        <v>1.7522688689870201</v>
      </c>
      <c r="K104" s="3">
        <v>3.1724840495302602</v>
      </c>
      <c r="L104" s="3">
        <v>2.5875217975862799</v>
      </c>
      <c r="M104" s="3">
        <v>3.5005728409546801</v>
      </c>
      <c r="N104" s="3">
        <v>5.4723358934609099</v>
      </c>
    </row>
    <row r="105" spans="1:14" x14ac:dyDescent="0.35">
      <c r="A105" s="2">
        <v>44967</v>
      </c>
      <c r="B105" s="3">
        <v>3.27312822269979</v>
      </c>
      <c r="C105" s="3">
        <v>4.3343706362518697</v>
      </c>
      <c r="D105" s="3">
        <v>3.2667519094596398</v>
      </c>
      <c r="E105" s="3">
        <v>3.4820816772245902</v>
      </c>
      <c r="F105" s="3">
        <v>2.6090849968382899</v>
      </c>
      <c r="G105" s="3">
        <v>3.0934739041190298</v>
      </c>
      <c r="H105" s="3">
        <v>4.0953530738330297</v>
      </c>
      <c r="I105" s="3">
        <v>0.93708673441388401</v>
      </c>
      <c r="J105" s="3">
        <v>1.7116653238339801</v>
      </c>
      <c r="K105" s="3">
        <v>3.1661272113810899</v>
      </c>
      <c r="L105" s="3">
        <v>2.5851945027868499</v>
      </c>
      <c r="M105" s="3">
        <v>3.56694476812716</v>
      </c>
      <c r="N105" s="3">
        <v>5.4330938681987799</v>
      </c>
    </row>
    <row r="106" spans="1:14" x14ac:dyDescent="0.35">
      <c r="A106" s="2">
        <v>44995</v>
      </c>
      <c r="B106" s="3">
        <v>3.4369400888219599</v>
      </c>
      <c r="C106" s="3">
        <v>4.5871971192560999</v>
      </c>
      <c r="D106" s="3">
        <v>3.4178559030003202</v>
      </c>
      <c r="E106" s="3">
        <v>3.5377235685063599</v>
      </c>
      <c r="F106" s="3">
        <v>2.57555402676874</v>
      </c>
      <c r="G106" s="3">
        <v>3.24720786632931</v>
      </c>
      <c r="H106" s="3">
        <v>4.2148397699207196</v>
      </c>
      <c r="I106" s="3">
        <v>0.98080137940874901</v>
      </c>
      <c r="J106" s="3">
        <v>1.8222343033333801</v>
      </c>
      <c r="K106" s="3">
        <v>3.2015492452704599</v>
      </c>
      <c r="L106" s="3">
        <v>2.7254375907008099</v>
      </c>
      <c r="M106" s="3">
        <v>3.6482233350986801</v>
      </c>
      <c r="N106" s="3">
        <v>5.3621054088311899</v>
      </c>
    </row>
    <row r="107" spans="1:14" x14ac:dyDescent="0.35">
      <c r="A107" s="2">
        <v>45027</v>
      </c>
      <c r="B107" s="3">
        <v>3.4067401967718198</v>
      </c>
      <c r="C107" s="3">
        <v>4.4474795278421704</v>
      </c>
      <c r="D107" s="3">
        <v>3.2849181028227101</v>
      </c>
      <c r="E107" s="3">
        <v>3.5370962031608602</v>
      </c>
      <c r="F107" s="3">
        <v>2.6363583108681699</v>
      </c>
      <c r="G107" s="3">
        <v>3.1232291972603399</v>
      </c>
      <c r="H107" s="3">
        <v>4.1376561983073499</v>
      </c>
      <c r="I107" s="3">
        <v>0.89937532751841498</v>
      </c>
      <c r="J107" s="3">
        <v>1.7175771622011899</v>
      </c>
      <c r="K107" s="3">
        <v>3.15289364688355</v>
      </c>
      <c r="L107" s="3">
        <v>2.6687892906387098</v>
      </c>
      <c r="M107" s="3">
        <v>3.6847353134116698</v>
      </c>
      <c r="N107" s="3">
        <v>5.3563814853147997</v>
      </c>
    </row>
    <row r="108" spans="1:14" x14ac:dyDescent="0.35">
      <c r="A108" s="2">
        <v>45057</v>
      </c>
      <c r="B108" s="3">
        <v>3.4980718151052801</v>
      </c>
      <c r="C108" s="3">
        <v>4.4270188644505701</v>
      </c>
      <c r="D108" s="3">
        <v>3.26237718044014</v>
      </c>
      <c r="E108" s="3">
        <v>3.5805985299456</v>
      </c>
      <c r="F108" s="3">
        <v>2.53759309176592</v>
      </c>
      <c r="G108" s="3">
        <v>3.0657624512330801</v>
      </c>
      <c r="H108" s="3">
        <v>4.2761280574430502</v>
      </c>
      <c r="I108" s="3">
        <v>0.85637995075483597</v>
      </c>
      <c r="J108" s="3">
        <v>1.7075740427470401</v>
      </c>
      <c r="K108" s="3">
        <v>3.2005483129341501</v>
      </c>
      <c r="L108" s="3">
        <v>2.7186232490954398</v>
      </c>
      <c r="M108" s="3">
        <v>3.7354709716704502</v>
      </c>
      <c r="N108" s="3">
        <v>5.5564163643123496</v>
      </c>
    </row>
    <row r="109" spans="1:14" x14ac:dyDescent="0.35">
      <c r="A109" s="2">
        <v>45086</v>
      </c>
      <c r="B109" s="3">
        <v>3.49598244824903</v>
      </c>
      <c r="C109" s="3">
        <v>4.4227210237596797</v>
      </c>
      <c r="D109" s="3">
        <v>3.3218210589524402</v>
      </c>
      <c r="E109" s="3">
        <v>3.6475134129310098</v>
      </c>
      <c r="F109" s="3">
        <v>2.37767767992149</v>
      </c>
      <c r="G109" s="3">
        <v>3.1770242433712399</v>
      </c>
      <c r="H109" s="3">
        <v>4.3419731809539597</v>
      </c>
      <c r="I109" s="3">
        <v>0.79589726778484304</v>
      </c>
      <c r="J109" s="3">
        <v>1.6513660405745301</v>
      </c>
      <c r="K109" s="3">
        <v>3.2891772492533602</v>
      </c>
      <c r="L109" s="3">
        <v>2.6816749498207999</v>
      </c>
      <c r="M109" s="3">
        <v>3.7054831007562101</v>
      </c>
      <c r="N109" s="3">
        <v>5.4435250791849796</v>
      </c>
    </row>
    <row r="110" spans="1:14" x14ac:dyDescent="0.35">
      <c r="A110" s="2">
        <v>45118</v>
      </c>
      <c r="B110" s="3">
        <v>3.4314390240269002</v>
      </c>
      <c r="C110" s="3">
        <v>4.3555334381376696</v>
      </c>
      <c r="D110" s="3">
        <v>3.2897159684494199</v>
      </c>
      <c r="E110" s="3">
        <v>3.7223669003770898</v>
      </c>
      <c r="F110" s="3">
        <v>2.3991299103399402</v>
      </c>
      <c r="G110" s="3">
        <v>3.2366885959404801</v>
      </c>
      <c r="H110" s="3">
        <v>4.49126602839213</v>
      </c>
      <c r="I110" s="3">
        <v>0.76826434688702905</v>
      </c>
      <c r="J110" s="3">
        <v>1.6024145477778999</v>
      </c>
      <c r="K110" s="3">
        <v>3.32157692755144</v>
      </c>
      <c r="L110" s="3">
        <v>2.7417934056204998</v>
      </c>
      <c r="M110" s="3">
        <v>3.80268437593414</v>
      </c>
      <c r="N110" s="3">
        <v>5.3441997374912402</v>
      </c>
    </row>
    <row r="111" spans="1:14" x14ac:dyDescent="0.35">
      <c r="A111" s="2">
        <v>45149</v>
      </c>
      <c r="B111" s="3">
        <v>3.4421867212539299</v>
      </c>
      <c r="C111" s="3">
        <v>4.1780366759215601</v>
      </c>
      <c r="D111" s="3">
        <v>3.4213148098155202</v>
      </c>
      <c r="E111" s="3">
        <v>3.7206893675422199</v>
      </c>
      <c r="F111" s="3">
        <v>2.3654000932831298</v>
      </c>
      <c r="G111" s="3">
        <v>3.2143880909920299</v>
      </c>
      <c r="H111" s="3">
        <v>4.42687625577262</v>
      </c>
      <c r="I111" s="3">
        <v>0.89841303877829304</v>
      </c>
      <c r="J111" s="3">
        <v>1.60613834910376</v>
      </c>
      <c r="K111" s="3">
        <v>3.3000698342236801</v>
      </c>
      <c r="L111" s="3">
        <v>2.7762102341487198</v>
      </c>
      <c r="M111" s="3">
        <v>3.8884261730070202</v>
      </c>
      <c r="N111" s="3">
        <v>5.53065548535624</v>
      </c>
    </row>
    <row r="112" spans="1:14" x14ac:dyDescent="0.35">
      <c r="A112" s="2">
        <v>45180</v>
      </c>
      <c r="B112" s="3">
        <v>3.4011631187582099</v>
      </c>
      <c r="C112" s="3">
        <v>4.19681219976734</v>
      </c>
      <c r="D112" s="3">
        <v>3.5112845781165598</v>
      </c>
      <c r="E112" s="3">
        <v>3.7435232596575299</v>
      </c>
      <c r="F112" s="3">
        <v>2.3304673105498499</v>
      </c>
      <c r="G112" s="3">
        <v>3.2936755850203698</v>
      </c>
      <c r="H112" s="3">
        <v>4.48157215376414</v>
      </c>
      <c r="I112" s="3">
        <v>0.87664224003637203</v>
      </c>
      <c r="J112" s="3">
        <v>1.60442494241816</v>
      </c>
      <c r="K112" s="3">
        <v>3.3419725744945898</v>
      </c>
      <c r="L112" s="3">
        <v>2.9572714721153299</v>
      </c>
      <c r="M112" s="3">
        <v>3.9545938789733301</v>
      </c>
      <c r="N112" s="3">
        <v>5.4127741468138399</v>
      </c>
    </row>
    <row r="113" spans="1:25" x14ac:dyDescent="0.35">
      <c r="A113" s="2">
        <v>45210</v>
      </c>
      <c r="B113" s="3">
        <v>3.4247252194625002</v>
      </c>
      <c r="C113" s="3">
        <v>4.3205376956497403</v>
      </c>
      <c r="D113" s="3">
        <v>3.6199838904081298</v>
      </c>
      <c r="E113" s="3">
        <v>3.8460692252820801</v>
      </c>
      <c r="F113" s="3">
        <v>2.3997773544143102</v>
      </c>
      <c r="G113" s="3">
        <v>3.3216832777190599</v>
      </c>
      <c r="H113" s="3">
        <v>4.4205291137376301</v>
      </c>
      <c r="I113" s="3">
        <v>0.915525464466179</v>
      </c>
      <c r="J113" s="3">
        <v>1.6574594267913001</v>
      </c>
      <c r="K113" s="3">
        <v>3.4273310777705999</v>
      </c>
      <c r="L113" s="3">
        <v>2.9890904931198601</v>
      </c>
      <c r="M113" s="3">
        <v>3.7441266370100701</v>
      </c>
      <c r="N113" s="3">
        <v>5.5324141179179298</v>
      </c>
    </row>
    <row r="114" spans="1:25" x14ac:dyDescent="0.35">
      <c r="A114" s="2">
        <v>45240</v>
      </c>
      <c r="B114" s="3">
        <v>3.4644684741075298</v>
      </c>
      <c r="C114" s="3">
        <v>4.4061762729435401</v>
      </c>
      <c r="D114" s="3">
        <v>3.5980198068081601</v>
      </c>
      <c r="E114" s="3">
        <v>3.8835213795585601</v>
      </c>
      <c r="F114" s="3">
        <v>2.4010616334227399</v>
      </c>
      <c r="G114" s="3">
        <v>3.4929496942717302</v>
      </c>
      <c r="H114" s="3">
        <v>4.6163423421354004</v>
      </c>
      <c r="I114" s="3">
        <v>0.90443682762033495</v>
      </c>
      <c r="J114" s="3">
        <v>1.64750706394445</v>
      </c>
      <c r="K114" s="3">
        <v>3.4606981283185698</v>
      </c>
      <c r="L114" s="3">
        <v>2.9125742079231198</v>
      </c>
      <c r="M114" s="3">
        <v>3.8732411034994501</v>
      </c>
      <c r="N114" s="3">
        <v>5.6564366985410199</v>
      </c>
    </row>
    <row r="115" spans="1:25" x14ac:dyDescent="0.35">
      <c r="A115" s="2">
        <v>45271</v>
      </c>
      <c r="B115" s="3">
        <v>3.1122034525346902</v>
      </c>
      <c r="C115" s="3">
        <v>4.2364126383074696</v>
      </c>
      <c r="D115" s="3">
        <v>3.4672934803653699</v>
      </c>
      <c r="E115" s="3">
        <v>3.5394920955483302</v>
      </c>
      <c r="F115" s="3">
        <v>2.4233522100949401</v>
      </c>
      <c r="G115" s="3">
        <v>3.31921359647587</v>
      </c>
      <c r="H115" s="3">
        <v>4.3993788713701596</v>
      </c>
      <c r="I115" s="3">
        <v>0.87935079882190204</v>
      </c>
      <c r="J115" s="3">
        <v>1.58174802504476</v>
      </c>
      <c r="K115" s="3">
        <v>3.2399309387395201</v>
      </c>
      <c r="L115" s="3">
        <v>2.7038380816720098</v>
      </c>
      <c r="M115" s="3">
        <v>3.0158440712831101</v>
      </c>
      <c r="N115" s="3">
        <v>5.3728770615049104</v>
      </c>
    </row>
    <row r="116" spans="1:25" x14ac:dyDescent="0.35">
      <c r="A116" s="2">
        <v>45302</v>
      </c>
      <c r="B116" s="3">
        <v>2.9810014390195798</v>
      </c>
      <c r="C116" s="3">
        <v>4.0572997134481401</v>
      </c>
      <c r="D116" s="3">
        <v>3.35833857732757</v>
      </c>
      <c r="E116" s="3">
        <v>3.6245202636346701</v>
      </c>
      <c r="F116" s="3">
        <v>2.3118136977393702</v>
      </c>
      <c r="G116" s="3">
        <v>3.3033544430488102</v>
      </c>
      <c r="H116" s="3">
        <v>4.3495652094462498</v>
      </c>
      <c r="I116" s="3">
        <v>0.91616105863147701</v>
      </c>
      <c r="J116" s="3">
        <v>1.5426740784481201</v>
      </c>
      <c r="K116" s="3">
        <v>3.2982627708043402</v>
      </c>
      <c r="L116" s="3">
        <v>2.7256414204878698</v>
      </c>
      <c r="M116" s="3">
        <v>3.0169002890679502</v>
      </c>
      <c r="N116" s="3">
        <v>5.48262286890946</v>
      </c>
    </row>
    <row r="117" spans="1:25" x14ac:dyDescent="0.35">
      <c r="A117" s="2">
        <v>45331</v>
      </c>
      <c r="B117" s="3">
        <v>2.9897573073423001</v>
      </c>
      <c r="C117" s="3">
        <v>3.9866398976533501</v>
      </c>
      <c r="D117" s="3">
        <v>3.3255283682733801</v>
      </c>
      <c r="E117" s="3">
        <v>3.53877334220308</v>
      </c>
      <c r="F117" s="3">
        <v>2.27353232099119</v>
      </c>
      <c r="G117" s="3">
        <v>3.3999577758372399</v>
      </c>
      <c r="H117" s="3">
        <v>4.3151534440139798</v>
      </c>
      <c r="I117" s="3">
        <v>0.88032679382985302</v>
      </c>
      <c r="J117" s="3">
        <v>1.4880165161372401</v>
      </c>
      <c r="K117" s="3">
        <v>3.20098233522492</v>
      </c>
      <c r="L117" s="3">
        <v>2.4722903447890401</v>
      </c>
      <c r="M117" s="3">
        <v>3.3798839350186798</v>
      </c>
      <c r="N117" s="3">
        <v>5.5137826135196804</v>
      </c>
    </row>
    <row r="118" spans="1:25" x14ac:dyDescent="0.35">
      <c r="A118" s="2">
        <v>45362</v>
      </c>
      <c r="B118" s="3">
        <v>2.7565548873144201</v>
      </c>
      <c r="C118" s="3">
        <v>3.96941211541048</v>
      </c>
      <c r="D118" s="3">
        <v>3.1731194160918599</v>
      </c>
      <c r="E118" s="3">
        <v>3.3414081371864599</v>
      </c>
      <c r="F118" s="3">
        <v>2.2126375378057999</v>
      </c>
      <c r="G118" s="3">
        <v>3.2409986328357698</v>
      </c>
      <c r="H118" s="3">
        <v>4.1527131855556103</v>
      </c>
      <c r="I118" s="3">
        <v>0.88906842531205998</v>
      </c>
      <c r="J118" s="3">
        <v>1.46836403008087</v>
      </c>
      <c r="K118" s="3">
        <v>3.1044023616855201</v>
      </c>
      <c r="L118" s="3">
        <v>2.6053271774945999</v>
      </c>
      <c r="M118" s="3">
        <v>3.2421414325802802</v>
      </c>
      <c r="N118" s="3">
        <v>5.23493471158441</v>
      </c>
    </row>
    <row r="119" spans="1:25" x14ac:dyDescent="0.35">
      <c r="A119" s="2">
        <v>45393</v>
      </c>
      <c r="B119" s="3">
        <v>2.7757274584534799</v>
      </c>
      <c r="C119" s="3">
        <v>3.932480374451</v>
      </c>
      <c r="D119" s="3">
        <v>3.1055520551064899</v>
      </c>
      <c r="E119" s="3">
        <v>3.3429172391678001</v>
      </c>
      <c r="F119" s="3">
        <v>2.1763507657048402</v>
      </c>
      <c r="G119" s="3">
        <v>3.3308324934250999</v>
      </c>
      <c r="H119" s="3">
        <v>4.0441969796445498</v>
      </c>
      <c r="I119" s="3">
        <v>0.88369039013016204</v>
      </c>
      <c r="J119" s="3">
        <v>1.44884160151729</v>
      </c>
      <c r="K119" s="3">
        <v>3.1314335778214701</v>
      </c>
      <c r="L119" s="3">
        <v>2.5243764028915101</v>
      </c>
      <c r="M119" s="3">
        <v>3.2918978909488601</v>
      </c>
      <c r="N119" s="3">
        <v>5.2843153387366604</v>
      </c>
    </row>
    <row r="120" spans="1:25" x14ac:dyDescent="0.35">
      <c r="A120" s="2">
        <v>45422</v>
      </c>
      <c r="B120" s="3">
        <v>2.7785343371939102</v>
      </c>
      <c r="C120" s="3">
        <v>3.9816384878914399</v>
      </c>
      <c r="D120" s="3">
        <v>3.05824220542869</v>
      </c>
      <c r="E120" s="3">
        <v>3.2845618954008202</v>
      </c>
      <c r="F120" s="3">
        <v>2.23121794584535</v>
      </c>
      <c r="G120" s="3">
        <v>3.27276741205932</v>
      </c>
      <c r="H120" s="3">
        <v>3.8187767350189601</v>
      </c>
      <c r="I120" s="3">
        <v>0.912491979061128</v>
      </c>
      <c r="J120" s="3">
        <v>1.4625945016768001</v>
      </c>
      <c r="K120" s="3">
        <v>3.05446109250382</v>
      </c>
      <c r="L120" s="3">
        <v>2.46559578577109</v>
      </c>
      <c r="M120" s="3">
        <v>3.16917448826822</v>
      </c>
      <c r="N120" s="3">
        <v>5.1861422301231404</v>
      </c>
    </row>
    <row r="121" spans="1:25" x14ac:dyDescent="0.35">
      <c r="A121" s="2">
        <v>45454</v>
      </c>
      <c r="B121" s="3">
        <v>2.7607619873711902</v>
      </c>
      <c r="C121" s="3">
        <v>3.9468041457468699</v>
      </c>
      <c r="D121" s="3">
        <v>3.3353278684497001</v>
      </c>
      <c r="E121" s="3">
        <v>3.3926132275042198</v>
      </c>
      <c r="F121" s="3">
        <v>2.2319925357044399</v>
      </c>
      <c r="G121" s="3">
        <v>3.2084253989676301</v>
      </c>
      <c r="H121" s="3">
        <v>3.9703364645941202</v>
      </c>
      <c r="I121" s="3">
        <v>0.86613942920020803</v>
      </c>
      <c r="J121" s="3">
        <v>1.4307895868395999</v>
      </c>
      <c r="K121" s="3">
        <v>3.25517270775741</v>
      </c>
      <c r="L121" s="3">
        <v>2.4363954801680499</v>
      </c>
      <c r="M121" s="3">
        <v>3.2133027711738902</v>
      </c>
      <c r="N121" s="3">
        <v>5.3635148671982398</v>
      </c>
    </row>
    <row r="122" spans="1:25" x14ac:dyDescent="0.35">
      <c r="A122" s="2">
        <v>45483</v>
      </c>
      <c r="B122" s="3">
        <v>2.7213143297602498</v>
      </c>
      <c r="C122" s="3">
        <v>3.9057883227813601</v>
      </c>
      <c r="D122" s="3">
        <v>3.2835159991129799</v>
      </c>
      <c r="E122" s="3">
        <v>3.3990204736918499</v>
      </c>
      <c r="F122" s="3">
        <v>2.1508685011303901</v>
      </c>
      <c r="G122" s="3">
        <v>3.22228547632111</v>
      </c>
      <c r="H122" s="3">
        <v>3.9646647401823301</v>
      </c>
      <c r="I122" s="3">
        <v>0.82256740976699705</v>
      </c>
      <c r="J122" s="3">
        <v>1.3676961942188399</v>
      </c>
      <c r="K122" s="3">
        <v>3.35123061004112</v>
      </c>
      <c r="L122" s="3">
        <v>2.4437040146748101</v>
      </c>
      <c r="M122" s="3">
        <v>3.2363156842751799</v>
      </c>
      <c r="N122" s="3">
        <v>5.3260376269954302</v>
      </c>
    </row>
    <row r="125" spans="1:25" x14ac:dyDescent="0.35">
      <c r="A125" s="2" t="s">
        <v>91</v>
      </c>
      <c r="B125" s="3" cm="1">
        <f t="array" ref="B125">MIN(_xlfn._xlws.FILTER(B1:B122, ISNUMBER(B1:B122)))</f>
        <v>2.3554802696450099</v>
      </c>
      <c r="C125" s="3" cm="1">
        <f t="array" ref="C125">MIN(_xlfn._xlws.FILTER(C1:C122, ISNUMBER(C1:C122)))</f>
        <v>3.3279458085252802</v>
      </c>
      <c r="D125" s="3" cm="1">
        <f t="array" ref="D125">MIN(_xlfn._xlws.FILTER(D1:D122, ISNUMBER(D1:D122)))</f>
        <v>2.5753467104645198</v>
      </c>
      <c r="E125" s="3" cm="1">
        <f t="array" ref="E125">MIN(_xlfn._xlws.FILTER(E1:E122, ISNUMBER(E1:E122)))</f>
        <v>2.6063371978410701</v>
      </c>
      <c r="F125" s="3" cm="1">
        <f t="array" ref="F125">MIN(_xlfn._xlws.FILTER(F1:F122, ISNUMBER(F1:F122)))</f>
        <v>1.84121609437922</v>
      </c>
      <c r="G125" s="3" cm="1">
        <f t="array" ref="G125">MIN(_xlfn._xlws.FILTER(G1:G122, ISNUMBER(G1:G122)))</f>
        <v>2.5653611404088399</v>
      </c>
      <c r="H125" s="3" cm="1">
        <f t="array" ref="H125">MIN(_xlfn._xlws.FILTER(H1:H122, ISNUMBER(H1:H122)))</f>
        <v>3.76214169445237</v>
      </c>
      <c r="I125" s="3" cm="1">
        <f t="array" ref="I125">MIN(_xlfn._xlws.FILTER(I1:I122, ISNUMBER(I1:I122)))</f>
        <v>0.66581930577652004</v>
      </c>
      <c r="J125" s="3" cm="1">
        <f t="array" ref="J125">MIN(_xlfn._xlws.FILTER(J1:J122, ISNUMBER(J1:J122)))</f>
        <v>1.3676961942188399</v>
      </c>
      <c r="K125" s="3" cm="1">
        <f t="array" ref="K125">MIN(_xlfn._xlws.FILTER(K1:K122, ISNUMBER(K1:K122)))</f>
        <v>2.64213018670968</v>
      </c>
      <c r="L125" s="3" cm="1">
        <f t="array" ref="L125">MIN(_xlfn._xlws.FILTER(L1:L122, ISNUMBER(L1:L122)))</f>
        <v>1.8515671394483799</v>
      </c>
      <c r="M125" s="3" cm="1">
        <f t="array" ref="M125">MIN(_xlfn._xlws.FILTER(M1:M122, ISNUMBER(M1:M122)))</f>
        <v>2.6720922371443301</v>
      </c>
      <c r="N125" s="3" cm="1">
        <f t="array" ref="N125">MIN(_xlfn._xlws.FILTER(N1:N122, ISNUMBER(N1:N122)))</f>
        <v>3.0821105234421502</v>
      </c>
    </row>
    <row r="126" spans="1:25" x14ac:dyDescent="0.35">
      <c r="A126" s="2" t="s">
        <v>92</v>
      </c>
      <c r="B126" s="3" cm="1">
        <f t="array" ref="B126">MAX(_xlfn._xlws.FILTER(B1:B122, ISNUMBER(B1:B122)))</f>
        <v>5.25610306562709</v>
      </c>
      <c r="C126" s="3" cm="1">
        <f t="array" ref="C126">MAX(_xlfn._xlws.FILTER(C1:C122, ISNUMBER(C1:C122)))</f>
        <v>5.5245834330527703</v>
      </c>
      <c r="D126" s="3" cm="1">
        <f t="array" ref="D126">MAX(_xlfn._xlws.FILTER(D1:D122, ISNUMBER(D1:D122)))</f>
        <v>4.0797483726464003</v>
      </c>
      <c r="E126" s="3" cm="1">
        <f t="array" ref="E126">MAX(_xlfn._xlws.FILTER(E1:E122, ISNUMBER(E1:E122)))</f>
        <v>4.4478568248699197</v>
      </c>
      <c r="F126" s="3" cm="1">
        <f t="array" ref="F126">MAX(_xlfn._xlws.FILTER(F1:F122, ISNUMBER(F1:F122)))</f>
        <v>2.99966821997107</v>
      </c>
      <c r="G126" s="3" cm="1">
        <f t="array" ref="G126">MAX(_xlfn._xlws.FILTER(G1:G122, ISNUMBER(G1:G122)))</f>
        <v>3.7203992450258001</v>
      </c>
      <c r="H126" s="3" cm="1">
        <f t="array" ref="H126">MAX(_xlfn._xlws.FILTER(H1:H122, ISNUMBER(H1:H122)))</f>
        <v>5.9588215500548403</v>
      </c>
      <c r="I126" s="3" cm="1">
        <f t="array" ref="I126">MAX(_xlfn._xlws.FILTER(I1:I122, ISNUMBER(I1:I122)))</f>
        <v>1.49207259848398</v>
      </c>
      <c r="J126" s="3" cm="1">
        <f t="array" ref="J126">MAX(_xlfn._xlws.FILTER(J1:J122, ISNUMBER(J1:J122)))</f>
        <v>2.4751977345461702</v>
      </c>
      <c r="K126" s="3" cm="1">
        <f t="array" ref="K126">MAX(_xlfn._xlws.FILTER(K1:K122, ISNUMBER(K1:K122)))</f>
        <v>4.2408795012605998</v>
      </c>
      <c r="L126" s="3" cm="1">
        <f t="array" ref="L126">MAX(_xlfn._xlws.FILTER(L1:L122, ISNUMBER(L1:L122)))</f>
        <v>3.7308549735685399</v>
      </c>
      <c r="M126" s="3" cm="1">
        <f t="array" ref="M126">MAX(_xlfn._xlws.FILTER(M1:M122, ISNUMBER(M1:M122)))</f>
        <v>4.8064428121267797</v>
      </c>
      <c r="N126" s="3" cm="1">
        <f t="array" ref="N126">MAX(_xlfn._xlws.FILTER(N1:N122, ISNUMBER(N1:N122)))</f>
        <v>6.2020942582269196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0.16300000000000001</v>
      </c>
      <c r="C128" s="9" cm="1">
        <f t="array" ref="C128">_xlfn.PERCENTRANK.EXC(_xlfn._xlws.FILTER(C1:C122, ISNUMBER(C1:C122)),C122)</f>
        <v>0.122</v>
      </c>
      <c r="D128" s="9" cm="1">
        <f t="array" ref="D128">_xlfn.PERCENTRANK.EXC(_xlfn._xlws.FILTER(D1:D122, ISNUMBER(D1:D122)),D122)</f>
        <v>0.65500000000000003</v>
      </c>
      <c r="E128" s="9" cm="1">
        <f t="array" ref="E128">_xlfn.PERCENTRANK.EXC(_xlfn._xlws.FILTER(E1:E122, ISNUMBER(E1:E122)),E122)</f>
        <v>0.65500000000000003</v>
      </c>
      <c r="F128" s="9" cm="1">
        <f t="array" ref="F128">_xlfn.PERCENTRANK.EXC(_xlfn._xlws.FILTER(F1:F122, ISNUMBER(F1:F122)),F122)</f>
        <v>0.254</v>
      </c>
      <c r="G128" s="9" cm="1">
        <f t="array" ref="G128">_xlfn.PERCENTRANK.EXC(_xlfn._xlws.FILTER(G1:G122, ISNUMBER(G1:G122)),G122)</f>
        <v>0.41799999999999998</v>
      </c>
      <c r="H128" s="9" cm="1">
        <f t="array" ref="H128">_xlfn.PERCENTRANK.EXC(_xlfn._xlws.FILTER(H1:H122, ISNUMBER(H1:H122)),H122)</f>
        <v>0.13100000000000001</v>
      </c>
      <c r="I128" s="9" cm="1">
        <f t="array" ref="I128">_xlfn.PERCENTRANK.EXC(_xlfn._xlws.FILTER(I1:I122, ISNUMBER(I1:I122)),I122)</f>
        <v>0.17199999999999999</v>
      </c>
      <c r="J128" s="9" cm="1">
        <f t="array" ref="J128">_xlfn.PERCENTRANK.EXC(_xlfn._xlws.FILTER(J1:J122, ISNUMBER(J1:J122)),J122)</f>
        <v>8.0000000000000002E-3</v>
      </c>
      <c r="K128" s="9" cm="1">
        <f t="array" ref="K128">_xlfn.PERCENTRANK.EXC(_xlfn._xlws.FILTER(K1:K122, ISNUMBER(K1:K122)),K122)</f>
        <v>0.48299999999999998</v>
      </c>
      <c r="L128" s="9" cm="1">
        <f t="array" ref="L128">_xlfn.PERCENTRANK.EXC(_xlfn._xlws.FILTER(L1:L122, ISNUMBER(L1:L122)),L122)</f>
        <v>0.188</v>
      </c>
      <c r="M128" s="9" cm="1">
        <f t="array" ref="M128">_xlfn.PERCENTRANK.EXC(_xlfn._xlws.FILTER(M1:M122, ISNUMBER(M1:M122)),M122)</f>
        <v>0.22900000000000001</v>
      </c>
      <c r="N128" s="9" cm="1">
        <f t="array" ref="N128">_xlfn.PERCENTRANK.EXC(_xlfn._xlws.FILTER(N1:N122, ISNUMBER(N1:N122)),N122)</f>
        <v>0.77800000000000002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41831</v>
      </c>
      <c r="B2" s="24" cm="1">
        <f t="array" ref="B2:B122">_xll.FDS(B1,"FG_TOTAL_RETURNC(-10AY,0,AM)")/100</f>
        <v>1.5358686E-2</v>
      </c>
      <c r="C2" s="24" cm="1">
        <f t="array" ref="C2:C122">_xll.FDS(C1,"FG_TOTAL_RETURNC(-10AY,0,AM)")/100</f>
        <v>1.4294624000000001E-2</v>
      </c>
      <c r="D2" s="24" cm="1">
        <f t="array" ref="D2:D122">_xll.FDS(D1,"FG_TOTAL_RETURNC(-10AY,0,AM)")/100</f>
        <v>3.4514784999999999E-2</v>
      </c>
      <c r="E2" s="24" cm="1">
        <f t="array" ref="E2:E122">_xll.FDS(E1,"FG_TOTAL_RETURNC(-10AY,0,AM)")/100</f>
        <v>-2.3306667999999999E-2</v>
      </c>
      <c r="F2" s="24" cm="1">
        <f t="array" ref="F2:F122">_xll.FDS(F1,"FG_TOTAL_RETURNC(-10AY,0,AM)")/100</f>
        <v>2.4869560999999998E-2</v>
      </c>
      <c r="G2" s="24" cm="1">
        <f t="array" ref="G2:G122">_xll.FDS(G1,"FG_TOTAL_RETURNC(-10AY,0,AM)")/100</f>
        <v>-1.5849292000000001E-2</v>
      </c>
      <c r="H2" s="24" cm="1">
        <f t="array" ref="H2:H122">_xll.FDS(H1,"FG_TOTAL_RETURNC(-10AY,0,AM)")/100</f>
        <v>-1.9018054E-3</v>
      </c>
      <c r="I2" s="24" cm="1">
        <f t="array" ref="I2:I122">_xll.FDS(I1,"FG_TOTAL_RETURNC(-10AY,0,AM)")/100</f>
        <v>2.8375626000000001E-2</v>
      </c>
      <c r="J2" s="24" cm="1">
        <f t="array" ref="J2:J122">_xll.FDS(J1,"FG_TOTAL_RETURNC(-10AY,0,AM)")/100</f>
        <v>1.3492107E-2</v>
      </c>
      <c r="K2" s="24" cm="1">
        <f t="array" ref="K2:K122">_xll.FDS(K1,"FG_TOTAL_RETURNC(-10AY,0,AM)")/100</f>
        <v>-4.2979659999999996E-2</v>
      </c>
      <c r="L2" s="24" cm="1">
        <f t="array" ref="L2:L122">_xll.FDS(L1,"FG_TOTAL_RETURNC(-10AY,0,AM)")/100</f>
        <v>-3.3866106999999999E-2</v>
      </c>
      <c r="M2" s="24" cm="1">
        <f t="array" ref="M2:M122">_xll.FDS(M1,"FG_TOTAL_RETURNC(-10AY,0,AM)")/100</f>
        <v>-4.0092109999999993E-2</v>
      </c>
      <c r="N2" s="24" cm="1">
        <f t="array" ref="N2:N122">_xll.FDS(N1,"FG_TOTAL_RETURNC(-10AY,0,AM)")/100</f>
        <v>-5.1339745999999999E-2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41862</v>
      </c>
      <c r="B3" s="24">
        <v>-5.2969932999999997E-2</v>
      </c>
      <c r="C3" s="24">
        <v>-1.9962311E-2</v>
      </c>
      <c r="D3" s="24">
        <v>-4.9890875999999999E-3</v>
      </c>
      <c r="E3" s="24">
        <v>-6.5466460000000004E-2</v>
      </c>
      <c r="F3" s="24">
        <v>-7.5376034000000005E-3</v>
      </c>
      <c r="G3" s="24">
        <v>-3.3840716E-2</v>
      </c>
      <c r="H3" s="24">
        <v>-2.9937208000000003E-2</v>
      </c>
      <c r="I3" s="24">
        <v>1.9943714000000001E-3</v>
      </c>
      <c r="J3" s="24">
        <v>-1.4317690999999999E-2</v>
      </c>
      <c r="K3" s="24">
        <v>-5.1590084999999994E-2</v>
      </c>
      <c r="L3" s="24">
        <v>-3.6924958000000001E-2</v>
      </c>
      <c r="M3" s="24">
        <v>-1.7171143999999999E-2</v>
      </c>
      <c r="N3" s="24">
        <v>-8.6104509999999995E-2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41893</v>
      </c>
      <c r="B4" s="24">
        <v>1.2317777E-2</v>
      </c>
      <c r="C4" s="24">
        <v>6.5333843000000003E-3</v>
      </c>
      <c r="D4" s="24">
        <v>1.2221813E-2</v>
      </c>
      <c r="E4" s="24">
        <v>1.7863393000000002E-2</v>
      </c>
      <c r="F4" s="24">
        <v>-1.6878246999999999E-3</v>
      </c>
      <c r="G4" s="24">
        <v>2.1107434999999997E-2</v>
      </c>
      <c r="H4" s="24">
        <v>-3.4843087E-3</v>
      </c>
      <c r="I4" s="24">
        <v>4.7454476000000002E-2</v>
      </c>
      <c r="J4" s="24">
        <v>3.3566474999999998E-2</v>
      </c>
      <c r="K4" s="24">
        <v>2.4590135000000003E-2</v>
      </c>
      <c r="L4" s="24">
        <v>2.9960154999999999E-2</v>
      </c>
      <c r="M4" s="24">
        <v>-1.6582787000000002E-2</v>
      </c>
      <c r="N4" s="24">
        <v>5.458081E-2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41922</v>
      </c>
      <c r="B5" s="24">
        <v>-5.3886294000000001E-2</v>
      </c>
      <c r="C5" s="24">
        <v>-0.11492938000000001</v>
      </c>
      <c r="D5" s="24">
        <v>-9.7213629999999995E-2</v>
      </c>
      <c r="E5" s="24">
        <v>-0.11493463</v>
      </c>
      <c r="F5" s="24">
        <v>-6.8469944000000005E-2</v>
      </c>
      <c r="G5" s="24">
        <v>-8.2983860000000007E-2</v>
      </c>
      <c r="H5" s="24">
        <v>-8.2417549999999992E-2</v>
      </c>
      <c r="I5" s="24">
        <v>-5.3259077000000002E-2</v>
      </c>
      <c r="J5" s="24">
        <v>-4.4275339999999996E-2</v>
      </c>
      <c r="K5" s="24">
        <v>-0.10763634</v>
      </c>
      <c r="L5" s="24">
        <v>-7.2823405000000008E-2</v>
      </c>
      <c r="M5" s="24">
        <v>-7.979523999999999E-2</v>
      </c>
      <c r="N5" s="24">
        <v>-0.11275415999999999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41954</v>
      </c>
      <c r="B6" s="24">
        <v>6.5879345000000006E-2</v>
      </c>
      <c r="C6" s="24">
        <v>8.1104389999999998E-2</v>
      </c>
      <c r="D6" s="24">
        <v>2.9149531999999999E-2</v>
      </c>
      <c r="E6" s="24">
        <v>5.6376340000000004E-2</v>
      </c>
      <c r="F6" s="24">
        <v>6.442821E-2</v>
      </c>
      <c r="G6" s="24">
        <v>6.1091065E-2</v>
      </c>
      <c r="H6" s="24">
        <v>4.3004870000000001E-2</v>
      </c>
      <c r="I6" s="24">
        <v>8.3015679999999994E-2</v>
      </c>
      <c r="J6" s="24">
        <v>7.1559787E-2</v>
      </c>
      <c r="K6" s="24">
        <v>3.7693500000000005E-2</v>
      </c>
      <c r="L6" s="24">
        <v>5.397105E-2</v>
      </c>
      <c r="M6" s="24">
        <v>8.0497379999999993E-2</v>
      </c>
      <c r="N6" s="24">
        <v>2.0834208000000002E-3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41984</v>
      </c>
      <c r="B7" s="24">
        <v>-1.9699931000000002E-3</v>
      </c>
      <c r="C7" s="24">
        <v>-9.936152999999999E-2</v>
      </c>
      <c r="D7" s="24">
        <v>-7.1642756000000002E-2</v>
      </c>
      <c r="E7" s="24">
        <v>3.9381623000000004E-2</v>
      </c>
      <c r="F7" s="24">
        <v>-2.2165298E-2</v>
      </c>
      <c r="G7" s="24">
        <v>1.5393496000000002E-3</v>
      </c>
      <c r="H7" s="24">
        <v>-4.2797510000000004E-2</v>
      </c>
      <c r="I7" s="24">
        <v>1.4861226E-2</v>
      </c>
      <c r="J7" s="24">
        <v>7.3432922E-5</v>
      </c>
      <c r="K7" s="24">
        <v>-1.3940691999999999E-2</v>
      </c>
      <c r="L7" s="24">
        <v>1.4154910999999999E-2</v>
      </c>
      <c r="M7" s="24">
        <v>-6.0569643999999999E-3</v>
      </c>
      <c r="N7" s="24">
        <v>-2.4255037E-2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42013</v>
      </c>
      <c r="B8" s="24">
        <v>2.1203876E-2</v>
      </c>
      <c r="C8" s="24">
        <v>2.9292226000000001E-2</v>
      </c>
      <c r="D8" s="24">
        <v>5.8034660000000002E-3</v>
      </c>
      <c r="E8" s="24">
        <v>-5.2762029999999994E-2</v>
      </c>
      <c r="F8" s="24">
        <v>-2.3932278000000001E-2</v>
      </c>
      <c r="G8" s="24">
        <v>-2.8896391E-2</v>
      </c>
      <c r="H8" s="24">
        <v>-2.1963775000000001E-2</v>
      </c>
      <c r="I8" s="24">
        <v>-7.7021720000000002E-3</v>
      </c>
      <c r="J8" s="24">
        <v>5.7909490000000001E-3</v>
      </c>
      <c r="K8" s="24">
        <v>-4.1741967000000005E-2</v>
      </c>
      <c r="L8" s="24">
        <v>-5.0539849999999997E-2</v>
      </c>
      <c r="M8" s="24">
        <v>-5.6805076999999995E-2</v>
      </c>
      <c r="N8" s="24">
        <v>-8.0300040000000003E-2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42046</v>
      </c>
      <c r="B9" s="24">
        <v>-1.8380463E-2</v>
      </c>
      <c r="C9" s="24">
        <v>4.8888921999999998E-3</v>
      </c>
      <c r="D9" s="24">
        <v>-4.3414830000000001E-3</v>
      </c>
      <c r="E9" s="24">
        <v>5.9813140000000001E-2</v>
      </c>
      <c r="F9" s="24">
        <v>5.2111387000000002E-2</v>
      </c>
      <c r="G9" s="24">
        <v>3.0705929E-2</v>
      </c>
      <c r="H9" s="24">
        <v>5.1165459999999996E-2</v>
      </c>
      <c r="I9" s="24">
        <v>2.1048545999999998E-2</v>
      </c>
      <c r="J9" s="24">
        <v>1.3121127999999999E-2</v>
      </c>
      <c r="K9" s="24">
        <v>6.9601654999999998E-2</v>
      </c>
      <c r="L9" s="24">
        <v>5.6833030000000007E-2</v>
      </c>
      <c r="M9" s="24">
        <v>5.7273150000000002E-2</v>
      </c>
      <c r="N9" s="24">
        <v>7.7760460000000003E-2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42074</v>
      </c>
      <c r="B10" s="24">
        <v>-1.5938818E-2</v>
      </c>
      <c r="C10" s="24">
        <v>-6.6342950000000001E-3</v>
      </c>
      <c r="D10" s="24">
        <v>-3.3430219000000004E-2</v>
      </c>
      <c r="E10" s="24">
        <v>2.3280381999999999E-2</v>
      </c>
      <c r="F10" s="24">
        <v>4.1844606000000006E-2</v>
      </c>
      <c r="G10" s="24">
        <v>-1.6277730000000001E-2</v>
      </c>
      <c r="H10" s="24">
        <v>-2.7582466999999999E-2</v>
      </c>
      <c r="I10" s="24">
        <v>3.1495094000000001E-3</v>
      </c>
      <c r="J10" s="24">
        <v>-1.1743069E-2</v>
      </c>
      <c r="K10" s="24">
        <v>-6.2720180000000007E-3</v>
      </c>
      <c r="L10" s="24">
        <v>2.3398994999999999E-2</v>
      </c>
      <c r="M10" s="24">
        <v>1.4773726000000001E-2</v>
      </c>
      <c r="N10" s="24">
        <v>3.3910513000000003E-2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42104</v>
      </c>
      <c r="B11" s="24">
        <v>4.4828890000000003E-2</v>
      </c>
      <c r="C11" s="24">
        <v>4.8530699999999996E-2</v>
      </c>
      <c r="D11" s="24">
        <v>6.2030076999999996E-2</v>
      </c>
      <c r="E11" s="24">
        <v>5.3085090000000001E-2</v>
      </c>
      <c r="F11" s="24">
        <v>6.0655713E-2</v>
      </c>
      <c r="G11" s="24">
        <v>7.4305415E-2</v>
      </c>
      <c r="H11" s="24">
        <v>3.6151290000000003E-2</v>
      </c>
      <c r="I11" s="24">
        <v>2.7459621E-2</v>
      </c>
      <c r="J11" s="24">
        <v>3.1634091999999996E-2</v>
      </c>
      <c r="K11" s="24">
        <v>5.5226803000000005E-2</v>
      </c>
      <c r="L11" s="24">
        <v>4.4123530000000001E-2</v>
      </c>
      <c r="M11" s="24">
        <v>1.8804907999999999E-2</v>
      </c>
      <c r="N11" s="24">
        <v>5.3035617000000007E-2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42135</v>
      </c>
      <c r="B12" s="24">
        <v>-3.9216340000000002E-2</v>
      </c>
      <c r="C12" s="24">
        <v>-4.3736696000000005E-2</v>
      </c>
      <c r="D12" s="24">
        <v>2.1592975E-2</v>
      </c>
      <c r="E12" s="24">
        <v>-1.7675936E-2</v>
      </c>
      <c r="F12" s="24">
        <v>-7.7271459999999996E-4</v>
      </c>
      <c r="G12" s="24">
        <v>1.9471169E-2</v>
      </c>
      <c r="H12" s="24">
        <v>6.092322E-2</v>
      </c>
      <c r="I12" s="24">
        <v>4.8259497000000002E-3</v>
      </c>
      <c r="J12" s="24">
        <v>2.6899575999999995E-3</v>
      </c>
      <c r="K12" s="24">
        <v>1.4953256E-2</v>
      </c>
      <c r="L12" s="24">
        <v>1.8056034999999998E-2</v>
      </c>
      <c r="M12" s="24">
        <v>1.6076206999999999E-2</v>
      </c>
      <c r="N12" s="24">
        <v>2.5182247000000001E-2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42166</v>
      </c>
      <c r="B13" s="24">
        <v>-2.9457033000000001E-2</v>
      </c>
      <c r="C13" s="24">
        <v>-1.7761946000000001E-2</v>
      </c>
      <c r="D13" s="24">
        <v>-3.4303545999999997E-2</v>
      </c>
      <c r="E13" s="24">
        <v>-1.5328227999999999E-2</v>
      </c>
      <c r="F13" s="24">
        <v>7.7339409999999994E-3</v>
      </c>
      <c r="G13" s="24">
        <v>2.5655030000000002E-3</v>
      </c>
      <c r="H13" s="24">
        <v>-2.6562095000000001E-2</v>
      </c>
      <c r="I13" s="24">
        <v>1.2745976000000001E-2</v>
      </c>
      <c r="J13" s="24">
        <v>4.8669577000000006E-3</v>
      </c>
      <c r="K13" s="24">
        <v>8.103131999999999E-3</v>
      </c>
      <c r="L13" s="24">
        <v>9.056568000000001E-3</v>
      </c>
      <c r="M13" s="24">
        <v>1.6993761E-2</v>
      </c>
      <c r="N13" s="24">
        <v>2.1978019999999997E-2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42195</v>
      </c>
      <c r="B14" s="24">
        <v>-6.6452025999999997E-2</v>
      </c>
      <c r="C14" s="24">
        <v>-4.1517076E-2</v>
      </c>
      <c r="D14" s="24">
        <v>-5.8469176000000005E-2</v>
      </c>
      <c r="E14" s="24">
        <v>-5.3680539999999997E-3</v>
      </c>
      <c r="F14" s="24">
        <v>-2.3494065000000001E-2</v>
      </c>
      <c r="G14" s="24">
        <v>-1.0177552999999999E-2</v>
      </c>
      <c r="H14" s="24">
        <v>-2.5171100000000002E-2</v>
      </c>
      <c r="I14" s="24">
        <v>-1.5969157000000001E-2</v>
      </c>
      <c r="J14" s="24">
        <v>-1.4819324E-2</v>
      </c>
      <c r="K14" s="24">
        <v>-1.8750012E-2</v>
      </c>
      <c r="L14" s="24">
        <v>-6.0043334999999995E-3</v>
      </c>
      <c r="M14" s="24">
        <v>-3.5796285000000004E-2</v>
      </c>
      <c r="N14" s="24">
        <v>-1.5208662E-2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42227</v>
      </c>
      <c r="B15" s="24">
        <v>-1.7691432999999999E-2</v>
      </c>
      <c r="C15" s="24">
        <v>-3.671497E-2</v>
      </c>
      <c r="D15" s="24">
        <v>-2.6113689999999998E-2</v>
      </c>
      <c r="E15" s="24">
        <v>-1.4191746999999999E-2</v>
      </c>
      <c r="F15" s="24">
        <v>1.8957375999999998E-2</v>
      </c>
      <c r="G15" s="24">
        <v>-1.8529415E-2</v>
      </c>
      <c r="H15" s="24">
        <v>2.1715164000000002E-3</v>
      </c>
      <c r="I15" s="24">
        <v>2.3130536E-2</v>
      </c>
      <c r="J15" s="24">
        <v>5.7355164999999993E-3</v>
      </c>
      <c r="K15" s="24">
        <v>2.4990559000000002E-2</v>
      </c>
      <c r="L15" s="24">
        <v>1.0658503E-2</v>
      </c>
      <c r="M15" s="24">
        <v>-1.3919055E-2</v>
      </c>
      <c r="N15" s="24">
        <v>2.8758168000000001E-2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42258</v>
      </c>
      <c r="B16" s="24">
        <v>-5.8458804999999996E-2</v>
      </c>
      <c r="C16" s="24">
        <v>-8.0742239999999993E-2</v>
      </c>
      <c r="D16" s="24">
        <v>-7.5709762999999999E-2</v>
      </c>
      <c r="E16" s="24">
        <v>-7.0224704999999998E-2</v>
      </c>
      <c r="F16" s="24">
        <v>-8.9922489999999994E-2</v>
      </c>
      <c r="G16" s="24">
        <v>-4.7947226000000003E-2</v>
      </c>
      <c r="H16" s="24">
        <v>-8.1798369999999995E-2</v>
      </c>
      <c r="I16" s="24">
        <v>-4.1492642999999996E-2</v>
      </c>
      <c r="J16" s="24">
        <v>-5.7171583000000005E-2</v>
      </c>
      <c r="K16" s="24">
        <v>-7.831544E-2</v>
      </c>
      <c r="L16" s="24">
        <v>-9.0395450000000002E-2</v>
      </c>
      <c r="M16" s="24">
        <v>-2.540779E-2</v>
      </c>
      <c r="N16" s="24">
        <v>-5.4637849999999995E-2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42286</v>
      </c>
      <c r="B17" s="24">
        <v>5.926621E-2</v>
      </c>
      <c r="C17" s="24">
        <v>7.1467520000000007E-2</v>
      </c>
      <c r="D17" s="24">
        <v>6.3139915000000005E-2</v>
      </c>
      <c r="E17" s="24">
        <v>-8.3081126000000005E-3</v>
      </c>
      <c r="F17" s="24">
        <v>3.0664443999999999E-2</v>
      </c>
      <c r="G17" s="24">
        <v>3.7771463E-3</v>
      </c>
      <c r="H17" s="24">
        <v>3.7168145E-2</v>
      </c>
      <c r="I17" s="24">
        <v>1.1584044E-2</v>
      </c>
      <c r="J17" s="24">
        <v>2.8741121000000001E-2</v>
      </c>
      <c r="K17" s="24">
        <v>3.0460834999999999E-2</v>
      </c>
      <c r="L17" s="24">
        <v>1.325047E-2</v>
      </c>
      <c r="M17" s="24">
        <v>9.6559524999999995E-4</v>
      </c>
      <c r="N17" s="24">
        <v>2.3521423E-2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42319</v>
      </c>
      <c r="B18" s="24">
        <v>4.3812870000000004E-2</v>
      </c>
      <c r="C18" s="24">
        <v>-6.6191434999999993E-2</v>
      </c>
      <c r="D18" s="24">
        <v>-6.8619609999999998E-2</v>
      </c>
      <c r="E18" s="24">
        <v>8.7585449999999995E-3</v>
      </c>
      <c r="F18" s="24">
        <v>3.5537124000000003E-2</v>
      </c>
      <c r="G18" s="24">
        <v>-2.1009742999999997E-2</v>
      </c>
      <c r="H18" s="24">
        <v>-2.7303754999999999E-2</v>
      </c>
      <c r="I18" s="24">
        <v>6.2048196999999999E-2</v>
      </c>
      <c r="J18" s="24">
        <v>3.1838298000000001E-2</v>
      </c>
      <c r="K18" s="24">
        <v>-9.3348620000000011E-3</v>
      </c>
      <c r="L18" s="24">
        <v>2.0433186999999998E-2</v>
      </c>
      <c r="M18" s="24">
        <v>-3.9871395000000004E-2</v>
      </c>
      <c r="N18" s="24">
        <v>-5.5810869999999999E-2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42349</v>
      </c>
      <c r="B19" s="24">
        <v>2.4673938999999999E-2</v>
      </c>
      <c r="C19" s="24">
        <v>-1.3631403E-2</v>
      </c>
      <c r="D19" s="24">
        <v>-7.0659159999999999E-2</v>
      </c>
      <c r="E19" s="24">
        <v>-2.680254E-2</v>
      </c>
      <c r="F19" s="24">
        <v>-4.1500387E-2</v>
      </c>
      <c r="G19" s="24">
        <v>-2.2741794999999999E-2</v>
      </c>
      <c r="H19" s="24">
        <v>-5.3801180000000004E-2</v>
      </c>
      <c r="I19" s="24">
        <v>-2.0770729000000002E-2</v>
      </c>
      <c r="J19" s="24">
        <v>-2.8208315000000001E-2</v>
      </c>
      <c r="K19" s="24">
        <v>-5.4966629999999995E-2</v>
      </c>
      <c r="L19" s="24">
        <v>-5.5666804E-2</v>
      </c>
      <c r="M19" s="24">
        <v>-5.2578690000000004E-2</v>
      </c>
      <c r="N19" s="24">
        <v>-4.5201719999999994E-2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42380</v>
      </c>
      <c r="B20" s="24">
        <v>-1.5007197999999999E-2</v>
      </c>
      <c r="C20" s="24">
        <v>-3.2874345999999999E-2</v>
      </c>
      <c r="D20" s="24">
        <v>-7.0531186999999995E-2</v>
      </c>
      <c r="E20" s="24">
        <v>-5.0426719999999994E-2</v>
      </c>
      <c r="F20" s="24">
        <v>-3.3816338000000001E-2</v>
      </c>
      <c r="G20" s="24">
        <v>-4.1953506000000002E-2</v>
      </c>
      <c r="H20" s="24">
        <v>-5.0635576000000002E-2</v>
      </c>
      <c r="I20" s="24">
        <v>-5.5373310000000002E-2</v>
      </c>
      <c r="J20" s="24">
        <v>-4.263115E-2</v>
      </c>
      <c r="K20" s="24">
        <v>-5.0989810000000003E-2</v>
      </c>
      <c r="L20" s="24">
        <v>-3.7799776E-2</v>
      </c>
      <c r="M20" s="24">
        <v>-3.4138321999999999E-2</v>
      </c>
      <c r="N20" s="24">
        <v>-5.9804079999999996E-2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42411</v>
      </c>
      <c r="B21" s="24">
        <v>3.4335851999999999E-3</v>
      </c>
      <c r="C21" s="24">
        <v>-1.7626405000000001E-2</v>
      </c>
      <c r="D21" s="24">
        <v>1.011014E-3</v>
      </c>
      <c r="E21" s="24">
        <v>-6.5767946000000008E-2</v>
      </c>
      <c r="F21" s="24">
        <v>-0.10416675</v>
      </c>
      <c r="G21" s="24">
        <v>-5.0975026999999999E-2</v>
      </c>
      <c r="H21" s="24">
        <v>-5.7104945000000004E-2</v>
      </c>
      <c r="I21" s="24">
        <v>-7.4571075000000001E-2</v>
      </c>
      <c r="J21" s="24">
        <v>-4.8149530000000003E-2</v>
      </c>
      <c r="K21" s="24">
        <v>-4.7012270000000002E-2</v>
      </c>
      <c r="L21" s="24">
        <v>-4.3902454000000007E-2</v>
      </c>
      <c r="M21" s="24">
        <v>-5.2747189999999999E-2</v>
      </c>
      <c r="N21" s="24">
        <v>-0.16394715999999998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42440</v>
      </c>
      <c r="B22" s="24">
        <v>0.10502278999999999</v>
      </c>
      <c r="C22" s="24">
        <v>0.18241631999999999</v>
      </c>
      <c r="D22" s="24">
        <v>0.18131315000000001</v>
      </c>
      <c r="E22" s="24">
        <v>9.794485E-2</v>
      </c>
      <c r="F22" s="24">
        <v>0.11724805999999999</v>
      </c>
      <c r="G22" s="24">
        <v>7.3540090000000002E-2</v>
      </c>
      <c r="H22" s="24">
        <v>0.10492955999999999</v>
      </c>
      <c r="I22" s="24">
        <v>0.102951765</v>
      </c>
      <c r="J22" s="24">
        <v>0.1088264</v>
      </c>
      <c r="K22" s="24">
        <v>0.12079297999999999</v>
      </c>
      <c r="L22" s="24">
        <v>0.12755108000000001</v>
      </c>
      <c r="M22" s="24">
        <v>0.13805103000000002</v>
      </c>
      <c r="N22" s="24">
        <v>0.17565048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42471</v>
      </c>
      <c r="B23" s="24">
        <v>5.0103307E-2</v>
      </c>
      <c r="C23" s="24">
        <v>-5.8674755000000002E-2</v>
      </c>
      <c r="D23" s="24">
        <v>1.4108539E-2</v>
      </c>
      <c r="E23" s="24">
        <v>0</v>
      </c>
      <c r="F23" s="24">
        <v>-2.3417115000000002E-2</v>
      </c>
      <c r="G23" s="24">
        <v>3.3578872999999996E-3</v>
      </c>
      <c r="H23" s="24">
        <v>-5.0987599999999999E-3</v>
      </c>
      <c r="I23" s="24">
        <v>2.2832512999999999E-2</v>
      </c>
      <c r="J23" s="24">
        <v>1.1382221999999999E-2</v>
      </c>
      <c r="K23" s="24">
        <v>-2.2624433000000003E-2</v>
      </c>
      <c r="L23" s="24">
        <v>8.2278249999999994E-4</v>
      </c>
      <c r="M23" s="24">
        <v>8.1549880000000002E-3</v>
      </c>
      <c r="N23" s="24">
        <v>-5.8498025000000002E-2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42501</v>
      </c>
      <c r="B24" s="24">
        <v>2.5823832000000001E-2</v>
      </c>
      <c r="C24" s="24">
        <v>6.0182690000000004E-2</v>
      </c>
      <c r="D24" s="24">
        <v>2.6138306E-2</v>
      </c>
      <c r="E24" s="24">
        <v>2.9868603000000001E-2</v>
      </c>
      <c r="F24" s="24">
        <v>3.0195355E-2</v>
      </c>
      <c r="G24" s="24">
        <v>1.0709524E-2</v>
      </c>
      <c r="H24" s="24">
        <v>1.3452888000000001E-2</v>
      </c>
      <c r="I24" s="24">
        <v>-2.0626128000000001E-2</v>
      </c>
      <c r="J24" s="24">
        <v>1.2155175000000001E-2</v>
      </c>
      <c r="K24" s="24">
        <v>2.3989916E-2</v>
      </c>
      <c r="L24" s="24">
        <v>6.5761804999999998E-3</v>
      </c>
      <c r="M24" s="24">
        <v>-1.6852020999999998E-2</v>
      </c>
      <c r="N24" s="24">
        <v>1.0075568999999999E-2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42531</v>
      </c>
      <c r="B25" s="24">
        <v>3.6202430000000001E-2</v>
      </c>
      <c r="C25" s="24">
        <v>-1.5205204000000002E-2</v>
      </c>
      <c r="D25" s="24">
        <v>2.9170036E-2</v>
      </c>
      <c r="E25" s="24">
        <v>-2.7455568E-2</v>
      </c>
      <c r="F25" s="24">
        <v>4.3102502999999995E-3</v>
      </c>
      <c r="G25" s="24">
        <v>6.6220760000000004E-4</v>
      </c>
      <c r="H25" s="24">
        <v>-1.2010098E-2</v>
      </c>
      <c r="I25" s="24">
        <v>2.4257301999999998E-2</v>
      </c>
      <c r="J25" s="24">
        <v>1.7288207999999999E-2</v>
      </c>
      <c r="K25" s="24">
        <v>-1.6440570000000002E-2</v>
      </c>
      <c r="L25" s="24">
        <v>-1.5108168E-2</v>
      </c>
      <c r="M25" s="24">
        <v>-2.3311614999999997E-2</v>
      </c>
      <c r="N25" s="24">
        <v>-3.158772E-2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42562</v>
      </c>
      <c r="B26" s="24">
        <v>4.7432302999999995E-2</v>
      </c>
      <c r="C26" s="24">
        <v>3.923285E-2</v>
      </c>
      <c r="D26" s="24">
        <v>-7.7513456E-3</v>
      </c>
      <c r="E26" s="24">
        <v>-2.1315157000000001E-2</v>
      </c>
      <c r="F26" s="24">
        <v>2.5238752E-2</v>
      </c>
      <c r="G26" s="24">
        <v>5.5589675999999999E-3</v>
      </c>
      <c r="H26" s="24">
        <v>-4.8249959999999998E-3</v>
      </c>
      <c r="I26" s="24">
        <v>2.1007894999999999E-2</v>
      </c>
      <c r="J26" s="24">
        <v>2.115643E-2</v>
      </c>
      <c r="K26" s="24">
        <v>-2.7370809999999999E-2</v>
      </c>
      <c r="L26" s="24">
        <v>-2.9702961E-2</v>
      </c>
      <c r="M26" s="24">
        <v>-8.2106590000000004E-3</v>
      </c>
      <c r="N26" s="24">
        <v>-6.0673532000000002E-2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42593</v>
      </c>
      <c r="B27" s="24">
        <v>4.1165589999999995E-2</v>
      </c>
      <c r="C27" s="24">
        <v>5.9769034000000006E-2</v>
      </c>
      <c r="D27" s="24">
        <v>4.7039747E-2</v>
      </c>
      <c r="E27" s="24">
        <v>0.104003315</v>
      </c>
      <c r="F27" s="24">
        <v>4.5569659999999998E-2</v>
      </c>
      <c r="G27" s="24">
        <v>3.8175701999999999E-2</v>
      </c>
      <c r="H27" s="24">
        <v>3.9525628E-2</v>
      </c>
      <c r="I27" s="24">
        <v>5.5801033999999999E-2</v>
      </c>
      <c r="J27" s="24">
        <v>2.4601698000000002E-2</v>
      </c>
      <c r="K27" s="24">
        <v>6.5667630000000005E-2</v>
      </c>
      <c r="L27" s="24">
        <v>6.8920729999999999E-2</v>
      </c>
      <c r="M27" s="24">
        <v>6.5121409999999991E-2</v>
      </c>
      <c r="N27" s="24">
        <v>5.6390880000000004E-2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42622</v>
      </c>
      <c r="B28" s="24">
        <v>2.3633359999999999E-2</v>
      </c>
      <c r="C28" s="24">
        <v>-6.3033159999999991E-2</v>
      </c>
      <c r="D28" s="24">
        <v>-1.8202901E-2</v>
      </c>
      <c r="E28" s="24">
        <v>-1.7309247999999999E-2</v>
      </c>
      <c r="F28" s="24">
        <v>-4.8426390000000001E-3</v>
      </c>
      <c r="G28" s="24">
        <v>-9.7624063000000001E-3</v>
      </c>
      <c r="H28" s="24">
        <v>1.9011497E-3</v>
      </c>
      <c r="I28" s="24">
        <v>-2.4248660000000002E-2</v>
      </c>
      <c r="J28" s="24">
        <v>-2.4559796000000002E-2</v>
      </c>
      <c r="K28" s="24">
        <v>-1.2407303000000001E-3</v>
      </c>
      <c r="L28" s="24">
        <v>-4.8661232E-3</v>
      </c>
      <c r="M28" s="24">
        <v>-4.1450858E-3</v>
      </c>
      <c r="N28" s="24">
        <v>1.5124558999999999E-2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42654</v>
      </c>
      <c r="B29" s="24">
        <v>-8.7531449999999997E-2</v>
      </c>
      <c r="C29" s="24">
        <v>4.1476965000000005E-2</v>
      </c>
      <c r="D29" s="24">
        <v>-5.1282643999999997E-3</v>
      </c>
      <c r="E29" s="24">
        <v>-3.8358569999999998E-3</v>
      </c>
      <c r="F29" s="24">
        <v>4.0551424000000004E-3</v>
      </c>
      <c r="G29" s="24">
        <v>-1.7417073000000002E-2</v>
      </c>
      <c r="H29" s="24">
        <v>-3.8583220000000001E-2</v>
      </c>
      <c r="I29" s="24">
        <v>3.0927896E-2</v>
      </c>
      <c r="J29" s="24">
        <v>5.7781934999999998E-3</v>
      </c>
      <c r="K29" s="24">
        <v>-1.4078677E-2</v>
      </c>
      <c r="L29" s="24">
        <v>-4.0751695999999998E-4</v>
      </c>
      <c r="M29" s="24">
        <v>-9.0184210000000004E-3</v>
      </c>
      <c r="N29" s="24">
        <v>-4.5574007E-2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42685</v>
      </c>
      <c r="B30" s="24">
        <v>-5.590063E-2</v>
      </c>
      <c r="C30" s="24">
        <v>-7.7707769999999995E-3</v>
      </c>
      <c r="D30" s="24">
        <v>-1.4670849E-2</v>
      </c>
      <c r="E30" s="24">
        <v>-1.8482864000000002E-2</v>
      </c>
      <c r="F30" s="24">
        <v>-4.0388106999999997E-4</v>
      </c>
      <c r="G30" s="24">
        <v>-2.4080217000000001E-2</v>
      </c>
      <c r="H30" s="24">
        <v>-9.8683833999999998E-3</v>
      </c>
      <c r="I30" s="24">
        <v>-1.4635742E-2</v>
      </c>
      <c r="J30" s="24">
        <v>1.4009355999999999E-2</v>
      </c>
      <c r="K30" s="24">
        <v>-7.9798100000000004E-3</v>
      </c>
      <c r="L30" s="24">
        <v>-3.0574799E-2</v>
      </c>
      <c r="M30" s="24">
        <v>-3.7101864999999998E-2</v>
      </c>
      <c r="N30" s="24">
        <v>1.4233232E-2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42713</v>
      </c>
      <c r="B31" s="24">
        <v>3.7889838000000002E-2</v>
      </c>
      <c r="C31" s="24">
        <v>3.5242200000000001E-2</v>
      </c>
      <c r="D31" s="24">
        <v>8.4104650000000003E-2</v>
      </c>
      <c r="E31" s="24">
        <v>2.3538709000000001E-2</v>
      </c>
      <c r="F31" s="24">
        <v>3.5353541000000002E-2</v>
      </c>
      <c r="G31" s="24">
        <v>-1.7135143000000001E-3</v>
      </c>
      <c r="H31" s="24">
        <v>3.5880445999999996E-2</v>
      </c>
      <c r="I31" s="24">
        <v>3.1951665999999997E-2</v>
      </c>
      <c r="J31" s="24">
        <v>4.6622275999999997E-2</v>
      </c>
      <c r="K31" s="24">
        <v>3.4716368000000004E-2</v>
      </c>
      <c r="L31" s="24">
        <v>1.0513067000000001E-2</v>
      </c>
      <c r="M31" s="24">
        <v>4.6164990000000003E-2</v>
      </c>
      <c r="N31" s="24">
        <v>6.3377023000000005E-2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42746</v>
      </c>
      <c r="B32" s="24">
        <v>1.1108636999999999E-2</v>
      </c>
      <c r="C32" s="24">
        <v>4.0331840000000001E-2</v>
      </c>
      <c r="D32" s="24">
        <v>1.1866212000000001E-2</v>
      </c>
      <c r="E32" s="24">
        <v>3.8302182999999997E-2</v>
      </c>
      <c r="F32" s="24">
        <v>-1.1593103E-4</v>
      </c>
      <c r="G32" s="24">
        <v>3.9439677999999999E-2</v>
      </c>
      <c r="H32" s="24">
        <v>1.4497995E-2</v>
      </c>
      <c r="I32" s="24">
        <v>3.1755924000000005E-2</v>
      </c>
      <c r="J32" s="24">
        <v>8.5253715999999997E-3</v>
      </c>
      <c r="K32" s="24">
        <v>2.7821660000000002E-2</v>
      </c>
      <c r="L32" s="24">
        <v>3.016746E-2</v>
      </c>
      <c r="M32" s="24">
        <v>6.7733526E-3</v>
      </c>
      <c r="N32" s="24">
        <v>5.6487679999999998E-2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42776</v>
      </c>
      <c r="B33" s="24">
        <v>3.0987144000000001E-2</v>
      </c>
      <c r="C33" s="24">
        <v>1.9598721999999999E-2</v>
      </c>
      <c r="D33" s="24">
        <v>2.2230506000000001E-2</v>
      </c>
      <c r="E33" s="24">
        <v>8.4933040000000001E-3</v>
      </c>
      <c r="F33" s="24">
        <v>1.4412642E-2</v>
      </c>
      <c r="G33" s="24">
        <v>1.8836736999999999E-2</v>
      </c>
      <c r="H33" s="24">
        <v>2.0192266E-2</v>
      </c>
      <c r="I33" s="24">
        <v>3.6199450000000001E-2</v>
      </c>
      <c r="J33" s="24">
        <v>1.9418715999999999E-2</v>
      </c>
      <c r="K33" s="24">
        <v>-3.9952397000000001E-3</v>
      </c>
      <c r="L33" s="24">
        <v>2.3731589999999997E-2</v>
      </c>
      <c r="M33" s="24">
        <v>5.3158519999999994E-2</v>
      </c>
      <c r="N33" s="24">
        <v>-3.7413597E-2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42804</v>
      </c>
      <c r="B34" s="24">
        <v>-3.4715712000000003E-2</v>
      </c>
      <c r="C34" s="24">
        <v>9.1532469999999998E-3</v>
      </c>
      <c r="D34" s="24">
        <v>-3.8419724000000002E-2</v>
      </c>
      <c r="E34" s="24">
        <v>2.7096271999999998E-2</v>
      </c>
      <c r="F34" s="24">
        <v>-7.7855589999999998E-4</v>
      </c>
      <c r="G34" s="24">
        <v>2.2380830000000001E-2</v>
      </c>
      <c r="H34" s="24">
        <v>-5.3408739999999998E-3</v>
      </c>
      <c r="I34" s="24">
        <v>3.1480670000000002E-2</v>
      </c>
      <c r="J34" s="24">
        <v>2.6694298000000002E-2</v>
      </c>
      <c r="K34" s="24">
        <v>3.4897684999999998E-2</v>
      </c>
      <c r="L34" s="24">
        <v>6.5547585000000005E-2</v>
      </c>
      <c r="M34" s="24">
        <v>8.5217950000000004E-3</v>
      </c>
      <c r="N34" s="24">
        <v>4.2670009999999994E-2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42836</v>
      </c>
      <c r="B35" s="24">
        <v>1.7861366E-2</v>
      </c>
      <c r="C35" s="24">
        <v>2.2675753E-2</v>
      </c>
      <c r="D35" s="24">
        <v>2.0354269999999997E-2</v>
      </c>
      <c r="E35" s="24">
        <v>1.0338663999999999E-2</v>
      </c>
      <c r="F35" s="24">
        <v>-2.5321840000000003E-3</v>
      </c>
      <c r="G35" s="24">
        <v>1.6814709000000001E-2</v>
      </c>
      <c r="H35" s="24">
        <v>3.4112453000000001E-2</v>
      </c>
      <c r="I35" s="24">
        <v>2.5393963000000003E-3</v>
      </c>
      <c r="J35" s="24">
        <v>-6.7545175999999992E-3</v>
      </c>
      <c r="K35" s="24">
        <v>2.0542622E-2</v>
      </c>
      <c r="L35" s="24">
        <v>5.6264399999999999E-3</v>
      </c>
      <c r="M35" s="24">
        <v>1.2999654000000001E-2</v>
      </c>
      <c r="N35" s="24">
        <v>2.2285223E-2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42866</v>
      </c>
      <c r="B36" s="24">
        <v>2.8693438000000002E-2</v>
      </c>
      <c r="C36" s="24">
        <v>-3.1042100000000003E-2</v>
      </c>
      <c r="D36" s="24">
        <v>-3.3985972000000003E-2</v>
      </c>
      <c r="E36" s="24">
        <v>6.7748784999999992E-2</v>
      </c>
      <c r="F36" s="24">
        <v>2.0113349999999999E-2</v>
      </c>
      <c r="G36" s="24">
        <v>5.8346270000000006E-2</v>
      </c>
      <c r="H36" s="24">
        <v>3.5736084000000001E-2</v>
      </c>
      <c r="I36" s="24">
        <v>5.2034973999999998E-2</v>
      </c>
      <c r="J36" s="24">
        <v>1.8378376999999998E-2</v>
      </c>
      <c r="K36" s="24">
        <v>8.9251880000000006E-2</v>
      </c>
      <c r="L36" s="24">
        <v>7.3480130000000005E-2</v>
      </c>
      <c r="M36" s="24">
        <v>7.9563737000000009E-2</v>
      </c>
      <c r="N36" s="24">
        <v>9.6710320000000002E-2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42895</v>
      </c>
      <c r="B37" s="24">
        <v>4.103267E-2</v>
      </c>
      <c r="C37" s="24">
        <v>-1.2814701E-2</v>
      </c>
      <c r="D37" s="24">
        <v>1.3766766E-2</v>
      </c>
      <c r="E37" s="24">
        <v>3.3707857000000001E-2</v>
      </c>
      <c r="F37" s="24">
        <v>3.5413503999999998E-2</v>
      </c>
      <c r="G37" s="24">
        <v>1.4740586E-2</v>
      </c>
      <c r="H37" s="24">
        <v>8.2571507000000002E-3</v>
      </c>
      <c r="I37" s="24">
        <v>1.2220740000000001E-2</v>
      </c>
      <c r="J37" s="24">
        <v>1.6835093000000002E-2</v>
      </c>
      <c r="K37" s="24">
        <v>2.4407268000000003E-2</v>
      </c>
      <c r="L37" s="24">
        <v>2.6059747000000001E-2</v>
      </c>
      <c r="M37" s="24">
        <v>1.9316435E-2</v>
      </c>
      <c r="N37" s="24">
        <v>2.0238519E-2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42927</v>
      </c>
      <c r="B38" s="24">
        <v>2.6796221999999998E-2</v>
      </c>
      <c r="C38" s="24">
        <v>2.2460938E-2</v>
      </c>
      <c r="D38" s="24">
        <v>2.2319555000000001E-2</v>
      </c>
      <c r="E38" s="24">
        <v>-1.0579228400000001E-3</v>
      </c>
      <c r="F38" s="24">
        <v>-1.0118008000000001E-2</v>
      </c>
      <c r="G38" s="24">
        <v>8.9179280000000003E-3</v>
      </c>
      <c r="H38" s="24">
        <v>-1.1959671999999999E-2</v>
      </c>
      <c r="I38" s="24">
        <v>-3.9228200000000005E-3</v>
      </c>
      <c r="J38" s="24">
        <v>-1.6057490999999999E-4</v>
      </c>
      <c r="K38" s="24">
        <v>1.3616085E-3</v>
      </c>
      <c r="L38" s="24">
        <v>3.3472775999999998E-3</v>
      </c>
      <c r="M38" s="24">
        <v>2.6587963000000003E-2</v>
      </c>
      <c r="N38" s="24">
        <v>2.8660536E-2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42958</v>
      </c>
      <c r="B39" s="24">
        <v>2.5043964000000002E-2</v>
      </c>
      <c r="C39" s="24">
        <v>3.0583857999999998E-2</v>
      </c>
      <c r="D39" s="24">
        <v>1.2276769E-2</v>
      </c>
      <c r="E39" s="24">
        <v>-8.1565975999999991E-3</v>
      </c>
      <c r="F39" s="24">
        <v>1.6353369E-2</v>
      </c>
      <c r="G39" s="24">
        <v>0</v>
      </c>
      <c r="H39" s="24">
        <v>1.2711763000000001E-2</v>
      </c>
      <c r="I39" s="24">
        <v>2.1934627999999998E-2</v>
      </c>
      <c r="J39" s="24">
        <v>7.9689025999999993E-3</v>
      </c>
      <c r="K39" s="24">
        <v>1.1410831999999999E-2</v>
      </c>
      <c r="L39" s="24">
        <v>3.7922739999999996E-2</v>
      </c>
      <c r="M39" s="24">
        <v>-1.829803E-2</v>
      </c>
      <c r="N39" s="24">
        <v>3.5764337E-2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42989</v>
      </c>
      <c r="B40" s="24">
        <v>1.1358738E-2</v>
      </c>
      <c r="C40" s="24">
        <v>3.4622312000000002E-2</v>
      </c>
      <c r="D40" s="24">
        <v>4.6674013E-2</v>
      </c>
      <c r="E40" s="24">
        <v>5.0657870000000001E-2</v>
      </c>
      <c r="F40" s="24">
        <v>2.1268725000000002E-2</v>
      </c>
      <c r="G40" s="24">
        <v>2.5294184999999997E-2</v>
      </c>
      <c r="H40" s="24">
        <v>2.9886484000000001E-2</v>
      </c>
      <c r="I40" s="24">
        <v>2.6530504E-2</v>
      </c>
      <c r="J40" s="24">
        <v>2.0850420000000001E-2</v>
      </c>
      <c r="K40" s="24">
        <v>3.9658069999999997E-2</v>
      </c>
      <c r="L40" s="24">
        <v>2.6991486999999998E-2</v>
      </c>
      <c r="M40" s="24">
        <v>3.8461566000000003E-2</v>
      </c>
      <c r="N40" s="24">
        <v>4.9762964E-2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43019</v>
      </c>
      <c r="B41" s="24">
        <v>-8.9001655999999991E-3</v>
      </c>
      <c r="C41" s="24">
        <v>-2.3468076999999997E-2</v>
      </c>
      <c r="D41" s="24">
        <v>2.8089879999999998E-2</v>
      </c>
      <c r="E41" s="24">
        <v>2.9430149999999999E-2</v>
      </c>
      <c r="F41" s="24">
        <v>2.7707337999999998E-2</v>
      </c>
      <c r="G41" s="24">
        <v>1.262188E-2</v>
      </c>
      <c r="H41" s="24">
        <v>2.0313382000000001E-2</v>
      </c>
      <c r="I41" s="24">
        <v>1.7103195000000002E-2</v>
      </c>
      <c r="J41" s="24">
        <v>2.8383492999999999E-2</v>
      </c>
      <c r="K41" s="24">
        <v>2.6307106E-2</v>
      </c>
      <c r="L41" s="24">
        <v>1.8910289E-2</v>
      </c>
      <c r="M41" s="24">
        <v>3.5612583000000003E-2</v>
      </c>
      <c r="N41" s="24">
        <v>9.3517302999999996E-3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43049</v>
      </c>
      <c r="B42" s="24">
        <v>-3.7096440000000001E-2</v>
      </c>
      <c r="C42" s="24">
        <v>3.1152725000000003E-2</v>
      </c>
      <c r="D42" s="24">
        <v>1.3661385E-3</v>
      </c>
      <c r="E42" s="24">
        <v>-4.2579174000000001E-3</v>
      </c>
      <c r="F42" s="24">
        <v>4.1057349999999999E-2</v>
      </c>
      <c r="G42" s="24">
        <v>-3.2577812999999997E-2</v>
      </c>
      <c r="H42" s="24">
        <v>-1.4789521999999999E-2</v>
      </c>
      <c r="I42" s="24">
        <v>3.8097858000000005E-2</v>
      </c>
      <c r="J42" s="24">
        <v>1.2038231E-2</v>
      </c>
      <c r="K42" s="24">
        <v>-1.4738857999999999E-2</v>
      </c>
      <c r="L42" s="24">
        <v>-1.6357362E-2</v>
      </c>
      <c r="M42" s="24">
        <v>-3.9064585999999998E-2</v>
      </c>
      <c r="N42" s="24">
        <v>-1.6613363999999999E-2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43080</v>
      </c>
      <c r="B43" s="24">
        <v>3.4972786999999998E-2</v>
      </c>
      <c r="C43" s="24">
        <v>-1.9853294E-2</v>
      </c>
      <c r="D43" s="24">
        <v>-5.4570436000000002E-3</v>
      </c>
      <c r="E43" s="24">
        <v>1.1606455E-2</v>
      </c>
      <c r="F43" s="24">
        <v>1.2186766E-2</v>
      </c>
      <c r="G43" s="24">
        <v>2.0204901999999997E-2</v>
      </c>
      <c r="H43" s="24">
        <v>1.5300154999999999E-2</v>
      </c>
      <c r="I43" s="24">
        <v>1.4445662E-2</v>
      </c>
      <c r="J43" s="24">
        <v>3.1849384000000001E-2</v>
      </c>
      <c r="K43" s="24">
        <v>1.6585350000000002E-2</v>
      </c>
      <c r="L43" s="24">
        <v>1.4070988E-2</v>
      </c>
      <c r="M43" s="24">
        <v>-2.6624680000000001E-2</v>
      </c>
      <c r="N43" s="24">
        <v>1.8193602999999999E-2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43111</v>
      </c>
      <c r="B44" s="24">
        <v>4.4574499999999996E-2</v>
      </c>
      <c r="C44" s="24">
        <v>6.2070610000000005E-2</v>
      </c>
      <c r="D44" s="24">
        <v>4.2330265000000006E-2</v>
      </c>
      <c r="E44" s="24">
        <v>3.1582831999999998E-2</v>
      </c>
      <c r="F44" s="24">
        <v>6.4947605000000005E-2</v>
      </c>
      <c r="G44" s="24">
        <v>3.8748502999999997E-2</v>
      </c>
      <c r="H44" s="24">
        <v>5.9454083000000005E-2</v>
      </c>
      <c r="I44" s="24">
        <v>4.9577116999999997E-2</v>
      </c>
      <c r="J44" s="24">
        <v>4.2093990000000005E-2</v>
      </c>
      <c r="K44" s="24">
        <v>3.8014529999999998E-2</v>
      </c>
      <c r="L44" s="24">
        <v>2.9445051999999999E-2</v>
      </c>
      <c r="M44" s="24">
        <v>5.7539699999999999E-2</v>
      </c>
      <c r="N44" s="24">
        <v>4.4659852999999999E-2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43140</v>
      </c>
      <c r="B45" s="24">
        <v>-2.2399008000000002E-2</v>
      </c>
      <c r="C45" s="24">
        <v>-6.0322880000000002E-2</v>
      </c>
      <c r="D45" s="24">
        <v>-8.4638480000000002E-2</v>
      </c>
      <c r="E45" s="24">
        <v>-5.8685419999999995E-2</v>
      </c>
      <c r="F45" s="24">
        <v>-6.623459000000001E-2</v>
      </c>
      <c r="G45" s="24">
        <v>-4.2829513999999999E-2</v>
      </c>
      <c r="H45" s="24">
        <v>-6.2619686000000008E-2</v>
      </c>
      <c r="I45" s="24">
        <v>-4.4032039999999995E-2</v>
      </c>
      <c r="J45" s="24">
        <v>-5.2948000000000002E-2</v>
      </c>
      <c r="K45" s="24">
        <v>-5.1313695999999999E-2</v>
      </c>
      <c r="L45" s="24">
        <v>-4.0049257000000005E-2</v>
      </c>
      <c r="M45" s="24">
        <v>-6.1797675999999996E-2</v>
      </c>
      <c r="N45" s="24">
        <v>-2.6412784999999998E-2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43168</v>
      </c>
      <c r="B46" s="24">
        <v>6.1670303000000003E-2</v>
      </c>
      <c r="C46" s="24">
        <v>5.3797363999999993E-2</v>
      </c>
      <c r="D46" s="24">
        <v>2.0021914999999998E-2</v>
      </c>
      <c r="E46" s="24">
        <v>2.2132157999999999E-2</v>
      </c>
      <c r="F46" s="24">
        <v>2.6239990000000001E-2</v>
      </c>
      <c r="G46" s="24">
        <v>1.2702107000000001E-2</v>
      </c>
      <c r="H46" s="24">
        <v>2.304554E-2</v>
      </c>
      <c r="I46" s="24">
        <v>0.10928893000000001</v>
      </c>
      <c r="J46" s="24">
        <v>6.6424490000000003E-2</v>
      </c>
      <c r="K46" s="24">
        <v>4.2033195000000002E-2</v>
      </c>
      <c r="L46" s="24">
        <v>4.5892240000000001E-2</v>
      </c>
      <c r="M46" s="24">
        <v>3.1736493000000005E-2</v>
      </c>
      <c r="N46" s="24">
        <v>2.7129411999999999E-2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43201</v>
      </c>
      <c r="B47" s="24">
        <v>1.2908459000000001E-2</v>
      </c>
      <c r="C47" s="24">
        <v>-4.2900029999999999E-2</v>
      </c>
      <c r="D47" s="24">
        <v>-3.5691260000000002E-4</v>
      </c>
      <c r="E47" s="24">
        <v>-7.0143339999999997E-3</v>
      </c>
      <c r="F47" s="24">
        <v>-4.7838688000000004E-3</v>
      </c>
      <c r="G47" s="24">
        <v>-2.4800539999999999E-2</v>
      </c>
      <c r="H47" s="24">
        <v>2.6518345000000002E-2</v>
      </c>
      <c r="I47" s="24">
        <v>-7.2850169999999992E-2</v>
      </c>
      <c r="J47" s="24">
        <v>-5.0399779999999998E-2</v>
      </c>
      <c r="K47" s="24">
        <v>4.6905280000000002E-3</v>
      </c>
      <c r="L47" s="24">
        <v>-3.3752917999999997E-3</v>
      </c>
      <c r="M47" s="24">
        <v>-4.3818892999999998E-2</v>
      </c>
      <c r="N47" s="24">
        <v>1.4434814000000001E-2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43231</v>
      </c>
      <c r="B48" s="24">
        <v>-2.9669464E-2</v>
      </c>
      <c r="C48" s="24">
        <v>2.4204493000000001E-2</v>
      </c>
      <c r="D48" s="24">
        <v>3.6058544999999997E-2</v>
      </c>
      <c r="E48" s="24">
        <v>1.8120407999999998E-2</v>
      </c>
      <c r="F48" s="24">
        <v>1.5746713000000002E-2</v>
      </c>
      <c r="G48" s="24">
        <v>8.4770920000000003E-3</v>
      </c>
      <c r="H48" s="24">
        <v>2.1388888000000002E-2</v>
      </c>
      <c r="I48" s="24">
        <v>5.7274820000000004E-2</v>
      </c>
      <c r="J48" s="24">
        <v>3.4463167000000003E-2</v>
      </c>
      <c r="K48" s="24">
        <v>2.2097707000000001E-2</v>
      </c>
      <c r="L48" s="24">
        <v>-1.1391579999999998E-2</v>
      </c>
      <c r="M48" s="24">
        <v>3.8239716999999999E-2</v>
      </c>
      <c r="N48" s="24">
        <v>1.5440583000000001E-2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43262</v>
      </c>
      <c r="B49" s="24">
        <v>4.0632010000000003E-2</v>
      </c>
      <c r="C49" s="24">
        <v>7.0022344999999993E-3</v>
      </c>
      <c r="D49" s="24">
        <v>6.8914890000000009E-4</v>
      </c>
      <c r="E49" s="24">
        <v>-2.0814537999999997E-2</v>
      </c>
      <c r="F49" s="24">
        <v>-4.0796399999999998E-3</v>
      </c>
      <c r="G49" s="24">
        <v>-1.6811669000000001E-2</v>
      </c>
      <c r="H49" s="24">
        <v>-3.8074255000000003E-3</v>
      </c>
      <c r="I49" s="24">
        <v>3.2160996999999997E-2</v>
      </c>
      <c r="J49" s="24">
        <v>2.0927190000000002E-2</v>
      </c>
      <c r="K49" s="24">
        <v>-1.0048747E-2</v>
      </c>
      <c r="L49" s="24">
        <v>9.0315340000000008E-3</v>
      </c>
      <c r="M49" s="24">
        <v>-2.3384928999999999E-2</v>
      </c>
      <c r="N49" s="24">
        <v>-8.467501999999999E-2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43292</v>
      </c>
      <c r="B50" s="24">
        <v>-3.0649899999999997E-2</v>
      </c>
      <c r="C50" s="24">
        <v>-3.9247273999999995E-3</v>
      </c>
      <c r="D50" s="24">
        <v>-3.167212E-3</v>
      </c>
      <c r="E50" s="24">
        <v>-4.4005513000000003E-2</v>
      </c>
      <c r="F50" s="24">
        <v>-5.9214059999999999E-2</v>
      </c>
      <c r="G50" s="24">
        <v>-4.8418044999999996E-3</v>
      </c>
      <c r="H50" s="24">
        <v>-3.2392501999999997E-2</v>
      </c>
      <c r="I50" s="24">
        <v>1.0795236E-2</v>
      </c>
      <c r="J50" s="24">
        <v>-1.6357899E-3</v>
      </c>
      <c r="K50" s="24">
        <v>-2.9353500000000001E-2</v>
      </c>
      <c r="L50" s="24">
        <v>-3.6118388000000001E-2</v>
      </c>
      <c r="M50" s="24">
        <v>-4.1741666999999996E-2</v>
      </c>
      <c r="N50" s="24">
        <v>-2.8234780000000001E-2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43322</v>
      </c>
      <c r="B51" s="24">
        <v>-2.9622256999999999E-2</v>
      </c>
      <c r="C51" s="24">
        <v>0</v>
      </c>
      <c r="D51" s="24">
        <v>2.0891428000000003E-3</v>
      </c>
      <c r="E51" s="24">
        <v>-1.9141912000000001E-2</v>
      </c>
      <c r="F51" s="24">
        <v>9.3030930000000001E-3</v>
      </c>
      <c r="G51" s="24">
        <v>3.3404112E-2</v>
      </c>
      <c r="H51" s="24">
        <v>-1.8775225E-2</v>
      </c>
      <c r="I51" s="24">
        <v>2.3240090000000001E-2</v>
      </c>
      <c r="J51" s="24">
        <v>2.2755264999999997E-2</v>
      </c>
      <c r="K51" s="24">
        <v>-1.5852451E-2</v>
      </c>
      <c r="L51" s="24">
        <v>-9.7620490000000003E-4</v>
      </c>
      <c r="M51" s="24">
        <v>1.7979741E-2</v>
      </c>
      <c r="N51" s="24">
        <v>-4.3418349999999994E-2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43354</v>
      </c>
      <c r="B52" s="24">
        <v>1.7053961999999999E-2</v>
      </c>
      <c r="C52" s="24">
        <v>-3.6032019999999998E-2</v>
      </c>
      <c r="D52" s="24">
        <v>-1.6330838E-2</v>
      </c>
      <c r="E52" s="24">
        <v>-1.2449502999999999E-2</v>
      </c>
      <c r="F52" s="24">
        <v>-1.0087013000000001E-2</v>
      </c>
      <c r="G52" s="24">
        <v>1.1460422999999999E-2</v>
      </c>
      <c r="H52" s="24">
        <v>-2.826029E-2</v>
      </c>
      <c r="I52" s="24">
        <v>1.4402747E-2</v>
      </c>
      <c r="J52" s="24">
        <v>2.0800948E-2</v>
      </c>
      <c r="K52" s="24">
        <v>-3.2871959999999998E-4</v>
      </c>
      <c r="L52" s="24">
        <v>-1.9869745000000001E-2</v>
      </c>
      <c r="M52" s="24">
        <v>1.1239529E-2</v>
      </c>
      <c r="N52" s="24">
        <v>5.7636500000000004E-3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43384</v>
      </c>
      <c r="B53" s="24">
        <v>-6.2879920000000006E-2</v>
      </c>
      <c r="C53" s="24">
        <v>-5.4914655999999999E-2</v>
      </c>
      <c r="D53" s="24">
        <v>-4.1681410000000002E-2</v>
      </c>
      <c r="E53" s="24">
        <v>-5.1448049999999995E-2</v>
      </c>
      <c r="F53" s="24">
        <v>-5.6219099999999999E-3</v>
      </c>
      <c r="G53" s="24">
        <v>-5.8977310000000005E-2</v>
      </c>
      <c r="H53" s="24">
        <v>-2.3023248E-2</v>
      </c>
      <c r="I53" s="24">
        <v>-7.2170552999999998E-2</v>
      </c>
      <c r="J53" s="24">
        <v>-5.4132939999999997E-2</v>
      </c>
      <c r="K53" s="24">
        <v>-4.2420206000000002E-2</v>
      </c>
      <c r="L53" s="24">
        <v>-6.4805627000000005E-2</v>
      </c>
      <c r="M53" s="24">
        <v>-4.0012717000000003E-2</v>
      </c>
      <c r="N53" s="24">
        <v>-7.4498596E-2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43413</v>
      </c>
      <c r="B54" s="24">
        <v>6.240213E-2</v>
      </c>
      <c r="C54" s="24">
        <v>3.5156369999999999E-2</v>
      </c>
      <c r="D54" s="24">
        <v>-1.2900769999999999E-2</v>
      </c>
      <c r="E54" s="24">
        <v>-1.2931048999999998E-2</v>
      </c>
      <c r="F54" s="24">
        <v>-2.6501774999999998E-2</v>
      </c>
      <c r="G54" s="24">
        <v>3.0873775000000003E-2</v>
      </c>
      <c r="H54" s="24">
        <v>4.0310620000000002E-3</v>
      </c>
      <c r="I54" s="24">
        <v>1.1320710000000001E-2</v>
      </c>
      <c r="J54" s="24">
        <v>2.0538568E-2</v>
      </c>
      <c r="K54" s="24">
        <v>-1.4766514E-2</v>
      </c>
      <c r="L54" s="24">
        <v>2.4520278000000003E-2</v>
      </c>
      <c r="M54" s="24">
        <v>-1.8193840999999999E-2</v>
      </c>
      <c r="N54" s="24">
        <v>-1.509285E-2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43445</v>
      </c>
      <c r="B55" s="24">
        <v>2.1052359999999999E-3</v>
      </c>
      <c r="C55" s="24">
        <v>-4.7169805000000002E-2</v>
      </c>
      <c r="D55" s="24">
        <v>-5.0037326999999993E-2</v>
      </c>
      <c r="E55" s="24">
        <v>-6.8049429999999994E-2</v>
      </c>
      <c r="F55" s="24">
        <v>-3.6479114999999999E-2</v>
      </c>
      <c r="G55" s="24">
        <v>-3.5639346000000002E-2</v>
      </c>
      <c r="H55" s="24">
        <v>-7.2575689999999998E-2</v>
      </c>
      <c r="I55" s="24">
        <v>-4.6117066999999998E-2</v>
      </c>
      <c r="J55" s="24">
        <v>-4.9071129999999998E-2</v>
      </c>
      <c r="K55" s="24">
        <v>-6.0648319999999999E-2</v>
      </c>
      <c r="L55" s="24">
        <v>-5.5844603E-2</v>
      </c>
      <c r="M55" s="24">
        <v>-4.5485199999999996E-2</v>
      </c>
      <c r="N55" s="24">
        <v>-3.0648350000000001E-2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43476</v>
      </c>
      <c r="B56" s="24">
        <v>2.0766496999999998E-2</v>
      </c>
      <c r="C56" s="24">
        <v>3.9107918999999998E-2</v>
      </c>
      <c r="D56" s="24">
        <v>2.7934193999999999E-2</v>
      </c>
      <c r="E56" s="24">
        <v>1.9914149999999999E-2</v>
      </c>
      <c r="F56" s="24">
        <v>3.0102729999999999E-3</v>
      </c>
      <c r="G56" s="24">
        <v>1.9565224999999999E-2</v>
      </c>
      <c r="H56" s="24">
        <v>4.0235995999999996E-2</v>
      </c>
      <c r="I56" s="24">
        <v>-1.4968573999999998E-2</v>
      </c>
      <c r="J56" s="24">
        <v>-1.3650656000000001E-2</v>
      </c>
      <c r="K56" s="24">
        <v>7.2082279999999997E-3</v>
      </c>
      <c r="L56" s="24">
        <v>7.5519084999999995E-4</v>
      </c>
      <c r="M56" s="24">
        <v>2.8852820000000001E-2</v>
      </c>
      <c r="N56" s="24">
        <v>4.4389250000000005E-2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43507</v>
      </c>
      <c r="B57" s="24">
        <v>1.990366E-2</v>
      </c>
      <c r="C57" s="24">
        <v>2.5235056999999998E-2</v>
      </c>
      <c r="D57" s="24">
        <v>3.8102746E-2</v>
      </c>
      <c r="E57" s="24">
        <v>-7.2741509999999995E-3</v>
      </c>
      <c r="F57" s="24">
        <v>-1.1355281E-3</v>
      </c>
      <c r="G57" s="24">
        <v>7.9195499999999992E-3</v>
      </c>
      <c r="H57" s="24">
        <v>3.0421971999999999E-2</v>
      </c>
      <c r="I57" s="24">
        <v>4.7980546999999998E-2</v>
      </c>
      <c r="J57" s="24">
        <v>4.4945480000000003E-2</v>
      </c>
      <c r="K57" s="24">
        <v>2.7387142E-2</v>
      </c>
      <c r="L57" s="24">
        <v>4.9428224999999999E-2</v>
      </c>
      <c r="M57" s="24">
        <v>1.0298729E-2</v>
      </c>
      <c r="N57" s="24">
        <v>7.0754289999999994E-3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43535</v>
      </c>
      <c r="B58" s="24">
        <v>3.0608057999999997E-2</v>
      </c>
      <c r="C58" s="24">
        <v>3.5231709999999999E-2</v>
      </c>
      <c r="D58" s="24">
        <v>3.2209635E-2</v>
      </c>
      <c r="E58" s="24">
        <v>4.6278357999999999E-2</v>
      </c>
      <c r="F58" s="24">
        <v>2.1788597E-2</v>
      </c>
      <c r="G58" s="24">
        <v>4.079783E-2</v>
      </c>
      <c r="H58" s="24">
        <v>3.3968209999999999E-2</v>
      </c>
      <c r="I58" s="24">
        <v>3.7589073000000001E-2</v>
      </c>
      <c r="J58" s="24">
        <v>2.8896689999999999E-2</v>
      </c>
      <c r="K58" s="24">
        <v>5.0792456E-2</v>
      </c>
      <c r="L58" s="24">
        <v>2.8822541E-2</v>
      </c>
      <c r="M58" s="24">
        <v>1.2911916000000001E-2</v>
      </c>
      <c r="N58" s="24">
        <v>5.3083419999999999E-2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43566</v>
      </c>
      <c r="B59" s="24">
        <v>2.3121475999999998E-2</v>
      </c>
      <c r="C59" s="24">
        <v>9.3239546E-3</v>
      </c>
      <c r="D59" s="24">
        <v>2.5399208E-2</v>
      </c>
      <c r="E59" s="24">
        <v>2.7644633999999998E-2</v>
      </c>
      <c r="F59" s="24">
        <v>1.5761137000000001E-2</v>
      </c>
      <c r="G59" s="24">
        <v>3.5423994E-2</v>
      </c>
      <c r="H59" s="24">
        <v>3.5922647000000002E-2</v>
      </c>
      <c r="I59" s="24">
        <v>6.0871959999999996E-2</v>
      </c>
      <c r="J59" s="24">
        <v>3.9625525000000002E-2</v>
      </c>
      <c r="K59" s="24">
        <v>3.7709950999999998E-2</v>
      </c>
      <c r="L59" s="24">
        <v>4.7830579999999998E-2</v>
      </c>
      <c r="M59" s="24">
        <v>7.0446134000000007E-2</v>
      </c>
      <c r="N59" s="24">
        <v>4.37361E-2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43595</v>
      </c>
      <c r="B60" s="24">
        <v>1.2078643E-2</v>
      </c>
      <c r="C60" s="24">
        <v>2.7713776E-3</v>
      </c>
      <c r="D60" s="24">
        <v>-9.9080204999999998E-3</v>
      </c>
      <c r="E60" s="24">
        <v>1.6499280999999998E-2</v>
      </c>
      <c r="F60" s="24">
        <v>-1.2960910999999999E-2</v>
      </c>
      <c r="G60" s="24">
        <v>2.2435188000000002E-3</v>
      </c>
      <c r="H60" s="24">
        <v>-2.1932482999999999E-2</v>
      </c>
      <c r="I60" s="24">
        <v>-1.6212463000000001E-4</v>
      </c>
      <c r="J60" s="24">
        <v>-3.8158893999999996E-4</v>
      </c>
      <c r="K60" s="24">
        <v>-1.0571539000000001E-2</v>
      </c>
      <c r="L60" s="24">
        <v>6.1949489999999999E-3</v>
      </c>
      <c r="M60" s="24">
        <v>-3.8232505E-2</v>
      </c>
      <c r="N60" s="24">
        <v>-2.8764188000000003E-2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43627</v>
      </c>
      <c r="B61" s="24">
        <v>-9.4321965999999997E-3</v>
      </c>
      <c r="C61" s="24">
        <v>4.0073752000000004E-2</v>
      </c>
      <c r="D61" s="24">
        <v>7.8628063000000005E-3</v>
      </c>
      <c r="E61" s="24">
        <v>-8.4685682999999998E-3</v>
      </c>
      <c r="F61" s="24">
        <v>1.3685942E-2</v>
      </c>
      <c r="G61" s="24">
        <v>4.6726346000000002E-2</v>
      </c>
      <c r="H61" s="24">
        <v>-9.0903043999999999E-4</v>
      </c>
      <c r="I61" s="24">
        <v>-8.6486936E-3</v>
      </c>
      <c r="J61" s="24">
        <v>2.776742E-3</v>
      </c>
      <c r="K61" s="24">
        <v>2.0701170000000001E-2</v>
      </c>
      <c r="L61" s="24">
        <v>8.4251164999999996E-3</v>
      </c>
      <c r="M61" s="24">
        <v>0</v>
      </c>
      <c r="N61" s="24">
        <v>4.3874980000000001E-3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43657</v>
      </c>
      <c r="B62" s="24">
        <v>7.0746900000000001E-2</v>
      </c>
      <c r="C62" s="24">
        <v>1.9976258E-2</v>
      </c>
      <c r="D62" s="24">
        <v>3.7354827E-2</v>
      </c>
      <c r="E62" s="24">
        <v>1.0222792999999999E-2</v>
      </c>
      <c r="F62" s="24">
        <v>1.3866186000000001E-2</v>
      </c>
      <c r="G62" s="24">
        <v>1.0456204E-2</v>
      </c>
      <c r="H62" s="24">
        <v>3.8863419999999997E-3</v>
      </c>
      <c r="I62" s="24">
        <v>5.1499366999999997E-2</v>
      </c>
      <c r="J62" s="24">
        <v>4.1078210000000004E-2</v>
      </c>
      <c r="K62" s="24">
        <v>2.1778703E-2</v>
      </c>
      <c r="L62" s="24">
        <v>1.5061378E-2</v>
      </c>
      <c r="M62" s="24">
        <v>2.6971459999999999E-2</v>
      </c>
      <c r="N62" s="24">
        <v>7.5859546999999999E-2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43686</v>
      </c>
      <c r="B63" s="24">
        <v>-1.3448775E-2</v>
      </c>
      <c r="C63" s="24">
        <v>-4.7851142999999999E-2</v>
      </c>
      <c r="D63" s="24">
        <v>-2.8285623000000003E-2</v>
      </c>
      <c r="E63" s="24">
        <v>-4.9221810000000005E-2</v>
      </c>
      <c r="F63" s="24">
        <v>-2.723807E-2</v>
      </c>
      <c r="G63" s="24">
        <v>9.7192526000000005E-3</v>
      </c>
      <c r="H63" s="24">
        <v>-6.7555009999999999E-2</v>
      </c>
      <c r="I63" s="24">
        <v>-3.0817985999999999E-2</v>
      </c>
      <c r="J63" s="24">
        <v>-2.5692463000000002E-2</v>
      </c>
      <c r="K63" s="24">
        <v>-3.9041935999999999E-2</v>
      </c>
      <c r="L63" s="24">
        <v>-2.0434618000000002E-2</v>
      </c>
      <c r="M63" s="24">
        <v>-7.0399523000000006E-2</v>
      </c>
      <c r="N63" s="24">
        <v>-9.2086790000000002E-2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43719</v>
      </c>
      <c r="B64" s="24">
        <v>6.3492059999999996E-3</v>
      </c>
      <c r="C64" s="24">
        <v>4.2345284999999996E-2</v>
      </c>
      <c r="D64" s="24">
        <v>2.3074150000000002E-2</v>
      </c>
      <c r="E64" s="24">
        <v>3.6924242999999995E-2</v>
      </c>
      <c r="F64" s="24">
        <v>4.2374490000000001E-2</v>
      </c>
      <c r="G64" s="24">
        <v>1.4973164000000001E-2</v>
      </c>
      <c r="H64" s="24">
        <v>4.0877340000000005E-2</v>
      </c>
      <c r="I64" s="24">
        <v>3.1851530000000003E-2</v>
      </c>
      <c r="J64" s="24">
        <v>2.9593349000000001E-2</v>
      </c>
      <c r="K64" s="24">
        <v>3.0385732999999998E-2</v>
      </c>
      <c r="L64" s="24">
        <v>4.8013210000000001E-2</v>
      </c>
      <c r="M64" s="24">
        <v>5.3892255E-2</v>
      </c>
      <c r="N64" s="24">
        <v>6.0161949999999999E-2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43749</v>
      </c>
      <c r="B65" s="24">
        <v>-2.1710872999999999E-2</v>
      </c>
      <c r="C65" s="24">
        <v>-1.160717E-2</v>
      </c>
      <c r="D65" s="24">
        <v>-9.3685390000000004E-3</v>
      </c>
      <c r="E65" s="24">
        <v>1.8355846000000001E-3</v>
      </c>
      <c r="F65" s="24">
        <v>2.3459911E-2</v>
      </c>
      <c r="G65" s="24">
        <v>-1.4488935000000001E-2</v>
      </c>
      <c r="H65" s="24">
        <v>1.021707E-2</v>
      </c>
      <c r="I65" s="24">
        <v>-4.8568845000000003E-3</v>
      </c>
      <c r="J65" s="24">
        <v>-8.644998000000001E-3</v>
      </c>
      <c r="K65" s="24">
        <v>5.3014755000000005E-3</v>
      </c>
      <c r="L65" s="24">
        <v>-6.3192844E-4</v>
      </c>
      <c r="M65" s="24">
        <v>-1.1363626E-2</v>
      </c>
      <c r="N65" s="24">
        <v>1.2004375000000001E-2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43780</v>
      </c>
      <c r="B66" s="24">
        <v>4.9316882999999997E-3</v>
      </c>
      <c r="C66" s="24">
        <v>3.4327030000000001E-2</v>
      </c>
      <c r="D66" s="24">
        <v>3.1173467999999999E-2</v>
      </c>
      <c r="E66" s="24">
        <v>6.009519E-2</v>
      </c>
      <c r="F66" s="24">
        <v>4.6019196999999998E-2</v>
      </c>
      <c r="G66" s="24">
        <v>3.2076954999999997E-2</v>
      </c>
      <c r="H66" s="24">
        <v>3.0341268000000001E-2</v>
      </c>
      <c r="I66" s="24">
        <v>5.1540969999999998E-2</v>
      </c>
      <c r="J66" s="24">
        <v>4.0738462999999996E-2</v>
      </c>
      <c r="K66" s="24">
        <v>4.5814037000000002E-2</v>
      </c>
      <c r="L66" s="24">
        <v>3.2880186999999998E-2</v>
      </c>
      <c r="M66" s="24">
        <v>8.3502290000000007E-2</v>
      </c>
      <c r="N66" s="24">
        <v>5.8591009999999999E-2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43810</v>
      </c>
      <c r="B67" s="24">
        <v>7.2669029999999996E-2</v>
      </c>
      <c r="C67" s="24">
        <v>-6.5501929999999993E-3</v>
      </c>
      <c r="D67" s="24">
        <v>5.0951239999999995E-3</v>
      </c>
      <c r="E67" s="24">
        <v>5.1848890000000007E-3</v>
      </c>
      <c r="F67" s="24">
        <v>1.0705948E-2</v>
      </c>
      <c r="G67" s="24">
        <v>1.4503956E-2</v>
      </c>
      <c r="H67" s="24">
        <v>1.1963247999999999E-2</v>
      </c>
      <c r="I67" s="24">
        <v>2.0003915000000001E-2</v>
      </c>
      <c r="J67" s="24">
        <v>1.9685387999999998E-2</v>
      </c>
      <c r="K67" s="24">
        <v>1.5758275999999999E-3</v>
      </c>
      <c r="L67" s="24">
        <v>1.4386296E-2</v>
      </c>
      <c r="M67" s="24">
        <v>1.435256E-2</v>
      </c>
      <c r="N67" s="24">
        <v>-1.5959322000000001E-2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43840</v>
      </c>
      <c r="B68" s="24">
        <v>2.8859137999999999E-2</v>
      </c>
      <c r="C68" s="24">
        <v>2.4475812999999999E-2</v>
      </c>
      <c r="D68" s="24">
        <v>2.7732014999999999E-2</v>
      </c>
      <c r="E68" s="24">
        <v>2.3383737000000002E-2</v>
      </c>
      <c r="F68" s="24">
        <v>-3.1968355E-3</v>
      </c>
      <c r="G68" s="24">
        <v>3.1146288000000001E-2</v>
      </c>
      <c r="H68" s="24">
        <v>3.7247420000000003E-2</v>
      </c>
      <c r="I68" s="24">
        <v>6.7918539999999999E-2</v>
      </c>
      <c r="J68" s="24">
        <v>4.0978073999999996E-2</v>
      </c>
      <c r="K68" s="24">
        <v>2.5779486000000001E-2</v>
      </c>
      <c r="L68" s="24">
        <v>2.2287846E-2</v>
      </c>
      <c r="M68" s="24">
        <v>1.5026927000000001E-2</v>
      </c>
      <c r="N68" s="24">
        <v>3.0590177E-2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43872</v>
      </c>
      <c r="B69" s="24">
        <v>-8.7336299999999992E-3</v>
      </c>
      <c r="C69" s="24">
        <v>-8.7529419999999995E-4</v>
      </c>
      <c r="D69" s="24">
        <v>1.3995290000000001E-2</v>
      </c>
      <c r="E69" s="24">
        <v>-9.4086529999999995E-3</v>
      </c>
      <c r="F69" s="24">
        <v>3.0242204999999999E-3</v>
      </c>
      <c r="G69" s="24">
        <v>3.9118647999999999E-2</v>
      </c>
      <c r="H69" s="24">
        <v>-1.8138586999999998E-2</v>
      </c>
      <c r="I69" s="24">
        <v>6.2170980000000001E-2</v>
      </c>
      <c r="J69" s="24">
        <v>2.9320598000000003E-2</v>
      </c>
      <c r="K69" s="24">
        <v>-5.5333376000000004E-3</v>
      </c>
      <c r="L69" s="24">
        <v>1.8968582000000001E-2</v>
      </c>
      <c r="M69" s="24">
        <v>4.2344329999999999E-2</v>
      </c>
      <c r="N69" s="24">
        <v>1.2811899E-2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43901</v>
      </c>
      <c r="B70" s="24">
        <v>-0.10114537999999999</v>
      </c>
      <c r="C70" s="24">
        <v>-0.23521686999999999</v>
      </c>
      <c r="D70" s="24">
        <v>-0.23036480000000001</v>
      </c>
      <c r="E70" s="24">
        <v>-0.21404339</v>
      </c>
      <c r="F70" s="24">
        <v>-0.16800672999999999</v>
      </c>
      <c r="G70" s="24">
        <v>-0.15034551000000002</v>
      </c>
      <c r="H70" s="24">
        <v>-0.22471231</v>
      </c>
      <c r="I70" s="24">
        <v>-0.15857071</v>
      </c>
      <c r="J70" s="24">
        <v>-0.18165009999999998</v>
      </c>
      <c r="K70" s="24">
        <v>-0.22009271999999999</v>
      </c>
      <c r="L70" s="24">
        <v>-0.19808029999999999</v>
      </c>
      <c r="M70" s="24">
        <v>-0.20194292</v>
      </c>
      <c r="N70" s="24">
        <v>-0.26165115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43930</v>
      </c>
      <c r="B71" s="24">
        <v>-8.860999E-2</v>
      </c>
      <c r="C71" s="24">
        <v>-4.7537207999999997E-2</v>
      </c>
      <c r="D71" s="24">
        <v>-1.1955618999999999E-2</v>
      </c>
      <c r="E71" s="24">
        <v>-5.610645E-3</v>
      </c>
      <c r="F71" s="24">
        <v>1.4294385999999999E-2</v>
      </c>
      <c r="G71" s="24">
        <v>1.7386436000000002E-2</v>
      </c>
      <c r="H71" s="24">
        <v>-2.3828149999999999E-2</v>
      </c>
      <c r="I71" s="24">
        <v>3.107965E-2</v>
      </c>
      <c r="J71" s="24">
        <v>2.0225525000000001E-2</v>
      </c>
      <c r="K71" s="24">
        <v>-3.3293723999999997E-2</v>
      </c>
      <c r="L71" s="24">
        <v>-3.6269425999999998E-4</v>
      </c>
      <c r="M71" s="24">
        <v>-1.8443405999999999E-2</v>
      </c>
      <c r="N71" s="24">
        <v>-3.0658245000000001E-2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43962</v>
      </c>
      <c r="B72" s="24">
        <v>6.8831920000000005E-2</v>
      </c>
      <c r="C72" s="24">
        <v>2.044499E-2</v>
      </c>
      <c r="D72" s="24">
        <v>6.4822793000000004E-2</v>
      </c>
      <c r="E72" s="24">
        <v>1.6492962999999999E-2</v>
      </c>
      <c r="F72" s="24">
        <v>4.8828839999999998E-2</v>
      </c>
      <c r="G72" s="24">
        <v>3.0319809999999999E-2</v>
      </c>
      <c r="H72" s="24">
        <v>5.6022405999999999E-3</v>
      </c>
      <c r="I72" s="24">
        <v>0.12949312000000002</v>
      </c>
      <c r="J72" s="24">
        <v>5.1401853999999997E-2</v>
      </c>
      <c r="K72" s="24">
        <v>-9.8400710000000006E-3</v>
      </c>
      <c r="L72" s="24">
        <v>4.4992685000000004E-2</v>
      </c>
      <c r="M72" s="24">
        <v>2.9687999999999999E-2</v>
      </c>
      <c r="N72" s="24">
        <v>-3.9069772000000003E-2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43993</v>
      </c>
      <c r="B73" s="24">
        <v>5.8563113E-2</v>
      </c>
      <c r="C73" s="24">
        <v>0.11078381999999999</v>
      </c>
      <c r="D73" s="24">
        <v>2.4350643000000002E-2</v>
      </c>
      <c r="E73" s="24">
        <v>0.12852263</v>
      </c>
      <c r="F73" s="24">
        <v>4.3716907999999999E-2</v>
      </c>
      <c r="G73" s="24">
        <v>2.3274422000000003E-2</v>
      </c>
      <c r="H73" s="24">
        <v>2.2284149999999999E-2</v>
      </c>
      <c r="I73" s="24">
        <v>3.1515837000000005E-2</v>
      </c>
      <c r="J73" s="24">
        <v>2.7726411999999999E-2</v>
      </c>
      <c r="K73" s="24">
        <v>9.6066239999999997E-2</v>
      </c>
      <c r="L73" s="24">
        <v>7.7083349999999995E-2</v>
      </c>
      <c r="M73" s="24">
        <v>7.7007294000000004E-2</v>
      </c>
      <c r="N73" s="24">
        <v>0.12342691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44022</v>
      </c>
      <c r="B74" s="24">
        <v>9.7699999999999995E-2</v>
      </c>
      <c r="C74" s="24">
        <v>5.6817529999999998E-2</v>
      </c>
      <c r="D74" s="24">
        <v>4.7683000000000003E-2</v>
      </c>
      <c r="E74" s="24">
        <v>7.2744130000000004E-2</v>
      </c>
      <c r="F74" s="24">
        <v>1.9715071000000001E-2</v>
      </c>
      <c r="G74" s="24">
        <v>6.8335533000000004E-2</v>
      </c>
      <c r="H74" s="24">
        <v>2.9383778999999999E-2</v>
      </c>
      <c r="I74" s="24">
        <v>0.12992001</v>
      </c>
      <c r="J74" s="24">
        <v>6.1161875999999997E-2</v>
      </c>
      <c r="K74" s="24">
        <v>6.205082E-2</v>
      </c>
      <c r="L74" s="24">
        <v>0.103622675</v>
      </c>
      <c r="M74" s="24">
        <v>0.10342454999999999</v>
      </c>
      <c r="N74" s="24">
        <v>8.2731250000000006E-2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44054</v>
      </c>
      <c r="B75" s="24">
        <v>1.1682630000000001E-2</v>
      </c>
      <c r="C75" s="24">
        <v>5.0942420000000002E-2</v>
      </c>
      <c r="D75" s="24">
        <v>7.4484350000000005E-2</v>
      </c>
      <c r="E75" s="24">
        <v>4.4903754999999997E-2</v>
      </c>
      <c r="F75" s="24">
        <v>1.6848921999999999E-2</v>
      </c>
      <c r="G75" s="24">
        <v>1.3678193E-2</v>
      </c>
      <c r="H75" s="24">
        <v>2.9942392999999998E-2</v>
      </c>
      <c r="I75" s="24">
        <v>4.6217441999999997E-3</v>
      </c>
      <c r="J75" s="24">
        <v>4.7891855000000004E-2</v>
      </c>
      <c r="K75" s="24">
        <v>3.8668035999999996E-2</v>
      </c>
      <c r="L75" s="24">
        <v>2.2627115E-2</v>
      </c>
      <c r="M75" s="24">
        <v>8.6876149999999985E-2</v>
      </c>
      <c r="N75" s="24">
        <v>3.9404870000000002E-2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44085</v>
      </c>
      <c r="B76" s="24">
        <v>3.9641857000000001E-3</v>
      </c>
      <c r="C76" s="24">
        <v>-2.3267090000000001E-2</v>
      </c>
      <c r="D76" s="24">
        <v>-8.8872910000000003E-3</v>
      </c>
      <c r="E76" s="24">
        <v>3.3765315999999997E-2</v>
      </c>
      <c r="F76" s="24">
        <v>3.2081841999999999E-2</v>
      </c>
      <c r="G76" s="24">
        <v>3.6555529000000003E-2</v>
      </c>
      <c r="H76" s="24">
        <v>-3.1308234000000004E-2</v>
      </c>
      <c r="I76" s="24">
        <v>1.9834875999999998E-2</v>
      </c>
      <c r="J76" s="24">
        <v>3.786087E-3</v>
      </c>
      <c r="K76" s="24">
        <v>1.3443589000000001E-2</v>
      </c>
      <c r="L76" s="24">
        <v>1.2068987E-2</v>
      </c>
      <c r="M76" s="24">
        <v>6.5193175999999995E-3</v>
      </c>
      <c r="N76" s="24">
        <v>-7.3501470000000005E-3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44113</v>
      </c>
      <c r="B77" s="24">
        <v>5.3562164000000002E-2</v>
      </c>
      <c r="C77" s="24">
        <v>3.325057E-2</v>
      </c>
      <c r="D77" s="24">
        <v>2.5825024000000002E-2</v>
      </c>
      <c r="E77" s="24">
        <v>-3.629148E-3</v>
      </c>
      <c r="F77" s="24">
        <v>1.5542268999999999E-2</v>
      </c>
      <c r="G77" s="24">
        <v>-2.3663044000000002E-4</v>
      </c>
      <c r="H77" s="24">
        <v>1.4621018999999999E-2</v>
      </c>
      <c r="I77" s="24">
        <v>5.7957649999999999E-2</v>
      </c>
      <c r="J77" s="24">
        <v>4.2491912999999999E-2</v>
      </c>
      <c r="K77" s="24">
        <v>-1.0544181E-2</v>
      </c>
      <c r="L77" s="24">
        <v>4.2021512999999996E-2</v>
      </c>
      <c r="M77" s="24">
        <v>2.7879477E-2</v>
      </c>
      <c r="N77" s="24">
        <v>-1.6367911999999998E-2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44146</v>
      </c>
      <c r="B78" s="24">
        <v>6.3060164000000002E-2</v>
      </c>
      <c r="C78" s="24">
        <v>7.2526455000000004E-2</v>
      </c>
      <c r="D78" s="24">
        <v>1.8181801000000001E-2</v>
      </c>
      <c r="E78" s="24">
        <v>-8.6092949999999994E-3</v>
      </c>
      <c r="F78" s="24">
        <v>6.7440390000000003E-2</v>
      </c>
      <c r="G78" s="24">
        <v>7.5757504000000002E-3</v>
      </c>
      <c r="H78" s="24">
        <v>7.9256653999999996E-2</v>
      </c>
      <c r="I78" s="24">
        <v>1.4175295999999999E-2</v>
      </c>
      <c r="J78" s="24">
        <v>2.8311968E-2</v>
      </c>
      <c r="K78" s="24">
        <v>9.2127909999999993E-2</v>
      </c>
      <c r="L78" s="24">
        <v>3.6512256E-2</v>
      </c>
      <c r="M78" s="24">
        <v>5.1780819999999998E-2</v>
      </c>
      <c r="N78" s="24">
        <v>7.0523024000000004E-2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44176</v>
      </c>
      <c r="B79" s="24">
        <v>3.9086460000000003E-2</v>
      </c>
      <c r="C79" s="24">
        <v>6.3591599999999998E-2</v>
      </c>
      <c r="D79" s="24">
        <v>7.9326869999999994E-2</v>
      </c>
      <c r="E79" s="24">
        <v>3.2064080000000002E-2</v>
      </c>
      <c r="F79" s="24">
        <v>3.9073467000000001E-2</v>
      </c>
      <c r="G79" s="24">
        <v>2.2791266000000001E-2</v>
      </c>
      <c r="H79" s="24">
        <v>3.1974792000000002E-2</v>
      </c>
      <c r="I79" s="24">
        <v>4.1724205E-2</v>
      </c>
      <c r="J79" s="24">
        <v>2.6999711999999999E-2</v>
      </c>
      <c r="K79" s="24">
        <v>4.2807700000000004E-2</v>
      </c>
      <c r="L79" s="24">
        <v>5.3890586000000004E-2</v>
      </c>
      <c r="M79" s="24">
        <v>2.9434800000000001E-2</v>
      </c>
      <c r="N79" s="24">
        <v>7.4019193999999996E-2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44207</v>
      </c>
      <c r="B80" s="24">
        <v>2.0949243999999999E-2</v>
      </c>
      <c r="C80" s="24">
        <v>3.6936045000000001E-2</v>
      </c>
      <c r="D80" s="24">
        <v>2.3790598E-2</v>
      </c>
      <c r="E80" s="24">
        <v>6.0770869999999998E-2</v>
      </c>
      <c r="F80" s="24">
        <v>4.4866919999999998E-2</v>
      </c>
      <c r="G80" s="24">
        <v>3.9366722E-2</v>
      </c>
      <c r="H80" s="24">
        <v>5.7260749999999999E-2</v>
      </c>
      <c r="I80" s="24">
        <v>4.3535950000000004E-2</v>
      </c>
      <c r="J80" s="24">
        <v>3.8249373000000003E-2</v>
      </c>
      <c r="K80" s="24">
        <v>2.8306722999999999E-2</v>
      </c>
      <c r="L80" s="24">
        <v>6.2329410000000002E-2</v>
      </c>
      <c r="M80" s="24">
        <v>5.0057289999999997E-2</v>
      </c>
      <c r="N80" s="24">
        <v>4.3350577000000001E-2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44238</v>
      </c>
      <c r="B81" s="24">
        <v>-3.0327320000000001E-2</v>
      </c>
      <c r="C81" s="24">
        <v>2.7846098E-2</v>
      </c>
      <c r="D81" s="24">
        <v>3.1780957999999998E-2</v>
      </c>
      <c r="E81" s="24">
        <v>1.6064286000000001E-2</v>
      </c>
      <c r="F81" s="24">
        <v>3.5984874E-2</v>
      </c>
      <c r="G81" s="24">
        <v>3.5382510000000001E-3</v>
      </c>
      <c r="H81" s="24">
        <v>-1.9218265999999998E-2</v>
      </c>
      <c r="I81" s="24">
        <v>6.4118029999999993E-2</v>
      </c>
      <c r="J81" s="24">
        <v>3.1741023E-2</v>
      </c>
      <c r="K81" s="24">
        <v>2.6549099999999999E-3</v>
      </c>
      <c r="L81" s="24">
        <v>7.0435761999999999E-2</v>
      </c>
      <c r="M81" s="24">
        <v>3.3988833000000003E-2</v>
      </c>
      <c r="N81" s="24">
        <v>2.3309945999999998E-2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44266</v>
      </c>
      <c r="B82" s="24">
        <v>-4.2731230000000002E-2</v>
      </c>
      <c r="C82" s="24">
        <v>3.5856961999999998E-3</v>
      </c>
      <c r="D82" s="24">
        <v>4.5745609999999999E-2</v>
      </c>
      <c r="E82" s="24">
        <v>1.1857748E-2</v>
      </c>
      <c r="F82" s="24">
        <v>-4.3172540000000002E-2</v>
      </c>
      <c r="G82" s="24">
        <v>-2.6002645000000001E-2</v>
      </c>
      <c r="H82" s="24">
        <v>5.1145789999999997E-2</v>
      </c>
      <c r="I82" s="24">
        <v>-4.9435019999999996E-2</v>
      </c>
      <c r="J82" s="24">
        <v>7.2176456000000002E-3</v>
      </c>
      <c r="K82" s="24">
        <v>4.1776896000000001E-2</v>
      </c>
      <c r="L82" s="24">
        <v>-2.860844E-3</v>
      </c>
      <c r="M82" s="24">
        <v>5.9168815999999999E-2</v>
      </c>
      <c r="N82" s="24">
        <v>2.6358603999999997E-2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44295</v>
      </c>
      <c r="B83" s="24">
        <v>-6.6130759999999999E-3</v>
      </c>
      <c r="C83" s="24">
        <v>1.3100385999999999E-2</v>
      </c>
      <c r="D83" s="24">
        <v>2.2747160000000002E-2</v>
      </c>
      <c r="E83" s="24">
        <v>3.9663433999999997E-2</v>
      </c>
      <c r="F83" s="24">
        <v>2.3956418E-2</v>
      </c>
      <c r="G83" s="24">
        <v>4.5701384999999997E-2</v>
      </c>
      <c r="H83" s="24">
        <v>1.4533997E-2</v>
      </c>
      <c r="I83" s="24">
        <v>6.1273932000000003E-2</v>
      </c>
      <c r="J83" s="24">
        <v>4.9068569999999999E-2</v>
      </c>
      <c r="K83" s="24">
        <v>2.0050764000000002E-2</v>
      </c>
      <c r="L83" s="24">
        <v>5.8927297999999996E-2</v>
      </c>
      <c r="M83" s="24">
        <v>4.3892740000000006E-2</v>
      </c>
      <c r="N83" s="24">
        <v>4.7558546000000005E-3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44327</v>
      </c>
      <c r="B84" s="24">
        <v>1.8227935000000001E-2</v>
      </c>
      <c r="C84" s="24">
        <v>4.2319775000000004E-2</v>
      </c>
      <c r="D84" s="24">
        <v>4.3341874999999995E-2</v>
      </c>
      <c r="E84" s="24">
        <v>2.3121833999999999E-3</v>
      </c>
      <c r="F84" s="24">
        <v>-2.7558446E-2</v>
      </c>
      <c r="G84" s="24">
        <v>8.0051419999999998E-3</v>
      </c>
      <c r="H84" s="24">
        <v>4.0485860000000005E-2</v>
      </c>
      <c r="I84" s="24">
        <v>-3.5003364000000002E-2</v>
      </c>
      <c r="J84" s="24">
        <v>6.6101549999999995E-3</v>
      </c>
      <c r="K84" s="24">
        <v>3.7929177000000001E-2</v>
      </c>
      <c r="L84" s="24">
        <v>-6.4610840000000006E-3</v>
      </c>
      <c r="M84" s="24">
        <v>8.494854E-4</v>
      </c>
      <c r="N84" s="24">
        <v>2.0195723000000002E-2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44358</v>
      </c>
      <c r="B85" s="24">
        <v>-2.5192260000000001E-2</v>
      </c>
      <c r="C85" s="24">
        <v>2.8803945000000001E-2</v>
      </c>
      <c r="D85" s="24">
        <v>3.9977907999999999E-2</v>
      </c>
      <c r="E85" s="24">
        <v>4.4556620000000005E-2</v>
      </c>
      <c r="F85" s="24">
        <v>2.4141430000000002E-2</v>
      </c>
      <c r="G85" s="24">
        <v>8.5116859999999989E-2</v>
      </c>
      <c r="H85" s="24">
        <v>2.6941060000000003E-2</v>
      </c>
      <c r="I85" s="24">
        <v>4.8968673000000004E-2</v>
      </c>
      <c r="J85" s="24">
        <v>2.4383783000000003E-2</v>
      </c>
      <c r="K85" s="24">
        <v>5.5134176999999999E-2</v>
      </c>
      <c r="L85" s="24">
        <v>5.0333620000000003E-2</v>
      </c>
      <c r="M85" s="24">
        <v>4.6084759999999995E-2</v>
      </c>
      <c r="N85" s="24">
        <v>5.5397749999999996E-2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44386</v>
      </c>
      <c r="B86" s="24">
        <v>-1.2891293000000001E-3</v>
      </c>
      <c r="C86" s="24">
        <v>-3.2234131999999999E-2</v>
      </c>
      <c r="D86" s="24">
        <v>-1.4807045000000001E-2</v>
      </c>
      <c r="E86" s="24">
        <v>-1.9651890000000002E-2</v>
      </c>
      <c r="F86" s="24">
        <v>-6.5330862999999992E-3</v>
      </c>
      <c r="G86" s="24">
        <v>-7.2522162999999994E-3</v>
      </c>
      <c r="H86" s="24">
        <v>-1.6893982999999998E-2</v>
      </c>
      <c r="I86" s="24">
        <v>5.9154869999999998E-2</v>
      </c>
      <c r="J86" s="24">
        <v>2.9822945999999999E-2</v>
      </c>
      <c r="K86" s="24">
        <v>-3.0930460000000003E-2</v>
      </c>
      <c r="L86" s="24">
        <v>-3.1162082999999997E-2</v>
      </c>
      <c r="M86" s="24">
        <v>-1.8887520000000001E-2</v>
      </c>
      <c r="N86" s="24">
        <v>-4.4497194000000004E-2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44419</v>
      </c>
      <c r="B87" s="24">
        <v>-4.6789646000000001E-3</v>
      </c>
      <c r="C87" s="24">
        <v>1.4931083000000001E-2</v>
      </c>
      <c r="D87" s="24">
        <v>1.476121E-2</v>
      </c>
      <c r="E87" s="24">
        <v>-1.1453628500000001E-3</v>
      </c>
      <c r="F87" s="24">
        <v>3.361106E-3</v>
      </c>
      <c r="G87" s="24">
        <v>2.2524356999999998E-2</v>
      </c>
      <c r="H87" s="24">
        <v>1.5676855999999999E-2</v>
      </c>
      <c r="I87" s="24">
        <v>1.4403938999999999E-2</v>
      </c>
      <c r="J87" s="24">
        <v>1.8965840000000001E-2</v>
      </c>
      <c r="K87" s="24">
        <v>3.5083175000000001E-2</v>
      </c>
      <c r="L87" s="24">
        <v>5.8933377000000002E-2</v>
      </c>
      <c r="M87" s="24">
        <v>2.8982399999999998E-2</v>
      </c>
      <c r="N87" s="24">
        <v>4.4085739999999998E-2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44449</v>
      </c>
      <c r="B88" s="24">
        <v>2.7232884999999998E-2</v>
      </c>
      <c r="C88" s="24">
        <v>-2.6782393000000002E-2</v>
      </c>
      <c r="D88" s="24">
        <v>-1.5075386E-2</v>
      </c>
      <c r="E88" s="24">
        <v>-1.1467933999999999E-2</v>
      </c>
      <c r="F88" s="24">
        <v>6.0442685999999995E-2</v>
      </c>
      <c r="G88" s="24">
        <v>-1.9845188E-2</v>
      </c>
      <c r="H88" s="24">
        <v>-2.8198183000000002E-2</v>
      </c>
      <c r="I88" s="24">
        <v>2.8344393000000002E-2</v>
      </c>
      <c r="J88" s="24">
        <v>3.7405490000000001E-3</v>
      </c>
      <c r="K88" s="24">
        <v>-1.5545367999999999E-2</v>
      </c>
      <c r="L88" s="24">
        <v>3.5077453000000001E-2</v>
      </c>
      <c r="M88" s="24">
        <v>-2.0764767999999999E-2</v>
      </c>
      <c r="N88" s="24">
        <v>-3.9548100000000003E-2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44480</v>
      </c>
      <c r="B89" s="24">
        <v>-3.0298232999999997E-2</v>
      </c>
      <c r="C89" s="24">
        <v>-1.2015461999999999E-2</v>
      </c>
      <c r="D89" s="24">
        <v>9.9354980000000009E-3</v>
      </c>
      <c r="E89" s="24">
        <v>-5.7424603000000005E-2</v>
      </c>
      <c r="F89" s="24">
        <v>-6.386476499999999E-2</v>
      </c>
      <c r="G89" s="24">
        <v>-4.2113723999999998E-2</v>
      </c>
      <c r="H89" s="24">
        <v>1.2216568000000001E-3</v>
      </c>
      <c r="I89" s="24">
        <v>-4.725128E-2</v>
      </c>
      <c r="J89" s="24">
        <v>-2.0976067000000001E-2</v>
      </c>
      <c r="K89" s="24">
        <v>-3.3393739999999998E-2</v>
      </c>
      <c r="L89" s="24">
        <v>-7.2510359999999996E-2</v>
      </c>
      <c r="M89" s="24">
        <v>-6.7184567000000001E-2</v>
      </c>
      <c r="N89" s="24">
        <v>-1.2074292E-2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44511</v>
      </c>
      <c r="B90" s="24">
        <v>1.0740399000000001E-2</v>
      </c>
      <c r="C90" s="24">
        <v>1.3730884E-2</v>
      </c>
      <c r="D90" s="24">
        <v>4.9188970000000005E-2</v>
      </c>
      <c r="E90" s="24">
        <v>4.8615456000000001E-2</v>
      </c>
      <c r="F90" s="24">
        <v>1.3497591E-2</v>
      </c>
      <c r="G90" s="24">
        <v>7.2711825000000008E-2</v>
      </c>
      <c r="H90" s="24">
        <v>2.3184896E-2</v>
      </c>
      <c r="I90" s="24">
        <v>8.9846249999999989E-2</v>
      </c>
      <c r="J90" s="24">
        <v>6.6898226999999991E-2</v>
      </c>
      <c r="K90" s="24">
        <v>6.8291305999999996E-2</v>
      </c>
      <c r="L90" s="24">
        <v>7.1851372999999996E-2</v>
      </c>
      <c r="M90" s="24">
        <v>9.047936999999999E-2</v>
      </c>
      <c r="N90" s="24">
        <v>6.1422706000000001E-2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44540</v>
      </c>
      <c r="B91" s="24">
        <v>-5.0635995999999996E-2</v>
      </c>
      <c r="C91" s="24">
        <v>-2.3219824E-2</v>
      </c>
      <c r="D91" s="24">
        <v>-3.6239265999999999E-2</v>
      </c>
      <c r="E91" s="24">
        <v>-4.1079879999999999E-2</v>
      </c>
      <c r="F91" s="24">
        <v>-9.4094275999999991E-3</v>
      </c>
      <c r="G91" s="24">
        <v>9.6552370000000005E-3</v>
      </c>
      <c r="H91" s="24">
        <v>-1.4311254000000001E-2</v>
      </c>
      <c r="I91" s="24">
        <v>1.8996954E-2</v>
      </c>
      <c r="J91" s="24">
        <v>1.5028954000000001E-2</v>
      </c>
      <c r="K91" s="24">
        <v>-2.2060692E-2</v>
      </c>
      <c r="L91" s="24">
        <v>-6.0940741999999999E-2</v>
      </c>
      <c r="M91" s="24">
        <v>-4.4169245000000003E-2</v>
      </c>
      <c r="N91" s="24">
        <v>-3.8086712000000002E-2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44572</v>
      </c>
      <c r="B92" s="24">
        <v>-5.4324865E-3</v>
      </c>
      <c r="C92" s="24">
        <v>1.5912889999999999E-2</v>
      </c>
      <c r="D92" s="24">
        <v>3.5051464999999997E-2</v>
      </c>
      <c r="E92" s="24">
        <v>2.6553154000000002E-2</v>
      </c>
      <c r="F92" s="24">
        <v>-7.4530244000000001E-3</v>
      </c>
      <c r="G92" s="24">
        <v>3.3177137000000002E-3</v>
      </c>
      <c r="H92" s="24">
        <v>6.3271759999999996E-2</v>
      </c>
      <c r="I92" s="24">
        <v>-2.9376090000000001E-2</v>
      </c>
      <c r="J92" s="24">
        <v>1.4479159999999998E-3</v>
      </c>
      <c r="K92" s="24">
        <v>3.7937760000000001E-2</v>
      </c>
      <c r="L92" s="24">
        <v>-3.4826993999999999E-4</v>
      </c>
      <c r="M92" s="24">
        <v>1.629591E-2</v>
      </c>
      <c r="N92" s="24">
        <v>3.8832306999999996E-2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44603</v>
      </c>
      <c r="B93" s="24">
        <v>-7.3234079999999993E-2</v>
      </c>
      <c r="C93" s="24">
        <v>-4.3654019999999995E-2</v>
      </c>
      <c r="D93" s="24">
        <v>-5.1468610000000002E-4</v>
      </c>
      <c r="E93" s="24">
        <v>-5.0811768E-2</v>
      </c>
      <c r="F93" s="24">
        <v>-4.5800390000000003E-2</v>
      </c>
      <c r="G93" s="24">
        <v>-5.3686022999999999E-2</v>
      </c>
      <c r="H93" s="24">
        <v>7.3077680000000001E-3</v>
      </c>
      <c r="I93" s="24">
        <v>-0.10046136999999999</v>
      </c>
      <c r="J93" s="24">
        <v>-6.2352360000000003E-2</v>
      </c>
      <c r="K93" s="24">
        <v>-5.1776647999999995E-2</v>
      </c>
      <c r="L93" s="24">
        <v>-8.3486080000000004E-2</v>
      </c>
      <c r="M93" s="24">
        <v>-0.10365987</v>
      </c>
      <c r="N93" s="24">
        <v>-3.7159085000000001E-2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44631</v>
      </c>
      <c r="B94" s="24">
        <v>6.5383910000000002E-3</v>
      </c>
      <c r="C94" s="24">
        <v>3.0431032E-2</v>
      </c>
      <c r="D94" s="24">
        <v>-8.2389115999999991E-3</v>
      </c>
      <c r="E94" s="24">
        <v>-0.15394365000000002</v>
      </c>
      <c r="F94" s="24">
        <v>-8.474045999999999E-2</v>
      </c>
      <c r="G94" s="24">
        <v>-7.1736930000000004E-2</v>
      </c>
      <c r="H94" s="24">
        <v>-8.5896670000000008E-2</v>
      </c>
      <c r="I94" s="24">
        <v>-6.5291286000000004E-2</v>
      </c>
      <c r="J94" s="24">
        <v>-4.6292486000000001E-2</v>
      </c>
      <c r="K94" s="24">
        <v>-0.12981802000000001</v>
      </c>
      <c r="L94" s="24">
        <v>-0.14419013</v>
      </c>
      <c r="M94" s="24">
        <v>-0.12004889000000001</v>
      </c>
      <c r="N94" s="24">
        <v>-0.16433238999999999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44662</v>
      </c>
      <c r="B95" s="24">
        <v>-5.1968099999999996E-3</v>
      </c>
      <c r="C95" s="24">
        <v>7.7112436000000006E-2</v>
      </c>
      <c r="D95" s="24">
        <v>2.7258515000000001E-2</v>
      </c>
      <c r="E95" s="24">
        <v>2.358675E-2</v>
      </c>
      <c r="F95" s="24">
        <v>-6.8330764999999997E-4</v>
      </c>
      <c r="G95" s="24">
        <v>0.10540295000000001</v>
      </c>
      <c r="H95" s="24">
        <v>7.4285746E-2</v>
      </c>
      <c r="I95" s="24">
        <v>5.2134156000000001E-2</v>
      </c>
      <c r="J95" s="24">
        <v>5.0472260000000005E-2</v>
      </c>
      <c r="K95" s="24">
        <v>5.1676393000000001E-2</v>
      </c>
      <c r="L95" s="24">
        <v>4.8805832999999993E-2</v>
      </c>
      <c r="M95" s="24">
        <v>6.1128020000000005E-2</v>
      </c>
      <c r="N95" s="24">
        <v>8.1564310000000001E-2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44692</v>
      </c>
      <c r="B96" s="24">
        <v>-0.13264918000000001</v>
      </c>
      <c r="C96" s="24">
        <v>-0.11500382000000001</v>
      </c>
      <c r="D96" s="24">
        <v>-0.11068994</v>
      </c>
      <c r="E96" s="24">
        <v>-7.6810539999999997E-2</v>
      </c>
      <c r="F96" s="24">
        <v>-6.7179500000000003E-2</v>
      </c>
      <c r="G96" s="24">
        <v>-0.13541662000000002</v>
      </c>
      <c r="H96" s="24">
        <v>-9.2494130000000008E-2</v>
      </c>
      <c r="I96" s="24">
        <v>-0.14388811000000001</v>
      </c>
      <c r="J96" s="24">
        <v>-0.10722404499999999</v>
      </c>
      <c r="K96" s="24">
        <v>-7.3413252999999998E-2</v>
      </c>
      <c r="L96" s="24">
        <v>-0.11509907</v>
      </c>
      <c r="M96" s="24">
        <v>-0.12463993000000001</v>
      </c>
      <c r="N96" s="24">
        <v>-8.4022045000000004E-2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44722</v>
      </c>
      <c r="B97" s="24">
        <v>-5.6984425000000003E-3</v>
      </c>
      <c r="C97" s="24">
        <v>-5.8937669999999994E-3</v>
      </c>
      <c r="D97" s="24">
        <v>3.7228465000000002E-2</v>
      </c>
      <c r="E97" s="24">
        <v>1.4173985E-2</v>
      </c>
      <c r="F97" s="24">
        <v>1.3854146000000001E-2</v>
      </c>
      <c r="G97" s="24">
        <v>-2.7591109999999999E-2</v>
      </c>
      <c r="H97" s="24">
        <v>2.399683E-2</v>
      </c>
      <c r="I97" s="24">
        <v>-1.0279596E-2</v>
      </c>
      <c r="J97" s="24">
        <v>-7.5111984999999999E-3</v>
      </c>
      <c r="K97" s="24">
        <v>1.7147659999999999E-2</v>
      </c>
      <c r="L97" s="24">
        <v>3.4911869999999998E-2</v>
      </c>
      <c r="M97" s="24">
        <v>2.6483059999999999E-2</v>
      </c>
      <c r="N97" s="24">
        <v>-2.1227717E-2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44753</v>
      </c>
      <c r="B98" s="24">
        <v>-2.4053931000000001E-2</v>
      </c>
      <c r="C98" s="24">
        <v>-7.2832822999999991E-2</v>
      </c>
      <c r="D98" s="24">
        <v>-8.1700209999999995E-2</v>
      </c>
      <c r="E98" s="24">
        <v>-0.1135723</v>
      </c>
      <c r="F98" s="24">
        <v>-3.285271E-2</v>
      </c>
      <c r="G98" s="24">
        <v>1.7019509999999999E-3</v>
      </c>
      <c r="H98" s="24">
        <v>-5.6023300000000005E-2</v>
      </c>
      <c r="I98" s="24">
        <v>2.5701522999999997E-3</v>
      </c>
      <c r="J98" s="24">
        <v>-1.0040879000000001E-2</v>
      </c>
      <c r="K98" s="24">
        <v>-7.1884989999999996E-2</v>
      </c>
      <c r="L98" s="24">
        <v>-7.2562990000000008E-2</v>
      </c>
      <c r="M98" s="24">
        <v>-9.355318E-2</v>
      </c>
      <c r="N98" s="24">
        <v>-7.9572440000000008E-2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44784</v>
      </c>
      <c r="B99" s="24">
        <v>0.11594522</v>
      </c>
      <c r="C99" s="24">
        <v>0.11036146000000001</v>
      </c>
      <c r="D99" s="24">
        <v>7.8749536999999994E-2</v>
      </c>
      <c r="E99" s="24">
        <v>8.9959140000000007E-2</v>
      </c>
      <c r="F99" s="24">
        <v>6.2275887000000002E-2</v>
      </c>
      <c r="G99" s="24">
        <v>6.2864064999999997E-2</v>
      </c>
      <c r="H99" s="24">
        <v>6.6895365999999998E-2</v>
      </c>
      <c r="I99" s="24">
        <v>0.12122880999999999</v>
      </c>
      <c r="J99" s="24">
        <v>9.306919000000001E-2</v>
      </c>
      <c r="K99" s="24">
        <v>0.11600685000000001</v>
      </c>
      <c r="L99" s="24">
        <v>0.12488925999999999</v>
      </c>
      <c r="M99" s="24">
        <v>0.12173342999999999</v>
      </c>
      <c r="N99" s="24">
        <v>8.3871000000000001E-2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44813</v>
      </c>
      <c r="B100" s="24">
        <v>-3.7781297999999998E-2</v>
      </c>
      <c r="C100" s="24">
        <v>-2.9947936999999997E-2</v>
      </c>
      <c r="D100" s="24">
        <v>-2.7862906E-2</v>
      </c>
      <c r="E100" s="24">
        <v>-6.5443934999999995E-2</v>
      </c>
      <c r="F100" s="24">
        <v>-5.7203770000000001E-2</v>
      </c>
      <c r="G100" s="24">
        <v>-4.8412919999999998E-2</v>
      </c>
      <c r="H100" s="24">
        <v>-5.7234764E-2</v>
      </c>
      <c r="I100" s="24">
        <v>-5.2425327000000001E-2</v>
      </c>
      <c r="J100" s="24">
        <v>-3.1881689999999997E-2</v>
      </c>
      <c r="K100" s="24">
        <v>-6.7242384000000002E-2</v>
      </c>
      <c r="L100" s="24">
        <v>-8.2939624999999989E-2</v>
      </c>
      <c r="M100" s="24">
        <v>-9.1713369999999989E-2</v>
      </c>
      <c r="N100" s="24">
        <v>-5.4761944E-2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44845</v>
      </c>
      <c r="B101" s="24">
        <v>-0.15350884000000001</v>
      </c>
      <c r="C101" s="24">
        <v>-0.12214762</v>
      </c>
      <c r="D101" s="24">
        <v>-0.12754369000000002</v>
      </c>
      <c r="E101" s="24">
        <v>-0.11864406000000001</v>
      </c>
      <c r="F101" s="24">
        <v>-7.4806869999999998E-2</v>
      </c>
      <c r="G101" s="24">
        <v>-0.11231094000000001</v>
      </c>
      <c r="H101" s="24">
        <v>-0.11493855</v>
      </c>
      <c r="I101" s="24">
        <v>-0.14286322000000001</v>
      </c>
      <c r="J101" s="24">
        <v>-0.11652433000000001</v>
      </c>
      <c r="K101" s="24">
        <v>-0.10515875</v>
      </c>
      <c r="L101" s="24">
        <v>-0.14081276000000001</v>
      </c>
      <c r="M101" s="24">
        <v>-0.13051945000000001</v>
      </c>
      <c r="N101" s="24">
        <v>-9.7397150000000002E-2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44876</v>
      </c>
      <c r="B102" s="24">
        <v>0.13200103999999999</v>
      </c>
      <c r="C102" s="24">
        <v>0.16207944999999999</v>
      </c>
      <c r="D102" s="24">
        <v>0.15111695999999999</v>
      </c>
      <c r="E102" s="24">
        <v>0.25657891999999999</v>
      </c>
      <c r="F102" s="24">
        <v>0.11894094000000001</v>
      </c>
      <c r="G102" s="24">
        <v>0.17085695000000001</v>
      </c>
      <c r="H102" s="24">
        <v>0.15105974</v>
      </c>
      <c r="I102" s="24">
        <v>9.5946669999999998E-2</v>
      </c>
      <c r="J102" s="24">
        <v>0.11396551000000001</v>
      </c>
      <c r="K102" s="24">
        <v>0.2161863</v>
      </c>
      <c r="L102" s="24">
        <v>0.25749493000000001</v>
      </c>
      <c r="M102" s="24">
        <v>0.27408504</v>
      </c>
      <c r="N102" s="24">
        <v>0.27255821000000002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44904</v>
      </c>
      <c r="B103" s="24">
        <v>8.06452E-2</v>
      </c>
      <c r="C103" s="24">
        <v>1.6228079999999999E-2</v>
      </c>
      <c r="D103" s="24">
        <v>-3.3961235999999999E-2</v>
      </c>
      <c r="E103" s="24">
        <v>1.7317771999999999E-2</v>
      </c>
      <c r="F103" s="24">
        <v>5.8245659999999998E-3</v>
      </c>
      <c r="G103" s="24">
        <v>-1.2237430000000001E-2</v>
      </c>
      <c r="H103" s="24">
        <v>5.4904580000000001E-2</v>
      </c>
      <c r="I103" s="24">
        <v>-2.0558356999999999E-2</v>
      </c>
      <c r="J103" s="24">
        <v>-1.3123929999999999E-2</v>
      </c>
      <c r="K103" s="24">
        <v>2.218175E-2</v>
      </c>
      <c r="L103" s="24">
        <v>3.0463575999999999E-2</v>
      </c>
      <c r="M103" s="24">
        <v>-6.1547160000000002E-3</v>
      </c>
      <c r="N103" s="24">
        <v>0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44937</v>
      </c>
      <c r="B104" s="24">
        <v>9.1047287000000001E-3</v>
      </c>
      <c r="C104" s="24">
        <v>2.6974439999999999E-2</v>
      </c>
      <c r="D104" s="24">
        <v>2.6560307000000002E-2</v>
      </c>
      <c r="E104" s="24">
        <v>8.1519239999999993E-2</v>
      </c>
      <c r="F104" s="24">
        <v>1.1343956000000001E-3</v>
      </c>
      <c r="G104" s="24">
        <v>3.5296916999999997E-2</v>
      </c>
      <c r="H104" s="24">
        <v>3.0746102000000001E-2</v>
      </c>
      <c r="I104" s="24">
        <v>-1.3528764E-2</v>
      </c>
      <c r="J104" s="24">
        <v>1.0370015999999999E-2</v>
      </c>
      <c r="K104" s="24">
        <v>6.5362690000000001E-2</v>
      </c>
      <c r="L104" s="24">
        <v>6.5703154E-2</v>
      </c>
      <c r="M104" s="24">
        <v>3.9824247E-2</v>
      </c>
      <c r="N104" s="24">
        <v>8.1815719999999995E-2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44967</v>
      </c>
      <c r="B105" s="24">
        <v>3.5147667E-2</v>
      </c>
      <c r="C105" s="24">
        <v>3.4674643999999998E-2</v>
      </c>
      <c r="D105" s="24">
        <v>3.6204456999999995E-2</v>
      </c>
      <c r="E105" s="24">
        <v>1.6843676999999998E-2</v>
      </c>
      <c r="F105" s="24">
        <v>5.2898525999999994E-2</v>
      </c>
      <c r="G105" s="24">
        <v>9.0312960000000001E-4</v>
      </c>
      <c r="H105" s="24">
        <v>1.1562467E-2</v>
      </c>
      <c r="I105" s="24">
        <v>7.9805493000000005E-2</v>
      </c>
      <c r="J105" s="24">
        <v>3.1654596E-2</v>
      </c>
      <c r="K105" s="24">
        <v>1.9602418E-2</v>
      </c>
      <c r="L105" s="24">
        <v>9.4660520000000008E-3</v>
      </c>
      <c r="M105" s="24">
        <v>-3.4227966999999999E-3</v>
      </c>
      <c r="N105" s="24">
        <v>3.8408756000000002E-2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44995</v>
      </c>
      <c r="B106" s="24">
        <v>-7.2176989999999996E-2</v>
      </c>
      <c r="C106" s="24">
        <v>-7.9437312999999996E-2</v>
      </c>
      <c r="D106" s="24">
        <v>-7.3823689999999997E-2</v>
      </c>
      <c r="E106" s="24">
        <v>-1.6924798000000001E-2</v>
      </c>
      <c r="F106" s="24">
        <v>-2.3055731999999999E-2</v>
      </c>
      <c r="G106" s="24">
        <v>-3.3386051999999999E-2</v>
      </c>
      <c r="H106" s="24">
        <v>-2.4714231E-2</v>
      </c>
      <c r="I106" s="24">
        <v>-3.7203968000000004E-2</v>
      </c>
      <c r="J106" s="24">
        <v>-5.4234859999999996E-2</v>
      </c>
      <c r="K106" s="24">
        <v>-8.2394479999999999E-3</v>
      </c>
      <c r="L106" s="24">
        <v>-4.3760540000000001E-2</v>
      </c>
      <c r="M106" s="24">
        <v>-4.0927290000000005E-2</v>
      </c>
      <c r="N106" s="24">
        <v>-2.1136105000000002E-2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45027</v>
      </c>
      <c r="B107" s="24">
        <v>3.7222862000000002E-2</v>
      </c>
      <c r="C107" s="24">
        <v>4.4943810000000001E-2</v>
      </c>
      <c r="D107" s="24">
        <v>6.1454177000000006E-2</v>
      </c>
      <c r="E107" s="24">
        <v>4.9450516999999999E-2</v>
      </c>
      <c r="F107" s="24">
        <v>1.9373058999999998E-2</v>
      </c>
      <c r="G107" s="24">
        <v>8.2380410000000015E-2</v>
      </c>
      <c r="H107" s="24">
        <v>5.0047517E-2</v>
      </c>
      <c r="I107" s="24">
        <v>9.62311E-2</v>
      </c>
      <c r="J107" s="24">
        <v>6.5798880000000004E-2</v>
      </c>
      <c r="K107" s="24">
        <v>6.2863470000000005E-2</v>
      </c>
      <c r="L107" s="24">
        <v>6.1855673999999999E-2</v>
      </c>
      <c r="M107" s="24">
        <v>5.849004E-2</v>
      </c>
      <c r="N107" s="24">
        <v>5.0269839999999996E-2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45057</v>
      </c>
      <c r="B108" s="24">
        <v>1.8749952E-2</v>
      </c>
      <c r="C108" s="24">
        <v>-1.1612952000000001E-2</v>
      </c>
      <c r="D108" s="24">
        <v>1.4330149000000001E-3</v>
      </c>
      <c r="E108" s="24">
        <v>1.082027E-2</v>
      </c>
      <c r="F108" s="24">
        <v>3.5072565E-2</v>
      </c>
      <c r="G108" s="24">
        <v>4.3984413E-2</v>
      </c>
      <c r="H108" s="24">
        <v>4.5248270000000004E-3</v>
      </c>
      <c r="I108" s="24">
        <v>3.2834172000000002E-2</v>
      </c>
      <c r="J108" s="24">
        <v>5.8820249999999999E-3</v>
      </c>
      <c r="K108" s="24">
        <v>1.4330387E-2</v>
      </c>
      <c r="L108" s="24">
        <v>-6.3935520000000003E-3</v>
      </c>
      <c r="M108" s="24">
        <v>2.3118138E-2</v>
      </c>
      <c r="N108" s="24">
        <v>5.4609775999999999E-3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45086</v>
      </c>
      <c r="B109" s="24">
        <v>-4.8401649999999997E-2</v>
      </c>
      <c r="C109" s="24">
        <v>-8.5881350000000002E-3</v>
      </c>
      <c r="D109" s="24">
        <v>-1.4152883999999999E-2</v>
      </c>
      <c r="E109" s="24">
        <v>-1.5115380000000001E-2</v>
      </c>
      <c r="F109" s="24">
        <v>4.5889735000000001E-2</v>
      </c>
      <c r="G109" s="24">
        <v>-3.5620212999999998E-2</v>
      </c>
      <c r="H109" s="24">
        <v>-1.5473723E-2</v>
      </c>
      <c r="I109" s="24">
        <v>8.6756589999999995E-2</v>
      </c>
      <c r="J109" s="24">
        <v>4.3117403999999998E-2</v>
      </c>
      <c r="K109" s="24">
        <v>-3.1742096000000004E-2</v>
      </c>
      <c r="L109" s="24">
        <v>1.0601163E-2</v>
      </c>
      <c r="M109" s="24">
        <v>-2.7555823E-2</v>
      </c>
      <c r="N109" s="24">
        <v>-1.0159552000000001E-2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45118</v>
      </c>
      <c r="B110" s="24">
        <v>2.9875398000000001E-2</v>
      </c>
      <c r="C110" s="24">
        <v>-2.6834010000000002E-3</v>
      </c>
      <c r="D110" s="24">
        <v>1.0264039000000001E-2</v>
      </c>
      <c r="E110" s="24">
        <v>1.5489935999999999E-2</v>
      </c>
      <c r="F110" s="24">
        <v>-6.4288380000000001E-3</v>
      </c>
      <c r="G110" s="24">
        <v>2.6276112000000003E-3</v>
      </c>
      <c r="H110" s="24">
        <v>-1.2437819999999999E-2</v>
      </c>
      <c r="I110" s="24">
        <v>3.9987922000000002E-2</v>
      </c>
      <c r="J110" s="24">
        <v>3.3053159999999998E-2</v>
      </c>
      <c r="K110" s="24">
        <v>3.0919433E-2</v>
      </c>
      <c r="L110" s="24">
        <v>2.6111722E-2</v>
      </c>
      <c r="M110" s="24">
        <v>-6.8008304E-3</v>
      </c>
      <c r="N110" s="24">
        <v>5.291009E-2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45149</v>
      </c>
      <c r="B111" s="24">
        <v>-3.9363681999999997E-2</v>
      </c>
      <c r="C111" s="24">
        <v>-2.2421478999999998E-3</v>
      </c>
      <c r="D111" s="24">
        <v>1.4804006000000001E-2</v>
      </c>
      <c r="E111" s="24">
        <v>-2.8378963E-3</v>
      </c>
      <c r="F111" s="24">
        <v>-7.2792170000000002E-3</v>
      </c>
      <c r="G111" s="24">
        <v>1.5505552000000001E-2</v>
      </c>
      <c r="H111" s="24">
        <v>2.3299693999999999E-2</v>
      </c>
      <c r="I111" s="24">
        <v>-5.2422285000000004E-3</v>
      </c>
      <c r="J111" s="24">
        <v>7.2096585999999992E-3</v>
      </c>
      <c r="K111" s="24">
        <v>5.7879685999999994E-3</v>
      </c>
      <c r="L111" s="24">
        <v>-4.6478509999999997E-3</v>
      </c>
      <c r="M111" s="24">
        <v>-2.8530657000000001E-2</v>
      </c>
      <c r="N111" s="24">
        <v>3.140688E-3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45180</v>
      </c>
      <c r="B112" s="24">
        <v>-5.5626334999999999E-2</v>
      </c>
      <c r="C112" s="24">
        <v>-8.9887977000000004E-3</v>
      </c>
      <c r="D112" s="24">
        <v>-1.6876459E-2</v>
      </c>
      <c r="E112" s="24">
        <v>-2.3834944E-2</v>
      </c>
      <c r="F112" s="24">
        <v>1.5479922E-2</v>
      </c>
      <c r="G112" s="24">
        <v>-2.5591373000000001E-2</v>
      </c>
      <c r="H112" s="24">
        <v>-1.5384614000000001E-2</v>
      </c>
      <c r="I112" s="24">
        <v>2.9297710000000001E-2</v>
      </c>
      <c r="J112" s="24">
        <v>6.2830450000000001E-3</v>
      </c>
      <c r="K112" s="24">
        <v>-2.7988493E-2</v>
      </c>
      <c r="L112" s="24">
        <v>-6.5374794E-2</v>
      </c>
      <c r="M112" s="24">
        <v>-2.5550603999999998E-2</v>
      </c>
      <c r="N112" s="24">
        <v>-1.0644971999999999E-2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45210</v>
      </c>
      <c r="B113" s="24">
        <v>1.2589931E-2</v>
      </c>
      <c r="C113" s="24">
        <v>-1.4512479E-2</v>
      </c>
      <c r="D113" s="24">
        <v>-2.0657540000000002E-2</v>
      </c>
      <c r="E113" s="24">
        <v>-3.6807596999999997E-2</v>
      </c>
      <c r="F113" s="24">
        <v>-3.4338891999999996E-2</v>
      </c>
      <c r="G113" s="24">
        <v>-1.5007734E-2</v>
      </c>
      <c r="H113" s="24">
        <v>5.312443E-3</v>
      </c>
      <c r="I113" s="24">
        <v>-1.3830304E-2</v>
      </c>
      <c r="J113" s="24">
        <v>-2.357453E-2</v>
      </c>
      <c r="K113" s="24">
        <v>-3.7944019999999995E-2</v>
      </c>
      <c r="L113" s="24">
        <v>-3.4723937999999996E-2</v>
      </c>
      <c r="M113" s="24">
        <v>1.7179012E-2</v>
      </c>
      <c r="N113" s="24">
        <v>-2.8797448E-2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45240</v>
      </c>
      <c r="B114" s="24">
        <v>-2.9751360000000001E-2</v>
      </c>
      <c r="C114" s="24">
        <v>-1.6106783999999999E-2</v>
      </c>
      <c r="D114" s="24">
        <v>-1.0992228999999999E-2</v>
      </c>
      <c r="E114" s="24">
        <v>-3.4052134E-3</v>
      </c>
      <c r="F114" s="24">
        <v>4.8189163E-3</v>
      </c>
      <c r="G114" s="24">
        <v>-3.4954070000000004E-2</v>
      </c>
      <c r="H114" s="24">
        <v>-3.5125791999999996E-2</v>
      </c>
      <c r="I114" s="24">
        <v>1.9314766000000001E-2</v>
      </c>
      <c r="J114" s="24">
        <v>9.832144000000001E-3</v>
      </c>
      <c r="K114" s="24">
        <v>0</v>
      </c>
      <c r="L114" s="24">
        <v>3.8043500000000001E-2</v>
      </c>
      <c r="M114" s="24">
        <v>-2.4000048999999999E-2</v>
      </c>
      <c r="N114" s="24">
        <v>1.4988542000000001E-2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45271</v>
      </c>
      <c r="B115" s="24">
        <v>6.6132664999999993E-2</v>
      </c>
      <c r="C115" s="24">
        <v>6.6884995000000003E-2</v>
      </c>
      <c r="D115" s="24">
        <v>5.5271863999999997E-2</v>
      </c>
      <c r="E115" s="24">
        <v>0.10250567999999999</v>
      </c>
      <c r="F115" s="24">
        <v>4.415405E-2</v>
      </c>
      <c r="G115" s="24">
        <v>7.0582747000000001E-2</v>
      </c>
      <c r="H115" s="24">
        <v>4.8969029999999997E-2</v>
      </c>
      <c r="I115" s="24">
        <v>4.5270680000000001E-2</v>
      </c>
      <c r="J115" s="24">
        <v>4.8523664000000001E-2</v>
      </c>
      <c r="K115" s="24">
        <v>7.3286652999999993E-2</v>
      </c>
      <c r="L115" s="24">
        <v>7.6788782999999999E-2</v>
      </c>
      <c r="M115" s="24">
        <v>0.1451124</v>
      </c>
      <c r="N115" s="24">
        <v>7.1910142999999996E-2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45302</v>
      </c>
      <c r="B116" s="24">
        <v>4.8198223000000005E-2</v>
      </c>
      <c r="C116" s="24">
        <v>5.8635472999999994E-2</v>
      </c>
      <c r="D116" s="24">
        <v>4.6229600000000003E-2</v>
      </c>
      <c r="E116" s="24">
        <v>5.2179100000000001E-3</v>
      </c>
      <c r="F116" s="24">
        <v>5.6817409999999999E-2</v>
      </c>
      <c r="G116" s="24">
        <v>3.4265876000000001E-2</v>
      </c>
      <c r="H116" s="24">
        <v>2.5849342000000001E-2</v>
      </c>
      <c r="I116" s="24">
        <v>3.7565590000000003E-2</v>
      </c>
      <c r="J116" s="24">
        <v>3.5270452000000001E-2</v>
      </c>
      <c r="K116" s="24">
        <v>4.6768187999999995E-3</v>
      </c>
      <c r="L116" s="24">
        <v>1.6875982000000001E-2</v>
      </c>
      <c r="M116" s="24">
        <v>2.5237560000000003E-2</v>
      </c>
      <c r="N116" s="24">
        <v>2.3230553000000001E-2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45331</v>
      </c>
      <c r="B117" s="24">
        <v>-2.6964902999999998E-2</v>
      </c>
      <c r="C117" s="24">
        <v>-4.2265654E-4</v>
      </c>
      <c r="D117" s="24">
        <v>2.2063255E-3</v>
      </c>
      <c r="E117" s="24">
        <v>2.7406216000000001E-3</v>
      </c>
      <c r="F117" s="24">
        <v>1.2613893000000001E-2</v>
      </c>
      <c r="G117" s="24">
        <v>-2.7469039999999997E-2</v>
      </c>
      <c r="H117" s="24">
        <v>-1.2251198000000001E-2</v>
      </c>
      <c r="I117" s="24">
        <v>6.7668199999999998E-2</v>
      </c>
      <c r="J117" s="24">
        <v>5.2167535000000001E-2</v>
      </c>
      <c r="K117" s="24">
        <v>1.4360309E-2</v>
      </c>
      <c r="L117" s="24">
        <v>8.6487770000000005E-2</v>
      </c>
      <c r="M117" s="24">
        <v>-2.6497840000000001E-3</v>
      </c>
      <c r="N117" s="24">
        <v>5.9275630000000003E-3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45362</v>
      </c>
      <c r="B118" s="24">
        <v>-1.1707783000000001E-2</v>
      </c>
      <c r="C118" s="24">
        <v>3.2135366999999998E-2</v>
      </c>
      <c r="D118" s="24">
        <v>3.7974714999999999E-2</v>
      </c>
      <c r="E118" s="24">
        <v>6.0129879999999997E-2</v>
      </c>
      <c r="F118" s="24">
        <v>4.4574499999999996E-2</v>
      </c>
      <c r="G118" s="24">
        <v>4.484689E-2</v>
      </c>
      <c r="H118" s="24">
        <v>3.5348773E-2</v>
      </c>
      <c r="I118" s="24">
        <v>7.779598E-4</v>
      </c>
      <c r="J118" s="24">
        <v>2.011168E-2</v>
      </c>
      <c r="K118" s="24">
        <v>5.5855870000000002E-2</v>
      </c>
      <c r="L118" s="24">
        <v>2.34375E-2</v>
      </c>
      <c r="M118" s="24">
        <v>7.8374147000000005E-2</v>
      </c>
      <c r="N118" s="24">
        <v>7.8962919999999992E-2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45393</v>
      </c>
      <c r="B119" s="24">
        <v>-1.4237642E-2</v>
      </c>
      <c r="C119" s="24">
        <v>-2.4579762999999998E-3</v>
      </c>
      <c r="D119" s="24">
        <v>1.0603666000000001E-3</v>
      </c>
      <c r="E119" s="24">
        <v>-5.800843E-3</v>
      </c>
      <c r="F119" s="24">
        <v>5.6034326999999991E-3</v>
      </c>
      <c r="G119" s="24">
        <v>-4.4160130000000006E-2</v>
      </c>
      <c r="H119" s="24">
        <v>2.0964383999999999E-2</v>
      </c>
      <c r="I119" s="24">
        <v>1.9579291000000002E-2</v>
      </c>
      <c r="J119" s="24">
        <v>1.6312956999999999E-2</v>
      </c>
      <c r="K119" s="24">
        <v>-1.6333520000000001E-2</v>
      </c>
      <c r="L119" s="24">
        <v>2.145648E-2</v>
      </c>
      <c r="M119" s="24">
        <v>-2.5375664000000003E-2</v>
      </c>
      <c r="N119" s="24">
        <v>-3.823042E-3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45422</v>
      </c>
      <c r="B120" s="24">
        <v>-1.5435219E-3</v>
      </c>
      <c r="C120" s="24">
        <v>5.3387879999999997E-3</v>
      </c>
      <c r="D120" s="24">
        <v>1.1387705999999999E-2</v>
      </c>
      <c r="E120" s="24">
        <v>4.3111800000000006E-2</v>
      </c>
      <c r="F120" s="24">
        <v>-2.9147029999999997E-2</v>
      </c>
      <c r="G120" s="24">
        <v>3.4974097999999995E-2</v>
      </c>
      <c r="H120" s="24">
        <v>6.0428259999999998E-2</v>
      </c>
      <c r="I120" s="24">
        <v>-7.4320436000000004E-3</v>
      </c>
      <c r="J120" s="24">
        <v>5.4826735999999997E-3</v>
      </c>
      <c r="K120" s="24">
        <v>4.0892242999999995E-2</v>
      </c>
      <c r="L120" s="24">
        <v>2.3025750000000001E-2</v>
      </c>
      <c r="M120" s="24">
        <v>3.2608628000000001E-2</v>
      </c>
      <c r="N120" s="24">
        <v>4.6875E-2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45454</v>
      </c>
      <c r="B121" s="24">
        <v>1.2781024E-2</v>
      </c>
      <c r="C121" s="24">
        <v>1.5783310000000001E-3</v>
      </c>
      <c r="D121" s="24">
        <v>-2.4894296999999999E-2</v>
      </c>
      <c r="E121" s="24">
        <v>-2.0867705E-2</v>
      </c>
      <c r="F121" s="24">
        <v>9.1044899999999998E-3</v>
      </c>
      <c r="G121" s="24">
        <v>3.2690643999999998E-2</v>
      </c>
      <c r="H121" s="24">
        <v>-1.6235948E-2</v>
      </c>
      <c r="I121" s="24">
        <v>5.8724999999999999E-2</v>
      </c>
      <c r="J121" s="24">
        <v>3.0930757999999999E-2</v>
      </c>
      <c r="K121" s="24">
        <v>-4.084289E-2</v>
      </c>
      <c r="L121" s="24">
        <v>1.7071247000000001E-2</v>
      </c>
      <c r="M121" s="24">
        <v>1.7605901E-2</v>
      </c>
      <c r="N121" s="24">
        <v>-1.7899752000000001E-2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45484</v>
      </c>
      <c r="B122" s="24">
        <v>1.5601039000000001E-2</v>
      </c>
      <c r="C122" s="24">
        <v>5.0311923000000001E-2</v>
      </c>
      <c r="D122" s="24">
        <v>4.0390370000000002E-2</v>
      </c>
      <c r="E122" s="24">
        <v>2.2113800000000003E-2</v>
      </c>
      <c r="F122" s="24">
        <v>4.3344139999999996E-2</v>
      </c>
      <c r="G122" s="24">
        <v>1.6704440000000001E-2</v>
      </c>
      <c r="H122" s="24">
        <v>2.5802732000000002E-2</v>
      </c>
      <c r="I122" s="24">
        <v>5.2776337E-2</v>
      </c>
      <c r="J122" s="24">
        <v>3.9720057999999996E-2</v>
      </c>
      <c r="K122" s="24">
        <v>-9.9059939999999996E-3</v>
      </c>
      <c r="L122" s="24">
        <v>1.9827246999999999E-2</v>
      </c>
      <c r="M122" s="24">
        <v>-1.7110705E-3</v>
      </c>
      <c r="N122" s="50">
        <v>2.3224115E-2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0.13200103999999999</v>
      </c>
      <c r="C126" s="24" cm="1">
        <f t="array" ref="C126">MAX(_xlfn._xlws.FILTER(C1:C122, ISNUMBER(C1:C122)))</f>
        <v>0.18241631999999999</v>
      </c>
      <c r="D126" s="24" cm="1">
        <f t="array" ref="D126">MAX(_xlfn._xlws.FILTER(D1:D122, ISNUMBER(D1:D122)))</f>
        <v>0.18131315000000001</v>
      </c>
      <c r="E126" s="24" cm="1">
        <f t="array" ref="E126">MAX(_xlfn._xlws.FILTER(E1:E122, ISNUMBER(E1:E122)))</f>
        <v>0.25657891999999999</v>
      </c>
      <c r="F126" s="24" cm="1">
        <f t="array" ref="F126">MAX(_xlfn._xlws.FILTER(F1:F122, ISNUMBER(F1:F122)))</f>
        <v>0.11894094000000001</v>
      </c>
      <c r="G126" s="24" cm="1">
        <f t="array" ref="G126">MAX(_xlfn._xlws.FILTER(G1:G122, ISNUMBER(G1:G122)))</f>
        <v>0.17085695000000001</v>
      </c>
      <c r="H126" s="24" cm="1">
        <f t="array" ref="H126">MAX(_xlfn._xlws.FILTER(H1:H122, ISNUMBER(H1:H122)))</f>
        <v>0.15105974</v>
      </c>
      <c r="I126" s="24" cm="1">
        <f t="array" ref="I126">MAX(_xlfn._xlws.FILTER(I1:I122, ISNUMBER(I1:I122)))</f>
        <v>0.12992001</v>
      </c>
      <c r="J126" s="24" cm="1">
        <f t="array" ref="J126">MAX(_xlfn._xlws.FILTER(J1:J122, ISNUMBER(J1:J122)))</f>
        <v>0.11396551000000001</v>
      </c>
      <c r="K126" s="24" cm="1">
        <f t="array" ref="K126">MAX(_xlfn._xlws.FILTER(K1:K122, ISNUMBER(K1:K122)))</f>
        <v>0.2161863</v>
      </c>
      <c r="L126" s="24" cm="1">
        <f t="array" ref="L126">MAX(_xlfn._xlws.FILTER(L1:L122, ISNUMBER(L1:L122)))</f>
        <v>0.25749493000000001</v>
      </c>
      <c r="M126" s="24" cm="1">
        <f t="array" ref="M126">MAX(_xlfn._xlws.FILTER(M1:M122, ISNUMBER(M1:M122)))</f>
        <v>0.27408504</v>
      </c>
      <c r="N126" s="24" cm="1">
        <f t="array" ref="N126">MAX(_xlfn._xlws.FILTER(N1:N122, ISNUMBER(N1:N122)))</f>
        <v>0.27255821000000002</v>
      </c>
    </row>
    <row r="127" spans="1:26" x14ac:dyDescent="0.35">
      <c r="A127" t="s">
        <v>85</v>
      </c>
      <c r="B127" s="24" cm="1">
        <f t="array" ref="B127">MIN(_xlfn._xlws.FILTER(B2:B122, ISNUMBER(B2:B122)))</f>
        <v>-0.15350884000000001</v>
      </c>
      <c r="C127" s="24" cm="1">
        <f t="array" ref="C127">MIN(_xlfn._xlws.FILTER(C2:C122, ISNUMBER(C2:C122)))</f>
        <v>-0.23521686999999999</v>
      </c>
      <c r="D127" s="24" cm="1">
        <f t="array" ref="D127">MIN(_xlfn._xlws.FILTER(D2:D122, ISNUMBER(D2:D122)))</f>
        <v>-0.23036480000000001</v>
      </c>
      <c r="E127" s="24" cm="1">
        <f t="array" ref="E127">MIN(_xlfn._xlws.FILTER(E2:E122, ISNUMBER(E2:E122)))</f>
        <v>-0.21404339</v>
      </c>
      <c r="F127" s="24" cm="1">
        <f t="array" ref="F127">MIN(_xlfn._xlws.FILTER(F2:F122, ISNUMBER(F2:F122)))</f>
        <v>-0.16800672999999999</v>
      </c>
      <c r="G127" s="24" cm="1">
        <f t="array" ref="G127">MIN(_xlfn._xlws.FILTER(G2:G122, ISNUMBER(G2:G122)))</f>
        <v>-0.15034551000000002</v>
      </c>
      <c r="H127" s="24" cm="1">
        <f t="array" ref="H127">MIN(_xlfn._xlws.FILTER(H2:H122, ISNUMBER(H2:H122)))</f>
        <v>-0.22471231</v>
      </c>
      <c r="I127" s="24" cm="1">
        <f t="array" ref="I127">MIN(_xlfn._xlws.FILTER(I2:I122, ISNUMBER(I2:I122)))</f>
        <v>-0.15857071</v>
      </c>
      <c r="J127" s="24" cm="1">
        <f t="array" ref="J127">MIN(_xlfn._xlws.FILTER(J2:J122, ISNUMBER(J2:J122)))</f>
        <v>-0.18165009999999998</v>
      </c>
      <c r="K127" s="24" cm="1">
        <f t="array" ref="K127">MIN(_xlfn._xlws.FILTER(K2:K122, ISNUMBER(K2:K122)))</f>
        <v>-0.22009271999999999</v>
      </c>
      <c r="L127" s="24" cm="1">
        <f t="array" ref="L127">MIN(_xlfn._xlws.FILTER(L2:L122, ISNUMBER(L2:L122)))</f>
        <v>-0.19808029999999999</v>
      </c>
      <c r="M127" s="24" cm="1">
        <f t="array" ref="M127">MIN(_xlfn._xlws.FILTER(M2:M122, ISNUMBER(M2:M122)))</f>
        <v>-0.20194292</v>
      </c>
      <c r="N127" s="24" cm="1">
        <f t="array" ref="N127">MIN(_xlfn._xlws.FILTER(N2:N122, ISNUMBER(N2:N122)))</f>
        <v>-0.26165115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13</v>
      </c>
      <c r="D129">
        <f>COUNTIF(D2:D122, "&lt;"&amp;Assumption!$E$50)</f>
        <v>14</v>
      </c>
      <c r="E129">
        <f>COUNTIF(E2:E122, "&lt;"&amp;Assumption!$E$50)</f>
        <v>17</v>
      </c>
      <c r="F129">
        <f>COUNTIF(F2:F122, "&lt;"&amp;Assumption!$E$50)</f>
        <v>11</v>
      </c>
      <c r="G129">
        <f>COUNTIF(G2:G122, "&lt;"&amp;Assumption!$E$50)</f>
        <v>8</v>
      </c>
      <c r="H129">
        <f>COUNTIF(H2:H122, "&lt;"&amp;Assumption!$E$50)</f>
        <v>14</v>
      </c>
      <c r="I129">
        <f>COUNTIF(I2:I122, "&lt;"&amp;Assumption!$E$50)</f>
        <v>11</v>
      </c>
      <c r="J129">
        <f>COUNTIF(J2:J122, "&lt;"&amp;Assumption!$E$50)</f>
        <v>9</v>
      </c>
      <c r="K129">
        <f>COUNTIF(K2:K122, "&lt;"&amp;Assumption!$E$50)</f>
        <v>14</v>
      </c>
      <c r="L129">
        <f>COUNTIF(L2:L122, "&lt;"&amp;Assumption!$E$50)</f>
        <v>16</v>
      </c>
      <c r="M129">
        <f>COUNTIF(M2:M122, "&lt;"&amp;Assumption!$E$50)</f>
        <v>14</v>
      </c>
      <c r="N129">
        <f>COUNTIF(N2:N122, "&lt;"&amp;Assumption!$E$50)</f>
        <v>19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0.12396694214876033</v>
      </c>
      <c r="C132" s="9">
        <f t="shared" si="2"/>
        <v>0.10743801652892562</v>
      </c>
      <c r="D132" s="9">
        <f t="shared" si="2"/>
        <v>0.11570247933884298</v>
      </c>
      <c r="E132" s="9">
        <f t="shared" si="2"/>
        <v>0.14049586776859505</v>
      </c>
      <c r="F132" s="9">
        <f t="shared" si="2"/>
        <v>9.0909090909090912E-2</v>
      </c>
      <c r="G132" s="9">
        <f t="shared" si="2"/>
        <v>6.6115702479338845E-2</v>
      </c>
      <c r="H132" s="9">
        <f t="shared" si="2"/>
        <v>0.11570247933884298</v>
      </c>
      <c r="I132" s="9">
        <f t="shared" si="2"/>
        <v>9.0909090909090912E-2</v>
      </c>
      <c r="J132" s="9">
        <f t="shared" si="2"/>
        <v>7.43801652892562E-2</v>
      </c>
      <c r="K132" s="9">
        <f t="shared" ref="K132:N132" si="3">K129/K130</f>
        <v>0.11570247933884298</v>
      </c>
      <c r="L132" s="9">
        <f t="shared" si="3"/>
        <v>0.13223140495867769</v>
      </c>
      <c r="M132" s="9">
        <f t="shared" si="3"/>
        <v>0.11570247933884298</v>
      </c>
      <c r="N132" s="9">
        <f t="shared" si="3"/>
        <v>0.15702479338842976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0.57299999999999995</v>
      </c>
      <c r="C134" s="9" cm="1">
        <f t="array" ref="C134">_xlfn.PERCENTRANK.EXC(_xlfn._xlws.FILTER(C2:C122, ISNUMBER(C2:C122)),C122)</f>
        <v>0.85199999999999998</v>
      </c>
      <c r="D134" s="9" cm="1">
        <f t="array" ref="D134">_xlfn.PERCENTRANK.EXC(_xlfn._xlws.FILTER(D2:D122, ISNUMBER(D2:D122)),D122)</f>
        <v>0.83599999999999997</v>
      </c>
      <c r="E134" s="9" cm="1">
        <f t="array" ref="E134">_xlfn.PERCENTRANK.EXC(_xlfn._xlws.FILTER(E2:E122, ISNUMBER(E2:E122)),E122)</f>
        <v>0.66300000000000003</v>
      </c>
      <c r="F134" s="9" cm="1">
        <f t="array" ref="F134">_xlfn.PERCENTRANK.EXC(_xlfn._xlws.FILTER(F2:F122, ISNUMBER(F2:F122)),F122)</f>
        <v>0.83599999999999997</v>
      </c>
      <c r="G134" s="9" cm="1">
        <f t="array" ref="G134">_xlfn.PERCENTRANK.EXC(_xlfn._xlws.FILTER(G2:G122, ISNUMBER(G2:G122)),G122)</f>
        <v>0.61399999999999999</v>
      </c>
      <c r="H134" s="9" cm="1">
        <f t="array" ref="H134">_xlfn.PERCENTRANK.EXC(_xlfn._xlws.FILTER(H2:H122, ISNUMBER(H2:H122)),H122)</f>
        <v>0.67200000000000004</v>
      </c>
      <c r="I134" s="9" cm="1">
        <f t="array" ref="I134">_xlfn.PERCENTRANK.EXC(_xlfn._xlws.FILTER(I2:I122, ISNUMBER(I2:I122)),I122)</f>
        <v>0.80300000000000005</v>
      </c>
      <c r="J134" s="9" cm="1">
        <f t="array" ref="J134">_xlfn.PERCENTRANK.EXC(_xlfn._xlws.FILTER(J2:J122, ISNUMBER(J2:J122)),J122)</f>
        <v>0.81100000000000005</v>
      </c>
      <c r="K134" s="9" cm="1">
        <f t="array" ref="K134">_xlfn.PERCENTRANK.EXC(_xlfn._xlws.FILTER(K2:K122, ISNUMBER(K2:K122)),K122)</f>
        <v>0.35199999999999998</v>
      </c>
      <c r="L134" s="9" cm="1">
        <f t="array" ref="L134">_xlfn.PERCENTRANK.EXC(_xlfn._xlws.FILTER(L2:L122, ISNUMBER(L2:L122)),L122)</f>
        <v>0.56499999999999995</v>
      </c>
      <c r="M134" s="9" cm="1">
        <f t="array" ref="M134">_xlfn.PERCENTRANK.EXC(_xlfn._xlws.FILTER(M2:M122, ISNUMBER(M2:M122)),M122)</f>
        <v>0.45</v>
      </c>
      <c r="N134" s="9" cm="1">
        <f t="array" ref="N134">_xlfn.PERCENTRANK.EXC(_xlfn._xlws.FILTER(N2:N122, ISNUMBER(N2:N122)),N122)</f>
        <v>0.59799999999999998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0.54100000000000004</v>
      </c>
      <c r="C136" s="9" cm="1">
        <f t="array" ref="C136">_xlfn.PERCENTRANK.EXC(_xlfn._xlws.FILTER(C4:C125, ISNUMBER(C4:C125)),C113)</f>
        <v>0.3</v>
      </c>
      <c r="D136" s="9" cm="1">
        <f t="array" ref="D136">_xlfn.PERCENTRANK.EXC(_xlfn._xlws.FILTER(D4:D125, ISNUMBER(D4:D125)),D113)</f>
        <v>0.216</v>
      </c>
      <c r="E136" s="9" cm="1">
        <f t="array" ref="E136">_xlfn.PERCENTRANK.EXC(_xlfn._xlws.FILTER(E4:E125, ISNUMBER(E4:E125)),E113)</f>
        <v>0.16600000000000001</v>
      </c>
      <c r="F136" s="9" cm="1">
        <f t="array" ref="F136">_xlfn.PERCENTRANK.EXC(_xlfn._xlws.FILTER(F4:F125, ISNUMBER(F4:F125)),F113)</f>
        <v>0.13300000000000001</v>
      </c>
      <c r="G136" s="9" cm="1">
        <f t="array" ref="G136">_xlfn.PERCENTRANK.EXC(_xlfn._xlws.FILTER(G4:G125, ISNUMBER(G4:G125)),G113)</f>
        <v>0.28299999999999997</v>
      </c>
      <c r="H136" s="9" cm="1">
        <f t="array" ref="H136">_xlfn.PERCENTRANK.EXC(_xlfn._xlws.FILTER(H4:H125, ISNUMBER(H4:H125)),H113)</f>
        <v>0.47499999999999998</v>
      </c>
      <c r="I136" s="9" cm="1">
        <f t="array" ref="I136">_xlfn.PERCENTRANK.EXC(_xlfn._xlws.FILTER(I4:I125, ISNUMBER(I4:I125)),I113)</f>
        <v>0.23300000000000001</v>
      </c>
      <c r="J136" s="9" cm="1">
        <f t="array" ref="J136">_xlfn.PERCENTRANK.EXC(_xlfn._xlws.FILTER(J4:J125, ISNUMBER(J4:J125)),J113)</f>
        <v>0.158</v>
      </c>
      <c r="K136" s="9" cm="1">
        <f t="array" ref="K136">_xlfn.PERCENTRANK.EXC(_xlfn._xlws.FILTER(K4:K125, ISNUMBER(K4:K125)),K113)</f>
        <v>0.158</v>
      </c>
      <c r="L136" s="9" cm="1">
        <f t="array" ref="L136">_xlfn.PERCENTRANK.EXC(_xlfn._xlws.FILTER(L4:L125, ISNUMBER(L4:L125)),L113)</f>
        <v>0.183</v>
      </c>
      <c r="M136" s="9" cm="1">
        <f t="array" ref="M136">_xlfn.PERCENTRANK.EXC(_xlfn._xlws.FILTER(M4:M125, ISNUMBER(M4:M125)),M113)</f>
        <v>0.59099999999999997</v>
      </c>
      <c r="N136" s="9" cm="1">
        <f t="array" ref="N136">_xlfn.PERCENTRANK.EXC(_xlfn._xlws.FILTER(N4:N125, ISNUMBER(N4:N125)),N113)</f>
        <v>0.25</v>
      </c>
    </row>
    <row r="138" spans="1:17" x14ac:dyDescent="0.35">
      <c r="A138" t="s">
        <v>829</v>
      </c>
      <c r="B138">
        <f t="shared" ref="B138:J138" si="4">STDEV(B40:B122)</f>
        <v>4.9329642567540563E-2</v>
      </c>
      <c r="C138">
        <f t="shared" si="4"/>
        <v>5.309468510989182E-2</v>
      </c>
      <c r="D138">
        <f t="shared" si="4"/>
        <v>4.9304050746478638E-2</v>
      </c>
      <c r="E138">
        <f t="shared" si="4"/>
        <v>5.9009769709059148E-2</v>
      </c>
      <c r="F138">
        <f t="shared" si="4"/>
        <v>4.1192468778101177E-2</v>
      </c>
      <c r="G138">
        <f t="shared" si="4"/>
        <v>4.7458350548676143E-2</v>
      </c>
      <c r="H138">
        <f t="shared" si="4"/>
        <v>4.8903153789245313E-2</v>
      </c>
      <c r="I138">
        <f t="shared" si="4"/>
        <v>5.66624887140652E-2</v>
      </c>
      <c r="J138">
        <f t="shared" si="4"/>
        <v>4.3964887884469409E-2</v>
      </c>
      <c r="K138">
        <f t="shared" ref="K138:N138" si="5">STDEV(K40:K122)</f>
        <v>5.5210797818661658E-2</v>
      </c>
      <c r="L138">
        <f t="shared" si="5"/>
        <v>6.1603423882056516E-2</v>
      </c>
      <c r="M138">
        <f t="shared" si="5"/>
        <v>6.5530658177312295E-2</v>
      </c>
      <c r="N138">
        <f t="shared" si="5"/>
        <v>6.4975719940487425E-2</v>
      </c>
    </row>
    <row r="139" spans="1:17" x14ac:dyDescent="0.35">
      <c r="A139" t="s">
        <v>830</v>
      </c>
      <c r="B139" s="74">
        <f t="shared" ref="B139:J139" si="6">B138*SQRT(12)</f>
        <v>0.17088289449238539</v>
      </c>
      <c r="C139" s="74">
        <f t="shared" si="6"/>
        <v>0.18392538444440673</v>
      </c>
      <c r="D139" s="74">
        <f t="shared" si="6"/>
        <v>0.17079424182371045</v>
      </c>
      <c r="E139" s="74">
        <f t="shared" si="6"/>
        <v>0.20441583855805873</v>
      </c>
      <c r="F139" s="74">
        <f t="shared" si="6"/>
        <v>0.14269489762573181</v>
      </c>
      <c r="G139" s="74">
        <f t="shared" si="6"/>
        <v>0.16440054878744276</v>
      </c>
      <c r="H139" s="74">
        <f t="shared" si="6"/>
        <v>0.16940549402665467</v>
      </c>
      <c r="I139" s="74">
        <f t="shared" si="6"/>
        <v>0.19628461867211805</v>
      </c>
      <c r="J139" s="74">
        <f t="shared" si="6"/>
        <v>0.15229883912994077</v>
      </c>
      <c r="K139" s="74">
        <f t="shared" ref="K139:N139" si="7">K138*SQRT(12)</f>
        <v>0.19125581389666985</v>
      </c>
      <c r="L139" s="74">
        <f t="shared" si="7"/>
        <v>0.21340052016784769</v>
      </c>
      <c r="M139" s="74">
        <f t="shared" si="7"/>
        <v>0.22700485883306762</v>
      </c>
      <c r="N139" s="74">
        <f t="shared" si="7"/>
        <v>0.22508249639058089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41831</v>
      </c>
      <c r="B2" s="7" cm="1">
        <f t="array" ref="B2:B122">_xll.FDS(B1,"P_PRICE_RETURNS_PR('52W',2,-10AY,0,AM)")</f>
        <v>25.300968000000001</v>
      </c>
      <c r="C2" s="7" cm="1">
        <f t="array" ref="C2:C122">_xll.FDS(C1,"P_PRICE_RETURNS_PR('52W',2,-10AY,0,AM)")</f>
        <v>17.637920000000001</v>
      </c>
      <c r="D2" s="7" cm="1">
        <f t="array" ref="D2:D122">_xll.FDS(D1,"P_PRICE_RETURNS_PR('52W',2,-10AY,0,AM)")</f>
        <v>19.659496000000001</v>
      </c>
      <c r="E2" s="7" cm="1">
        <f t="array" ref="E2:E122">_xll.FDS(E1,"P_PRICE_RETURNS_PR('52W',2,-10AY,0,AM)")</f>
        <v>21.458625999999999</v>
      </c>
      <c r="F2" s="7" cm="1">
        <f t="array" ref="F2:F122">_xll.FDS(F1,"P_PRICE_RETURNS_PR('52W',2,-10AY,0,AM)")</f>
        <v>1.9407988</v>
      </c>
      <c r="G2" s="7" cm="1">
        <f t="array" ref="G2:G122">_xll.FDS(G1,"P_PRICE_RETURNS_PR('52W',2,-10AY,0,AM)")</f>
        <v>15.799856</v>
      </c>
      <c r="H2" s="7" cm="1">
        <f t="array" ref="H2:H122">_xll.FDS(H1,"P_PRICE_RETURNS_PR('52W',2,-10AY,0,AM)")</f>
        <v>18.136002000000001</v>
      </c>
      <c r="I2" s="7" cm="1">
        <f t="array" ref="I2:I122">_xll.FDS(I1,"P_PRICE_RETURNS_PR('52W',2,-10AY,0,AM)")</f>
        <v>29.031647</v>
      </c>
      <c r="J2" s="7" cm="1">
        <f t="array" ref="J2:J122">_xll.FDS(J1,"P_PRICE_RETURNS_PR('52W',2,-10AY,0,AM)")</f>
        <v>19.729614000000002</v>
      </c>
      <c r="K2" s="158" cm="1">
        <f t="array" ref="K2:K122">_xll.FDS(K1,"P_PRICE_RETURNS_PR('52W',2,-10AY,0,AM)")</f>
        <v>18.745577000000001</v>
      </c>
      <c r="L2" s="158" cm="1">
        <f t="array" ref="L2:L122">_xll.FDS(L1,"P_PRICE_RETURNS_PR('52W',2,-10AY,0,AM)")</f>
        <v>14.053869000000001</v>
      </c>
      <c r="M2" s="158" cm="1">
        <f t="array" ref="M2:M122">_xll.FDS(M1,"P_PRICE_RETURNS_PR('52W',2,-10AY,0,AM)")</f>
        <v>11.52178</v>
      </c>
      <c r="N2" s="158" cm="1">
        <f t="array" ref="N2:N122">_xll.FDS(N1,"P_PRICE_RETURNS_PR('52W',2,-10AY,0,AM)")</f>
        <v>39.275753000000002</v>
      </c>
    </row>
    <row r="3" spans="1:14" x14ac:dyDescent="0.35">
      <c r="A3" s="2">
        <v>41862</v>
      </c>
      <c r="B3" s="40">
        <v>17.058409000000001</v>
      </c>
      <c r="C3" s="40">
        <v>13.693047</v>
      </c>
      <c r="D3" s="40">
        <v>17.686546</v>
      </c>
      <c r="E3" s="40">
        <v>9.0042589999999993</v>
      </c>
      <c r="F3" s="40">
        <v>4.6975850000000001</v>
      </c>
      <c r="G3" s="40">
        <v>8.8937399999999993</v>
      </c>
      <c r="H3" s="40">
        <v>11.484265000000001</v>
      </c>
      <c r="I3" s="40">
        <v>26.719771999999999</v>
      </c>
      <c r="J3" s="40">
        <v>16.711914</v>
      </c>
      <c r="K3" s="47">
        <v>5.0943255000000001</v>
      </c>
      <c r="L3" s="47">
        <v>3.2388686999999998</v>
      </c>
      <c r="M3" s="47">
        <v>3.4761071000000001</v>
      </c>
      <c r="N3" s="47">
        <v>14.815652999999999</v>
      </c>
    </row>
    <row r="4" spans="1:14" x14ac:dyDescent="0.35">
      <c r="A4" s="2">
        <v>41893</v>
      </c>
      <c r="B4" s="40">
        <v>15.349663</v>
      </c>
      <c r="C4" s="40">
        <v>7.4894189999999998</v>
      </c>
      <c r="D4" s="40">
        <v>16.146778000000001</v>
      </c>
      <c r="E4" s="40">
        <v>9.4158650000000002</v>
      </c>
      <c r="F4" s="40">
        <v>3.26159</v>
      </c>
      <c r="G4" s="40">
        <v>11.428034</v>
      </c>
      <c r="H4" s="40">
        <v>8.2660789999999995</v>
      </c>
      <c r="I4" s="40">
        <v>30.063556999999999</v>
      </c>
      <c r="J4" s="40">
        <v>20.565425999999999</v>
      </c>
      <c r="K4" s="47">
        <v>7.0653914999999996</v>
      </c>
      <c r="L4" s="47">
        <v>6.6027284000000002</v>
      </c>
      <c r="M4" s="47">
        <v>0.27636290000000002</v>
      </c>
      <c r="N4" s="47">
        <v>19.080317000000001</v>
      </c>
    </row>
    <row r="5" spans="1:14" x14ac:dyDescent="0.35">
      <c r="A5" s="2">
        <v>41922</v>
      </c>
      <c r="B5" s="40">
        <v>2.5478719999999999</v>
      </c>
      <c r="C5" s="40">
        <v>-5.6452929999999997</v>
      </c>
      <c r="D5" s="40">
        <v>4.855728</v>
      </c>
      <c r="E5" s="40">
        <v>-6.9874229999999997</v>
      </c>
      <c r="F5" s="40">
        <v>-6.2296509999999996</v>
      </c>
      <c r="G5" s="40">
        <v>1.9650459</v>
      </c>
      <c r="H5" s="40">
        <v>0.65052509999999997</v>
      </c>
      <c r="I5" s="40">
        <v>21.908069999999999</v>
      </c>
      <c r="J5" s="40">
        <v>14.820421</v>
      </c>
      <c r="K5" s="47">
        <v>-8.1883610000000004</v>
      </c>
      <c r="L5" s="47">
        <v>-2.4849296000000001</v>
      </c>
      <c r="M5" s="47">
        <v>-6.553382</v>
      </c>
      <c r="N5" s="47">
        <v>-3.4401894</v>
      </c>
    </row>
    <row r="6" spans="1:14" x14ac:dyDescent="0.35">
      <c r="A6" s="2">
        <v>41954</v>
      </c>
      <c r="B6" s="40">
        <v>6.0767769999999999</v>
      </c>
      <c r="C6" s="40">
        <v>-1.5341043000000001</v>
      </c>
      <c r="D6" s="40">
        <v>4.6689629999999998</v>
      </c>
      <c r="E6" s="40">
        <v>-5.3343654000000003</v>
      </c>
      <c r="F6" s="40">
        <v>1.6886114999999999</v>
      </c>
      <c r="G6" s="40">
        <v>3.9951086</v>
      </c>
      <c r="H6" s="40">
        <v>0.48751830000000002</v>
      </c>
      <c r="I6" s="40">
        <v>25.940394999999999</v>
      </c>
      <c r="J6" s="40">
        <v>17.381895</v>
      </c>
      <c r="K6" s="47">
        <v>-5.2805543000000004</v>
      </c>
      <c r="L6" s="47">
        <v>-1.3528883</v>
      </c>
      <c r="M6" s="47">
        <v>0.70116520000000004</v>
      </c>
      <c r="N6" s="47">
        <v>-3.1117021999999999</v>
      </c>
    </row>
    <row r="7" spans="1:14" x14ac:dyDescent="0.35">
      <c r="A7" s="2">
        <v>41984</v>
      </c>
      <c r="B7" s="40">
        <v>12.242329</v>
      </c>
      <c r="C7" s="40">
        <v>-2.5672614999999999</v>
      </c>
      <c r="D7" s="40">
        <v>0.11059046</v>
      </c>
      <c r="E7" s="40">
        <v>-3.4851432</v>
      </c>
      <c r="F7" s="40">
        <v>-1.8240154</v>
      </c>
      <c r="G7" s="40">
        <v>4.6136020000000002</v>
      </c>
      <c r="H7" s="40">
        <v>-2.8967917000000001</v>
      </c>
      <c r="I7" s="40">
        <v>23.655678000000002</v>
      </c>
      <c r="J7" s="40">
        <v>16.470945</v>
      </c>
      <c r="K7" s="47">
        <v>-4.8055409999999998</v>
      </c>
      <c r="L7" s="47">
        <v>1.0178924</v>
      </c>
      <c r="M7" s="47">
        <v>1.7089844000000001</v>
      </c>
      <c r="N7" s="47">
        <v>-2.0462334000000002</v>
      </c>
    </row>
    <row r="8" spans="1:14" x14ac:dyDescent="0.35">
      <c r="A8" s="2">
        <v>42013</v>
      </c>
      <c r="B8" s="40">
        <v>10.722600999999999</v>
      </c>
      <c r="C8" s="40">
        <v>-2.1942973000000001</v>
      </c>
      <c r="D8" s="40">
        <v>-1.0877728</v>
      </c>
      <c r="E8" s="40">
        <v>-11.25325</v>
      </c>
      <c r="F8" s="40">
        <v>-6.0656489999999996</v>
      </c>
      <c r="G8" s="40">
        <v>-1.1441171000000001</v>
      </c>
      <c r="H8" s="40">
        <v>-8.5992990000000002</v>
      </c>
      <c r="I8" s="40">
        <v>19.731676</v>
      </c>
      <c r="J8" s="40">
        <v>13.394690000000001</v>
      </c>
      <c r="K8" s="47">
        <v>-11.251509</v>
      </c>
      <c r="L8" s="47">
        <v>-8.2076370000000001</v>
      </c>
      <c r="M8" s="47">
        <v>-8.9448450000000008</v>
      </c>
      <c r="N8" s="47">
        <v>-16.682983</v>
      </c>
    </row>
    <row r="9" spans="1:14" x14ac:dyDescent="0.35">
      <c r="A9" s="2">
        <v>42046</v>
      </c>
      <c r="B9" s="40">
        <v>7.0911765000000004</v>
      </c>
      <c r="C9" s="40">
        <v>-2.7247965000000001</v>
      </c>
      <c r="D9" s="40">
        <v>-1.7581522000000001</v>
      </c>
      <c r="E9" s="40">
        <v>-6.6131650000000004</v>
      </c>
      <c r="F9" s="40">
        <v>2.6798844000000002</v>
      </c>
      <c r="G9" s="40">
        <v>0.2355814</v>
      </c>
      <c r="H9" s="40">
        <v>-3.4538388000000002</v>
      </c>
      <c r="I9" s="40">
        <v>19.801307999999999</v>
      </c>
      <c r="J9" s="40">
        <v>15.93051</v>
      </c>
      <c r="K9" s="47">
        <v>-6.459981</v>
      </c>
      <c r="L9" s="47">
        <v>-1.5715300999999999</v>
      </c>
      <c r="M9" s="47">
        <v>-6.0142936999999996</v>
      </c>
      <c r="N9" s="47">
        <v>-12.481033</v>
      </c>
    </row>
    <row r="10" spans="1:14" x14ac:dyDescent="0.35">
      <c r="A10" s="2">
        <v>42074</v>
      </c>
      <c r="B10" s="40">
        <v>-1.1847258000000001</v>
      </c>
      <c r="C10" s="40">
        <v>-5.5415989999999997</v>
      </c>
      <c r="D10" s="40">
        <v>-6.9610595999999996</v>
      </c>
      <c r="E10" s="40">
        <v>-3.6300241999999998</v>
      </c>
      <c r="F10" s="40">
        <v>7.7226160000000004</v>
      </c>
      <c r="G10" s="40">
        <v>-3.9962113000000001</v>
      </c>
      <c r="H10" s="40">
        <v>-6.9343925000000004</v>
      </c>
      <c r="I10" s="40">
        <v>17.801071</v>
      </c>
      <c r="J10" s="40">
        <v>11.356555999999999</v>
      </c>
      <c r="K10" s="47">
        <v>-9.8079859999999996</v>
      </c>
      <c r="L10" s="47">
        <v>-0.44930576999999999</v>
      </c>
      <c r="M10" s="47">
        <v>-6.5050660000000002</v>
      </c>
      <c r="N10" s="47">
        <v>-14.133138000000001</v>
      </c>
    </row>
    <row r="11" spans="1:14" x14ac:dyDescent="0.35">
      <c r="A11" s="2">
        <v>42104</v>
      </c>
      <c r="B11" s="40">
        <v>0.3360629</v>
      </c>
      <c r="C11" s="40">
        <v>-6.5098466999999998</v>
      </c>
      <c r="D11" s="40">
        <v>-3.0166029999999999</v>
      </c>
      <c r="E11" s="40">
        <v>1.0252237</v>
      </c>
      <c r="F11" s="40">
        <v>20.896996000000001</v>
      </c>
      <c r="G11" s="40">
        <v>2.5365232999999998</v>
      </c>
      <c r="H11" s="40">
        <v>-3.3829690000000001</v>
      </c>
      <c r="I11" s="40">
        <v>28.021502999999999</v>
      </c>
      <c r="J11" s="40">
        <v>16.917372</v>
      </c>
      <c r="K11" s="47">
        <v>-5.6418059999999999</v>
      </c>
      <c r="L11" s="47">
        <v>3.0173182000000001</v>
      </c>
      <c r="M11" s="47">
        <v>-2.75082</v>
      </c>
      <c r="N11" s="47">
        <v>-11.398989</v>
      </c>
    </row>
    <row r="12" spans="1:14" x14ac:dyDescent="0.35">
      <c r="A12" s="2">
        <v>42135</v>
      </c>
      <c r="B12" s="40">
        <v>-3.7117898</v>
      </c>
      <c r="C12" s="40">
        <v>-11.070399999999999</v>
      </c>
      <c r="D12" s="40">
        <v>-3.0089676000000001</v>
      </c>
      <c r="E12" s="40">
        <v>-2.2809088000000002</v>
      </c>
      <c r="F12" s="40">
        <v>17.550325000000001</v>
      </c>
      <c r="G12" s="40">
        <v>2.8552531999999999</v>
      </c>
      <c r="H12" s="40">
        <v>-2.4161457999999998</v>
      </c>
      <c r="I12" s="40">
        <v>26.119888</v>
      </c>
      <c r="J12" s="40">
        <v>14.234961</v>
      </c>
      <c r="K12" s="47">
        <v>-6.3789899999999999</v>
      </c>
      <c r="L12" s="47">
        <v>5.6548834000000001</v>
      </c>
      <c r="M12" s="47">
        <v>-2.8966962999999999</v>
      </c>
      <c r="N12" s="47">
        <v>-9.3762869999999996</v>
      </c>
    </row>
    <row r="13" spans="1:14" x14ac:dyDescent="0.35">
      <c r="A13" s="2">
        <v>42166</v>
      </c>
      <c r="B13" s="40">
        <v>-5.8417440000000003</v>
      </c>
      <c r="C13" s="40">
        <v>-12.748587000000001</v>
      </c>
      <c r="D13" s="40">
        <v>-8.8553960000000007</v>
      </c>
      <c r="E13" s="40">
        <v>-5.5277050000000001</v>
      </c>
      <c r="F13" s="40">
        <v>12.501144</v>
      </c>
      <c r="G13" s="40">
        <v>2.2981524000000002</v>
      </c>
      <c r="H13" s="40">
        <v>-5.4445266999999999</v>
      </c>
      <c r="I13" s="40">
        <v>19.353425999999999</v>
      </c>
      <c r="J13" s="40">
        <v>10.692107999999999</v>
      </c>
      <c r="K13" s="47">
        <v>-6.6207529999999997</v>
      </c>
      <c r="L13" s="47">
        <v>4.6117543999999997</v>
      </c>
      <c r="M13" s="47">
        <v>-2.3193657000000001</v>
      </c>
      <c r="N13" s="47">
        <v>-10.317361999999999</v>
      </c>
    </row>
    <row r="14" spans="1:14" x14ac:dyDescent="0.35">
      <c r="A14" s="2">
        <v>42195</v>
      </c>
      <c r="B14" s="40">
        <v>-13.872491999999999</v>
      </c>
      <c r="C14" s="40">
        <v>-16.6708</v>
      </c>
      <c r="D14" s="40">
        <v>-17.612808000000001</v>
      </c>
      <c r="E14" s="40">
        <v>-3.9497553999999999</v>
      </c>
      <c r="F14" s="40">
        <v>7.3720574000000001</v>
      </c>
      <c r="G14" s="40">
        <v>2.6904224999999999</v>
      </c>
      <c r="H14" s="40">
        <v>-7.6935289999999998</v>
      </c>
      <c r="I14" s="40">
        <v>14.942705</v>
      </c>
      <c r="J14" s="40">
        <v>7.7479480000000001</v>
      </c>
      <c r="K14" s="47">
        <v>-4.0191889999999999</v>
      </c>
      <c r="L14" s="47">
        <v>7.196021</v>
      </c>
      <c r="M14" s="47">
        <v>-1.910758</v>
      </c>
      <c r="N14" s="47">
        <v>-6.4572929999999999</v>
      </c>
    </row>
    <row r="15" spans="1:14" x14ac:dyDescent="0.35">
      <c r="A15" s="2">
        <v>42227</v>
      </c>
      <c r="B15" s="40">
        <v>-10.203433</v>
      </c>
      <c r="C15" s="40">
        <v>-18.959002999999999</v>
      </c>
      <c r="D15" s="40">
        <v>-18.808758000000001</v>
      </c>
      <c r="E15" s="40">
        <v>1.4860272000000001</v>
      </c>
      <c r="F15" s="40">
        <v>10.053825</v>
      </c>
      <c r="G15" s="40">
        <v>4.518211</v>
      </c>
      <c r="H15" s="40">
        <v>-4.5921802999999999</v>
      </c>
      <c r="I15" s="40">
        <v>16.615845</v>
      </c>
      <c r="J15" s="40">
        <v>9.7890379999999997</v>
      </c>
      <c r="K15" s="47">
        <v>3.4743309999999998</v>
      </c>
      <c r="L15" s="47">
        <v>12.946296</v>
      </c>
      <c r="M15" s="47">
        <v>-1.5575528000000001</v>
      </c>
      <c r="N15" s="47">
        <v>4.7993540000000001</v>
      </c>
    </row>
    <row r="16" spans="1:14" x14ac:dyDescent="0.35">
      <c r="A16" s="2">
        <v>42258</v>
      </c>
      <c r="B16" s="40">
        <v>-16.481596</v>
      </c>
      <c r="C16" s="40">
        <v>-25.985997999999999</v>
      </c>
      <c r="D16" s="40">
        <v>-25.861834999999999</v>
      </c>
      <c r="E16" s="40">
        <v>-7.2968063000000001</v>
      </c>
      <c r="F16" s="40">
        <v>0.32684803000000001</v>
      </c>
      <c r="G16" s="40">
        <v>-2.5500536</v>
      </c>
      <c r="H16" s="40">
        <v>-12.090075000000001</v>
      </c>
      <c r="I16" s="40">
        <v>6.7131400000000001</v>
      </c>
      <c r="J16" s="40">
        <v>0.15053749</v>
      </c>
      <c r="K16" s="47">
        <v>-6.9182040000000002</v>
      </c>
      <c r="L16" s="47">
        <v>-0.25199652</v>
      </c>
      <c r="M16" s="47">
        <v>-2.4409532999999999</v>
      </c>
      <c r="N16" s="47">
        <v>-6.0542819999999997</v>
      </c>
    </row>
    <row r="17" spans="1:14" x14ac:dyDescent="0.35">
      <c r="A17" s="2">
        <v>42286</v>
      </c>
      <c r="B17" s="40">
        <v>-7.4837565000000001</v>
      </c>
      <c r="C17" s="40">
        <v>-12.988638999999999</v>
      </c>
      <c r="D17" s="40">
        <v>-14.33844</v>
      </c>
      <c r="E17" s="40">
        <v>1.7742157000000001</v>
      </c>
      <c r="F17" s="40">
        <v>9.4151380000000007</v>
      </c>
      <c r="G17" s="40">
        <v>5.1244617000000003</v>
      </c>
      <c r="H17" s="40">
        <v>-1.8617809000000001</v>
      </c>
      <c r="I17" s="40">
        <v>11.173237</v>
      </c>
      <c r="J17" s="40">
        <v>6.5714600000000001</v>
      </c>
      <c r="K17" s="47">
        <v>6.0603740000000004</v>
      </c>
      <c r="L17" s="47">
        <v>7.2202563</v>
      </c>
      <c r="M17" s="47">
        <v>4.783976</v>
      </c>
      <c r="N17" s="47">
        <v>7.5536130000000004</v>
      </c>
    </row>
    <row r="18" spans="1:14" x14ac:dyDescent="0.35">
      <c r="A18" s="2">
        <v>42319</v>
      </c>
      <c r="B18" s="40">
        <v>-8.4288600000000002</v>
      </c>
      <c r="C18" s="40">
        <v>-22.606373000000001</v>
      </c>
      <c r="D18" s="40">
        <v>-20.987487999999999</v>
      </c>
      <c r="E18" s="40">
        <v>-0.81074239999999997</v>
      </c>
      <c r="F18" s="40">
        <v>7.9908250000000001</v>
      </c>
      <c r="G18" s="40">
        <v>-1.5835702</v>
      </c>
      <c r="H18" s="40">
        <v>-7.3313417000000003</v>
      </c>
      <c r="I18" s="40">
        <v>11.814522999999999</v>
      </c>
      <c r="J18" s="40">
        <v>3.8058399999999999</v>
      </c>
      <c r="K18" s="47">
        <v>2.6153088000000002</v>
      </c>
      <c r="L18" s="47">
        <v>5.5393577000000001</v>
      </c>
      <c r="M18" s="47">
        <v>-5.7008210000000004</v>
      </c>
      <c r="N18" s="47">
        <v>2.1139502999999999</v>
      </c>
    </row>
    <row r="19" spans="1:14" x14ac:dyDescent="0.35">
      <c r="A19" s="2">
        <v>42349</v>
      </c>
      <c r="B19" s="40">
        <v>-5.984229</v>
      </c>
      <c r="C19" s="40">
        <v>-15.239411</v>
      </c>
      <c r="D19" s="40">
        <v>-20.903772</v>
      </c>
      <c r="E19" s="40">
        <v>-7.1267659999999999</v>
      </c>
      <c r="F19" s="40">
        <v>5.8554890000000004</v>
      </c>
      <c r="G19" s="40">
        <v>-3.9695619999999998</v>
      </c>
      <c r="H19" s="40">
        <v>-8.3966255000000007</v>
      </c>
      <c r="I19" s="40">
        <v>7.8887105000000002</v>
      </c>
      <c r="J19" s="40">
        <v>0.87023972999999999</v>
      </c>
      <c r="K19" s="47">
        <v>-1.6541003999999999</v>
      </c>
      <c r="L19" s="47">
        <v>-1.7267227000000001</v>
      </c>
      <c r="M19" s="47">
        <v>-10.114515000000001</v>
      </c>
      <c r="N19" s="47">
        <v>-7.8159569999999998E-2</v>
      </c>
    </row>
    <row r="20" spans="1:14" x14ac:dyDescent="0.35">
      <c r="A20" s="2">
        <v>42380</v>
      </c>
      <c r="B20" s="40">
        <v>-9.3179649999999992</v>
      </c>
      <c r="C20" s="40">
        <v>-20.358741999999999</v>
      </c>
      <c r="D20" s="40">
        <v>-26.906717</v>
      </c>
      <c r="E20" s="40">
        <v>-6.8977890000000004</v>
      </c>
      <c r="F20" s="40">
        <v>4.7835590000000003</v>
      </c>
      <c r="G20" s="40">
        <v>-5.2607536000000001</v>
      </c>
      <c r="H20" s="40">
        <v>-11.082046999999999</v>
      </c>
      <c r="I20" s="40">
        <v>2.7056098</v>
      </c>
      <c r="J20" s="40">
        <v>-3.9859772000000002</v>
      </c>
      <c r="K20" s="47">
        <v>-2.6032150000000001</v>
      </c>
      <c r="L20" s="47">
        <v>-0.40807127999999998</v>
      </c>
      <c r="M20" s="47">
        <v>-7.9544066999999998</v>
      </c>
      <c r="N20" s="47">
        <v>2.1486402</v>
      </c>
    </row>
    <row r="21" spans="1:14" x14ac:dyDescent="0.35">
      <c r="A21" s="2">
        <v>42411</v>
      </c>
      <c r="B21" s="40">
        <v>-7.3027850000000001</v>
      </c>
      <c r="C21" s="40">
        <v>-22.143162</v>
      </c>
      <c r="D21" s="40">
        <v>-26.513784000000001</v>
      </c>
      <c r="E21" s="40">
        <v>-17.92981</v>
      </c>
      <c r="F21" s="40">
        <v>-10.78074</v>
      </c>
      <c r="G21" s="40">
        <v>-12.768625999999999</v>
      </c>
      <c r="H21" s="40">
        <v>-20.240615999999999</v>
      </c>
      <c r="I21" s="40">
        <v>-6.9126070000000004</v>
      </c>
      <c r="J21" s="40">
        <v>-9.7926249999999992</v>
      </c>
      <c r="K21" s="47">
        <v>-13.221961</v>
      </c>
      <c r="L21" s="47">
        <v>-9.9009990000000005</v>
      </c>
      <c r="M21" s="47">
        <v>-17.532706999999998</v>
      </c>
      <c r="N21" s="47">
        <v>-20.760065000000001</v>
      </c>
    </row>
    <row r="22" spans="1:14" x14ac:dyDescent="0.35">
      <c r="A22" s="2">
        <v>42440</v>
      </c>
      <c r="B22" s="40">
        <v>4.0916442999999996</v>
      </c>
      <c r="C22" s="40">
        <v>-7.325971</v>
      </c>
      <c r="D22" s="40">
        <v>-10.187303999999999</v>
      </c>
      <c r="E22" s="40">
        <v>-11.941485999999999</v>
      </c>
      <c r="F22" s="40">
        <v>-4.3235006</v>
      </c>
      <c r="G22" s="40">
        <v>-4.8040390000000004</v>
      </c>
      <c r="H22" s="40">
        <v>-9.3717520000000007</v>
      </c>
      <c r="I22" s="40">
        <v>2.3485659999999999</v>
      </c>
      <c r="J22" s="40">
        <v>1.2128592</v>
      </c>
      <c r="K22" s="47">
        <v>-2.1259130000000002</v>
      </c>
      <c r="L22" s="47">
        <v>-0.73156949999999998</v>
      </c>
      <c r="M22" s="47">
        <v>-7.5143694999999999</v>
      </c>
      <c r="N22" s="47">
        <v>-9.8969819999999995</v>
      </c>
    </row>
    <row r="23" spans="1:14" x14ac:dyDescent="0.35">
      <c r="A23" s="2">
        <v>42471</v>
      </c>
      <c r="B23" s="40">
        <v>4.6170949999999999</v>
      </c>
      <c r="C23" s="40">
        <v>-16.801292</v>
      </c>
      <c r="D23" s="40">
        <v>-14.239872</v>
      </c>
      <c r="E23" s="40">
        <v>-16.380441999999999</v>
      </c>
      <c r="F23" s="40">
        <v>-11.907297</v>
      </c>
      <c r="G23" s="40">
        <v>-11.090814999999999</v>
      </c>
      <c r="H23" s="40">
        <v>-12.979728</v>
      </c>
      <c r="I23" s="40">
        <v>1.8876432999999999</v>
      </c>
      <c r="J23" s="40">
        <v>-0.77402590000000004</v>
      </c>
      <c r="K23" s="47">
        <v>-9.3467470000000006</v>
      </c>
      <c r="L23" s="47">
        <v>-4.8483252999999999</v>
      </c>
      <c r="M23" s="47">
        <v>-8.4811689999999995</v>
      </c>
      <c r="N23" s="47">
        <v>-19.440359999999998</v>
      </c>
    </row>
    <row r="24" spans="1:14" x14ac:dyDescent="0.35">
      <c r="A24" s="2">
        <v>42501</v>
      </c>
      <c r="B24" s="40">
        <v>11.699152</v>
      </c>
      <c r="C24" s="40">
        <v>-7.7598929999999999</v>
      </c>
      <c r="D24" s="40">
        <v>-13.858307</v>
      </c>
      <c r="E24" s="40">
        <v>-12.333256</v>
      </c>
      <c r="F24" s="40">
        <v>-9.1771239999999992</v>
      </c>
      <c r="G24" s="40">
        <v>-11.854929</v>
      </c>
      <c r="H24" s="40">
        <v>-16.873407</v>
      </c>
      <c r="I24" s="40">
        <v>-0.6931484</v>
      </c>
      <c r="J24" s="40">
        <v>0.16263722999999999</v>
      </c>
      <c r="K24" s="47">
        <v>-8.5396180000000008</v>
      </c>
      <c r="L24" s="47">
        <v>-5.9212740000000004</v>
      </c>
      <c r="M24" s="47">
        <v>-11.447042</v>
      </c>
      <c r="N24" s="47">
        <v>-20.627457</v>
      </c>
    </row>
    <row r="25" spans="1:14" x14ac:dyDescent="0.35">
      <c r="A25" s="2">
        <v>42531</v>
      </c>
      <c r="B25" s="40">
        <v>16.518937999999999</v>
      </c>
      <c r="C25" s="40">
        <v>-6.8883896</v>
      </c>
      <c r="D25" s="40">
        <v>-8.3935680000000001</v>
      </c>
      <c r="E25" s="40">
        <v>-13.442259999999999</v>
      </c>
      <c r="F25" s="40">
        <v>-9.0669520000000006</v>
      </c>
      <c r="G25" s="40">
        <v>-11.972206999999999</v>
      </c>
      <c r="H25" s="40">
        <v>-15.454971</v>
      </c>
      <c r="I25" s="40">
        <v>0.58237313999999996</v>
      </c>
      <c r="J25" s="40">
        <v>1.7276286999999999</v>
      </c>
      <c r="K25" s="47">
        <v>-10.406274</v>
      </c>
      <c r="L25" s="47">
        <v>-7.8987119999999997</v>
      </c>
      <c r="M25" s="47">
        <v>-14.314735000000001</v>
      </c>
      <c r="N25" s="47">
        <v>-24.549050000000001</v>
      </c>
    </row>
    <row r="26" spans="1:14" x14ac:dyDescent="0.35">
      <c r="A26" s="2">
        <v>42562</v>
      </c>
      <c r="B26" s="40">
        <v>33.803986000000002</v>
      </c>
      <c r="C26" s="40">
        <v>0.27142762999999998</v>
      </c>
      <c r="D26" s="40">
        <v>-3.2511353000000001</v>
      </c>
      <c r="E26" s="40">
        <v>-14.801234000000001</v>
      </c>
      <c r="F26" s="40">
        <v>-4.9685360000000003</v>
      </c>
      <c r="G26" s="40">
        <v>-10.623556000000001</v>
      </c>
      <c r="H26" s="40">
        <v>-13.869821999999999</v>
      </c>
      <c r="I26" s="40">
        <v>4.2096853000000003</v>
      </c>
      <c r="J26" s="40">
        <v>5.103612</v>
      </c>
      <c r="K26" s="47">
        <v>-11.550312999999999</v>
      </c>
      <c r="L26" s="47">
        <v>-10.363555</v>
      </c>
      <c r="M26" s="47">
        <v>-12.523502000000001</v>
      </c>
      <c r="N26" s="47">
        <v>-28.259998</v>
      </c>
    </row>
    <row r="27" spans="1:14" x14ac:dyDescent="0.35">
      <c r="A27" s="2">
        <v>42593</v>
      </c>
      <c r="B27" s="40">
        <v>41.821109999999997</v>
      </c>
      <c r="C27" s="40">
        <v>10.314750999999999</v>
      </c>
      <c r="D27" s="40">
        <v>4.0161490000000004</v>
      </c>
      <c r="E27" s="40">
        <v>-4.5861960000000002</v>
      </c>
      <c r="F27" s="40">
        <v>-2.4865805999999999</v>
      </c>
      <c r="G27" s="40">
        <v>-5.4597797000000003</v>
      </c>
      <c r="H27" s="40">
        <v>-10.65948</v>
      </c>
      <c r="I27" s="40">
        <v>7.5373172999999998</v>
      </c>
      <c r="J27" s="40">
        <v>7.0752144000000001</v>
      </c>
      <c r="K27" s="47">
        <v>-8.0401600000000002</v>
      </c>
      <c r="L27" s="47">
        <v>-5.1962080000000004</v>
      </c>
      <c r="M27" s="47">
        <v>-5.5117187999999997</v>
      </c>
      <c r="N27" s="47">
        <v>-26.33304</v>
      </c>
    </row>
    <row r="28" spans="1:14" x14ac:dyDescent="0.35">
      <c r="A28" s="2">
        <v>42622</v>
      </c>
      <c r="B28" s="40">
        <v>53.034652999999999</v>
      </c>
      <c r="C28" s="40">
        <v>12.747455</v>
      </c>
      <c r="D28" s="40">
        <v>9.9250080000000001</v>
      </c>
      <c r="E28" s="40">
        <v>2.2338866999999998</v>
      </c>
      <c r="F28" s="40">
        <v>6.6295979999999997</v>
      </c>
      <c r="G28" s="40">
        <v>-0.85659622999999996</v>
      </c>
      <c r="H28" s="40">
        <v>-1.9370139</v>
      </c>
      <c r="I28" s="40">
        <v>11.274349000000001</v>
      </c>
      <c r="J28" s="40">
        <v>11.88786</v>
      </c>
      <c r="K28" s="47">
        <v>0.49573182999999998</v>
      </c>
      <c r="L28" s="47">
        <v>3.6751627999999998</v>
      </c>
      <c r="M28" s="47">
        <v>-1.2248933</v>
      </c>
      <c r="N28" s="47">
        <v>-19.545109</v>
      </c>
    </row>
    <row r="29" spans="1:14" x14ac:dyDescent="0.35">
      <c r="A29" s="2">
        <v>42654</v>
      </c>
      <c r="B29" s="40">
        <v>32.818570000000001</v>
      </c>
      <c r="C29" s="40">
        <v>9.2926979999999997</v>
      </c>
      <c r="D29" s="40">
        <v>3.3929347999999999</v>
      </c>
      <c r="E29" s="40">
        <v>1.2987852</v>
      </c>
      <c r="F29" s="40">
        <v>3.8766623</v>
      </c>
      <c r="G29" s="40">
        <v>-3.7441970000000002</v>
      </c>
      <c r="H29" s="40">
        <v>-9.6354959999999998</v>
      </c>
      <c r="I29" s="40">
        <v>11.565315</v>
      </c>
      <c r="J29" s="40">
        <v>8.306146</v>
      </c>
      <c r="K29" s="47">
        <v>-4.6572865999999999</v>
      </c>
      <c r="L29" s="47">
        <v>2.3200512</v>
      </c>
      <c r="M29" s="47">
        <v>-4.4132949999999997</v>
      </c>
      <c r="N29" s="47">
        <v>-26.236898</v>
      </c>
    </row>
    <row r="30" spans="1:14" x14ac:dyDescent="0.35">
      <c r="A30" s="2">
        <v>42685</v>
      </c>
      <c r="B30" s="40">
        <v>20.130656999999999</v>
      </c>
      <c r="C30" s="40">
        <v>16.130244999999999</v>
      </c>
      <c r="D30" s="40">
        <v>9.3818070000000002</v>
      </c>
      <c r="E30" s="40">
        <v>-1.4367700000000001</v>
      </c>
      <c r="F30" s="40">
        <v>0.27135609999999999</v>
      </c>
      <c r="G30" s="40">
        <v>-4.0460880000000001</v>
      </c>
      <c r="H30" s="40">
        <v>-8.0157389999999999</v>
      </c>
      <c r="I30" s="40">
        <v>3.5098672</v>
      </c>
      <c r="J30" s="40">
        <v>6.4347386000000002</v>
      </c>
      <c r="K30" s="47">
        <v>-4.5268774000000001</v>
      </c>
      <c r="L30" s="47">
        <v>-2.7945817000000002</v>
      </c>
      <c r="M30" s="47">
        <v>-4.1375694000000003</v>
      </c>
      <c r="N30" s="47">
        <v>-20.764832999999999</v>
      </c>
    </row>
    <row r="31" spans="1:14" x14ac:dyDescent="0.35">
      <c r="A31" s="2">
        <v>42713</v>
      </c>
      <c r="B31" s="40">
        <v>20.644928</v>
      </c>
      <c r="C31" s="40">
        <v>18.542384999999999</v>
      </c>
      <c r="D31" s="40">
        <v>24.650023999999998</v>
      </c>
      <c r="E31" s="40">
        <v>1.2271881</v>
      </c>
      <c r="F31" s="40">
        <v>7.5945615999999996</v>
      </c>
      <c r="G31" s="40">
        <v>-3.3436477</v>
      </c>
      <c r="H31" s="40">
        <v>-1.4296293</v>
      </c>
      <c r="I31" s="40">
        <v>7.0537330000000003</v>
      </c>
      <c r="J31" s="40">
        <v>12.698973000000001</v>
      </c>
      <c r="K31" s="47">
        <v>2.5731921</v>
      </c>
      <c r="L31" s="47">
        <v>1.5625954</v>
      </c>
      <c r="M31" s="47">
        <v>2.0305753000000002</v>
      </c>
      <c r="N31" s="47">
        <v>-13.947892</v>
      </c>
    </row>
    <row r="32" spans="1:14" x14ac:dyDescent="0.35">
      <c r="A32" s="2">
        <v>42746</v>
      </c>
      <c r="B32" s="40">
        <v>24.906254000000001</v>
      </c>
      <c r="C32" s="40">
        <v>31.11036</v>
      </c>
      <c r="D32" s="40">
        <v>38.908732999999998</v>
      </c>
      <c r="E32" s="40">
        <v>13.347912000000001</v>
      </c>
      <c r="F32" s="40">
        <v>12.089157</v>
      </c>
      <c r="G32" s="40">
        <v>6.3460229999999997</v>
      </c>
      <c r="H32" s="40">
        <v>7.611561</v>
      </c>
      <c r="I32" s="40">
        <v>19.144355999999998</v>
      </c>
      <c r="J32" s="40">
        <v>20.755745000000001</v>
      </c>
      <c r="K32" s="47">
        <v>13.214551999999999</v>
      </c>
      <c r="L32" s="47">
        <v>11.365211499999999</v>
      </c>
      <c r="M32" s="47">
        <v>10.337281000000001</v>
      </c>
      <c r="N32" s="47">
        <v>-0.83925724000000002</v>
      </c>
    </row>
    <row r="33" spans="1:14" x14ac:dyDescent="0.35">
      <c r="A33" s="2">
        <v>42776</v>
      </c>
      <c r="B33" s="40">
        <v>28.007317</v>
      </c>
      <c r="C33" s="40">
        <v>35.591949999999997</v>
      </c>
      <c r="D33" s="40">
        <v>40.505028000000003</v>
      </c>
      <c r="E33" s="40">
        <v>21.455013000000001</v>
      </c>
      <c r="F33" s="40">
        <v>24.394835</v>
      </c>
      <c r="G33" s="40">
        <v>12.506150999999999</v>
      </c>
      <c r="H33" s="40">
        <v>14.896058999999999</v>
      </c>
      <c r="I33" s="40">
        <v>33.212325999999997</v>
      </c>
      <c r="J33" s="40">
        <v>27.645420000000001</v>
      </c>
      <c r="K33" s="47">
        <v>16.234981999999999</v>
      </c>
      <c r="L33" s="47">
        <v>17.984486</v>
      </c>
      <c r="M33" s="47">
        <v>20.621013999999999</v>
      </c>
      <c r="N33" s="47">
        <v>10.771108</v>
      </c>
    </row>
    <row r="34" spans="1:14" x14ac:dyDescent="0.35">
      <c r="A34" s="2">
        <v>42804</v>
      </c>
      <c r="B34" s="40">
        <v>14.201117</v>
      </c>
      <c r="C34" s="40">
        <v>19.151973999999999</v>
      </c>
      <c r="D34" s="40">
        <v>17.835342000000001</v>
      </c>
      <c r="E34" s="40">
        <v>18.521559</v>
      </c>
      <c r="F34" s="40">
        <v>16.550122999999999</v>
      </c>
      <c r="G34" s="40">
        <v>10.660601</v>
      </c>
      <c r="H34" s="40">
        <v>6.9957136999999996</v>
      </c>
      <c r="I34" s="40">
        <v>26.94229</v>
      </c>
      <c r="J34" s="40">
        <v>21.680676999999999</v>
      </c>
      <c r="K34" s="47">
        <v>12.591445999999999</v>
      </c>
      <c r="L34" s="47">
        <v>15.488922000000001</v>
      </c>
      <c r="M34" s="47">
        <v>12.297869</v>
      </c>
      <c r="N34" s="47">
        <v>6.2080979999999997</v>
      </c>
    </row>
    <row r="35" spans="1:14" x14ac:dyDescent="0.35">
      <c r="A35" s="2">
        <v>42836</v>
      </c>
      <c r="B35" s="40">
        <v>8.6649530000000006</v>
      </c>
      <c r="C35" s="40">
        <v>26.175367000000001</v>
      </c>
      <c r="D35" s="40">
        <v>16.178702999999999</v>
      </c>
      <c r="E35" s="40">
        <v>15.645671</v>
      </c>
      <c r="F35" s="40">
        <v>15.945255</v>
      </c>
      <c r="G35" s="40">
        <v>10.186553</v>
      </c>
      <c r="H35" s="40">
        <v>8.9444520000000001</v>
      </c>
      <c r="I35" s="40">
        <v>22.285544999999999</v>
      </c>
      <c r="J35" s="40">
        <v>17.60087</v>
      </c>
      <c r="K35" s="47">
        <v>14.082241</v>
      </c>
      <c r="L35" s="47">
        <v>13.226879</v>
      </c>
      <c r="M35" s="47">
        <v>9.2334630000000004</v>
      </c>
      <c r="N35" s="47">
        <v>9.9423999999999992</v>
      </c>
    </row>
    <row r="36" spans="1:14" x14ac:dyDescent="0.35">
      <c r="A36" s="2">
        <v>42866</v>
      </c>
      <c r="B36" s="40">
        <v>8.9689139999999998</v>
      </c>
      <c r="C36" s="40">
        <v>15.318453</v>
      </c>
      <c r="D36" s="40">
        <v>9.3714709999999997</v>
      </c>
      <c r="E36" s="40">
        <v>19.89931</v>
      </c>
      <c r="F36" s="40">
        <v>14.810551</v>
      </c>
      <c r="G36" s="40">
        <v>15.379858</v>
      </c>
      <c r="H36" s="40">
        <v>11.339855</v>
      </c>
      <c r="I36" s="40">
        <v>31.358087999999999</v>
      </c>
      <c r="J36" s="40">
        <v>18.323920999999999</v>
      </c>
      <c r="K36" s="47">
        <v>21.353043</v>
      </c>
      <c r="L36" s="47">
        <v>20.752715999999999</v>
      </c>
      <c r="M36" s="47">
        <v>19.945812</v>
      </c>
      <c r="N36" s="47">
        <v>19.372225</v>
      </c>
    </row>
    <row r="37" spans="1:14" x14ac:dyDescent="0.35">
      <c r="A37" s="2">
        <v>42895</v>
      </c>
      <c r="B37" s="40">
        <v>7.8054309999999996</v>
      </c>
      <c r="C37" s="40">
        <v>12.69828</v>
      </c>
      <c r="D37" s="40">
        <v>5.9164165999999998</v>
      </c>
      <c r="E37" s="40">
        <v>23.226082000000002</v>
      </c>
      <c r="F37" s="40">
        <v>16.270340000000001</v>
      </c>
      <c r="G37" s="40">
        <v>14.132822000000001</v>
      </c>
      <c r="H37" s="40">
        <v>9.4907760000000003</v>
      </c>
      <c r="I37" s="40">
        <v>28.341818</v>
      </c>
      <c r="J37" s="40">
        <v>17.150317999999999</v>
      </c>
      <c r="K37" s="47">
        <v>22.353660000000001</v>
      </c>
      <c r="L37" s="47">
        <v>21.517765000000001</v>
      </c>
      <c r="M37" s="47">
        <v>20.242892999999999</v>
      </c>
      <c r="N37" s="47">
        <v>20.288288000000001</v>
      </c>
    </row>
    <row r="38" spans="1:14" x14ac:dyDescent="0.35">
      <c r="A38" s="2">
        <v>42927</v>
      </c>
      <c r="B38" s="40">
        <v>7.3199987000000002</v>
      </c>
      <c r="C38" s="40">
        <v>13.732791000000001</v>
      </c>
      <c r="D38" s="40">
        <v>10.9995365</v>
      </c>
      <c r="E38" s="40">
        <v>30.077589</v>
      </c>
      <c r="F38" s="40">
        <v>14.284181999999999</v>
      </c>
      <c r="G38" s="40">
        <v>17.393982000000001</v>
      </c>
      <c r="H38" s="40">
        <v>12.809229</v>
      </c>
      <c r="I38" s="40">
        <v>26.644648</v>
      </c>
      <c r="J38" s="40">
        <v>15.802263999999999</v>
      </c>
      <c r="K38" s="47">
        <v>30.126667000000001</v>
      </c>
      <c r="L38" s="47">
        <v>30.085097999999999</v>
      </c>
      <c r="M38" s="47">
        <v>29.573094999999999</v>
      </c>
      <c r="N38" s="47">
        <v>37.721026999999999</v>
      </c>
    </row>
    <row r="39" spans="1:14" x14ac:dyDescent="0.35">
      <c r="A39" s="2">
        <v>42958</v>
      </c>
      <c r="B39" s="40">
        <v>5.658245</v>
      </c>
      <c r="C39" s="40">
        <v>10.600698</v>
      </c>
      <c r="D39" s="40">
        <v>7.3142050000000003</v>
      </c>
      <c r="E39" s="40">
        <v>16.862500000000001</v>
      </c>
      <c r="F39" s="40">
        <v>11.090731999999999</v>
      </c>
      <c r="G39" s="40">
        <v>13.077199999999999</v>
      </c>
      <c r="H39" s="40">
        <v>9.8994020000000003</v>
      </c>
      <c r="I39" s="40">
        <v>22.582339999999999</v>
      </c>
      <c r="J39" s="40">
        <v>13.922404999999999</v>
      </c>
      <c r="K39" s="47">
        <v>23.501469</v>
      </c>
      <c r="L39" s="47">
        <v>26.312721</v>
      </c>
      <c r="M39" s="47">
        <v>19.425034</v>
      </c>
      <c r="N39" s="47">
        <v>35.031962999999998</v>
      </c>
    </row>
    <row r="40" spans="1:14" x14ac:dyDescent="0.35">
      <c r="A40" s="2">
        <v>42989</v>
      </c>
      <c r="B40" s="40">
        <v>4.3912649999999998</v>
      </c>
      <c r="C40" s="40">
        <v>22.128056999999998</v>
      </c>
      <c r="D40" s="40">
        <v>14.405512999999999</v>
      </c>
      <c r="E40" s="40">
        <v>24.945222999999999</v>
      </c>
      <c r="F40" s="40">
        <v>14.005602</v>
      </c>
      <c r="G40" s="40">
        <v>17.080366000000001</v>
      </c>
      <c r="H40" s="40">
        <v>12.969124000000001</v>
      </c>
      <c r="I40" s="40">
        <v>28.961658</v>
      </c>
      <c r="J40" s="40">
        <v>19.225895000000001</v>
      </c>
      <c r="K40" s="47">
        <v>28.558814999999999</v>
      </c>
      <c r="L40" s="47">
        <v>30.35643</v>
      </c>
      <c r="M40" s="47">
        <v>24.534511999999999</v>
      </c>
      <c r="N40" s="47">
        <v>39.639569999999999</v>
      </c>
    </row>
    <row r="41" spans="1:14" x14ac:dyDescent="0.35">
      <c r="A41" s="2">
        <v>43019</v>
      </c>
      <c r="B41" s="40">
        <v>13.387108</v>
      </c>
      <c r="C41" s="40">
        <v>14.512324</v>
      </c>
      <c r="D41" s="40">
        <v>18.225442999999999</v>
      </c>
      <c r="E41" s="40">
        <v>29.117667999999998</v>
      </c>
      <c r="F41" s="40">
        <v>16.691185000000001</v>
      </c>
      <c r="G41" s="40">
        <v>20.659673999999999</v>
      </c>
      <c r="H41" s="40">
        <v>19.88964</v>
      </c>
      <c r="I41" s="40">
        <v>27.232277</v>
      </c>
      <c r="J41" s="40">
        <v>21.905539999999998</v>
      </c>
      <c r="K41" s="47">
        <v>33.824885999999999</v>
      </c>
      <c r="L41" s="47">
        <v>32.875644999999999</v>
      </c>
      <c r="M41" s="47">
        <v>30.143187999999999</v>
      </c>
      <c r="N41" s="47">
        <v>47.675620000000002</v>
      </c>
    </row>
    <row r="42" spans="1:14" x14ac:dyDescent="0.35">
      <c r="A42" s="2">
        <v>43049</v>
      </c>
      <c r="B42" s="40">
        <v>13.542866999999999</v>
      </c>
      <c r="C42" s="40">
        <v>18.655968000000001</v>
      </c>
      <c r="D42" s="40">
        <v>18.012608</v>
      </c>
      <c r="E42" s="40">
        <v>30.579138</v>
      </c>
      <c r="F42" s="40">
        <v>21.703385999999998</v>
      </c>
      <c r="G42" s="40">
        <v>18.835280999999998</v>
      </c>
      <c r="H42" s="40">
        <v>18.155396</v>
      </c>
      <c r="I42" s="40">
        <v>34.099260000000001</v>
      </c>
      <c r="J42" s="40">
        <v>21.38815</v>
      </c>
      <c r="K42" s="47">
        <v>31.355953</v>
      </c>
      <c r="L42" s="47">
        <v>33.532859999999999</v>
      </c>
      <c r="M42" s="47">
        <v>28.246271</v>
      </c>
      <c r="N42" s="47">
        <v>42.667589999999997</v>
      </c>
    </row>
    <row r="43" spans="1:14" x14ac:dyDescent="0.35">
      <c r="A43" s="2">
        <v>43080</v>
      </c>
      <c r="B43" s="40">
        <v>15.320468</v>
      </c>
      <c r="C43" s="40">
        <v>12.671041499999999</v>
      </c>
      <c r="D43" s="40">
        <v>10.223663</v>
      </c>
      <c r="E43" s="40">
        <v>29.461897</v>
      </c>
      <c r="F43" s="40">
        <v>18.811952999999999</v>
      </c>
      <c r="G43" s="40">
        <v>22.235202999999998</v>
      </c>
      <c r="H43" s="40">
        <v>16.923714</v>
      </c>
      <c r="I43" s="40">
        <v>31.767475000000001</v>
      </c>
      <c r="J43" s="40">
        <v>19.951248</v>
      </c>
      <c r="K43" s="47">
        <v>30.584085000000002</v>
      </c>
      <c r="L43" s="47">
        <v>35.299087999999998</v>
      </c>
      <c r="M43" s="47">
        <v>20.841290000000001</v>
      </c>
      <c r="N43" s="47">
        <v>37.100279999999998</v>
      </c>
    </row>
    <row r="44" spans="1:14" x14ac:dyDescent="0.35">
      <c r="A44" s="2">
        <v>43111</v>
      </c>
      <c r="B44" s="40">
        <v>19.137383</v>
      </c>
      <c r="C44" s="40">
        <v>15.025413500000001</v>
      </c>
      <c r="D44" s="40">
        <v>13.542151</v>
      </c>
      <c r="E44" s="40">
        <v>28.624093999999999</v>
      </c>
      <c r="F44" s="40">
        <v>26.543151999999999</v>
      </c>
      <c r="G44" s="40">
        <v>22.153912999999999</v>
      </c>
      <c r="H44" s="40">
        <v>22.105038</v>
      </c>
      <c r="I44" s="40">
        <v>34.043469999999999</v>
      </c>
      <c r="J44" s="40">
        <v>23.943816999999999</v>
      </c>
      <c r="K44" s="47">
        <v>31.879090999999999</v>
      </c>
      <c r="L44" s="47">
        <v>35.204197000000001</v>
      </c>
      <c r="M44" s="47">
        <v>26.934695999999999</v>
      </c>
      <c r="N44" s="47">
        <v>35.565376000000001</v>
      </c>
    </row>
    <row r="45" spans="1:14" x14ac:dyDescent="0.35">
      <c r="A45" s="2">
        <v>43140</v>
      </c>
      <c r="B45" s="40">
        <v>12.236046999999999</v>
      </c>
      <c r="C45" s="40">
        <v>7.4350357000000002</v>
      </c>
      <c r="D45" s="40">
        <v>2.7895808</v>
      </c>
      <c r="E45" s="40">
        <v>20.144033</v>
      </c>
      <c r="F45" s="40">
        <v>17.304718000000001</v>
      </c>
      <c r="G45" s="40">
        <v>14.797651</v>
      </c>
      <c r="H45" s="40">
        <v>12.511563000000001</v>
      </c>
      <c r="I45" s="40">
        <v>24.073768999999999</v>
      </c>
      <c r="J45" s="40">
        <v>15.599644</v>
      </c>
      <c r="K45" s="47">
        <v>25.613748999999999</v>
      </c>
      <c r="L45" s="47">
        <v>26.326252</v>
      </c>
      <c r="M45" s="47">
        <v>13.227748999999999</v>
      </c>
      <c r="N45" s="47">
        <v>36.365734000000003</v>
      </c>
    </row>
    <row r="46" spans="1:14" x14ac:dyDescent="0.35">
      <c r="A46" s="2">
        <v>43168</v>
      </c>
      <c r="B46" s="40">
        <v>25.490283999999999</v>
      </c>
      <c r="C46" s="40">
        <v>11.661028999999999</v>
      </c>
      <c r="D46" s="40">
        <v>7.9732656000000004</v>
      </c>
      <c r="E46" s="40">
        <v>20.593606999999999</v>
      </c>
      <c r="F46" s="40">
        <v>20.500886999999999</v>
      </c>
      <c r="G46" s="40">
        <v>14.363372999999999</v>
      </c>
      <c r="H46" s="40">
        <v>15.981436</v>
      </c>
      <c r="I46" s="40">
        <v>33.552193000000003</v>
      </c>
      <c r="J46" s="40">
        <v>20.020163</v>
      </c>
      <c r="K46" s="47">
        <v>28.068280000000001</v>
      </c>
      <c r="L46" s="47">
        <v>26.626895999999999</v>
      </c>
      <c r="M46" s="47">
        <v>16.135131999999999</v>
      </c>
      <c r="N46" s="47">
        <v>36.285876999999999</v>
      </c>
    </row>
    <row r="47" spans="1:14" x14ac:dyDescent="0.35">
      <c r="A47" s="2">
        <v>43201</v>
      </c>
      <c r="B47" s="40">
        <v>23.643816000000001</v>
      </c>
      <c r="C47" s="40">
        <v>3.6006689999999999</v>
      </c>
      <c r="D47" s="40">
        <v>5.6619999999999999</v>
      </c>
      <c r="E47" s="40">
        <v>17.423748</v>
      </c>
      <c r="F47" s="40">
        <v>19.362401999999999</v>
      </c>
      <c r="G47" s="40">
        <v>9.0216639999999995</v>
      </c>
      <c r="H47" s="40">
        <v>14.547872999999999</v>
      </c>
      <c r="I47" s="40">
        <v>22.992229999999999</v>
      </c>
      <c r="J47" s="40">
        <v>14.345527000000001</v>
      </c>
      <c r="K47" s="47">
        <v>24.515211000000001</v>
      </c>
      <c r="L47" s="47">
        <v>23.328125</v>
      </c>
      <c r="M47" s="47">
        <v>9.1936699999999991</v>
      </c>
      <c r="N47" s="47">
        <v>34.033774999999999</v>
      </c>
    </row>
    <row r="48" spans="1:14" x14ac:dyDescent="0.35">
      <c r="A48" s="2">
        <v>43231</v>
      </c>
      <c r="B48" s="40">
        <v>16.628874</v>
      </c>
      <c r="C48" s="40">
        <v>9.5076079999999994</v>
      </c>
      <c r="D48" s="40">
        <v>13.323426</v>
      </c>
      <c r="E48" s="40">
        <v>11.965954</v>
      </c>
      <c r="F48" s="40">
        <v>18.851459999999999</v>
      </c>
      <c r="G48" s="40">
        <v>3.8845657999999998</v>
      </c>
      <c r="H48" s="40">
        <v>12.961149000000001</v>
      </c>
      <c r="I48" s="40">
        <v>23.604810000000001</v>
      </c>
      <c r="J48" s="40">
        <v>16.15156</v>
      </c>
      <c r="K48" s="47">
        <v>16.838657000000001</v>
      </c>
      <c r="L48" s="47">
        <v>13.57752</v>
      </c>
      <c r="M48" s="47">
        <v>5.0139069999999997</v>
      </c>
      <c r="N48" s="47">
        <v>24.101437000000001</v>
      </c>
    </row>
    <row r="49" spans="1:14" x14ac:dyDescent="0.35">
      <c r="A49" s="2">
        <v>43262</v>
      </c>
      <c r="B49" s="40">
        <v>16.583991999999999</v>
      </c>
      <c r="C49" s="40">
        <v>11.705875000000001</v>
      </c>
      <c r="D49" s="40">
        <v>11.861563</v>
      </c>
      <c r="E49" s="40">
        <v>6.0603740000000004</v>
      </c>
      <c r="F49" s="40">
        <v>14.318192</v>
      </c>
      <c r="G49" s="40">
        <v>0.65438750000000001</v>
      </c>
      <c r="H49" s="40">
        <v>11.609483000000001</v>
      </c>
      <c r="I49" s="40">
        <v>26.039767999999999</v>
      </c>
      <c r="J49" s="40">
        <v>16.619002999999999</v>
      </c>
      <c r="K49" s="47">
        <v>12.908780999999999</v>
      </c>
      <c r="L49" s="47">
        <v>11.692619000000001</v>
      </c>
      <c r="M49" s="47">
        <v>0.6146431</v>
      </c>
      <c r="N49" s="47">
        <v>11.339796</v>
      </c>
    </row>
    <row r="50" spans="1:14" x14ac:dyDescent="0.35">
      <c r="A50" s="2">
        <v>43292</v>
      </c>
      <c r="B50" s="40">
        <v>10.061465999999999</v>
      </c>
      <c r="C50" s="40">
        <v>8.8231680000000008</v>
      </c>
      <c r="D50" s="40">
        <v>9.0728170000000006</v>
      </c>
      <c r="E50" s="40">
        <v>1.5004991999999999</v>
      </c>
      <c r="F50" s="40">
        <v>8.6482639999999993</v>
      </c>
      <c r="G50" s="40">
        <v>-0.71834920000000002</v>
      </c>
      <c r="H50" s="40">
        <v>9.3013879999999993</v>
      </c>
      <c r="I50" s="40">
        <v>27.902114999999998</v>
      </c>
      <c r="J50" s="40">
        <v>16.446936000000001</v>
      </c>
      <c r="K50" s="47">
        <v>9.4454879999999992</v>
      </c>
      <c r="L50" s="47">
        <v>7.2993160000000001</v>
      </c>
      <c r="M50" s="47">
        <v>-6.0822544000000001</v>
      </c>
      <c r="N50" s="47">
        <v>5.1815749999999996</v>
      </c>
    </row>
    <row r="51" spans="1:14" x14ac:dyDescent="0.35">
      <c r="A51" s="2">
        <v>43322</v>
      </c>
      <c r="B51" s="40">
        <v>4.5278549999999997</v>
      </c>
      <c r="C51" s="40">
        <v>5.8793544999999998</v>
      </c>
      <c r="D51" s="40">
        <v>8.1340679999999992</v>
      </c>
      <c r="E51" s="40">
        <v>1.0410666</v>
      </c>
      <c r="F51" s="40">
        <v>7.7351929999999998</v>
      </c>
      <c r="G51" s="40">
        <v>2.3272037999999999</v>
      </c>
      <c r="H51" s="40">
        <v>5.3990125999999998</v>
      </c>
      <c r="I51" s="40">
        <v>29.037141999999999</v>
      </c>
      <c r="J51" s="40">
        <v>18.329657000000001</v>
      </c>
      <c r="K51" s="47">
        <v>6.2048435</v>
      </c>
      <c r="L51" s="47">
        <v>3.1421779999999999</v>
      </c>
      <c r="M51" s="47">
        <v>-2.9561579999999998</v>
      </c>
      <c r="N51" s="47">
        <v>-3.4802138999999999</v>
      </c>
    </row>
    <row r="52" spans="1:14" x14ac:dyDescent="0.35">
      <c r="A52" s="2">
        <v>43354</v>
      </c>
      <c r="B52" s="40">
        <v>4.7785640000000003</v>
      </c>
      <c r="C52" s="40">
        <v>-1.6172766999999999</v>
      </c>
      <c r="D52" s="40">
        <v>1.4755130000000001</v>
      </c>
      <c r="E52" s="40">
        <v>-5.6527557000000002</v>
      </c>
      <c r="F52" s="40">
        <v>4.5819283000000004</v>
      </c>
      <c r="G52" s="40">
        <v>1.213789</v>
      </c>
      <c r="H52" s="40">
        <v>-7.6204540000000001E-2</v>
      </c>
      <c r="I52" s="40">
        <v>26.552498</v>
      </c>
      <c r="J52" s="40">
        <v>18.149412000000002</v>
      </c>
      <c r="K52" s="47">
        <v>2.3993373</v>
      </c>
      <c r="L52" s="47">
        <v>-1.4345527</v>
      </c>
      <c r="M52" s="47">
        <v>-5.1645336000000004</v>
      </c>
      <c r="N52" s="47">
        <v>-6.9309234999999996</v>
      </c>
    </row>
    <row r="53" spans="1:14" x14ac:dyDescent="0.35">
      <c r="A53" s="2">
        <v>43384</v>
      </c>
      <c r="B53" s="40">
        <v>-0.92815756999999999</v>
      </c>
      <c r="C53" s="40">
        <v>-4.7854239999999999</v>
      </c>
      <c r="D53" s="40">
        <v>-5.411124</v>
      </c>
      <c r="E53" s="40">
        <v>-13.065237</v>
      </c>
      <c r="F53" s="40">
        <v>1.190269</v>
      </c>
      <c r="G53" s="40">
        <v>-5.9427079999999997</v>
      </c>
      <c r="H53" s="40">
        <v>-4.3203649999999998</v>
      </c>
      <c r="I53" s="40">
        <v>15.444672000000001</v>
      </c>
      <c r="J53" s="40">
        <v>8.6692094999999991</v>
      </c>
      <c r="K53" s="47">
        <v>-4.4579029999999999</v>
      </c>
      <c r="L53" s="47">
        <v>-9.5329099999999993</v>
      </c>
      <c r="M53" s="47">
        <v>-12.089867</v>
      </c>
      <c r="N53" s="47">
        <v>-14.662485999999999</v>
      </c>
    </row>
    <row r="54" spans="1:14" x14ac:dyDescent="0.35">
      <c r="A54" s="2">
        <v>43413</v>
      </c>
      <c r="B54" s="40">
        <v>8.7897540000000003</v>
      </c>
      <c r="C54" s="40">
        <v>-4.4157386000000001</v>
      </c>
      <c r="D54" s="40">
        <v>-7.0441064999999998</v>
      </c>
      <c r="E54" s="40">
        <v>-14.032518</v>
      </c>
      <c r="F54" s="40">
        <v>-6.0759486999999996</v>
      </c>
      <c r="G54" s="40">
        <v>-0.27011633000000002</v>
      </c>
      <c r="H54" s="40">
        <v>-2.6892304</v>
      </c>
      <c r="I54" s="40">
        <v>12.459528000000001</v>
      </c>
      <c r="J54" s="40">
        <v>9.5479965</v>
      </c>
      <c r="K54" s="47">
        <v>-4.5847119999999997</v>
      </c>
      <c r="L54" s="47">
        <v>-5.8034540000000003</v>
      </c>
      <c r="M54" s="47">
        <v>-10.334550999999999</v>
      </c>
      <c r="N54" s="47">
        <v>-14.641463999999999</v>
      </c>
    </row>
    <row r="55" spans="1:14" x14ac:dyDescent="0.35">
      <c r="A55" s="2">
        <v>43445</v>
      </c>
      <c r="B55" s="40">
        <v>5.8377980000000003</v>
      </c>
      <c r="C55" s="40">
        <v>-7.0796489999999999</v>
      </c>
      <c r="D55" s="40">
        <v>-10.938305</v>
      </c>
      <c r="E55" s="40">
        <v>-20.608252</v>
      </c>
      <c r="F55" s="40">
        <v>-9.9259380000000004</v>
      </c>
      <c r="G55" s="40">
        <v>-5.2598715</v>
      </c>
      <c r="H55" s="40">
        <v>-10.932005</v>
      </c>
      <c r="I55" s="40">
        <v>5.7525396000000004</v>
      </c>
      <c r="J55" s="40">
        <v>0.98823309999999998</v>
      </c>
      <c r="K55" s="47">
        <v>-11.719054</v>
      </c>
      <c r="L55" s="47">
        <v>-12.269831</v>
      </c>
      <c r="M55" s="47">
        <v>-11.920904999999999</v>
      </c>
      <c r="N55" s="47">
        <v>-18.630445000000002</v>
      </c>
    </row>
    <row r="56" spans="1:14" x14ac:dyDescent="0.35">
      <c r="A56" s="2">
        <v>43476</v>
      </c>
      <c r="B56" s="40">
        <v>3.4255146999999999</v>
      </c>
      <c r="C56" s="40">
        <v>-9.088654</v>
      </c>
      <c r="D56" s="40">
        <v>-12.168371</v>
      </c>
      <c r="E56" s="40">
        <v>-21.506298000000001</v>
      </c>
      <c r="F56" s="40">
        <v>-15.164638</v>
      </c>
      <c r="G56" s="40">
        <v>-7.009506</v>
      </c>
      <c r="H56" s="40">
        <v>-12.547672</v>
      </c>
      <c r="I56" s="40">
        <v>-0.75089335000000001</v>
      </c>
      <c r="J56" s="40">
        <v>-4.4139265999999999</v>
      </c>
      <c r="K56" s="47">
        <v>-14.339071000000001</v>
      </c>
      <c r="L56" s="47">
        <v>-14.714802000000001</v>
      </c>
      <c r="M56" s="47">
        <v>-14.310140000000001</v>
      </c>
      <c r="N56" s="47">
        <v>-18.651522</v>
      </c>
    </row>
    <row r="57" spans="1:14" x14ac:dyDescent="0.35">
      <c r="A57" s="2">
        <v>43507</v>
      </c>
      <c r="B57" s="40">
        <v>7.9009413999999998</v>
      </c>
      <c r="C57" s="40">
        <v>-0.81114770000000003</v>
      </c>
      <c r="D57" s="40">
        <v>-0.39099455</v>
      </c>
      <c r="E57" s="40">
        <v>-17.219245999999998</v>
      </c>
      <c r="F57" s="40">
        <v>-9.2501940000000005</v>
      </c>
      <c r="G57" s="40">
        <v>-2.0791770000000001</v>
      </c>
      <c r="H57" s="40">
        <v>-3.8674056999999999</v>
      </c>
      <c r="I57" s="40">
        <v>8.8018889999999992</v>
      </c>
      <c r="J57" s="40">
        <v>5.4664609999999998</v>
      </c>
      <c r="K57" s="47">
        <v>-7.2328450000000002</v>
      </c>
      <c r="L57" s="47">
        <v>-6.7653119999999998</v>
      </c>
      <c r="M57" s="47">
        <v>-7.7252745999999997</v>
      </c>
      <c r="N57" s="47">
        <v>-15.853394</v>
      </c>
    </row>
    <row r="58" spans="1:14" x14ac:dyDescent="0.35">
      <c r="A58" s="2">
        <v>43535</v>
      </c>
      <c r="B58" s="40">
        <v>4.7439814</v>
      </c>
      <c r="C58" s="40">
        <v>-2.5586486000000002</v>
      </c>
      <c r="D58" s="40">
        <v>0.79919099999999998</v>
      </c>
      <c r="E58" s="40">
        <v>-15.263676999999999</v>
      </c>
      <c r="F58" s="40">
        <v>-9.6438349999999993</v>
      </c>
      <c r="G58" s="40">
        <v>0.63747169999999997</v>
      </c>
      <c r="H58" s="40">
        <v>-2.8410256</v>
      </c>
      <c r="I58" s="40">
        <v>1.7693996000000001</v>
      </c>
      <c r="J58" s="40">
        <v>1.7550707000000001</v>
      </c>
      <c r="K58" s="47">
        <v>-6.4530430000000001</v>
      </c>
      <c r="L58" s="47">
        <v>-8.2869770000000003</v>
      </c>
      <c r="M58" s="47">
        <v>-9.4088740000000008</v>
      </c>
      <c r="N58" s="47">
        <v>-13.727129</v>
      </c>
    </row>
    <row r="59" spans="1:14" x14ac:dyDescent="0.35">
      <c r="A59" s="2">
        <v>43566</v>
      </c>
      <c r="B59" s="40">
        <v>5.8001040000000001</v>
      </c>
      <c r="C59" s="40">
        <v>2.7582287999999999</v>
      </c>
      <c r="D59" s="40">
        <v>3.3963203000000002</v>
      </c>
      <c r="E59" s="40">
        <v>-12.306058999999999</v>
      </c>
      <c r="F59" s="40">
        <v>-7.7785549999999999</v>
      </c>
      <c r="G59" s="40">
        <v>6.8524479999999999</v>
      </c>
      <c r="H59" s="40">
        <v>-1.9509196</v>
      </c>
      <c r="I59" s="40">
        <v>16.447544000000001</v>
      </c>
      <c r="J59" s="40">
        <v>11.401795999999999</v>
      </c>
      <c r="K59" s="47">
        <v>-3.3785880000000001</v>
      </c>
      <c r="L59" s="47">
        <v>-3.5748243</v>
      </c>
      <c r="M59" s="47">
        <v>1.4168978000000001</v>
      </c>
      <c r="N59" s="47">
        <v>-11.235189</v>
      </c>
    </row>
    <row r="60" spans="1:14" x14ac:dyDescent="0.35">
      <c r="A60" s="2">
        <v>43595</v>
      </c>
      <c r="B60" s="40">
        <v>11.012769</v>
      </c>
      <c r="C60" s="40">
        <v>0.47593117000000001</v>
      </c>
      <c r="D60" s="40">
        <v>-1.2591003999999999</v>
      </c>
      <c r="E60" s="40">
        <v>-12.577545000000001</v>
      </c>
      <c r="F60" s="40">
        <v>-9.7071830000000006</v>
      </c>
      <c r="G60" s="40">
        <v>6.6246390000000002</v>
      </c>
      <c r="H60" s="40">
        <v>-5.9817552999999997</v>
      </c>
      <c r="I60" s="40">
        <v>10.017609999999999</v>
      </c>
      <c r="J60" s="40">
        <v>7.9778314000000004</v>
      </c>
      <c r="K60" s="47">
        <v>-6.3528180000000001</v>
      </c>
      <c r="L60" s="47">
        <v>-1.9816041</v>
      </c>
      <c r="M60" s="47">
        <v>-6.7075253000000004</v>
      </c>
      <c r="N60" s="47">
        <v>-14.768988</v>
      </c>
    </row>
    <row r="61" spans="1:14" x14ac:dyDescent="0.35">
      <c r="A61" s="2">
        <v>43627</v>
      </c>
      <c r="B61" s="40">
        <v>5.0431369999999998</v>
      </c>
      <c r="C61" s="40">
        <v>3.911972</v>
      </c>
      <c r="D61" s="40">
        <v>-0.48272609999999999</v>
      </c>
      <c r="E61" s="40">
        <v>-11.341763</v>
      </c>
      <c r="F61" s="40">
        <v>-8.7863679999999995</v>
      </c>
      <c r="G61" s="40">
        <v>13.054562000000001</v>
      </c>
      <c r="H61" s="40">
        <v>-5.8364209999999996</v>
      </c>
      <c r="I61" s="40">
        <v>5.7674766000000002</v>
      </c>
      <c r="J61" s="40">
        <v>5.7355165000000001</v>
      </c>
      <c r="K61" s="47">
        <v>-3.5615503999999998</v>
      </c>
      <c r="L61" s="47">
        <v>-1.9184709</v>
      </c>
      <c r="M61" s="47">
        <v>-3.8034737000000001</v>
      </c>
      <c r="N61" s="47">
        <v>-6.8383750000000001</v>
      </c>
    </row>
    <row r="62" spans="1:14" x14ac:dyDescent="0.35">
      <c r="A62" s="2">
        <v>43657</v>
      </c>
      <c r="B62" s="40">
        <v>16.030956</v>
      </c>
      <c r="C62" s="40">
        <v>6.4053535000000004</v>
      </c>
      <c r="D62" s="40">
        <v>3.5627246000000001</v>
      </c>
      <c r="E62" s="40">
        <v>-6.3126745</v>
      </c>
      <c r="F62" s="40">
        <v>-1.7009080000000001</v>
      </c>
      <c r="G62" s="40">
        <v>14.792479</v>
      </c>
      <c r="H62" s="40">
        <v>-2.3059189999999998</v>
      </c>
      <c r="I62" s="40">
        <v>10.026693</v>
      </c>
      <c r="J62" s="40">
        <v>10.259306</v>
      </c>
      <c r="K62" s="47">
        <v>1.5186667</v>
      </c>
      <c r="L62" s="47">
        <v>3.2894135000000002</v>
      </c>
      <c r="M62" s="47">
        <v>3.094411</v>
      </c>
      <c r="N62" s="47">
        <v>3.1409859999999998</v>
      </c>
    </row>
    <row r="63" spans="1:14" x14ac:dyDescent="0.35">
      <c r="A63" s="2">
        <v>43686</v>
      </c>
      <c r="B63" s="40">
        <v>18.065548</v>
      </c>
      <c r="C63" s="40">
        <v>-0.32679439999999998</v>
      </c>
      <c r="D63" s="40">
        <v>-0.74894430000000001</v>
      </c>
      <c r="E63" s="40">
        <v>-11.941314</v>
      </c>
      <c r="F63" s="40">
        <v>-6.6238640000000002</v>
      </c>
      <c r="G63" s="40">
        <v>10.281897000000001</v>
      </c>
      <c r="H63" s="40">
        <v>-8.6152730000000002</v>
      </c>
      <c r="I63" s="40">
        <v>3.4176470000000001</v>
      </c>
      <c r="J63" s="40">
        <v>4.3325899999999997</v>
      </c>
      <c r="K63" s="47">
        <v>-3.6295771999999999</v>
      </c>
      <c r="L63" s="47">
        <v>-1.4509380000000001</v>
      </c>
      <c r="M63" s="47">
        <v>-8.0124855000000004</v>
      </c>
      <c r="N63" s="47">
        <v>-5.4775057</v>
      </c>
    </row>
    <row r="64" spans="1:14" x14ac:dyDescent="0.35">
      <c r="A64" s="2">
        <v>43719</v>
      </c>
      <c r="B64" s="40">
        <v>16.723262999999999</v>
      </c>
      <c r="C64" s="40">
        <v>9.5512499999999996</v>
      </c>
      <c r="D64" s="40">
        <v>4.4464706999999999</v>
      </c>
      <c r="E64" s="40">
        <v>-4.6454069999999996</v>
      </c>
      <c r="F64" s="40">
        <v>-0.23890734</v>
      </c>
      <c r="G64" s="40">
        <v>12.551045</v>
      </c>
      <c r="H64" s="40">
        <v>-0.55737495000000004</v>
      </c>
      <c r="I64" s="40">
        <v>6.0065390000000001</v>
      </c>
      <c r="J64" s="40">
        <v>5.9410452999999999</v>
      </c>
      <c r="K64" s="47">
        <v>2.1722077999999998</v>
      </c>
      <c r="L64" s="47">
        <v>8.2919959999999993</v>
      </c>
      <c r="M64" s="47">
        <v>-1.8851994999999999</v>
      </c>
      <c r="N64" s="47">
        <v>3.1881452000000001</v>
      </c>
    </row>
    <row r="65" spans="1:14" x14ac:dyDescent="0.35">
      <c r="A65" s="2">
        <v>43749</v>
      </c>
      <c r="B65" s="40">
        <v>21.851085999999999</v>
      </c>
      <c r="C65" s="40">
        <v>14.5713215</v>
      </c>
      <c r="D65" s="40">
        <v>7.968235</v>
      </c>
      <c r="E65" s="40">
        <v>0.71099997000000004</v>
      </c>
      <c r="F65" s="40">
        <v>2.6787399999999999</v>
      </c>
      <c r="G65" s="40">
        <v>17.872084000000001</v>
      </c>
      <c r="H65" s="40">
        <v>2.8260350000000001</v>
      </c>
      <c r="I65" s="40">
        <v>13.697253999999999</v>
      </c>
      <c r="J65" s="40">
        <v>11.035895</v>
      </c>
      <c r="K65" s="47">
        <v>7.2640419999999999</v>
      </c>
      <c r="L65" s="47">
        <v>15.723062000000001</v>
      </c>
      <c r="M65" s="47">
        <v>1.0428548</v>
      </c>
      <c r="N65" s="47">
        <v>12.832737</v>
      </c>
    </row>
    <row r="66" spans="1:14" x14ac:dyDescent="0.35">
      <c r="A66" s="2">
        <v>43780</v>
      </c>
      <c r="B66" s="40">
        <v>15.259563</v>
      </c>
      <c r="C66" s="40">
        <v>14.479518000000001</v>
      </c>
      <c r="D66" s="40">
        <v>12.789047</v>
      </c>
      <c r="E66" s="40">
        <v>8.1619150000000005</v>
      </c>
      <c r="F66" s="40">
        <v>10.327816</v>
      </c>
      <c r="G66" s="40">
        <v>18.009663</v>
      </c>
      <c r="H66" s="40">
        <v>5.5205583999999996</v>
      </c>
      <c r="I66" s="40">
        <v>18.218993999999999</v>
      </c>
      <c r="J66" s="40">
        <v>13.233673</v>
      </c>
      <c r="K66" s="47">
        <v>13.859546999999999</v>
      </c>
      <c r="L66" s="47">
        <v>16.667355000000001</v>
      </c>
      <c r="M66" s="47">
        <v>11.508941999999999</v>
      </c>
      <c r="N66" s="47">
        <v>21.274090000000001</v>
      </c>
    </row>
    <row r="67" spans="1:14" x14ac:dyDescent="0.35">
      <c r="A67" s="2">
        <v>43810</v>
      </c>
      <c r="B67" s="40">
        <v>23.375630000000001</v>
      </c>
      <c r="C67" s="40">
        <v>19.359838</v>
      </c>
      <c r="D67" s="40">
        <v>19.334911000000002</v>
      </c>
      <c r="E67" s="40">
        <v>16.661465</v>
      </c>
      <c r="F67" s="40">
        <v>15.730715</v>
      </c>
      <c r="G67" s="40">
        <v>24.145758000000001</v>
      </c>
      <c r="H67" s="40">
        <v>15.139222</v>
      </c>
      <c r="I67" s="40">
        <v>26.413679999999999</v>
      </c>
      <c r="J67" s="40">
        <v>21.420991999999998</v>
      </c>
      <c r="K67" s="47">
        <v>21.401775000000001</v>
      </c>
      <c r="L67" s="47">
        <v>25.345648000000001</v>
      </c>
      <c r="M67" s="47">
        <v>18.499351999999998</v>
      </c>
      <c r="N67" s="47">
        <v>23.111796999999999</v>
      </c>
    </row>
    <row r="68" spans="1:14" x14ac:dyDescent="0.35">
      <c r="A68" s="2">
        <v>43840</v>
      </c>
      <c r="B68" s="40">
        <v>25.2195</v>
      </c>
      <c r="C68" s="40">
        <v>17.679082999999999</v>
      </c>
      <c r="D68" s="40">
        <v>19.079934999999999</v>
      </c>
      <c r="E68" s="40">
        <v>15.860701000000001</v>
      </c>
      <c r="F68" s="40">
        <v>13.680649000000001</v>
      </c>
      <c r="G68" s="40">
        <v>25.441265000000001</v>
      </c>
      <c r="H68" s="40">
        <v>14.845991</v>
      </c>
      <c r="I68" s="40">
        <v>36.549602999999998</v>
      </c>
      <c r="J68" s="40">
        <v>28.195381000000001</v>
      </c>
      <c r="K68" s="47">
        <v>22.237814</v>
      </c>
      <c r="L68" s="47">
        <v>27.431560000000001</v>
      </c>
      <c r="M68" s="47">
        <v>15.675902000000001</v>
      </c>
      <c r="N68" s="47">
        <v>20.115936000000001</v>
      </c>
    </row>
    <row r="69" spans="1:14" x14ac:dyDescent="0.35">
      <c r="A69" s="2">
        <v>43872</v>
      </c>
      <c r="B69" s="40">
        <v>20.862103000000001</v>
      </c>
      <c r="C69" s="40">
        <v>14.682078000000001</v>
      </c>
      <c r="D69" s="40">
        <v>16.540717999999998</v>
      </c>
      <c r="E69" s="40">
        <v>16.806661999999999</v>
      </c>
      <c r="F69" s="40">
        <v>15.493487999999999</v>
      </c>
      <c r="G69" s="40">
        <v>29.442347000000002</v>
      </c>
      <c r="H69" s="40">
        <v>9.3978640000000002</v>
      </c>
      <c r="I69" s="40">
        <v>38.906742000000001</v>
      </c>
      <c r="J69" s="40">
        <v>26.229752000000001</v>
      </c>
      <c r="K69" s="47">
        <v>19.678450000000002</v>
      </c>
      <c r="L69" s="47">
        <v>24.326180999999998</v>
      </c>
      <c r="M69" s="47">
        <v>20.615089999999999</v>
      </c>
      <c r="N69" s="47">
        <v>22.177171999999999</v>
      </c>
    </row>
    <row r="70" spans="1:14" x14ac:dyDescent="0.35">
      <c r="A70" s="2">
        <v>43901</v>
      </c>
      <c r="B70" s="40">
        <v>5.4110290000000001</v>
      </c>
      <c r="C70" s="40">
        <v>-15.277982</v>
      </c>
      <c r="D70" s="40">
        <v>-13.105022</v>
      </c>
      <c r="E70" s="40">
        <v>-12.255711</v>
      </c>
      <c r="F70" s="40">
        <v>-5.9592130000000001</v>
      </c>
      <c r="G70" s="40">
        <v>5.670166</v>
      </c>
      <c r="H70" s="40">
        <v>-17.971539</v>
      </c>
      <c r="I70" s="40">
        <v>12.645936000000001</v>
      </c>
      <c r="J70" s="40">
        <v>0.39891005000000002</v>
      </c>
      <c r="K70" s="47">
        <v>-11.173617999999999</v>
      </c>
      <c r="L70" s="47">
        <v>-3.0934750000000002</v>
      </c>
      <c r="M70" s="47">
        <v>-4.9692990000000004</v>
      </c>
      <c r="N70" s="47">
        <v>-14.337873</v>
      </c>
    </row>
    <row r="71" spans="1:14" x14ac:dyDescent="0.35">
      <c r="A71" s="2">
        <v>43930</v>
      </c>
      <c r="B71" s="40">
        <v>-5.511469</v>
      </c>
      <c r="C71" s="40">
        <v>-19.717137999999998</v>
      </c>
      <c r="D71" s="40">
        <v>-16.062646999999998</v>
      </c>
      <c r="E71" s="40">
        <v>-14.388919</v>
      </c>
      <c r="F71" s="40">
        <v>-6.3684820000000002</v>
      </c>
      <c r="G71" s="40">
        <v>3.6839724</v>
      </c>
      <c r="H71" s="40">
        <v>-22.542137</v>
      </c>
      <c r="I71" s="40">
        <v>9.8089220000000008</v>
      </c>
      <c r="J71" s="40">
        <v>-1.1659801000000001</v>
      </c>
      <c r="K71" s="47">
        <v>-16.645605</v>
      </c>
      <c r="L71" s="47">
        <v>-7.4298023999999998</v>
      </c>
      <c r="M71" s="47">
        <v>-12.200265999999999</v>
      </c>
      <c r="N71" s="47">
        <v>-20.528275000000001</v>
      </c>
    </row>
    <row r="72" spans="1:14" x14ac:dyDescent="0.35">
      <c r="A72" s="2">
        <v>43962</v>
      </c>
      <c r="B72" s="40">
        <v>-0.83503722999999996</v>
      </c>
      <c r="C72" s="40">
        <v>-18.641794000000001</v>
      </c>
      <c r="D72" s="40">
        <v>-9.9507689999999993</v>
      </c>
      <c r="E72" s="40">
        <v>-15.095705000000001</v>
      </c>
      <c r="F72" s="40">
        <v>-0.21644235000000001</v>
      </c>
      <c r="G72" s="40">
        <v>6.7379712999999999</v>
      </c>
      <c r="H72" s="40">
        <v>-20.526772999999999</v>
      </c>
      <c r="I72" s="40">
        <v>23.679805999999999</v>
      </c>
      <c r="J72" s="40">
        <v>3.6293267999999999</v>
      </c>
      <c r="K72" s="47">
        <v>-17.190248</v>
      </c>
      <c r="L72" s="47">
        <v>-3.9857984000000002</v>
      </c>
      <c r="M72" s="47">
        <v>-6.7067920000000001</v>
      </c>
      <c r="N72" s="47">
        <v>-21.287769999999998</v>
      </c>
    </row>
    <row r="73" spans="1:14" x14ac:dyDescent="0.35">
      <c r="A73" s="2">
        <v>43993</v>
      </c>
      <c r="B73" s="40">
        <v>5.9719085999999999</v>
      </c>
      <c r="C73" s="40">
        <v>-13.110601000000001</v>
      </c>
      <c r="D73" s="40">
        <v>-8.4776340000000001</v>
      </c>
      <c r="E73" s="40">
        <v>-3.3652245999999999</v>
      </c>
      <c r="F73" s="40">
        <v>2.7396916999999998</v>
      </c>
      <c r="G73" s="40">
        <v>4.3465137</v>
      </c>
      <c r="H73" s="40">
        <v>-18.681854000000001</v>
      </c>
      <c r="I73" s="40">
        <v>28.690683</v>
      </c>
      <c r="J73" s="40">
        <v>6.2076925999999997</v>
      </c>
      <c r="K73" s="47">
        <v>-11.07586</v>
      </c>
      <c r="L73" s="47">
        <v>2.5512934</v>
      </c>
      <c r="M73" s="47">
        <v>0.47746896999999999</v>
      </c>
      <c r="N73" s="47">
        <v>-11.958843</v>
      </c>
    </row>
    <row r="74" spans="1:14" x14ac:dyDescent="0.35">
      <c r="A74" s="2">
        <v>44022</v>
      </c>
      <c r="B74" s="40">
        <v>8.9002850000000002</v>
      </c>
      <c r="C74" s="40">
        <v>-9.6920970000000004</v>
      </c>
      <c r="D74" s="40">
        <v>-7.5025854000000001</v>
      </c>
      <c r="E74" s="40">
        <v>2.2453189999999998</v>
      </c>
      <c r="F74" s="40">
        <v>3.5203695000000002</v>
      </c>
      <c r="G74" s="40">
        <v>9.8785640000000008</v>
      </c>
      <c r="H74" s="40">
        <v>-16.590617999999999</v>
      </c>
      <c r="I74" s="40">
        <v>38.187862000000003</v>
      </c>
      <c r="J74" s="40">
        <v>8.5103399999999993</v>
      </c>
      <c r="K74" s="47">
        <v>-7.9635619999999996</v>
      </c>
      <c r="L74" s="47">
        <v>11.679733000000001</v>
      </c>
      <c r="M74" s="47">
        <v>7.8163147000000004</v>
      </c>
      <c r="N74" s="47">
        <v>-10.991358999999999</v>
      </c>
    </row>
    <row r="75" spans="1:14" x14ac:dyDescent="0.35">
      <c r="A75" s="2">
        <v>44054</v>
      </c>
      <c r="B75" s="40">
        <v>11.406957999999999</v>
      </c>
      <c r="C75" s="40">
        <v>-0.63102840000000004</v>
      </c>
      <c r="D75" s="40">
        <v>2.2095083999999998</v>
      </c>
      <c r="E75" s="40">
        <v>12.774145000000001</v>
      </c>
      <c r="F75" s="40">
        <v>8.015549</v>
      </c>
      <c r="G75" s="40">
        <v>10.756074999999999</v>
      </c>
      <c r="H75" s="40">
        <v>-7.8978004000000004</v>
      </c>
      <c r="I75" s="40">
        <v>43.345165000000001</v>
      </c>
      <c r="J75" s="40">
        <v>16.432607999999998</v>
      </c>
      <c r="K75" s="47">
        <v>-9.6541639999999998E-2</v>
      </c>
      <c r="L75" s="47">
        <v>16.400086999999999</v>
      </c>
      <c r="M75" s="47">
        <v>26.222456000000001</v>
      </c>
      <c r="N75" s="47">
        <v>1.4357924</v>
      </c>
    </row>
    <row r="76" spans="1:14" x14ac:dyDescent="0.35">
      <c r="A76" s="2">
        <v>44085</v>
      </c>
      <c r="B76" s="40">
        <v>11.142932999999999</v>
      </c>
      <c r="C76" s="40">
        <v>-6.8860054000000002</v>
      </c>
      <c r="D76" s="40">
        <v>-0.98357797000000002</v>
      </c>
      <c r="E76" s="40">
        <v>12.430584</v>
      </c>
      <c r="F76" s="40">
        <v>6.9489717000000004</v>
      </c>
      <c r="G76" s="40">
        <v>13.111186</v>
      </c>
      <c r="H76" s="40">
        <v>-14.285147</v>
      </c>
      <c r="I76" s="40">
        <v>41.675792999999999</v>
      </c>
      <c r="J76" s="40">
        <v>13.514161</v>
      </c>
      <c r="K76" s="47">
        <v>-1.7392038999999999</v>
      </c>
      <c r="L76" s="47">
        <v>12.407864</v>
      </c>
      <c r="M76" s="47">
        <v>20.548701999999999</v>
      </c>
      <c r="N76" s="47">
        <v>-5.0237299999999996</v>
      </c>
    </row>
    <row r="77" spans="1:14" x14ac:dyDescent="0.35">
      <c r="A77" s="2">
        <v>44113</v>
      </c>
      <c r="B77" s="40">
        <v>20.517624000000001</v>
      </c>
      <c r="C77" s="40">
        <v>-0.68635345000000003</v>
      </c>
      <c r="D77" s="40">
        <v>4.0280339999999999</v>
      </c>
      <c r="E77" s="40">
        <v>15.543151</v>
      </c>
      <c r="F77" s="40">
        <v>7.3044896000000001</v>
      </c>
      <c r="G77" s="40">
        <v>16.144062000000002</v>
      </c>
      <c r="H77" s="40">
        <v>-10.074597000000001</v>
      </c>
      <c r="I77" s="40">
        <v>53.739834000000002</v>
      </c>
      <c r="J77" s="40">
        <v>21.422768000000001</v>
      </c>
      <c r="K77" s="47">
        <v>-0.43291449999999998</v>
      </c>
      <c r="L77" s="47">
        <v>20.052123999999999</v>
      </c>
      <c r="M77" s="47">
        <v>29.537845999999998</v>
      </c>
      <c r="N77" s="47">
        <v>-4.81236</v>
      </c>
    </row>
    <row r="78" spans="1:14" x14ac:dyDescent="0.35">
      <c r="A78" s="2">
        <v>44146</v>
      </c>
      <c r="B78" s="40">
        <v>26.618172000000001</v>
      </c>
      <c r="C78" s="40">
        <v>0.93486309999999995</v>
      </c>
      <c r="D78" s="40">
        <v>1.2423038</v>
      </c>
      <c r="E78" s="40">
        <v>4.5704602999999997</v>
      </c>
      <c r="F78" s="40">
        <v>8.2948450000000005</v>
      </c>
      <c r="G78" s="40">
        <v>12.022913000000001</v>
      </c>
      <c r="H78" s="40">
        <v>-9.8244489999999995</v>
      </c>
      <c r="I78" s="40">
        <v>45.266415000000002</v>
      </c>
      <c r="J78" s="40">
        <v>17.944251999999999</v>
      </c>
      <c r="K78" s="47">
        <v>0.99487305000000004</v>
      </c>
      <c r="L78" s="47">
        <v>17.617629999999998</v>
      </c>
      <c r="M78" s="47">
        <v>21.664417</v>
      </c>
      <c r="N78" s="47">
        <v>-6.6459299999999999</v>
      </c>
    </row>
    <row r="79" spans="1:14" x14ac:dyDescent="0.35">
      <c r="A79" s="2">
        <v>44176</v>
      </c>
      <c r="B79" s="40">
        <v>22.654093</v>
      </c>
      <c r="C79" s="40">
        <v>8.0612899999999996</v>
      </c>
      <c r="D79" s="40">
        <v>8.7195990000000005</v>
      </c>
      <c r="E79" s="40">
        <v>7.3667290000000003</v>
      </c>
      <c r="F79" s="40">
        <v>11.33436</v>
      </c>
      <c r="G79" s="40">
        <v>12.938010999999999</v>
      </c>
      <c r="H79" s="40">
        <v>-8.0412330000000001</v>
      </c>
      <c r="I79" s="40">
        <v>48.359740000000002</v>
      </c>
      <c r="J79" s="40">
        <v>18.790268000000001</v>
      </c>
      <c r="K79" s="47">
        <v>5.1525353999999997</v>
      </c>
      <c r="L79" s="47">
        <v>22.198141</v>
      </c>
      <c r="M79" s="47">
        <v>23.47343</v>
      </c>
      <c r="N79" s="47">
        <v>1.8901587</v>
      </c>
    </row>
    <row r="80" spans="1:14" x14ac:dyDescent="0.35">
      <c r="A80" s="2">
        <v>44207</v>
      </c>
      <c r="B80" s="40">
        <v>21.711123000000001</v>
      </c>
      <c r="C80" s="40">
        <v>9.3755959999999998</v>
      </c>
      <c r="D80" s="40">
        <v>8.3026409999999995</v>
      </c>
      <c r="E80" s="40">
        <v>11.289144</v>
      </c>
      <c r="F80" s="40">
        <v>16.702663000000001</v>
      </c>
      <c r="G80" s="40">
        <v>13.838362999999999</v>
      </c>
      <c r="H80" s="40">
        <v>-6.2669160000000002</v>
      </c>
      <c r="I80" s="40">
        <v>44.972397000000001</v>
      </c>
      <c r="J80" s="40">
        <v>18.478881999999999</v>
      </c>
      <c r="K80" s="47">
        <v>5.4115890000000002</v>
      </c>
      <c r="L80" s="47">
        <v>26.984477999999999</v>
      </c>
      <c r="M80" s="47">
        <v>27.734708999999999</v>
      </c>
      <c r="N80" s="47">
        <v>3.1517148000000001</v>
      </c>
    </row>
    <row r="81" spans="1:14" x14ac:dyDescent="0.35">
      <c r="A81" s="2">
        <v>44238</v>
      </c>
      <c r="B81" s="40">
        <v>19.059775999999999</v>
      </c>
      <c r="C81" s="40">
        <v>12.519765</v>
      </c>
      <c r="D81" s="40">
        <v>10.202301</v>
      </c>
      <c r="E81" s="40">
        <v>14.150917</v>
      </c>
      <c r="F81" s="40">
        <v>20.537673999999999</v>
      </c>
      <c r="G81" s="40">
        <v>9.9404219999999999</v>
      </c>
      <c r="H81" s="40">
        <v>-6.3699960000000004</v>
      </c>
      <c r="I81" s="40">
        <v>45.238148000000002</v>
      </c>
      <c r="J81" s="40">
        <v>18.757462</v>
      </c>
      <c r="K81" s="47">
        <v>6.279528</v>
      </c>
      <c r="L81" s="47">
        <v>33.398353999999998</v>
      </c>
      <c r="M81" s="47">
        <v>26.710785000000001</v>
      </c>
      <c r="N81" s="47">
        <v>4.2209149999999998</v>
      </c>
    </row>
    <row r="82" spans="1:14" x14ac:dyDescent="0.35">
      <c r="A82" s="2">
        <v>44266</v>
      </c>
      <c r="B82" s="40">
        <v>26.797152000000001</v>
      </c>
      <c r="C82" s="40">
        <v>47.653914999999998</v>
      </c>
      <c r="D82" s="40">
        <v>49.737907</v>
      </c>
      <c r="E82" s="40">
        <v>46.960402999999999</v>
      </c>
      <c r="F82" s="40">
        <v>38.623429999999999</v>
      </c>
      <c r="G82" s="40">
        <v>26.029669999999999</v>
      </c>
      <c r="H82" s="40">
        <v>26.944849999999999</v>
      </c>
      <c r="I82" s="40">
        <v>64.075935000000001</v>
      </c>
      <c r="J82" s="40">
        <v>46.165622999999997</v>
      </c>
      <c r="K82" s="47">
        <v>41.965041999999997</v>
      </c>
      <c r="L82" s="47">
        <v>65.87285</v>
      </c>
      <c r="M82" s="47">
        <v>68.168559999999999</v>
      </c>
      <c r="N82" s="47">
        <v>44.874656999999999</v>
      </c>
    </row>
    <row r="83" spans="1:14" x14ac:dyDescent="0.35">
      <c r="A83" s="2">
        <v>44295</v>
      </c>
      <c r="B83" s="40">
        <v>38.204967000000003</v>
      </c>
      <c r="C83" s="40">
        <v>57.05415</v>
      </c>
      <c r="D83" s="40">
        <v>54.997109999999999</v>
      </c>
      <c r="E83" s="40">
        <v>53.651429999999998</v>
      </c>
      <c r="F83" s="40">
        <v>39.943919999999999</v>
      </c>
      <c r="G83" s="40">
        <v>29.537223999999998</v>
      </c>
      <c r="H83" s="40">
        <v>31.933605</v>
      </c>
      <c r="I83" s="40">
        <v>68.880775</v>
      </c>
      <c r="J83" s="40">
        <v>50.297927999999999</v>
      </c>
      <c r="K83" s="47">
        <v>49.798920000000003</v>
      </c>
      <c r="L83" s="47">
        <v>75.711039999999997</v>
      </c>
      <c r="M83" s="47">
        <v>78.848519999999994</v>
      </c>
      <c r="N83" s="47">
        <v>50.167538</v>
      </c>
    </row>
    <row r="84" spans="1:14" x14ac:dyDescent="0.35">
      <c r="A84" s="2">
        <v>44327</v>
      </c>
      <c r="B84" s="40">
        <v>31.661642000000001</v>
      </c>
      <c r="C84" s="40">
        <v>60.420833999999999</v>
      </c>
      <c r="D84" s="40">
        <v>51.870322999999999</v>
      </c>
      <c r="E84" s="40">
        <v>51.507877000000001</v>
      </c>
      <c r="F84" s="40">
        <v>29.751646000000001</v>
      </c>
      <c r="G84" s="40">
        <v>26.731705000000002</v>
      </c>
      <c r="H84" s="40">
        <v>36.510277000000002</v>
      </c>
      <c r="I84" s="40">
        <v>44.285404</v>
      </c>
      <c r="J84" s="40">
        <v>43.894979999999997</v>
      </c>
      <c r="K84" s="47">
        <v>57.025826000000002</v>
      </c>
      <c r="L84" s="47">
        <v>67.059299999999993</v>
      </c>
      <c r="M84" s="47">
        <v>73.839484999999996</v>
      </c>
      <c r="N84" s="47">
        <v>59.429146000000003</v>
      </c>
    </row>
    <row r="85" spans="1:14" x14ac:dyDescent="0.35">
      <c r="A85" s="2">
        <v>44358</v>
      </c>
      <c r="B85" s="40">
        <v>21.244323999999999</v>
      </c>
      <c r="C85" s="40">
        <v>48.581195999999998</v>
      </c>
      <c r="D85" s="40">
        <v>54.187213999999997</v>
      </c>
      <c r="E85" s="40">
        <v>40.235183999999997</v>
      </c>
      <c r="F85" s="40">
        <v>27.318107999999999</v>
      </c>
      <c r="G85" s="40">
        <v>34.390841999999999</v>
      </c>
      <c r="H85" s="40">
        <v>37.132133000000003</v>
      </c>
      <c r="I85" s="40">
        <v>46.726643000000003</v>
      </c>
      <c r="J85" s="40">
        <v>43.426940000000002</v>
      </c>
      <c r="K85" s="47">
        <v>51.161754999999999</v>
      </c>
      <c r="L85" s="47">
        <v>62.910330000000002</v>
      </c>
      <c r="M85" s="47">
        <v>68.848274000000004</v>
      </c>
      <c r="N85" s="47">
        <v>49.774909999999998</v>
      </c>
    </row>
    <row r="86" spans="1:14" x14ac:dyDescent="0.35">
      <c r="A86" s="2">
        <v>44386</v>
      </c>
      <c r="B86" s="40">
        <v>10.754860000000001</v>
      </c>
      <c r="C86" s="40">
        <v>37.603316999999997</v>
      </c>
      <c r="D86" s="40">
        <v>46.558059999999998</v>
      </c>
      <c r="E86" s="40">
        <v>29.494976000000001</v>
      </c>
      <c r="F86" s="40">
        <v>25.662600999999999</v>
      </c>
      <c r="G86" s="40">
        <v>26.042128000000002</v>
      </c>
      <c r="H86" s="40">
        <v>32.492935000000003</v>
      </c>
      <c r="I86" s="40">
        <v>38.476405999999997</v>
      </c>
      <c r="J86" s="40">
        <v>40.612377000000002</v>
      </c>
      <c r="K86" s="47">
        <v>39.728749999999998</v>
      </c>
      <c r="L86" s="47">
        <v>44.115270000000002</v>
      </c>
      <c r="M86" s="47">
        <v>51.862845999999998</v>
      </c>
      <c r="N86" s="47">
        <v>34.666156999999998</v>
      </c>
    </row>
    <row r="87" spans="1:14" x14ac:dyDescent="0.35">
      <c r="A87" s="2">
        <v>44419</v>
      </c>
      <c r="B87" s="40">
        <v>8.5266590000000004</v>
      </c>
      <c r="C87" s="40">
        <v>31.398916</v>
      </c>
      <c r="D87" s="40">
        <v>36.931564000000002</v>
      </c>
      <c r="E87" s="40">
        <v>22.508752999999999</v>
      </c>
      <c r="F87" s="40">
        <v>22.395562999999999</v>
      </c>
      <c r="G87" s="40">
        <v>25.972152999999999</v>
      </c>
      <c r="H87" s="40">
        <v>29.153096999999999</v>
      </c>
      <c r="I87" s="40">
        <v>38.876617000000003</v>
      </c>
      <c r="J87" s="40">
        <v>35.348927000000003</v>
      </c>
      <c r="K87" s="47">
        <v>37.451659999999997</v>
      </c>
      <c r="L87" s="47">
        <v>48.091614</v>
      </c>
      <c r="M87" s="47">
        <v>42.134880000000003</v>
      </c>
      <c r="N87" s="47">
        <v>32.770583999999999</v>
      </c>
    </row>
    <row r="88" spans="1:14" x14ac:dyDescent="0.35">
      <c r="A88" s="2">
        <v>44449</v>
      </c>
      <c r="B88" s="40">
        <v>10.965764999999999</v>
      </c>
      <c r="C88" s="40">
        <v>32.238532999999997</v>
      </c>
      <c r="D88" s="40">
        <v>36.468220000000002</v>
      </c>
      <c r="E88" s="40">
        <v>17.926407000000001</v>
      </c>
      <c r="F88" s="40">
        <v>27.390718</v>
      </c>
      <c r="G88" s="40">
        <v>20.486640000000001</v>
      </c>
      <c r="H88" s="40">
        <v>30.877030000000001</v>
      </c>
      <c r="I88" s="40">
        <v>39.063583000000001</v>
      </c>
      <c r="J88" s="40">
        <v>35.41169</v>
      </c>
      <c r="K88" s="47">
        <v>34.803783000000003</v>
      </c>
      <c r="L88" s="47">
        <v>53.066372000000001</v>
      </c>
      <c r="M88" s="47">
        <v>38.947166000000003</v>
      </c>
      <c r="N88" s="47">
        <v>29.371489</v>
      </c>
    </row>
    <row r="89" spans="1:14" x14ac:dyDescent="0.35">
      <c r="A89" s="2">
        <v>44480</v>
      </c>
      <c r="B89" s="40">
        <v>2.2033572000000001</v>
      </c>
      <c r="C89" s="40">
        <v>25.190199</v>
      </c>
      <c r="D89" s="40">
        <v>33.968879999999999</v>
      </c>
      <c r="E89" s="40">
        <v>10.823274</v>
      </c>
      <c r="F89" s="40">
        <v>15.925598000000001</v>
      </c>
      <c r="G89" s="40">
        <v>14.128304</v>
      </c>
      <c r="H89" s="40">
        <v>27.856646999999999</v>
      </c>
      <c r="I89" s="40">
        <v>26.109539999999999</v>
      </c>
      <c r="J89" s="40">
        <v>27.102982999999998</v>
      </c>
      <c r="K89" s="47">
        <v>30.436575000000001</v>
      </c>
      <c r="L89" s="47">
        <v>34.811079999999997</v>
      </c>
      <c r="M89" s="47">
        <v>25.492882000000002</v>
      </c>
      <c r="N89" s="47">
        <v>29.024733000000001</v>
      </c>
    </row>
    <row r="90" spans="1:14" x14ac:dyDescent="0.35">
      <c r="A90" s="2">
        <v>44511</v>
      </c>
      <c r="B90" s="40">
        <v>-2.8266966</v>
      </c>
      <c r="C90" s="40">
        <v>18.327331999999998</v>
      </c>
      <c r="D90" s="40">
        <v>38.048682999999997</v>
      </c>
      <c r="E90" s="40">
        <v>17.220188</v>
      </c>
      <c r="F90" s="40">
        <v>10.067344</v>
      </c>
      <c r="G90" s="40">
        <v>21.506287</v>
      </c>
      <c r="H90" s="40">
        <v>21.213971999999998</v>
      </c>
      <c r="I90" s="40">
        <v>35.519005</v>
      </c>
      <c r="J90" s="40">
        <v>31.872389999999999</v>
      </c>
      <c r="K90" s="47">
        <v>27.589690999999998</v>
      </c>
      <c r="L90" s="47">
        <v>39.407350000000001</v>
      </c>
      <c r="M90" s="47">
        <v>30.110205000000001</v>
      </c>
      <c r="N90" s="47">
        <v>27.927911999999999</v>
      </c>
    </row>
    <row r="91" spans="1:14" x14ac:dyDescent="0.35">
      <c r="A91" s="2">
        <v>44540</v>
      </c>
      <c r="B91" s="40">
        <v>-10.822701</v>
      </c>
      <c r="C91" s="40">
        <v>8.1683400000000006</v>
      </c>
      <c r="D91" s="40">
        <v>22.643148</v>
      </c>
      <c r="E91" s="40">
        <v>7.7617526000000003</v>
      </c>
      <c r="F91" s="40">
        <v>5.1548360000000004</v>
      </c>
      <c r="G91" s="40">
        <v>20.056056999999999</v>
      </c>
      <c r="H91" s="40">
        <v>14.490890500000001</v>
      </c>
      <c r="I91" s="40">
        <v>32.268810000000002</v>
      </c>
      <c r="J91" s="40">
        <v>30.182456999999999</v>
      </c>
      <c r="K91" s="47">
        <v>19.113613000000001</v>
      </c>
      <c r="L91" s="47">
        <v>23.570309999999999</v>
      </c>
      <c r="M91" s="47">
        <v>20.441675</v>
      </c>
      <c r="N91" s="47">
        <v>13.712776</v>
      </c>
    </row>
    <row r="92" spans="1:14" x14ac:dyDescent="0.35">
      <c r="A92" s="2">
        <v>44572</v>
      </c>
      <c r="B92" s="40">
        <v>-13.511526</v>
      </c>
      <c r="C92" s="40">
        <v>6.4661384000000002</v>
      </c>
      <c r="D92" s="40">
        <v>24.623322000000002</v>
      </c>
      <c r="E92" s="40">
        <v>5.3993583000000003</v>
      </c>
      <c r="F92" s="40">
        <v>-0.32264589999999999</v>
      </c>
      <c r="G92" s="40">
        <v>15.785587</v>
      </c>
      <c r="H92" s="40">
        <v>16.435563999999999</v>
      </c>
      <c r="I92" s="40">
        <v>23.300229999999999</v>
      </c>
      <c r="J92" s="40">
        <v>25.71547</v>
      </c>
      <c r="K92" s="47">
        <v>20.773565000000001</v>
      </c>
      <c r="L92" s="47">
        <v>16.888736999999999</v>
      </c>
      <c r="M92" s="47">
        <v>16.923200000000001</v>
      </c>
      <c r="N92" s="47">
        <v>14.078640999999999</v>
      </c>
    </row>
    <row r="93" spans="1:14" x14ac:dyDescent="0.35">
      <c r="A93" s="2">
        <v>44603</v>
      </c>
      <c r="B93" s="40">
        <v>-17.338526000000002</v>
      </c>
      <c r="C93" s="40">
        <v>-0.93997120000000001</v>
      </c>
      <c r="D93" s="40">
        <v>20.722507</v>
      </c>
      <c r="E93" s="40">
        <v>-1.5378892</v>
      </c>
      <c r="F93" s="40">
        <v>-8.1916274999999992</v>
      </c>
      <c r="G93" s="40">
        <v>9.1832049999999992</v>
      </c>
      <c r="H93" s="40">
        <v>19.584667</v>
      </c>
      <c r="I93" s="40">
        <v>4.2302730000000004</v>
      </c>
      <c r="J93" s="40">
        <v>14.250398000000001</v>
      </c>
      <c r="K93" s="47">
        <v>14.217067</v>
      </c>
      <c r="L93" s="47">
        <v>8.0871579999999998E-2</v>
      </c>
      <c r="M93" s="47">
        <v>1.3579129999999999</v>
      </c>
      <c r="N93" s="47">
        <v>7.3375583000000004</v>
      </c>
    </row>
    <row r="94" spans="1:14" x14ac:dyDescent="0.35">
      <c r="A94" s="2">
        <v>44631</v>
      </c>
      <c r="B94" s="40">
        <v>-13.08403</v>
      </c>
      <c r="C94" s="40">
        <v>1.7098308</v>
      </c>
      <c r="D94" s="40">
        <v>14.490461</v>
      </c>
      <c r="E94" s="40">
        <v>-17.671728000000002</v>
      </c>
      <c r="F94" s="40">
        <v>-12.180096000000001</v>
      </c>
      <c r="G94" s="40">
        <v>4.0564774999999997</v>
      </c>
      <c r="H94" s="40">
        <v>3.9938807000000001</v>
      </c>
      <c r="I94" s="40">
        <v>2.491641</v>
      </c>
      <c r="J94" s="40">
        <v>8.1806549999999998</v>
      </c>
      <c r="K94" s="47">
        <v>-4.5960546000000004</v>
      </c>
      <c r="L94" s="47">
        <v>-14.104062000000001</v>
      </c>
      <c r="M94" s="47">
        <v>-15.792446999999999</v>
      </c>
      <c r="N94" s="47">
        <v>-12.605100999999999</v>
      </c>
    </row>
    <row r="95" spans="1:14" x14ac:dyDescent="0.35">
      <c r="A95" s="2">
        <v>44662</v>
      </c>
      <c r="B95" s="40">
        <v>-12.960106</v>
      </c>
      <c r="C95" s="40">
        <v>8.1363090000000007</v>
      </c>
      <c r="D95" s="40">
        <v>14.995480000000001</v>
      </c>
      <c r="E95" s="40">
        <v>-18.944804999999999</v>
      </c>
      <c r="F95" s="40">
        <v>-14.293336999999999</v>
      </c>
      <c r="G95" s="40">
        <v>9.9973200000000002</v>
      </c>
      <c r="H95" s="40">
        <v>10.118687</v>
      </c>
      <c r="I95" s="40">
        <v>1.6089559</v>
      </c>
      <c r="J95" s="40">
        <v>8.325386</v>
      </c>
      <c r="K95" s="47">
        <v>-1.6381562000000001</v>
      </c>
      <c r="L95" s="47">
        <v>-14.925069000000001</v>
      </c>
      <c r="M95" s="47">
        <v>-14.402132999999999</v>
      </c>
      <c r="N95" s="47">
        <v>-5.9242010000000001</v>
      </c>
    </row>
    <row r="96" spans="1:14" x14ac:dyDescent="0.35">
      <c r="A96" s="2">
        <v>44692</v>
      </c>
      <c r="B96" s="40">
        <v>-25.857341999999999</v>
      </c>
      <c r="C96" s="40">
        <v>-8.1853569999999998</v>
      </c>
      <c r="D96" s="40">
        <v>-1.9816697000000001</v>
      </c>
      <c r="E96" s="40">
        <v>-25.343316999999999</v>
      </c>
      <c r="F96" s="40">
        <v>-17.785357999999999</v>
      </c>
      <c r="G96" s="40">
        <v>-5.6534170000000001</v>
      </c>
      <c r="H96" s="40">
        <v>-3.9551020000000001</v>
      </c>
      <c r="I96" s="40">
        <v>-9.8560095000000008</v>
      </c>
      <c r="J96" s="40">
        <v>-3.9247692000000001</v>
      </c>
      <c r="K96" s="47">
        <v>-12.189781</v>
      </c>
      <c r="L96" s="47">
        <v>-24.227547000000001</v>
      </c>
      <c r="M96" s="47">
        <v>-25.134636</v>
      </c>
      <c r="N96" s="47">
        <v>-15.534490999999999</v>
      </c>
    </row>
    <row r="97" spans="1:14" x14ac:dyDescent="0.35">
      <c r="A97" s="2">
        <v>44722</v>
      </c>
      <c r="B97" s="40">
        <v>-24.374669999999998</v>
      </c>
      <c r="C97" s="40">
        <v>-11.347616</v>
      </c>
      <c r="D97" s="40">
        <v>-2.3698807</v>
      </c>
      <c r="E97" s="40">
        <v>-27.290289999999999</v>
      </c>
      <c r="F97" s="40">
        <v>-18.492858999999999</v>
      </c>
      <c r="G97" s="40">
        <v>-15.384740000000001</v>
      </c>
      <c r="H97" s="40">
        <v>-3.6018848000000001</v>
      </c>
      <c r="I97" s="40">
        <v>-14.725161</v>
      </c>
      <c r="J97" s="40">
        <v>-6.7623195999999997</v>
      </c>
      <c r="K97" s="47">
        <v>-14.872372</v>
      </c>
      <c r="L97" s="47">
        <v>-25.249928000000001</v>
      </c>
      <c r="M97" s="47">
        <v>-26.689630000000001</v>
      </c>
      <c r="N97" s="47">
        <v>-21.457280000000001</v>
      </c>
    </row>
    <row r="98" spans="1:14" x14ac:dyDescent="0.35">
      <c r="A98" s="2">
        <v>44753</v>
      </c>
      <c r="B98" s="40">
        <v>-26.098483999999999</v>
      </c>
      <c r="C98" s="40">
        <v>-15.003735000000001</v>
      </c>
      <c r="D98" s="40">
        <v>-8.8785229999999995</v>
      </c>
      <c r="E98" s="40">
        <v>-34.459133000000001</v>
      </c>
      <c r="F98" s="40">
        <v>-20.767396999999999</v>
      </c>
      <c r="G98" s="40">
        <v>-14.690346</v>
      </c>
      <c r="H98" s="40">
        <v>-8.0422399999999996</v>
      </c>
      <c r="I98" s="40">
        <v>-19.491440000000001</v>
      </c>
      <c r="J98" s="40">
        <v>-10.5193615</v>
      </c>
      <c r="K98" s="47">
        <v>-18.928509999999999</v>
      </c>
      <c r="L98" s="47">
        <v>-28.530508000000001</v>
      </c>
      <c r="M98" s="47">
        <v>-32.128197</v>
      </c>
      <c r="N98" s="47">
        <v>-24.542475</v>
      </c>
    </row>
    <row r="99" spans="1:14" x14ac:dyDescent="0.35">
      <c r="A99" s="2">
        <v>44784</v>
      </c>
      <c r="B99" s="40">
        <v>-17.142272999999999</v>
      </c>
      <c r="C99" s="40">
        <v>-7.0118245999999997</v>
      </c>
      <c r="D99" s="40">
        <v>-3.1326233999999999</v>
      </c>
      <c r="E99" s="40">
        <v>-28.481214999999999</v>
      </c>
      <c r="F99" s="40">
        <v>-16.115062999999999</v>
      </c>
      <c r="G99" s="40">
        <v>-11.324787000000001</v>
      </c>
      <c r="H99" s="40">
        <v>-3.4049928</v>
      </c>
      <c r="I99" s="40">
        <v>-11.013251</v>
      </c>
      <c r="J99" s="40">
        <v>-4.011965</v>
      </c>
      <c r="K99" s="47">
        <v>-12.590260000000001</v>
      </c>
      <c r="L99" s="47">
        <v>-24.079014000000001</v>
      </c>
      <c r="M99" s="47">
        <v>-26.010334</v>
      </c>
      <c r="N99" s="47">
        <v>-21.667141000000001</v>
      </c>
    </row>
    <row r="100" spans="1:14" x14ac:dyDescent="0.35">
      <c r="A100" s="2">
        <v>44813</v>
      </c>
      <c r="B100" s="40">
        <v>-22.733889999999999</v>
      </c>
      <c r="C100" s="40">
        <v>-7.9918680000000002</v>
      </c>
      <c r="D100" s="40">
        <v>-5.0531683000000003</v>
      </c>
      <c r="E100" s="40">
        <v>-32.484200000000001</v>
      </c>
      <c r="F100" s="40">
        <v>-25.503195000000002</v>
      </c>
      <c r="G100" s="40">
        <v>-14.36016</v>
      </c>
      <c r="H100" s="40">
        <v>-6.2338829999999996</v>
      </c>
      <c r="I100" s="40">
        <v>-18.6249</v>
      </c>
      <c r="J100" s="40">
        <v>-8.1485029999999998</v>
      </c>
      <c r="K100" s="47">
        <v>-17.543310000000002</v>
      </c>
      <c r="L100" s="47">
        <v>-32.938479999999998</v>
      </c>
      <c r="M100" s="47">
        <v>-31.514894000000002</v>
      </c>
      <c r="N100" s="47">
        <v>-23.757719999999999</v>
      </c>
    </row>
    <row r="101" spans="1:14" x14ac:dyDescent="0.35">
      <c r="A101" s="2">
        <v>44845</v>
      </c>
      <c r="B101" s="40">
        <v>-32.247996999999998</v>
      </c>
      <c r="C101" s="40">
        <v>-17.646104999999999</v>
      </c>
      <c r="D101" s="40">
        <v>-17.40532</v>
      </c>
      <c r="E101" s="40">
        <v>-36.777749999999997</v>
      </c>
      <c r="F101" s="40">
        <v>-26.293056</v>
      </c>
      <c r="G101" s="40">
        <v>-20.218342</v>
      </c>
      <c r="H101" s="40">
        <v>-17.163122000000001</v>
      </c>
      <c r="I101" s="40">
        <v>-26.231324999999998</v>
      </c>
      <c r="J101" s="40">
        <v>-16.454065</v>
      </c>
      <c r="K101" s="47">
        <v>-23.329317</v>
      </c>
      <c r="L101" s="47">
        <v>-37.688859999999998</v>
      </c>
      <c r="M101" s="47">
        <v>-36.030769999999997</v>
      </c>
      <c r="N101" s="47">
        <v>-29.566061000000001</v>
      </c>
    </row>
    <row r="102" spans="1:14" x14ac:dyDescent="0.35">
      <c r="A102" s="2">
        <v>44876</v>
      </c>
      <c r="B102" s="40">
        <v>-24.119658000000001</v>
      </c>
      <c r="C102" s="40">
        <v>-5.5944976999999998</v>
      </c>
      <c r="D102" s="40">
        <v>-9.3813060000000004</v>
      </c>
      <c r="E102" s="40">
        <v>-24.239391000000001</v>
      </c>
      <c r="F102" s="40">
        <v>-18.624656999999999</v>
      </c>
      <c r="G102" s="40">
        <v>-12.918925</v>
      </c>
      <c r="H102" s="40">
        <v>-6.810397</v>
      </c>
      <c r="I102" s="40">
        <v>-25.818407000000001</v>
      </c>
      <c r="J102" s="40">
        <v>-12.768345999999999</v>
      </c>
      <c r="K102" s="47">
        <v>-12.714994000000001</v>
      </c>
      <c r="L102" s="47">
        <v>-26.896626000000001</v>
      </c>
      <c r="M102" s="47">
        <v>-25.260179999999998</v>
      </c>
      <c r="N102" s="47">
        <v>-15.555531</v>
      </c>
    </row>
    <row r="103" spans="1:14" x14ac:dyDescent="0.35">
      <c r="A103" s="2">
        <v>44904</v>
      </c>
      <c r="B103" s="40">
        <v>-13.236737</v>
      </c>
      <c r="C103" s="40">
        <v>-1.6259729999999999</v>
      </c>
      <c r="D103" s="40">
        <v>-9.262556</v>
      </c>
      <c r="E103" s="40">
        <v>-19.230174999999999</v>
      </c>
      <c r="F103" s="40">
        <v>-17.252289999999999</v>
      </c>
      <c r="G103" s="40">
        <v>-14.3558445</v>
      </c>
      <c r="H103" s="40">
        <v>-0.14573336000000001</v>
      </c>
      <c r="I103" s="40">
        <v>-27.922893999999999</v>
      </c>
      <c r="J103" s="40">
        <v>-14.389431</v>
      </c>
      <c r="K103" s="47">
        <v>-8.5081939999999996</v>
      </c>
      <c r="L103" s="47">
        <v>-19.519901000000001</v>
      </c>
      <c r="M103" s="47">
        <v>-22.220504999999999</v>
      </c>
      <c r="N103" s="47">
        <v>-11.833095999999999</v>
      </c>
    </row>
    <row r="104" spans="1:14" x14ac:dyDescent="0.35">
      <c r="A104" s="2">
        <v>44937</v>
      </c>
      <c r="B104" s="40">
        <v>-12.364185000000001</v>
      </c>
      <c r="C104" s="40">
        <v>-0.71244240000000003</v>
      </c>
      <c r="D104" s="40">
        <v>-9.9122520000000005</v>
      </c>
      <c r="E104" s="40">
        <v>-15.322018</v>
      </c>
      <c r="F104" s="40">
        <v>-16.658342000000001</v>
      </c>
      <c r="G104" s="40">
        <v>-12.091726</v>
      </c>
      <c r="H104" s="40">
        <v>-3.3174275999999998</v>
      </c>
      <c r="I104" s="40">
        <v>-27.533829000000001</v>
      </c>
      <c r="J104" s="40">
        <v>-14.432202999999999</v>
      </c>
      <c r="K104" s="47">
        <v>-6.3555419999999998</v>
      </c>
      <c r="L104" s="47">
        <v>-14.48062</v>
      </c>
      <c r="M104" s="47">
        <v>-20.48856</v>
      </c>
      <c r="N104" s="47">
        <v>-8.579599</v>
      </c>
    </row>
    <row r="105" spans="1:14" x14ac:dyDescent="0.35">
      <c r="A105" s="2">
        <v>44967</v>
      </c>
      <c r="B105" s="40">
        <v>-4.3887080000000003</v>
      </c>
      <c r="C105" s="40">
        <v>6.3409209999999998</v>
      </c>
      <c r="D105" s="40">
        <v>-6.7945840000000004</v>
      </c>
      <c r="E105" s="40">
        <v>-11.199135</v>
      </c>
      <c r="F105" s="40">
        <v>-8.7794249999999998</v>
      </c>
      <c r="G105" s="40">
        <v>-7.6659439999999996</v>
      </c>
      <c r="H105" s="40">
        <v>-3.357774</v>
      </c>
      <c r="I105" s="40">
        <v>-15.771079</v>
      </c>
      <c r="J105" s="40">
        <v>-7.7097774000000001</v>
      </c>
      <c r="K105" s="47">
        <v>-2.3639559999999999</v>
      </c>
      <c r="L105" s="47">
        <v>-8.7666690000000003</v>
      </c>
      <c r="M105" s="47">
        <v>-13.809562</v>
      </c>
      <c r="N105" s="47">
        <v>-3.7998080000000001</v>
      </c>
    </row>
    <row r="106" spans="1:14" x14ac:dyDescent="0.35">
      <c r="A106" s="2">
        <v>44995</v>
      </c>
      <c r="B106" s="40">
        <v>-11.30147</v>
      </c>
      <c r="C106" s="40">
        <v>-5.0464989999999998</v>
      </c>
      <c r="D106" s="40">
        <v>-13.22946</v>
      </c>
      <c r="E106" s="40">
        <v>5.0114869999999998</v>
      </c>
      <c r="F106" s="40">
        <v>-3.4236789000000001</v>
      </c>
      <c r="G106" s="40">
        <v>-4.4069586000000003</v>
      </c>
      <c r="H106" s="40">
        <v>2.903378</v>
      </c>
      <c r="I106" s="40">
        <v>-12.2559185</v>
      </c>
      <c r="J106" s="40">
        <v>-7.8244866999999996</v>
      </c>
      <c r="K106" s="47">
        <v>13.574446</v>
      </c>
      <c r="L106" s="47">
        <v>3.4733295000000002</v>
      </c>
      <c r="M106" s="47">
        <v>-3.9682029999999999</v>
      </c>
      <c r="N106" s="47">
        <v>13.878655</v>
      </c>
    </row>
    <row r="107" spans="1:14" x14ac:dyDescent="0.35">
      <c r="A107" s="2">
        <v>45027</v>
      </c>
      <c r="B107" s="40">
        <v>-5.9229729999999998</v>
      </c>
      <c r="C107" s="40">
        <v>-6.899953</v>
      </c>
      <c r="D107" s="40">
        <v>-9.8755059999999997</v>
      </c>
      <c r="E107" s="40">
        <v>8.0680010000000006</v>
      </c>
      <c r="F107" s="40">
        <v>0.13016462000000001</v>
      </c>
      <c r="G107" s="40">
        <v>-5.1957490000000002</v>
      </c>
      <c r="H107" s="40">
        <v>1.2521982</v>
      </c>
      <c r="I107" s="40">
        <v>-6.6423297000000003</v>
      </c>
      <c r="J107" s="40">
        <v>-5.2752020000000002</v>
      </c>
      <c r="K107" s="47">
        <v>15.983008999999999</v>
      </c>
      <c r="L107" s="47">
        <v>6.5557720000000002</v>
      </c>
      <c r="M107" s="47">
        <v>-3.8875340999999999</v>
      </c>
      <c r="N107" s="47">
        <v>12.148714</v>
      </c>
    </row>
    <row r="108" spans="1:14" x14ac:dyDescent="0.35">
      <c r="A108" s="2">
        <v>45057</v>
      </c>
      <c r="B108" s="40">
        <v>10.498512</v>
      </c>
      <c r="C108" s="40">
        <v>3.9765953999999999</v>
      </c>
      <c r="D108" s="40">
        <v>1.4872789</v>
      </c>
      <c r="E108" s="40">
        <v>18.326008000000002</v>
      </c>
      <c r="F108" s="40">
        <v>11.106038</v>
      </c>
      <c r="G108" s="40">
        <v>14.476132</v>
      </c>
      <c r="H108" s="40">
        <v>12.076783000000001</v>
      </c>
      <c r="I108" s="40">
        <v>12.628961</v>
      </c>
      <c r="J108" s="40">
        <v>6.7255140000000004</v>
      </c>
      <c r="K108" s="47">
        <v>26.966094999999999</v>
      </c>
      <c r="L108" s="47">
        <v>19.645596000000001</v>
      </c>
      <c r="M108" s="47">
        <v>12.335944</v>
      </c>
      <c r="N108" s="47">
        <v>23.104668</v>
      </c>
    </row>
    <row r="109" spans="1:14" x14ac:dyDescent="0.35">
      <c r="A109" s="2">
        <v>45086</v>
      </c>
      <c r="B109" s="40">
        <v>3.7522196999999999</v>
      </c>
      <c r="C109" s="40">
        <v>0.85567236000000002</v>
      </c>
      <c r="D109" s="40">
        <v>-5.5985569999999996</v>
      </c>
      <c r="E109" s="40">
        <v>11.408984999999999</v>
      </c>
      <c r="F109" s="40">
        <v>12.542152</v>
      </c>
      <c r="G109" s="40">
        <v>11.12628</v>
      </c>
      <c r="H109" s="40">
        <v>5.2681922999999999</v>
      </c>
      <c r="I109" s="40">
        <v>19.309593</v>
      </c>
      <c r="J109" s="40">
        <v>8.917332</v>
      </c>
      <c r="K109" s="47">
        <v>17.667925</v>
      </c>
      <c r="L109" s="47">
        <v>13.539516000000001</v>
      </c>
      <c r="M109" s="47">
        <v>3.5046816000000001</v>
      </c>
      <c r="N109" s="47">
        <v>18.269575</v>
      </c>
    </row>
    <row r="110" spans="1:14" x14ac:dyDescent="0.35">
      <c r="A110" s="2">
        <v>45118</v>
      </c>
      <c r="B110" s="40">
        <v>11.596560500000001</v>
      </c>
      <c r="C110" s="40">
        <v>11.540305999999999</v>
      </c>
      <c r="D110" s="40">
        <v>6.1199783999999999</v>
      </c>
      <c r="E110" s="40">
        <v>31.639241999999999</v>
      </c>
      <c r="F110" s="40">
        <v>17.748259999999998</v>
      </c>
      <c r="G110" s="40">
        <v>13.635826</v>
      </c>
      <c r="H110" s="40">
        <v>12.732087999999999</v>
      </c>
      <c r="I110" s="40">
        <v>28.287196999999999</v>
      </c>
      <c r="J110" s="40">
        <v>17.05265</v>
      </c>
      <c r="K110" s="47">
        <v>34.251044999999998</v>
      </c>
      <c r="L110" s="47">
        <v>29.265726000000001</v>
      </c>
      <c r="M110" s="47">
        <v>16.607272999999999</v>
      </c>
      <c r="N110" s="47">
        <v>42.416297999999998</v>
      </c>
    </row>
    <row r="111" spans="1:14" x14ac:dyDescent="0.35">
      <c r="A111" s="2">
        <v>45149</v>
      </c>
      <c r="B111" s="40">
        <v>-3.9346158999999998</v>
      </c>
      <c r="C111" s="40">
        <v>0.22882222999999999</v>
      </c>
      <c r="D111" s="40">
        <v>-0.17054676999999999</v>
      </c>
      <c r="E111" s="40">
        <v>20.431746</v>
      </c>
      <c r="F111" s="40">
        <v>10.038399999999999</v>
      </c>
      <c r="G111" s="40">
        <v>8.5724944999999995</v>
      </c>
      <c r="H111" s="40">
        <v>8.1256029999999999</v>
      </c>
      <c r="I111" s="40">
        <v>13.81681</v>
      </c>
      <c r="J111" s="40">
        <v>7.8582882999999999</v>
      </c>
      <c r="K111" s="47">
        <v>20.992172</v>
      </c>
      <c r="L111" s="47">
        <v>14.380062000000001</v>
      </c>
      <c r="M111" s="47">
        <v>0.98692179999999996</v>
      </c>
      <c r="N111" s="47">
        <v>31.808674</v>
      </c>
    </row>
    <row r="112" spans="1:14" x14ac:dyDescent="0.35">
      <c r="A112" s="2">
        <v>45180</v>
      </c>
      <c r="B112" s="40">
        <v>-5.7162046000000002</v>
      </c>
      <c r="C112" s="40">
        <v>2.39439</v>
      </c>
      <c r="D112" s="40">
        <v>0.9576559</v>
      </c>
      <c r="E112" s="40">
        <v>25.793683999999999</v>
      </c>
      <c r="F112" s="40">
        <v>18.521667000000001</v>
      </c>
      <c r="G112" s="40">
        <v>11.176359</v>
      </c>
      <c r="H112" s="40">
        <v>12.925409999999999</v>
      </c>
      <c r="I112" s="40">
        <v>23.632885000000002</v>
      </c>
      <c r="J112" s="40">
        <v>12.110222</v>
      </c>
      <c r="K112" s="47">
        <v>26.083970000000001</v>
      </c>
      <c r="L112" s="47">
        <v>16.570830999999998</v>
      </c>
      <c r="M112" s="47">
        <v>8.3431610000000003</v>
      </c>
      <c r="N112" s="47">
        <v>37.960563999999998</v>
      </c>
    </row>
    <row r="113" spans="1:14" x14ac:dyDescent="0.35">
      <c r="A113" s="2">
        <v>45210</v>
      </c>
      <c r="B113" s="40">
        <v>12.784183499999999</v>
      </c>
      <c r="C113" s="40">
        <v>14.949154999999999</v>
      </c>
      <c r="D113" s="40">
        <v>13.326157</v>
      </c>
      <c r="E113" s="40">
        <v>37.473999999999997</v>
      </c>
      <c r="F113" s="40">
        <v>23.705805000000002</v>
      </c>
      <c r="G113" s="40">
        <v>23.362850000000002</v>
      </c>
      <c r="H113" s="40">
        <v>28.268277999999999</v>
      </c>
      <c r="I113" s="40">
        <v>42.244495000000001</v>
      </c>
      <c r="J113" s="40">
        <v>23.905241</v>
      </c>
      <c r="K113" s="47">
        <v>35.554589999999997</v>
      </c>
      <c r="L113" s="47">
        <v>30.964518000000002</v>
      </c>
      <c r="M113" s="47">
        <v>26.747381000000001</v>
      </c>
      <c r="N113" s="47">
        <v>48.445847000000001</v>
      </c>
    </row>
    <row r="114" spans="1:14" x14ac:dyDescent="0.35">
      <c r="A114" s="2">
        <v>45240</v>
      </c>
      <c r="B114" s="40">
        <v>-1.2876570000000001</v>
      </c>
      <c r="C114" s="40">
        <v>-0.62798259999999995</v>
      </c>
      <c r="D114" s="40">
        <v>-1.6509354000000001</v>
      </c>
      <c r="E114" s="40">
        <v>12.240290999999999</v>
      </c>
      <c r="F114" s="40">
        <v>13.295436</v>
      </c>
      <c r="G114" s="40">
        <v>4.7749160000000002</v>
      </c>
      <c r="H114" s="40">
        <v>7.8094599999999996</v>
      </c>
      <c r="I114" s="40">
        <v>34.736072999999998</v>
      </c>
      <c r="J114" s="40">
        <v>13.409720999999999</v>
      </c>
      <c r="K114" s="47">
        <v>13.845646</v>
      </c>
      <c r="L114" s="47">
        <v>11.475682000000001</v>
      </c>
      <c r="M114" s="47">
        <v>0.26730300000000001</v>
      </c>
      <c r="N114" s="47">
        <v>21.054659999999998</v>
      </c>
    </row>
    <row r="115" spans="1:14" x14ac:dyDescent="0.35">
      <c r="A115" s="2">
        <v>45271</v>
      </c>
      <c r="B115" s="40">
        <v>-4.6298209999999997</v>
      </c>
      <c r="C115" s="40">
        <v>2.1749258</v>
      </c>
      <c r="D115" s="40">
        <v>6.3604592999999996</v>
      </c>
      <c r="E115" s="40">
        <v>18.160855999999999</v>
      </c>
      <c r="F115" s="40">
        <v>15.322255999999999</v>
      </c>
      <c r="G115" s="40">
        <v>10.203707</v>
      </c>
      <c r="H115" s="40">
        <v>6.9157359999999999</v>
      </c>
      <c r="I115" s="40">
        <v>41.190193000000001</v>
      </c>
      <c r="J115" s="40">
        <v>19.339096000000001</v>
      </c>
      <c r="K115" s="47">
        <v>17.03124</v>
      </c>
      <c r="L115" s="47">
        <v>12.969386999999999</v>
      </c>
      <c r="M115" s="47">
        <v>11.871575999999999</v>
      </c>
      <c r="N115" s="47">
        <v>26.91412</v>
      </c>
    </row>
    <row r="116" spans="1:14" x14ac:dyDescent="0.35">
      <c r="A116" s="2">
        <v>45302</v>
      </c>
      <c r="B116" s="40">
        <v>-0.93510747000000005</v>
      </c>
      <c r="C116" s="40">
        <v>5.3249360000000001</v>
      </c>
      <c r="D116" s="40">
        <v>8.3983539999999994</v>
      </c>
      <c r="E116" s="40">
        <v>9.824586</v>
      </c>
      <c r="F116" s="40">
        <v>21.736467000000001</v>
      </c>
      <c r="G116" s="40">
        <v>10.093951000000001</v>
      </c>
      <c r="H116" s="40">
        <v>6.4078093000000003</v>
      </c>
      <c r="I116" s="40">
        <v>48.503135999999998</v>
      </c>
      <c r="J116" s="40">
        <v>22.280204999999999</v>
      </c>
      <c r="K116" s="47">
        <v>10.364819000000001</v>
      </c>
      <c r="L116" s="47">
        <v>7.7935100000000004</v>
      </c>
      <c r="M116" s="47">
        <v>10.302234</v>
      </c>
      <c r="N116" s="47">
        <v>20.041143000000002</v>
      </c>
    </row>
    <row r="117" spans="1:14" x14ac:dyDescent="0.35">
      <c r="A117" s="2">
        <v>45331</v>
      </c>
      <c r="B117" s="40">
        <v>-6.625718</v>
      </c>
      <c r="C117" s="40">
        <v>1.2912034999999999</v>
      </c>
      <c r="D117" s="40">
        <v>6.0671210000000002</v>
      </c>
      <c r="E117" s="40">
        <v>6.9153665999999996</v>
      </c>
      <c r="F117" s="40">
        <v>17.747295000000001</v>
      </c>
      <c r="G117" s="40">
        <v>6.5644980000000004</v>
      </c>
      <c r="H117" s="40">
        <v>3.5190462999999998</v>
      </c>
      <c r="I117" s="40">
        <v>45.870220000000003</v>
      </c>
      <c r="J117" s="40">
        <v>25.002611000000002</v>
      </c>
      <c r="K117" s="47">
        <v>8.9891799999999993</v>
      </c>
      <c r="L117" s="47">
        <v>14.585436</v>
      </c>
      <c r="M117" s="47">
        <v>8.2196829999999999</v>
      </c>
      <c r="N117" s="47">
        <v>15.485358</v>
      </c>
    </row>
    <row r="118" spans="1:14" x14ac:dyDescent="0.35">
      <c r="A118" s="2">
        <v>45362</v>
      </c>
      <c r="B118" s="40">
        <v>-0.81038474999999999</v>
      </c>
      <c r="C118" s="40">
        <v>14.084614</v>
      </c>
      <c r="D118" s="40">
        <v>17.497205999999998</v>
      </c>
      <c r="E118" s="40">
        <v>16.790175999999999</v>
      </c>
      <c r="F118" s="40">
        <v>25.183689999999999</v>
      </c>
      <c r="G118" s="40">
        <v>15.631031999999999</v>
      </c>
      <c r="H118" s="40">
        <v>10.301674</v>
      </c>
      <c r="I118" s="40">
        <v>52.626465000000003</v>
      </c>
      <c r="J118" s="40">
        <v>34.515155999999998</v>
      </c>
      <c r="K118" s="47">
        <v>16.893374999999999</v>
      </c>
      <c r="L118" s="47">
        <v>24.171054999999999</v>
      </c>
      <c r="M118" s="47">
        <v>24.119198000000001</v>
      </c>
      <c r="N118" s="47">
        <v>28.177773999999999</v>
      </c>
    </row>
    <row r="119" spans="1:14" x14ac:dyDescent="0.35">
      <c r="A119" s="2">
        <v>45393</v>
      </c>
      <c r="B119" s="40">
        <v>-5.7315589999999998</v>
      </c>
      <c r="C119" s="40">
        <v>8.9093920000000004</v>
      </c>
      <c r="D119" s="40">
        <v>10.811925</v>
      </c>
      <c r="E119" s="40">
        <v>10.641408</v>
      </c>
      <c r="F119" s="40">
        <v>23.492705999999998</v>
      </c>
      <c r="G119" s="40">
        <v>2.1126746999999999</v>
      </c>
      <c r="H119" s="40">
        <v>7.2466492999999996</v>
      </c>
      <c r="I119" s="40">
        <v>41.954376000000003</v>
      </c>
      <c r="J119" s="40">
        <v>28.269504999999999</v>
      </c>
      <c r="K119" s="47">
        <v>8.183325</v>
      </c>
      <c r="L119" s="47">
        <v>19.446860999999998</v>
      </c>
      <c r="M119" s="47">
        <v>14.28504</v>
      </c>
      <c r="N119" s="47">
        <v>21.576107</v>
      </c>
    </row>
    <row r="120" spans="1:14" x14ac:dyDescent="0.35">
      <c r="A120" s="2">
        <v>45422</v>
      </c>
      <c r="B120" s="40">
        <v>-8.6578429999999997</v>
      </c>
      <c r="C120" s="40">
        <v>9.5379470000000008</v>
      </c>
      <c r="D120" s="40">
        <v>10.58414</v>
      </c>
      <c r="E120" s="40">
        <v>13.198757000000001</v>
      </c>
      <c r="F120" s="40">
        <v>16.160381000000001</v>
      </c>
      <c r="G120" s="40">
        <v>1.3360023000000001</v>
      </c>
      <c r="H120" s="40">
        <v>12.204254000000001</v>
      </c>
      <c r="I120" s="40">
        <v>36.864863999999997</v>
      </c>
      <c r="J120" s="40">
        <v>27.994955000000001</v>
      </c>
      <c r="K120" s="47">
        <v>10.930788</v>
      </c>
      <c r="L120" s="47">
        <v>23.071515999999999</v>
      </c>
      <c r="M120" s="47">
        <v>15.536189</v>
      </c>
      <c r="N120" s="47">
        <v>25.381983000000002</v>
      </c>
    </row>
    <row r="121" spans="1:14" x14ac:dyDescent="0.35">
      <c r="A121" s="2">
        <v>45454</v>
      </c>
      <c r="B121" s="40">
        <v>-1.6691625000000001</v>
      </c>
      <c r="C121" s="40">
        <v>11.913252</v>
      </c>
      <c r="D121" s="40">
        <v>10.694075</v>
      </c>
      <c r="E121" s="40">
        <v>13.509093999999999</v>
      </c>
      <c r="F121" s="40">
        <v>11.756861000000001</v>
      </c>
      <c r="G121" s="40">
        <v>8.4020019999999995</v>
      </c>
      <c r="H121" s="40">
        <v>13.127459</v>
      </c>
      <c r="I121" s="40">
        <v>32.901350000000001</v>
      </c>
      <c r="J121" s="40">
        <v>26.72062</v>
      </c>
      <c r="K121" s="47">
        <v>9.9727990000000002</v>
      </c>
      <c r="L121" s="47">
        <v>23.770893000000001</v>
      </c>
      <c r="M121" s="47">
        <v>20.701958000000001</v>
      </c>
      <c r="N121" s="47">
        <v>25.593900000000001</v>
      </c>
    </row>
    <row r="122" spans="1:14" x14ac:dyDescent="0.35">
      <c r="A122" s="2">
        <v>45484</v>
      </c>
      <c r="B122">
        <v>-3.0320524999999998</v>
      </c>
      <c r="C122">
        <v>17.860104</v>
      </c>
      <c r="D122">
        <v>13.995004</v>
      </c>
      <c r="E122">
        <v>14.249492</v>
      </c>
      <c r="F122">
        <v>17.355324</v>
      </c>
      <c r="G122">
        <v>9.923959</v>
      </c>
      <c r="H122">
        <v>17.507981999999998</v>
      </c>
      <c r="I122">
        <v>34.535587</v>
      </c>
      <c r="J122">
        <v>27.538405999999998</v>
      </c>
      <c r="K122" s="47">
        <v>5.6177735000000002</v>
      </c>
      <c r="L122" s="47">
        <v>23.012840000000001</v>
      </c>
      <c r="M122" s="47">
        <v>21.320522</v>
      </c>
      <c r="N122" s="47">
        <v>22.052872000000001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-32.247996999999998</v>
      </c>
      <c r="C126" s="40" cm="1">
        <f t="array" ref="C126">MIN(_xlfn._xlws.FILTER(C2:C122, ISNUMBER(C2:C122)))</f>
        <v>-25.985997999999999</v>
      </c>
      <c r="D126" s="40" cm="1">
        <f t="array" ref="D126">MIN(_xlfn._xlws.FILTER(D2:D122, ISNUMBER(D2:D122)))</f>
        <v>-26.906717</v>
      </c>
      <c r="E126" s="40" cm="1">
        <f t="array" ref="E126">MIN(_xlfn._xlws.FILTER(E2:E122, ISNUMBER(E2:E122)))</f>
        <v>-36.777749999999997</v>
      </c>
      <c r="F126" s="40" cm="1">
        <f t="array" ref="F126">MIN(_xlfn._xlws.FILTER(F2:F122, ISNUMBER(F2:F122)))</f>
        <v>-26.293056</v>
      </c>
      <c r="G126" s="40" cm="1">
        <f t="array" ref="G126">MIN(_xlfn._xlws.FILTER(G2:G122, ISNUMBER(G2:G122)))</f>
        <v>-20.218342</v>
      </c>
      <c r="H126" s="40" cm="1">
        <f t="array" ref="H126">MIN(_xlfn._xlws.FILTER(H2:H122, ISNUMBER(H2:H122)))</f>
        <v>-22.542137</v>
      </c>
      <c r="I126" s="40" cm="1">
        <f t="array" ref="I126">MIN(_xlfn._xlws.FILTER(I2:I122, ISNUMBER(I2:I122)))</f>
        <v>-27.922893999999999</v>
      </c>
      <c r="J126" s="40" cm="1">
        <f t="array" ref="J126">MIN(_xlfn._xlws.FILTER(J2:J122, ISNUMBER(J2:J122)))</f>
        <v>-16.454065</v>
      </c>
      <c r="K126" s="40" cm="1">
        <f t="array" ref="K126">MIN(_xlfn._xlws.FILTER(K2:K122, ISNUMBER(K2:K122)))</f>
        <v>-23.329317</v>
      </c>
      <c r="L126" s="40" cm="1">
        <f t="array" ref="L126">MIN(_xlfn._xlws.FILTER(L2:L122, ISNUMBER(L2:L122)))</f>
        <v>-37.688859999999998</v>
      </c>
      <c r="M126" s="40" cm="1">
        <f t="array" ref="M126">MIN(_xlfn._xlws.FILTER(M2:M122, ISNUMBER(M2:M122)))</f>
        <v>-36.030769999999997</v>
      </c>
      <c r="N126" s="40" cm="1">
        <f t="array" ref="N126">MIN(_xlfn._xlws.FILTER(N2:N122, ISNUMBER(N2:N122)))</f>
        <v>-29.566061000000001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53.034652999999999</v>
      </c>
      <c r="C127" s="42" cm="1">
        <f t="array" ref="C127">MAX(_xlfn._xlws.FILTER(C1:C122, ISNUMBER(C1:C122)))</f>
        <v>60.420833999999999</v>
      </c>
      <c r="D127" s="42" cm="1">
        <f t="array" ref="D127">MAX(_xlfn._xlws.FILTER(D1:D122, ISNUMBER(D1:D122)))</f>
        <v>54.997109999999999</v>
      </c>
      <c r="E127" s="42" cm="1">
        <f t="array" ref="E127">MAX(_xlfn._xlws.FILTER(E1:E122, ISNUMBER(E1:E122)))</f>
        <v>53.651429999999998</v>
      </c>
      <c r="F127" s="42" cm="1">
        <f t="array" ref="F127">MAX(_xlfn._xlws.FILTER(F1:F122, ISNUMBER(F1:F122)))</f>
        <v>39.943919999999999</v>
      </c>
      <c r="G127" s="42" cm="1">
        <f t="array" ref="G127">MAX(_xlfn._xlws.FILTER(G1:G122, ISNUMBER(G1:G122)))</f>
        <v>34.390841999999999</v>
      </c>
      <c r="H127" s="42" cm="1">
        <f t="array" ref="H127">MAX(_xlfn._xlws.FILTER(H1:H122, ISNUMBER(H1:H122)))</f>
        <v>37.132133000000003</v>
      </c>
      <c r="I127" s="42" cm="1">
        <f t="array" ref="I127">MAX(_xlfn._xlws.FILTER(I1:I122, ISNUMBER(I1:I122)))</f>
        <v>68.880775</v>
      </c>
      <c r="J127" s="42" cm="1">
        <f t="array" ref="J127">MAX(_xlfn._xlws.FILTER(J1:J122, ISNUMBER(J1:J122)))</f>
        <v>50.297927999999999</v>
      </c>
      <c r="K127" s="42" cm="1">
        <f t="array" ref="K127">MAX(_xlfn._xlws.FILTER(K1:K122, ISNUMBER(K1:K122)))</f>
        <v>57.025826000000002</v>
      </c>
      <c r="L127" s="42" cm="1">
        <f t="array" ref="L127">MAX(_xlfn._xlws.FILTER(L1:L122, ISNUMBER(L1:L122)))</f>
        <v>75.711039999999997</v>
      </c>
      <c r="M127" s="42" cm="1">
        <f t="array" ref="M127">MAX(_xlfn._xlws.FILTER(M1:M122, ISNUMBER(M1:M122)))</f>
        <v>78.848519999999994</v>
      </c>
      <c r="N127" s="42" cm="1">
        <f t="array" ref="N127">MAX(_xlfn._xlws.FILTER(N1:N122, ISNUMBER(N1:N122)))</f>
        <v>59.429146000000003</v>
      </c>
    </row>
    <row r="128" spans="1:14" x14ac:dyDescent="0.35">
      <c r="A128" s="2" t="s">
        <v>394</v>
      </c>
      <c r="B128" s="40" cm="1">
        <f t="array" ref="B128">MEDIAN(_xlfn._xlws.FILTER(B1:B122, ISNUMBER(B1:B122)))</f>
        <v>6.0767769999999999</v>
      </c>
      <c r="C128" s="40" cm="1">
        <f t="array" ref="C128">MEDIAN(_xlfn._xlws.FILTER(C1:C122, ISNUMBER(C1:C122)))</f>
        <v>3.6006689999999999</v>
      </c>
      <c r="D128" s="40" cm="1">
        <f t="array" ref="D128">MEDIAN(_xlfn._xlws.FILTER(D1:D122, ISNUMBER(D1:D122)))</f>
        <v>4.0280339999999999</v>
      </c>
      <c r="E128" s="40" cm="1">
        <f t="array" ref="E128">MEDIAN(_xlfn._xlws.FILTER(E1:E122, ISNUMBER(E1:E122)))</f>
        <v>2.2453189999999998</v>
      </c>
      <c r="F128" s="40" cm="1">
        <f t="array" ref="F128">MEDIAN(_xlfn._xlws.FILTER(F1:F122, ISNUMBER(F1:F122)))</f>
        <v>7.5945615999999996</v>
      </c>
      <c r="G128" s="40" cm="1">
        <f t="array" ref="G128">MEDIAN(_xlfn._xlws.FILTER(G1:G122, ISNUMBER(G1:G122)))</f>
        <v>6.7379712999999999</v>
      </c>
      <c r="H128" s="40" cm="1">
        <f t="array" ref="H128">MEDIAN(_xlfn._xlws.FILTER(H1:H122, ISNUMBER(H1:H122)))</f>
        <v>0.48751830000000002</v>
      </c>
      <c r="I128" s="40" cm="1">
        <f t="array" ref="I128">MEDIAN(_xlfn._xlws.FILTER(I1:I122, ISNUMBER(I1:I122)))</f>
        <v>22.992229999999999</v>
      </c>
      <c r="J128" s="40" cm="1">
        <f t="array" ref="J128">MEDIAN(_xlfn._xlws.FILTER(J1:J122, ISNUMBER(J1:J122)))</f>
        <v>13.922404999999999</v>
      </c>
      <c r="K128" s="40" cm="1">
        <f t="array" ref="K128">MEDIAN(_xlfn._xlws.FILTER(K1:K122, ISNUMBER(K1:K122)))</f>
        <v>5.0943255000000001</v>
      </c>
      <c r="L128" s="40" cm="1">
        <f t="array" ref="L128">MEDIAN(_xlfn._xlws.FILTER(L1:L122, ISNUMBER(L1:L122)))</f>
        <v>7.2993160000000001</v>
      </c>
      <c r="M128" s="40" cm="1">
        <f t="array" ref="M128">MEDIAN(_xlfn._xlws.FILTER(M1:M122, ISNUMBER(M1:M122)))</f>
        <v>1.3579129999999999</v>
      </c>
      <c r="N128" s="40" cm="1">
        <f t="array" ref="N128">MEDIAN(_xlfn._xlws.FILTER(N1:N122, ISNUMBER(N1:N122)))</f>
        <v>3.1409859999999998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18</v>
      </c>
      <c r="C130">
        <f>COUNTIF(C2:C122, "&lt;"&amp;Assumption!$F$50)</f>
        <v>18</v>
      </c>
      <c r="D130">
        <f>COUNTIF(D2:D122, "&lt;"&amp;Assumption!$F$50)</f>
        <v>17</v>
      </c>
      <c r="E130">
        <f>COUNTIF(E2:E122, "&lt;"&amp;Assumption!$F$50)</f>
        <v>32</v>
      </c>
      <c r="F130">
        <f>COUNTIF(F2:F122, "&lt;"&amp;Assumption!$F$50)</f>
        <v>14</v>
      </c>
      <c r="G130">
        <f>COUNTIF(G2:G122, "&lt;"&amp;Assumption!$F$50)</f>
        <v>13</v>
      </c>
      <c r="H130">
        <f>COUNTIF(H2:H122, "&lt;"&amp;Assumption!$F$50)</f>
        <v>18</v>
      </c>
      <c r="I130">
        <f>COUNTIF(I2:I122, "&lt;"&amp;Assumption!$F$50)</f>
        <v>10</v>
      </c>
      <c r="J130">
        <f>COUNTIF(J2:J122, "&lt;"&amp;Assumption!$F$50)</f>
        <v>5</v>
      </c>
      <c r="K130">
        <f>COUNTIF(K2:K122, "&lt;"&amp;Assumption!$F$50)</f>
        <v>17</v>
      </c>
      <c r="L130">
        <f>COUNTIF(L2:L122, "&lt;"&amp;Assumption!$F$50)</f>
        <v>14</v>
      </c>
      <c r="M130">
        <f>COUNTIF(M2:M122, "&lt;"&amp;Assumption!$F$50)</f>
        <v>22</v>
      </c>
      <c r="N130">
        <f>COUNTIF(N2:N122, "&lt;"&amp;Assumption!$F$50)</f>
        <v>37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0.1487603305785124</v>
      </c>
      <c r="C133" s="9">
        <f t="shared" si="2"/>
        <v>0.1487603305785124</v>
      </c>
      <c r="D133" s="9">
        <f t="shared" si="2"/>
        <v>0.14049586776859505</v>
      </c>
      <c r="E133" s="9">
        <f t="shared" si="2"/>
        <v>0.26446280991735538</v>
      </c>
      <c r="F133" s="9">
        <f t="shared" si="2"/>
        <v>0.11570247933884298</v>
      </c>
      <c r="G133" s="9">
        <f t="shared" si="2"/>
        <v>0.10743801652892562</v>
      </c>
      <c r="H133" s="9">
        <f t="shared" si="2"/>
        <v>0.1487603305785124</v>
      </c>
      <c r="I133" s="9">
        <f t="shared" si="2"/>
        <v>8.2644628099173556E-2</v>
      </c>
      <c r="J133" s="9">
        <f t="shared" si="2"/>
        <v>4.1322314049586778E-2</v>
      </c>
      <c r="K133" s="9">
        <f t="shared" ref="K133:N133" si="3">K130/K131</f>
        <v>0.14049586776859505</v>
      </c>
      <c r="L133" s="9">
        <f t="shared" si="3"/>
        <v>0.11570247933884298</v>
      </c>
      <c r="M133" s="9">
        <f t="shared" si="3"/>
        <v>0.18181818181818182</v>
      </c>
      <c r="N133" s="9">
        <f t="shared" si="3"/>
        <v>0.30578512396694213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0.16300000000000001</v>
      </c>
      <c r="C136" s="40" cm="1">
        <f t="array" ref="C136">_xlfn.PERCENTRANK.EXC(_xlfn._xlws.FILTER(C2:C122, ISNUMBER(C2:C122)),C120)</f>
        <v>0.64700000000000002</v>
      </c>
      <c r="D136" s="40" cm="1">
        <f t="array" ref="D136">_xlfn.PERCENTRANK.EXC(_xlfn._xlws.FILTER(D2:D122, ISNUMBER(D2:D122)),D120)</f>
        <v>0.68</v>
      </c>
      <c r="E136" s="40" cm="1">
        <f t="array" ref="E136">_xlfn.PERCENTRANK.EXC(_xlfn._xlws.FILTER(E2:E122, ISNUMBER(E2:E122)),E120)</f>
        <v>0.67200000000000004</v>
      </c>
      <c r="F136" s="40" cm="1">
        <f t="array" ref="F136">_xlfn.PERCENTRANK.EXC(_xlfn._xlws.FILTER(F2:F122, ISNUMBER(F2:F122)),F120)</f>
        <v>0.745</v>
      </c>
      <c r="G136" s="40" cm="1">
        <f t="array" ref="G136">_xlfn.PERCENTRANK.EXC(_xlfn._xlws.FILTER(G2:G122, ISNUMBER(G2:G122)),G120)</f>
        <v>0.32700000000000001</v>
      </c>
      <c r="H136" s="40" cm="1">
        <f t="array" ref="H136">_xlfn.PERCENTRANK.EXC(_xlfn._xlws.FILTER(H2:H122, ISNUMBER(H2:H122)),H120)</f>
        <v>0.73699999999999999</v>
      </c>
      <c r="I136" s="40" cm="1">
        <f t="array" ref="I136">_xlfn.PERCENTRANK.EXC(_xlfn._xlws.FILTER(I2:I122, ISNUMBER(I2:I122)),I120)</f>
        <v>0.81100000000000005</v>
      </c>
      <c r="J136" s="40" cm="1">
        <f t="array" ref="J136">_xlfn.PERCENTRANK.EXC(_xlfn._xlws.FILTER(J2:J122, ISNUMBER(J2:J122)),J120)</f>
        <v>0.89300000000000002</v>
      </c>
      <c r="K136" s="40" cm="1">
        <f t="array" ref="K136">_xlfn.PERCENTRANK.EXC(_xlfn._xlws.FILTER(K2:K122, ISNUMBER(K2:K122)),K120)</f>
        <v>0.61399999999999999</v>
      </c>
      <c r="L136" s="40" cm="1">
        <f t="array" ref="L136">_xlfn.PERCENTRANK.EXC(_xlfn._xlws.FILTER(L2:L122, ISNUMBER(L2:L122)),L120)</f>
        <v>0.754</v>
      </c>
      <c r="M136" s="40" cm="1">
        <f t="array" ref="M136">_xlfn.PERCENTRANK.EXC(_xlfn._xlws.FILTER(M2:M122, ISNUMBER(M2:M122)),M120)</f>
        <v>0.68799999999999994</v>
      </c>
      <c r="N136" s="40" cm="1">
        <f t="array" ref="N136">_xlfn.PERCENTRANK.EXC(_xlfn._xlws.FILTER(N2:N122, ISNUMBER(N2:N122)),N120)</f>
        <v>0.77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0.30299999999999999</v>
      </c>
      <c r="C137" s="40" cm="1">
        <f t="array" ref="C137">_xlfn.PERCENTRANK.EXC(_xlfn._xlws.FILTER(C2:C122, ISNUMBER(C2:C122)),C121)</f>
        <v>0.70399999999999996</v>
      </c>
      <c r="D137" s="40" cm="1">
        <f t="array" ref="D137">_xlfn.PERCENTRANK.EXC(_xlfn._xlws.FILTER(D2:D122, ISNUMBER(D2:D122)),D121)</f>
        <v>0.68799999999999994</v>
      </c>
      <c r="E137" s="40" cm="1">
        <f t="array" ref="E137">_xlfn.PERCENTRANK.EXC(_xlfn._xlws.FILTER(E2:E122, ISNUMBER(E2:E122)),E121)</f>
        <v>0.68799999999999994</v>
      </c>
      <c r="F137" s="40" cm="1">
        <f t="array" ref="F137">_xlfn.PERCENTRANK.EXC(_xlfn._xlws.FILTER(F2:F122, ISNUMBER(F2:F122)),F121)</f>
        <v>0.622</v>
      </c>
      <c r="G137" s="40" cm="1">
        <f t="array" ref="G137">_xlfn.PERCENTRANK.EXC(_xlfn._xlws.FILTER(G2:G122, ISNUMBER(G2:G122)),G121)</f>
        <v>0.51600000000000001</v>
      </c>
      <c r="H137" s="40" cm="1">
        <f t="array" ref="H137">_xlfn.PERCENTRANK.EXC(_xlfn._xlws.FILTER(H2:H122, ISNUMBER(H2:H122)),H121)</f>
        <v>0.79500000000000004</v>
      </c>
      <c r="I137" s="40" cm="1">
        <f t="array" ref="I137">_xlfn.PERCENTRANK.EXC(_xlfn._xlws.FILTER(I2:I122, ISNUMBER(I2:I122)),I121)</f>
        <v>0.73699999999999999</v>
      </c>
      <c r="J137" s="40" cm="1">
        <f t="array" ref="J137">_xlfn.PERCENTRANK.EXC(_xlfn._xlws.FILTER(J2:J122, ISNUMBER(J2:J122)),J121)</f>
        <v>0.86</v>
      </c>
      <c r="K137" s="40" cm="1">
        <f t="array" ref="K137">_xlfn.PERCENTRANK.EXC(_xlfn._xlws.FILTER(K2:K122, ISNUMBER(K2:K122)),K121)</f>
        <v>0.59799999999999998</v>
      </c>
      <c r="L137" s="40" cm="1">
        <f t="array" ref="L137">_xlfn.PERCENTRANK.EXC(_xlfn._xlws.FILTER(L2:L122, ISNUMBER(L2:L122)),L121)</f>
        <v>0.77800000000000002</v>
      </c>
      <c r="M137" s="40" cm="1">
        <f t="array" ref="M137">_xlfn.PERCENTRANK.EXC(_xlfn._xlws.FILTER(M2:M122, ISNUMBER(M2:M122)),M121)</f>
        <v>0.79500000000000004</v>
      </c>
      <c r="N137" s="40" cm="1">
        <f t="array" ref="N137">_xlfn.PERCENTRANK.EXC(_xlfn._xlws.FILTER(N2:N122, ISNUMBER(N2:N122)),N121)</f>
        <v>0.77800000000000002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0.28599999999999998</v>
      </c>
      <c r="C138" s="40" cm="1">
        <f t="array" ref="C138">_xlfn.PERCENTRANK.EXC(_xlfn._xlws.FILTER(C2:C122, ISNUMBER(C2:C122)),C122)</f>
        <v>0.85199999999999998</v>
      </c>
      <c r="D138" s="40" cm="1">
        <f t="array" ref="D138">_xlfn.PERCENTRANK.EXC(_xlfn._xlws.FILTER(D2:D122, ISNUMBER(D2:D122)),D122)</f>
        <v>0.754</v>
      </c>
      <c r="E138" s="40" cm="1">
        <f t="array" ref="E138">_xlfn.PERCENTRANK.EXC(_xlfn._xlws.FILTER(E2:E122, ISNUMBER(E2:E122)),E122)</f>
        <v>0.70399999999999996</v>
      </c>
      <c r="F138" s="40" cm="1">
        <f t="array" ref="F138">_xlfn.PERCENTRANK.EXC(_xlfn._xlws.FILTER(F2:F122, ISNUMBER(F2:F122)),F122)</f>
        <v>0.79500000000000004</v>
      </c>
      <c r="G138" s="40" cm="1">
        <f t="array" ref="G138">_xlfn.PERCENTRANK.EXC(_xlfn._xlws.FILTER(G2:G122, ISNUMBER(G2:G122)),G122)</f>
        <v>0.56499999999999995</v>
      </c>
      <c r="H138" s="40" cm="1">
        <f t="array" ref="H138">_xlfn.PERCENTRANK.EXC(_xlfn._xlws.FILTER(H2:H122, ISNUMBER(H2:H122)),H122)</f>
        <v>0.86799999999999999</v>
      </c>
      <c r="I138" s="40" cm="1">
        <f t="array" ref="I138">_xlfn.PERCENTRANK.EXC(_xlfn._xlws.FILTER(I2:I122, ISNUMBER(I2:I122)),I122)</f>
        <v>0.77800000000000002</v>
      </c>
      <c r="J138" s="40" cm="1">
        <f t="array" ref="J138">_xlfn.PERCENTRANK.EXC(_xlfn._xlws.FILTER(J2:J122, ISNUMBER(J2:J122)),J122)</f>
        <v>0.877</v>
      </c>
      <c r="K138" s="40" cm="1">
        <f t="array" ref="K138">_xlfn.PERCENTRANK.EXC(_xlfn._xlws.FILTER(K2:K122, ISNUMBER(K2:K122)),K122)</f>
        <v>0.52400000000000002</v>
      </c>
      <c r="L138" s="40" cm="1">
        <f t="array" ref="L138">_xlfn.PERCENTRANK.EXC(_xlfn._xlws.FILTER(L2:L122, ISNUMBER(L2:L122)),L122)</f>
        <v>0.745</v>
      </c>
      <c r="M138" s="40" cm="1">
        <f t="array" ref="M138">_xlfn.PERCENTRANK.EXC(_xlfn._xlws.FILTER(M2:M122, ISNUMBER(M2:M122)),M122)</f>
        <v>0.81100000000000005</v>
      </c>
      <c r="N138" s="40" cm="1">
        <f t="array" ref="N138">_xlfn.PERCENTRANK.EXC(_xlfn._xlws.FILTER(N2:N122, ISNUMBER(N2:N122)),N122)</f>
        <v>0.72899999999999998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0.25066666666666665</v>
      </c>
      <c r="C140" s="40">
        <f t="shared" si="4"/>
        <v>0.73433333333333328</v>
      </c>
      <c r="D140" s="40">
        <f t="shared" si="4"/>
        <v>0.70733333333333326</v>
      </c>
      <c r="E140" s="40">
        <f t="shared" si="4"/>
        <v>0.68800000000000006</v>
      </c>
      <c r="F140" s="40">
        <f t="shared" si="4"/>
        <v>0.72066666666666668</v>
      </c>
      <c r="G140" s="40">
        <f t="shared" si="4"/>
        <v>0.46933333333333332</v>
      </c>
      <c r="H140" s="40">
        <f t="shared" si="4"/>
        <v>0.79999999999999993</v>
      </c>
      <c r="I140" s="40">
        <f t="shared" si="4"/>
        <v>0.77533333333333332</v>
      </c>
      <c r="J140" s="40">
        <f t="shared" si="4"/>
        <v>0.87666666666666659</v>
      </c>
      <c r="K140" s="40">
        <f t="shared" ref="K140:N140" si="5">AVERAGE(K136:K138)</f>
        <v>0.57866666666666666</v>
      </c>
      <c r="L140" s="40">
        <f t="shared" si="5"/>
        <v>0.75900000000000001</v>
      </c>
      <c r="M140" s="40">
        <f t="shared" si="5"/>
        <v>0.76466666666666672</v>
      </c>
      <c r="N140" s="40">
        <f t="shared" si="5"/>
        <v>0.75900000000000001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4.0763823276408404</v>
      </c>
      <c r="G17">
        <v>2.2808425238276202</v>
      </c>
      <c r="H17">
        <v>2.5348579464424601</v>
      </c>
      <c r="I17">
        <v>9.3523184545185298</v>
      </c>
      <c r="J17">
        <v>17.729435429796901</v>
      </c>
      <c r="K17">
        <v>2.1970597068808599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3.6778954431728499</v>
      </c>
      <c r="G18">
        <v>2.3686407868237098</v>
      </c>
      <c r="H18">
        <v>2.0350756238413701</v>
      </c>
      <c r="I18">
        <v>10.4260783078249</v>
      </c>
      <c r="J18">
        <v>16.661770333454101</v>
      </c>
      <c r="K18">
        <v>1.8510975044778899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4.6161385443947696</v>
      </c>
      <c r="G19">
        <v>2.66234515884581</v>
      </c>
      <c r="H19">
        <v>2.7142722434063198</v>
      </c>
      <c r="I19">
        <v>13.640269748948</v>
      </c>
      <c r="J19">
        <v>22.276707387542601</v>
      </c>
      <c r="K19">
        <v>2.4608174875049298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2.7492045606937099</v>
      </c>
      <c r="E20">
        <v>2.36386839889078</v>
      </c>
      <c r="F20">
        <v>4.4608954004815304</v>
      </c>
      <c r="G20">
        <v>2.5838872063229701</v>
      </c>
      <c r="H20">
        <v>3.12760121442787</v>
      </c>
      <c r="I20">
        <v>12.7503134513224</v>
      </c>
      <c r="J20">
        <v>22.968710467567401</v>
      </c>
      <c r="K20">
        <v>2.8026651908005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4.5667318566591204</v>
      </c>
      <c r="G21">
        <v>2.8647085842717601</v>
      </c>
      <c r="H21">
        <v>3.0026988691271801</v>
      </c>
      <c r="I21">
        <v>16.324300195491102</v>
      </c>
      <c r="J21">
        <v>24.344986800786899</v>
      </c>
      <c r="K21">
        <v>2.92070467991761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0.12988959960221358</v>
      </c>
      <c r="J25" s="48" cm="1">
        <f t="array" ref="J25">(J21/INDEX(J2:J21,MATCH(TRUE,INDEX(ISNUMBER(J2:J21),0),0)))^(1/J23)-1</f>
        <v>5.9884631688204459E-2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1.6346546</v>
      </c>
      <c r="E3" cm="1">
        <f t="array" ref="E3">_xll.FDSB(B3,"FG_PRICE_CHANGE(0,-1AY)")</f>
        <v>1.0625243</v>
      </c>
      <c r="F3" cm="1">
        <f t="array" ref="F3">_xll.FDSB(B3,"FG_PRICE_CHANGE(0,-1AM)")</f>
        <v>0.14711618000000001</v>
      </c>
      <c r="G3" cm="1">
        <f t="array" ref="G3">_xll.FDSB(B3,"FG_PRICE_CHANGE(0,-3AM)")</f>
        <v>-2.3375569999999999</v>
      </c>
      <c r="H3" cm="1">
        <f t="array" ref="H3">_xll.FDSB(B3,"FG_PRICE_CHANGE(0,-6AM)")</f>
        <v>1.5692710999999999</v>
      </c>
      <c r="I3" cm="1">
        <f t="array" ref="I3">_xll.FDS(B3,"STD(FG_PRICE_CHANGE(0,-1AY,AM))")</f>
        <v>2.10642022771051</v>
      </c>
      <c r="J3" cm="1">
        <f t="array" ref="J3">_xll.FDS(B3,"STD(FG_PRICE_CHANGE(0,-3AY,M))")*SQRT(12)</f>
        <v>11.992740511486462</v>
      </c>
      <c r="L3">
        <f>(1-(_xlfn.PERCENTRANK.EXC($F$3:$F$15,F3)))*100</f>
        <v>14.3</v>
      </c>
      <c r="M3">
        <f>(1-(_xlfn.PERCENTRANK.EXC($G$3:$G$15,G3)))*100</f>
        <v>71.500000000000014</v>
      </c>
      <c r="N3">
        <f>(1-(_xlfn.PERCENTRANK.EXC($H$3:$H$15,H3)))*100</f>
        <v>35.799999999999997</v>
      </c>
      <c r="O3">
        <f>SUMPRODUCT($L$1:$N$1,L3:N3)</f>
        <v>45.780000000000008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26.47</v>
      </c>
      <c r="U3" cm="1">
        <f t="array" ref="U3">_xlfn.PERCENTRANK.EXC(_xlfn._xlws.FILTER(S$3:S$15, ISNUMBER(S$3:S$15)),S3)*100</f>
        <v>14.2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1.4742739</v>
      </c>
      <c r="E4" cm="1">
        <f t="array" ref="E4">_xll.FDSB(B4,"FG_PRICE_CHANGE(0,-1AY)")</f>
        <v>-1.8944441999999999</v>
      </c>
      <c r="F4" cm="1">
        <f t="array" ref="F4">_xll.FDSB(B4,"FG_PRICE_CHANGE(0,-1AM)")</f>
        <v>-2.7642666999999999</v>
      </c>
      <c r="G4" cm="1">
        <f t="array" ref="G4">_xll.FDSB(B4,"FG_PRICE_CHANGE(0,-3AM)")</f>
        <v>-3.9141952999999998</v>
      </c>
      <c r="H4" cm="1">
        <f t="array" ref="H4">_xll.FDSB(B4,"FG_PRICE_CHANGE(0,-6AM)")</f>
        <v>-1.805985</v>
      </c>
      <c r="I4" cm="1">
        <f t="array" ref="I4">_xll.FDS(B4,"STD(FG_PRICE_CHANGE(0,-1AY,AM))")</f>
        <v>1.8138745477953899</v>
      </c>
      <c r="J4" cm="1">
        <f t="array" ref="J4">_xll.FDS(B4,"STD(FG_PRICE_CHANGE(0,-3AY,M))")*SQRT(12)</f>
        <v>10.604632416319266</v>
      </c>
      <c r="L4">
        <f t="shared" ref="L4:L15" si="1">(1-(_xlfn.PERCENTRANK.EXC($F$3:$F$15,F4)))*100</f>
        <v>92.9</v>
      </c>
      <c r="M4">
        <f t="shared" ref="M4:M15" si="2">(1-(_xlfn.PERCENTRANK.EXC($G$3:$G$15,G4)))*100</f>
        <v>92.9</v>
      </c>
      <c r="N4">
        <f t="shared" ref="N4:N15" si="3">(1-(_xlfn.PERCENTRANK.EXC($H$3:$H$15,H4)))*100</f>
        <v>92.9</v>
      </c>
      <c r="O4">
        <f t="shared" ref="O4:O11" si="4">SUMPRODUCT($L$1:$N$1,L4:N4)</f>
        <v>92.9</v>
      </c>
      <c r="P4">
        <f t="shared" ref="P4:P15" si="5">100- (_xlfn.PERCENTRANK.EXC($J$3:$J$15,J4)*100)</f>
        <v>14.299999999999997</v>
      </c>
      <c r="Q4">
        <f>VLOOKUP(A4,CAD!$A$3:$J$15, 10, FALSE)</f>
        <v>42.8</v>
      </c>
      <c r="S4">
        <f t="shared" si="0"/>
        <v>59.300000000000004</v>
      </c>
      <c r="U4" cm="1">
        <f t="array" ref="U4">_xlfn.PERCENTRANK.EXC(_xlfn._xlws.FILTER(S$3:S$15, ISNUMBER(S$3:S$15)),S4)*100</f>
        <v>71.399999999999991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1.3612500000000001</v>
      </c>
      <c r="E5" cm="1">
        <f t="array" ref="E5">_xll.FDSB(B5,"FG_PRICE_CHANGE(0,-1AY)")</f>
        <v>2.600336</v>
      </c>
      <c r="F5" cm="1">
        <f t="array" ref="F5">_xll.FDSB(B5,"FG_PRICE_CHANGE(0,-1AM)")</f>
        <v>-1.1689067</v>
      </c>
      <c r="G5" cm="1">
        <f t="array" ref="G5">_xll.FDSB(B5,"FG_PRICE_CHANGE(0,-3AM)")</f>
        <v>-0.76544285000000001</v>
      </c>
      <c r="H5" cm="1">
        <f t="array" ref="H5">_xll.FDSB(B5,"FG_PRICE_CHANGE(0,-6AM)")</f>
        <v>1.3626814</v>
      </c>
      <c r="I5" cm="1">
        <f t="array" ref="I5">_xll.FDS(B5,"STD(FG_PRICE_CHANGE(0,-1AY,AM))")</f>
        <v>1.1557337579935101</v>
      </c>
      <c r="J5" cm="1">
        <f t="array" ref="J5">_xll.FDS(B5,"STD(FG_PRICE_CHANGE(0,-3AY,M))")*SQRT(12)</f>
        <v>6.1780594105975215</v>
      </c>
      <c r="L5">
        <f t="shared" si="1"/>
        <v>64.3</v>
      </c>
      <c r="M5">
        <f t="shared" si="2"/>
        <v>35.799999999999997</v>
      </c>
      <c r="N5">
        <f t="shared" si="3"/>
        <v>42.900000000000006</v>
      </c>
      <c r="O5">
        <f t="shared" si="4"/>
        <v>44.34</v>
      </c>
      <c r="P5">
        <f t="shared" si="5"/>
        <v>71.5</v>
      </c>
      <c r="Q5">
        <f>VLOOKUP(A5,CAD!$A$3:$J$15, 10, FALSE)</f>
        <v>35.699999999999996</v>
      </c>
      <c r="S5">
        <f t="shared" si="0"/>
        <v>50.760000000000005</v>
      </c>
      <c r="U5" cm="1">
        <f t="array" ref="U5">_xlfn.PERCENTRANK.EXC(_xlfn._xlws.FILTER(S$3:S$15, ISNUMBER(S$3:S$15)),S5)*100</f>
        <v>35.699999999999996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0.91920215000000005</v>
      </c>
      <c r="E6" cm="1">
        <f t="array" ref="E6">_xll.FDSB(B6,"FG_PRICE_CHANGE(0,-1AY)")</f>
        <v>1.0249138</v>
      </c>
      <c r="F6" cm="1">
        <f t="array" ref="F6">_xll.FDSB(B6,"FG_PRICE_CHANGE(0,-1AM)")</f>
        <v>-1.4339565999999999</v>
      </c>
      <c r="G6" cm="1">
        <f t="array" ref="G6">_xll.FDSB(B6,"FG_PRICE_CHANGE(0,-3AM)")</f>
        <v>-1.5948176000000001</v>
      </c>
      <c r="H6" cm="1">
        <f t="array" ref="H6">_xll.FDSB(B6,"FG_PRICE_CHANGE(0,-6AM)")</f>
        <v>0.62046049999999997</v>
      </c>
      <c r="I6" cm="1">
        <f t="array" ref="I6">_xll.FDS(B6,"STD(FG_PRICE_CHANGE(0,-1AY,AM))")</f>
        <v>1.44206295156897</v>
      </c>
      <c r="J6" cm="1">
        <f t="array" ref="J6">_xll.FDS(B6,"STD(FG_PRICE_CHANGE(0,-3AY,M))")*SQRT(12)</f>
        <v>7.392257074935177</v>
      </c>
      <c r="L6">
        <f t="shared" si="1"/>
        <v>71.500000000000014</v>
      </c>
      <c r="M6">
        <f t="shared" si="2"/>
        <v>50</v>
      </c>
      <c r="N6">
        <f t="shared" si="3"/>
        <v>57.2</v>
      </c>
      <c r="O6">
        <f t="shared" si="4"/>
        <v>57.180000000000007</v>
      </c>
      <c r="P6">
        <f t="shared" si="5"/>
        <v>64.300000000000011</v>
      </c>
      <c r="Q6">
        <f>VLOOKUP(A6,CAD!$A$3:$J$15, 10, FALSE)</f>
        <v>78.5</v>
      </c>
      <c r="S6">
        <f t="shared" si="0"/>
        <v>63.580000000000013</v>
      </c>
      <c r="U6" cm="1">
        <f t="array" ref="U6">_xlfn.PERCENTRANK.EXC(_xlfn._xlws.FILTER(S$3:S$15, ISNUMBER(S$3:S$15)),S6)*100</f>
        <v>78.5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158.55000000000001</v>
      </c>
      <c r="E7" cm="1">
        <f t="array" ref="E7">_xll.FDSB(B7,"FG_PRICE_CHANGE(0,-1AY)")</f>
        <v>12.754678999999999</v>
      </c>
      <c r="F7" cm="1">
        <f t="array" ref="F7">_xll.FDSB(B7,"FG_PRICE_CHANGE(0,-1AM)")</f>
        <v>0.77223779999999997</v>
      </c>
      <c r="G7" cm="1">
        <f t="array" ref="G7">_xll.FDSB(B7,"FG_PRICE_CHANGE(0,-3AM)")</f>
        <v>3.4347772999999999</v>
      </c>
      <c r="H7" cm="1">
        <f t="array" ref="H7">_xll.FDSB(B7,"FG_PRICE_CHANGE(0,-6AM)")</f>
        <v>8.6256500000000003</v>
      </c>
      <c r="I7" cm="1">
        <f t="array" ref="I7">_xll.FDS(B7,"STD(FG_PRICE_CHANGE(0,-1AY,AM))")</f>
        <v>1.95814947860724</v>
      </c>
      <c r="J7" cm="1">
        <f t="array" ref="J7">_xll.FDS(B7,"STD(FG_PRICE_CHANGE(0,-3AY,M))")*SQRT(12)</f>
        <v>10.56778627163067</v>
      </c>
      <c r="L7">
        <f t="shared" si="1"/>
        <v>7.1999999999999957</v>
      </c>
      <c r="M7">
        <f t="shared" si="2"/>
        <v>7.1999999999999957</v>
      </c>
      <c r="N7">
        <f t="shared" si="3"/>
        <v>7.1999999999999957</v>
      </c>
      <c r="O7">
        <f t="shared" si="4"/>
        <v>7.1999999999999957</v>
      </c>
      <c r="P7">
        <f t="shared" si="5"/>
        <v>21.5</v>
      </c>
      <c r="Q7">
        <f>VLOOKUP(A7,CAD!$A$3:$J$15, 10, FALSE)</f>
        <v>64.2</v>
      </c>
      <c r="S7">
        <f t="shared" si="0"/>
        <v>22.89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0.89375000000000004</v>
      </c>
      <c r="E8" cm="1">
        <f t="array" ref="E8">_xll.FDSB(B8,"FG_PRICE_CHANGE(0,-1AY)")</f>
        <v>1.3149738</v>
      </c>
      <c r="F8" cm="1">
        <f t="array" ref="F8">_xll.FDSB(B8,"FG_PRICE_CHANGE(0,-1AM)")</f>
        <v>-0.61161520000000003</v>
      </c>
      <c r="G8" cm="1">
        <f t="array" ref="G8">_xll.FDSB(B8,"FG_PRICE_CHANGE(0,-3AM)")</f>
        <v>-1.9258200999999999</v>
      </c>
      <c r="H8" cm="1">
        <f t="array" ref="H8">_xll.FDSB(B8,"FG_PRICE_CHANGE(0,-6AM)")</f>
        <v>4.5260550000000004</v>
      </c>
      <c r="I8" cm="1">
        <f t="array" ref="I8">_xll.FDS(B8,"STD(FG_PRICE_CHANGE(0,-1AY,AM))")</f>
        <v>1.9547650075934799</v>
      </c>
      <c r="J8" cm="1">
        <f t="array" ref="J8">_xll.FDS(B8,"STD(FG_PRICE_CHANGE(0,-3AY,M))")*SQRT(12)</f>
        <v>8.3669222787719111</v>
      </c>
      <c r="L8">
        <f t="shared" si="1"/>
        <v>57.2</v>
      </c>
      <c r="M8">
        <f t="shared" si="2"/>
        <v>64.3</v>
      </c>
      <c r="N8">
        <f t="shared" si="3"/>
        <v>21.499999999999996</v>
      </c>
      <c r="O8">
        <f t="shared" si="4"/>
        <v>45.76</v>
      </c>
      <c r="P8">
        <f t="shared" si="5"/>
        <v>42.900000000000006</v>
      </c>
      <c r="Q8">
        <f>VLOOKUP(A8,CAD!$A$3:$J$15, 10, FALSE)</f>
        <v>85.7</v>
      </c>
      <c r="S8">
        <f t="shared" si="0"/>
        <v>52.89</v>
      </c>
      <c r="U8" cm="1">
        <f t="array" ref="U8">_xlfn.PERCENTRANK.EXC(_xlfn._xlws.FILTER(S$3:S$15, ISNUMBER(S$3:S$15)),S8)*100</f>
        <v>42.8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0.77372430000000003</v>
      </c>
      <c r="E9" cm="1">
        <f t="array" ref="E9">_xll.FDSB(B9,"FG_PRICE_CHANGE(0,-1AY)")</f>
        <v>-0.21277666000000001</v>
      </c>
      <c r="F9" cm="1">
        <f t="array" ref="F9">_xll.FDSB(B9,"FG_PRICE_CHANGE(0,-1AM)")</f>
        <v>-1.6480326999999999</v>
      </c>
      <c r="G9" cm="1">
        <f t="array" ref="G9">_xll.FDSB(B9,"FG_PRICE_CHANGE(0,-3AM)")</f>
        <v>-3.1335829999999998</v>
      </c>
      <c r="H9" cm="1">
        <f t="array" ref="H9">_xll.FDSB(B9,"FG_PRICE_CHANGE(0,-6AM)")</f>
        <v>-1.6441642999999999</v>
      </c>
      <c r="I9" cm="1">
        <f t="array" ref="I9">_xll.FDS(B9,"STD(FG_PRICE_CHANGE(0,-1AY,AM))")</f>
        <v>1.73458020958056</v>
      </c>
      <c r="J9" cm="1">
        <f t="array" ref="J9">_xll.FDS(B9,"STD(FG_PRICE_CHANGE(0,-3AY,M))")*SQRT(12)</f>
        <v>8.1004669082180722</v>
      </c>
      <c r="L9">
        <f t="shared" si="1"/>
        <v>85.8</v>
      </c>
      <c r="M9">
        <f t="shared" si="2"/>
        <v>85.8</v>
      </c>
      <c r="N9">
        <f t="shared" si="3"/>
        <v>85.8</v>
      </c>
      <c r="O9">
        <f>SUMPRODUCT($L$1:$N$1,L9:N9)</f>
        <v>85.800000000000011</v>
      </c>
      <c r="P9">
        <f t="shared" si="5"/>
        <v>50</v>
      </c>
      <c r="Q9">
        <f>VLOOKUP(A9,CAD!$A$3:$J$15, 10, FALSE)</f>
        <v>28.499999999999996</v>
      </c>
      <c r="S9">
        <f t="shared" si="0"/>
        <v>63.600000000000009</v>
      </c>
      <c r="U9" cm="1">
        <f t="array" ref="U9">_xlfn.PERCENTRANK.EXC(_xlfn._xlws.FILTER(S$3:S$15, ISNUMBER(S$3:S$15)),S9)*100</f>
        <v>85.7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35.799999999999997</v>
      </c>
      <c r="M10">
        <f t="shared" si="2"/>
        <v>28.6</v>
      </c>
      <c r="N10">
        <f t="shared" si="3"/>
        <v>78.600000000000009</v>
      </c>
      <c r="O10">
        <f t="shared" si="4"/>
        <v>50.040000000000006</v>
      </c>
      <c r="P10">
        <f t="shared" si="5"/>
        <v>92.9</v>
      </c>
      <c r="Q10">
        <f>VLOOKUP(A10,CAD!$A$3:$J$15, 10, FALSE)</f>
        <v>14.2</v>
      </c>
      <c r="S10">
        <f t="shared" si="0"/>
        <v>55.730000000000004</v>
      </c>
      <c r="U10" cm="1">
        <f t="array" ref="U10">_xlfn.PERCENTRANK.EXC(_xlfn._xlws.FILTER(S$3:S$15, ISNUMBER(S$3:S$15)),S10)*100</f>
        <v>50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35.799999999999997</v>
      </c>
      <c r="M11">
        <f t="shared" si="2"/>
        <v>28.6</v>
      </c>
      <c r="N11">
        <f t="shared" si="3"/>
        <v>78.600000000000009</v>
      </c>
      <c r="O11">
        <f t="shared" si="4"/>
        <v>50.040000000000006</v>
      </c>
      <c r="P11">
        <f t="shared" si="5"/>
        <v>92.9</v>
      </c>
      <c r="Q11">
        <f>VLOOKUP(A11,CAD!$A$3:$J$15, 10, FALSE)</f>
        <v>14.2</v>
      </c>
      <c r="S11">
        <f t="shared" si="0"/>
        <v>55.730000000000004</v>
      </c>
      <c r="U11" cm="1">
        <f t="array" ref="U11">_xlfn.PERCENTRANK.EXC(_xlfn._xlws.FILTER(S$3:S$15, ISNUMBER(S$3:S$15)),S11)*100</f>
        <v>50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0.89375000000000004</v>
      </c>
      <c r="E12" cm="1">
        <f t="array" ref="E12">_xll.FDSB(B12,"FG_PRICE_CHANGE(0,-1AY)")</f>
        <v>1.3149738</v>
      </c>
      <c r="F12" cm="1">
        <f t="array" ref="F12">_xll.FDSB(B12,"FG_PRICE_CHANGE(0,-1AM)")</f>
        <v>-0.61161520000000003</v>
      </c>
      <c r="G12" cm="1">
        <f t="array" ref="G12">_xll.FDSB(B12,"FG_PRICE_CHANGE(0,-3AM)")</f>
        <v>-1.9258200999999999</v>
      </c>
      <c r="H12" cm="1">
        <f t="array" ref="H12">_xll.FDSB(B12,"FG_PRICE_CHANGE(0,-6AM)")</f>
        <v>4.5260550000000004</v>
      </c>
      <c r="I12" cm="1">
        <f t="array" ref="I12">_xll.FDS(B12,"STD(FG_PRICE_CHANGE(0,-1AY,AM))")</f>
        <v>1.9547650075934799</v>
      </c>
      <c r="J12" cm="1">
        <f t="array" ref="J12">_xll.FDS(B12,"STD(FG_PRICE_CHANGE(0,-3AY,M))")*SQRT(12)</f>
        <v>8.3669222787719111</v>
      </c>
      <c r="L12">
        <f t="shared" si="1"/>
        <v>57.2</v>
      </c>
      <c r="M12">
        <f t="shared" si="2"/>
        <v>64.3</v>
      </c>
      <c r="N12">
        <f t="shared" si="3"/>
        <v>21.499999999999996</v>
      </c>
      <c r="O12">
        <f t="shared" ref="O12:O15" si="6">SUMPRODUCT($L$1:$N$1,L12:N12)</f>
        <v>45.76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45.75</v>
      </c>
      <c r="U12" cm="1">
        <f t="array" ref="U12">_xlfn.PERCENTRANK.EXC(_xlfn._xlws.FILTER(S$3:S$15, ISNUMBER(S$3:S$15)),S12)*100</f>
        <v>21.4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35.799999999999997</v>
      </c>
      <c r="M13" s="183">
        <f t="shared" si="2"/>
        <v>28.6</v>
      </c>
      <c r="N13" s="183">
        <f t="shared" si="3"/>
        <v>78.600000000000009</v>
      </c>
      <c r="O13" s="183">
        <f t="shared" si="6"/>
        <v>50.040000000000006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67.16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10.469250000000001</v>
      </c>
      <c r="E14" cm="1">
        <f t="array" ref="E14">_xll.FDSB(B14,"FG_PRICE_CHANGE(0,-1AY)")</f>
        <v>-1.9117831999999999</v>
      </c>
      <c r="F14" cm="1">
        <f t="array" ref="F14">_xll.FDSB(B14,"FG_PRICE_CHANGE(0,-1AM)")</f>
        <v>-0.46396852</v>
      </c>
      <c r="G14" cm="1">
        <f t="array" ref="G14">_xll.FDSB(B14,"FG_PRICE_CHANGE(0,-3AM)")</f>
        <v>-2.8862595999999998</v>
      </c>
      <c r="H14" cm="1">
        <f t="array" ref="H14">_xll.FDSB(B14,"FG_PRICE_CHANGE(0,-6AM)")</f>
        <v>1.7054081000000001</v>
      </c>
      <c r="I14" cm="1">
        <f t="array" ref="I14">_xll.FDS(B14,"STD(FG_PRICE_CHANGE(0,-1AY,AM))")</f>
        <v>2.5051160536280599</v>
      </c>
      <c r="J14" cm="1">
        <f t="array" ref="J14">_xll.FDS(B14,"STD(FG_PRICE_CHANGE(0,-3AY,M))")*SQRT(12)</f>
        <v>10.282579170110472</v>
      </c>
      <c r="L14">
        <f t="shared" si="1"/>
        <v>42.900000000000006</v>
      </c>
      <c r="M14">
        <f t="shared" si="2"/>
        <v>78.600000000000009</v>
      </c>
      <c r="N14">
        <f t="shared" si="3"/>
        <v>28.6</v>
      </c>
      <c r="O14">
        <f t="shared" si="6"/>
        <v>51.460000000000008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48.59</v>
      </c>
      <c r="U14" cm="1">
        <f t="array" ref="U14">_xlfn.PERCENTRANK.EXC(_xlfn._xlws.FILTER(S$3:S$15, ISNUMBER(S$3:S$15)),S14)*100</f>
        <v>28.499999999999996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1779.8235</v>
      </c>
      <c r="E15" cm="1">
        <f t="array" ref="E15">_xll.FDSB(B15,"FG_PRICE_CHANGE(0,-1AY)")</f>
        <v>1.0249138</v>
      </c>
      <c r="F15" cm="1">
        <f t="array" ref="F15">_xll.FDSB(B15,"FG_PRICE_CHANGE(0,-1AM)")</f>
        <v>-1.4339626000000001</v>
      </c>
      <c r="G15" cm="1">
        <f t="array" ref="G15">_xll.FDSB(B15,"FG_PRICE_CHANGE(0,-3AM)")</f>
        <v>-1.5948176000000001</v>
      </c>
      <c r="H15" cm="1">
        <f t="array" ref="H15">_xll.FDSB(B15,"FG_PRICE_CHANGE(0,-6AM)")</f>
        <v>0.62046049999999997</v>
      </c>
      <c r="I15" cm="1">
        <f t="array" ref="I15">_xll.FDS(B15,"STD(FG_PRICE_CHANGE(0,-1AY,AM))")</f>
        <v>1.44206106431476</v>
      </c>
      <c r="J15" cm="1">
        <f t="array" ref="J15">_xll.FDS(B15,"STD(FG_PRICE_CHANGE(0,-3AY,M))")*SQRT(12)</f>
        <v>7.3922571143864779</v>
      </c>
      <c r="L15">
        <f t="shared" si="1"/>
        <v>78.600000000000009</v>
      </c>
      <c r="M15">
        <f t="shared" si="2"/>
        <v>50</v>
      </c>
      <c r="N15">
        <f t="shared" si="3"/>
        <v>57.2</v>
      </c>
      <c r="O15">
        <f t="shared" si="6"/>
        <v>58.6</v>
      </c>
      <c r="P15">
        <f t="shared" si="5"/>
        <v>57.2</v>
      </c>
      <c r="Q15">
        <f>VLOOKUP(A15,CAD!$A$3:$J$15, 10, FALSE)</f>
        <v>57.099999999999994</v>
      </c>
      <c r="S15">
        <f t="shared" si="7"/>
        <v>57.88</v>
      </c>
      <c r="U15" cm="1">
        <f t="array" ref="U15">_xlfn.PERCENTRANK.EXC(_xlfn._xlws.FILTER(S$3:S$15, ISNUMBER(S$3:S$15)),S15)*100</f>
        <v>64.2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-5.5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-0.5</v>
      </c>
      <c r="J4" cm="1">
        <f t="array" ref="J4">_xlfn.PERCENTRANK.EXC(_xlfn._xlws.FILTER(H$3:H$15, ISNUMBER(H$3:H$15)),H4)*100</f>
        <v>42.8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-0.6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6.0995975976701802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3.61295912215857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6.9808755786158398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-2.7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-3.1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-3.1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-0.75681715730573196</v>
      </c>
      <c r="H12" cm="1">
        <f t="array" ref="H12">IFERROR(_xll.FDS($F12,"EE_ACTUAL_ANNUAL(MED,+1)"),0)</f>
        <v>-0.4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10.163156516841701</v>
      </c>
      <c r="H13" cm="1">
        <f t="array" ref="H13">IFERROR(_xll.FDS($F13,"EE_ACTUAL_ANNUAL(MED,+1)"),0)</f>
        <v>9.3000000000000007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5.8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0.46420208426721798</v>
      </c>
      <c r="H15" cm="1">
        <f t="array" ref="H15">IFERROR(_xll.FDS($F15,"EE_ACTUAL_ANNUAL(MED,+1)"),0)</f>
        <v>1.05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8.35596279152373</v>
      </c>
      <c r="G17">
        <v>14.538819869127099</v>
      </c>
      <c r="H17">
        <v>12.8710545066268</v>
      </c>
      <c r="I17">
        <v>25.011729152643198</v>
      </c>
      <c r="J17">
        <v>18.292929263957198</v>
      </c>
      <c r="K17">
        <v>10.914009645236099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9.7147154363071309</v>
      </c>
      <c r="F18">
        <v>7.4385992980085502</v>
      </c>
      <c r="G18">
        <v>14.667779515581</v>
      </c>
      <c r="H18">
        <v>11.2074687408189</v>
      </c>
      <c r="I18">
        <v>24.5344428506904</v>
      </c>
      <c r="J18">
        <v>17.229819144546401</v>
      </c>
      <c r="K18">
        <v>8.9422344840844303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6.4440018120205602</v>
      </c>
      <c r="C19">
        <v>12.8471719199911</v>
      </c>
      <c r="D19">
        <v>14.1061782856045</v>
      </c>
      <c r="E19">
        <v>12.199709394090799</v>
      </c>
      <c r="F19">
        <v>9.2207656739007806</v>
      </c>
      <c r="G19">
        <v>16.3837417700753</v>
      </c>
      <c r="H19">
        <v>13.922769951646799</v>
      </c>
      <c r="I19">
        <v>26.637202168196701</v>
      </c>
      <c r="J19">
        <v>20.686290276685401</v>
      </c>
      <c r="K19">
        <v>12.2539555485597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</v>
      </c>
      <c r="D20">
        <v>14.0029403106176</v>
      </c>
      <c r="E20">
        <v>11.818711551142201</v>
      </c>
      <c r="F20">
        <v>9.2254455713673291</v>
      </c>
      <c r="G20">
        <v>16.690651733527702</v>
      </c>
      <c r="H20">
        <v>15.8587443966116</v>
      </c>
      <c r="I20">
        <v>24.048321567438698</v>
      </c>
      <c r="J20">
        <v>20.598310591546799</v>
      </c>
      <c r="K20">
        <v>13.1476341706421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9.2997687113842105</v>
      </c>
      <c r="G21">
        <v>19.302463641340701</v>
      </c>
      <c r="H21">
        <v>14.7202112757034</v>
      </c>
      <c r="I21">
        <v>25.319915595255299</v>
      </c>
      <c r="J21">
        <v>20.350503777423999</v>
      </c>
      <c r="K21">
        <v>13.221250861669199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6.4440018120205602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8.9422344840844303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9.2997687113842105</v>
      </c>
      <c r="G25" s="8">
        <f t="shared" si="2"/>
        <v>19.302463641340701</v>
      </c>
      <c r="H25" s="8">
        <f t="shared" si="2"/>
        <v>14.7202112757034</v>
      </c>
      <c r="I25" s="8">
        <f t="shared" si="2"/>
        <v>25.319915595255299</v>
      </c>
      <c r="J25" s="8">
        <f t="shared" si="2"/>
        <v>20.350503777423999</v>
      </c>
      <c r="K25" s="8">
        <f t="shared" si="2"/>
        <v>13.221250861669199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45455</v>
      </c>
      <c r="M1" s="116"/>
    </row>
    <row r="2" spans="1:20" ht="15" thickBot="1" x14ac:dyDescent="0.4">
      <c r="K2" s="12" t="s">
        <v>772</v>
      </c>
      <c r="L2" s="187">
        <f ca="1">EDATE(TODAY(), -4)</f>
        <v>45363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06/2024</v>
      </c>
      <c r="O3" t="str" cm="1">
        <f t="array" aca="1" ref="O3" ca="1">_xll.FDSRC("-","DUMMY","ECON_DATE("&amp;$L$2&amp;",,, 'MM/YYYY')")</f>
        <v>03/2024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41.100586</v>
      </c>
      <c r="N4" cm="1">
        <f t="array" aca="1" ref="N4" ca="1">_xll.FDSRC("-","DUMMY","ECON_EXPR_DATA('FDS_ECON["&amp;H4&amp;"]',"&amp;$N$3&amp;",,Q)")</f>
        <v>45.388824</v>
      </c>
      <c r="O4" cm="1">
        <f t="array" aca="1" ref="O4" ca="1">_xll.FDSRC("-","DUMMY","ECON_EXPR_DATA('FDS_ECON["&amp;H4&amp;"]',"&amp;$O$3&amp;",,Q)")</f>
        <v>47.7971</v>
      </c>
      <c r="P4">
        <f t="shared" ref="P4:P12" ca="1" si="0">IFERROR(N4-O4,$M$20)</f>
        <v>-2.4082760000000007</v>
      </c>
      <c r="Q4" cm="1">
        <f t="array" ref="Q4">_xlfn.PERCENTRANK.EXC(_xlfn._xlws.FILTER(M$4:M$16, ISNUMBER(M$4:M$16)),M4)*100</f>
        <v>7.1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9.94</v>
      </c>
      <c r="T4" cm="1">
        <f t="array" aca="1" ref="T4" ca="1">_xlfn.PERCENTRANK.EXC(_xlfn._xlws.FILTER(S$4:S$16, ISNUMBER(S$4:S$16)),S4)*100</f>
        <v>7.1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47.17306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48.519999999999996</v>
      </c>
      <c r="T5" cm="1">
        <f t="array" aca="1" ref="T5" ca="1">_xlfn.PERCENTRANK.EXC(_xlfn._xlws.FILTER(S$4:S$16, ISNUMBER(S$4:S$16)),S5)*100</f>
        <v>50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49.280479999999997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50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47.120000000000005</v>
      </c>
      <c r="T6" cm="1">
        <f t="array" aca="1" ref="T6" ca="1">_xlfn.PERCENTRANK.EXC(_xlfn._xlws.FILTER(S$4:S$16, ISNUMBER(S$4:S$16)),S6)*100</f>
        <v>42.8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43.501510000000003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14.2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34.200000000000003</v>
      </c>
      <c r="T7" cm="1">
        <f t="array" aca="1" ref="T7" ca="1">_xlfn.PERCENTRANK.EXC(_xlfn._xlws.FILTER(S$4:S$16, ISNUMBER(S$4:S$16)),S7)*100</f>
        <v>28.499999999999996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50.046066000000003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75.640000000000015</v>
      </c>
      <c r="T8" cm="1">
        <f t="array" aca="1" ref="T8" ca="1">_xlfn.PERCENTRANK.EXC(_xlfn._xlws.FILTER(S$4:S$16, ISNUMBER(S$4:S$16)),S8)*100</f>
        <v>78.5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43.870950000000001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21.4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27.119999999999997</v>
      </c>
      <c r="T9" cm="1">
        <f t="array" aca="1" ref="T9" ca="1">_xlfn.PERCENTRANK.EXC(_xlfn._xlws.FILTER(S$4:S$16, ISNUMBER(S$4:S$16)),S9)*100</f>
        <v>21.4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50.900154000000001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78.5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78.5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51.573079999999997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85.7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59.980000000000004</v>
      </c>
      <c r="T11" cm="1">
        <f t="array" aca="1" ref="T11" ca="1">_xlfn.PERCENTRANK.EXC(_xlfn._xlws.FILTER(S$4:S$16, ISNUMBER(S$4:S$16)),S11)*100</f>
        <v>57.099999999999994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51.573079999999997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85.7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59.980000000000004</v>
      </c>
      <c r="T12" cm="1">
        <f t="array" aca="1" ref="T12" ca="1">_xlfn.PERCENTRANK.EXC(_xlfn._xlws.FILTER(S$4:S$16, ISNUMBER(S$4:S$16)),S12)*100</f>
        <v>57.099999999999994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45.352626999999998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28.499999999999996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37.099999999999994</v>
      </c>
      <c r="T13" cm="1">
        <f t="array" aca="1" ref="T13" ca="1">_xlfn.PERCENTRANK.EXC(_xlfn._xlws.FILTER(S$4:S$16, ISNUMBER(S$4:S$16)),S13)*100</f>
        <v>35.699999999999996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50.679600000000001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71.399999999999991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77.12</v>
      </c>
      <c r="T14" cm="1">
        <f t="array" aca="1" ref="T14" ca="1">_xlfn.PERCENTRANK.EXC(_xlfn._xlws.FILTER(S$4:S$16, ISNUMBER(S$4:S$16)),S14)*100</f>
        <v>85.7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49.659244999999999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0.50492099999999596</v>
      </c>
      <c r="Q15" cm="1">
        <f t="array" ref="Q15">_xlfn.PERCENTRANK.EXC(_xlfn._xlws.FILTER(M$4:M$16, ISNUMBER(M$4:M$16)),M15)*100</f>
        <v>57.099999999999994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62.819999999999993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45.728034999999998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35.699999999999996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24.259999999999998</v>
      </c>
      <c r="T16" cm="1">
        <f t="array" aca="1" ref="T16" ca="1">_xlfn.PERCENTRANK.EXC(_xlfn._xlws.FILTER(S$4:S$16, ISNUMBER(S$4:S$16)),S16)*100</f>
        <v>14.2</v>
      </c>
    </row>
    <row r="18" spans="8:13" x14ac:dyDescent="0.35">
      <c r="K18" t="str" cm="1">
        <f t="array" aca="1" ref="K18" ca="1">_xll.FDSRC("-","DUMMY","ECON_DATE("&amp;$L$1&amp;",,, 'MM/YYYY')")</f>
        <v>06/2024</v>
      </c>
      <c r="L18" t="str" cm="1">
        <f t="array" aca="1" ref="L18" ca="1">_xll.FDSRC("-","DUMMY","ECON_DATE("&amp;$L$2&amp;",,, 'MM/YYYY')")</f>
        <v>03/2024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49.659244999999999</v>
      </c>
      <c r="K19" cm="1">
        <f t="array" aca="1" ref="K19" ca="1">_xll.FDSRC("-","DUMMY","ECON_EXPR_DATA('FDS_ECON["&amp;H19&amp;"]',"&amp;$K$18&amp;",,Q)")</f>
        <v>49.418430000000001</v>
      </c>
      <c r="L19" cm="1">
        <f t="array" aca="1" ref="L19" ca="1">_xll.FDSRC("-","DUMMY","ECON_EXPR_DATA('FDS_ECON["&amp;H19&amp;"]',"&amp;$L$18&amp;",,Q)")</f>
        <v>49.135437000000003</v>
      </c>
      <c r="M19">
        <f ca="1">K19-L19</f>
        <v>0.28299299999999761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52.095469999999999</v>
      </c>
      <c r="K20" cm="1">
        <f t="array" aca="1" ref="K20" ca="1">_xll.FDSRC("-","DUMMY","ECON_EXPR_DATA('FDS_ECON["&amp;H20&amp;"]',"&amp;$K$18&amp;",,Q)")</f>
        <v>52.017085999999999</v>
      </c>
      <c r="L20" cm="1">
        <f t="array" aca="1" ref="L20" ca="1">_xll.FDSRC("-","DUMMY","ECON_EXPR_DATA('FDS_ECON["&amp;H20&amp;"]',"&amp;$L$18&amp;",,Q)")</f>
        <v>51.512165000000003</v>
      </c>
      <c r="M20">
        <f ca="1">K20-L20</f>
        <v>0.50492099999999596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85.507000000000005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94353.483999999997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1566.12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1759662.8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2487.0239999999999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2789844.5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933.471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2294066.7999999998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16232.886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6689818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1177.0374999999999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2226699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2901.7579999999998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3303913.8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298109.58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57806324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551767.783008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57806324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654.86400000000003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3201614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296.11500000000001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1200638.3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392.06400000000002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1039511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460.63499999999999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880794.5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336657.7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0783917"><![CDATA[{"EWD^FREF_MARKET_VALUE_COMPANY(0,,,USD,,0,,\"LEGACY\")":392.064,"FC0000US^FMA_MCAP(0,,,USD,\"PORTAGG\")":57806324.0,"FC0000GB^FMA_MCAP(0,,,USD,\"PORTAGG\")":3303913.8,"FC0000CH^FMA_MCAP(0,,,USD,\"PORTAGG\")":2226699.0,"FC0000JP^FMA_MCAP(0,,,USD,\"PORTAGG\")":6689818.0,"EWG^FREF_MARKET_VALUE_COMPANY(0,,,USD,,0,,\"LEGACY\")":933.471,"FC0000DE^FMA_MCAP(0,,,USD,\"PORTAGG\")":2294066.8,"EWC^FREF_MARKET_VALUE_COMPANY(0,,,USD,,0,,\"LEGACY\")":2487.024,"FC0000CA^FMA_MCAP(0,,,USD,\"PORTAGG\")":2789844.5,"EWA^FREF_MARKET_VALUE_COMPANY(0,,,USD,,0,,\"LEGACY\")":1566.12,"FC0000AU^FMA_MCAP(0,,,USD,\"PORTAGG\")":1759662.8,"ENZL^FREF_MARKET_VALUE_COMPANY(0,,,USD,,0,,\"LEGACY\")":85.507,"FC0000NZ^FMA_MCAP(0,,,USD,\"PORTAGG\")":94353.484,"NQG00809^FG_COMPANY_NAME":"Nasdaq South Africa","CC_ZA^FG_COMPANY_NAME":"South Africa","FC0000ZA^FG_MCAP_IDX(0,,,USD)":336657.7,"EWI^FREF_MARKET_VALUE_COMPANY(0,,,USD,,0,,\"LEGACY\")":460.635,"FC0000IT^FMA_MCAP(0,,,USD,\"PORTAGG\")":880794.5,"FC0000SE^FMA_MCAP(0,,,USD,\"PORTAGG\")":1039511.0,"EWN^FREF_MARKET_VALUE_COMPANY(0,,,USD,,0,,\"LEGACY\")":296.115,"FC0000NL^FMA_MCAP(0,,,USD,\"PORTAGG\")":1200638.3,"EWQ^FREF_MARKET_VALUE_COMPANY(0,,,USD,,0,,\"LEGACY\")":654.864,"FC0000FR^FMA_MCAP(0,,,USD,\"PORTAGG\")":3201614.0,"EWL^FREF_MARKET_VALUE_COMPANY(0,,,USD,,0,,\"LEGACY\")":1177.0375,"EWJ^FREF_MARKET_VALUE_COMPANY(0,,,USD,,0,,\"LEGACY\")":16232.886,"NQG00809^FMA_MCAP(0,,,USD,\"PORTAGG\")":null,"SPY^FREF_MARKET_VALUE_COMPANY(0,,,USD,,0,,\"LEGACY\")":551767.783008,"QQQ^FREF_MARKET_VALUE_COMPANY(0,,,USD,,0,,\"LEGACY\")":298109.58,"EWU^FREF_MARKET_VALUE_COMPANY(0,,,USD,,0,,\"LEGACY\")":2901.758,"DUMMY^ECON_EXPR_DATA('FDS_ECON[NTCPMIMFGSA@IT]',,,M)":45.728035,"DUMMY^ECON_EXPR_DATA('FDS_ECON[NTCPMIMFGSA@FR]',,,M)":45.352627,"DUMMY^ECON_EXPR_DATA('FDS_ECON[NTCPMIMFGMESA@US]',,,M)":51.57308,"DUMMY^ECON_EXPR_DATA('FDS_ECON[NTCPMIMFGSA@CH]',,,M)":43.87095,"DUMMY^ECON_EXPR_DATA('FDS_ECON[NTCPMIMFGSA@JP]',,,M)":50.046066,"DUMMY^ECON_EXPR_DATA('FDS_ECON[NTCPMIMFGSA@AU]',,,M)":47.17306,"DUMMY^ECON_EXPR_DATA('FDS_ECON[]',,,M)":null,"DUMMY^ECON_EXPR_DATA('FDS_ECON[NTCPMIMFGSA@NL]',,,M)":50.6796,"DUMMY^ECON_EXPR_DATA('FDS_ECON[NTCPMIMFGSA@GB]',,,M)":50.900154,"DUMMY^ECON_EXPR_DATA('FDS_ECON[NTCPMIMFGSA@CA]',,,M)":49.28048,"DUMMY^ECON_EXPR_DATA('FDS_ECON[NTCPMIMFGSA@NZ]',,,M)":41.100586,"DUMMY^ECON_EXPR_DATA('FDS_ECON[NTCPMIMFGSA@DE]',,,M)":43.50151,"CAGDPY@FR^EE_ACTUAL_ANNUAL(MED,+1)":-0.4,"CAGDPY@AU^EE_ACTUAL_ANNUAL(MED,+1)":-0.5,"USDITL^FG_PRICE_CHANGE(0,-3AM)":-1.5948176,"USDANG^FG_PRICE_CHANGE(0,-3AM)":0.0,"USDUSD^FG_PRICE_CHANGE(0,-3AM)":0.0,"USDGBP^FG_PRICE_CHANGE(0,-3AM)":-3.133583,"USDJPY^FG_PRICE_CHANGE(0,-3AM)":3.4347773,"USDCAD^FG_PRICE_CHANGE(0,-3AM)":-0.76544285,"USDNZD^FG_PRICE_CHANGE(0,-3AM)":-2.337557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,45422,45454,45484],"EWD^FMA_DIV_YLD(NTMA,-10AY,0,AM,\"PORTAGG\",\"MEANR\")":[4.22063823734161,4.29636471501369,4.23585171681156,4.53040002480111,4.14145904389456,4.10434101915421,4.1537943816742,3.79542817607592,3.67254454233968,3.6075712904039,3.84169213914366,3.9041324576169,3.96182290230141,3.97529482099362,4.33107058101237,4.31015168727001,4.17303512871211,4.4659113915458,4.59350197399449,4.80644281212678,4.24082423501161,4.38461017202569,4.4343962082716,4.55788981641595,4.42365633023973,4.21088117688118,4.22129046246409,4.14728061980778,4.10678132346761,3.8795934791461,3.91475710691793,3.66795642893299,3.63027584186662,3.66357608593722,3.51774103840985,3.53038431692621,3.57477562858838,3.77350324160059,3.71929424545831,3.54991286882342,3.60234192890126,3.67158009275519,3.6342814038828,4.02556926118666,3.83733383035062,4.16213433620744,3.97680499455087,4.08316433790632,4.22063686313829,4.10030847819855,4.11379904192968,4.28836907685663,4.38320485486567,4.58734764140413,4.51309182651059,4.25963151800475,4.17905092054548,4.0588476620183,4.20659666126445,4.22004400442108,4.17488695138818,4.27445585710311,3.99727984411427,3.88490209260264,3.67574080900543,3.69397466283514,3.58278924176226,3.41268769816775,4.24868290789052,3.61668053943421,3.32343158228887,3.12398981529503,2.98890258385145,2.96375017887383,2.97474236153536,2.982772332735,3.03015874472381,3.06531591665767,3.01722626225012,3.00317712733125,2.77806916853721,2.70146301846704,2.88062276308154,2.67979345871395,2.67209223714433,2.69758779081311,2.75867244469713,2.93144454159224,2.96685219095712,2.92537469820634,2.92211595692459,2.91111913172772,3.21557112211881,3.16462036941823,3.47533537301953,3.39292529757509,3.69995723450543,3.47243802989893,3.66011656520569,3.83116267620484,3.52731068899338,3.59821767708128,3.50057284095468,3.56694476812716,3.64822333509868,3.68473531341167,3.73547097167045,3.70548310075621,3.80268437593414,3.88842617300702,3.95459387897333,3.74412663701007,3.87324110349945,3.01584407128311,3.01690028906795,3.37988393501868,3.24214143258028,3.29189789094886,3.16917448826822,3.21330277117389,3.23631568427518],"EWQ^FMA_PE(NTMA,-10AY,0,AM,\"PORTAGG\",\"MEANR\")":[13.5881141677996,13.2034701599297,13.7605765986515,12.6193460181865,13.2773254318945,13.5775812964051,13.5183553642329,15.5465980907725,16.4012653524154,17.1212684363433,16.2523628956523,15.939695531496,15.5027022901504,15.7060546366522,14.1123860445249,14.6264557862971,15.3558216511101,14.2868704415095,13.6063345345065,12.7578157920034,14.6751205161635,14.1454799319496,14.1592695070849,13.8916468252149,13.6675695651591,14.2262639764753,14.0818527749777,13.8509123610012,13.6999609196774,14.3963557909099,14.5879543865023,14.2086830911331,14.5204791092236,14.8031882976187,15.3663404721992,15.0857833266054,14.6040341489278,14.3750450674355,14.7563592044011,15.1907856279079,15.0117688428659,15.0449558953683,15.1754615893931,14.0302646214365,14.5561082665678,14.439874412685,14.8437202251711,14.4140285714724,13.9761408451209,13.8598306658398,13.4380188300971,12.7899614109453,12.8255122560701,12.0963683408196,12.2246420766778,12.8642103795756,13.4573991283777,13.9291600121577,13.4933522370889,13.6376120130927,13.9382808562414,13.5032006484124,14.0937709795151,14.2294375836525,14.7417129310261,14.6314610490213,14.9987342102657,15.0753556398519,12.155940089491,14.4908623986769,16.5512753273288,18.2323290411417,19.1810581870438,20.0450490730277,19.2720557255435,18.4475063791481,19.171428787142,18.4822609974128,18.1056062110172,17.8470925894773,18.4374405376889,18.3359406591169,17.5852255152912,17.9957746893773,17.2489959401304,16.8730015898582,16.2113077780878,15.5196262508967,15.9164898207513,15.5560726416738,15.6790807182864,14.643549542867,13.0027329203982,13.2066462748093,12.1129146282885,11.7505288145553,11.1085635980339,11.8713152631249,11.2171228609913,10.3520759711799,11.8858695894584,12.1441439336223,12.7091346565971,13.1139805184522,13.1455568014231,13.4362302838078,13.3372695929185,13.0086664486207,12.9520131532875,13.0827653277683,12.8635689076158,12.4841629319069,12.4353552357616,13.3305022775708,13.1847125831865,13.7989093968107,14.442741638294,14.3495141344497,14.7600939168162,13.9209824627701,13.5655338316322],"QQQ^FMA_PE(LTMA,-10AY,0,AM,\"PORTAGG\",\"MEANR\")":[19.1398682903092,18.9711688432669,19.4777752358246,18.6598352652074,19.8650901283137,20.1519724203827,19.9467153214544,20.0320867441236,20.593357100168,20.5165934784295,20.277630928227,20.1702038867671,19.8486398494081,20.2089572546867,19.5311811452464,19.5756943326247,20.296116740276,19.8636286828396,18.9341119507379,17.3600619954414,18.2664480602178,18.368179952457,18.3631886205753,18.5419207711197,18.9290788945446,19.5526428981443,19.3011734708972,19.8529266849893,19.5979289954878,20.2460574627044,21.0125178260205,21.5272966967445,21.7012824691961,21.5870886001693,21.8257019264769,21.8748013587034,21.7524161586236,21.9412261552739,22.2965353703203,22.6075718142814,22.9601709104262,23.2972725377325,24.6255464635472,22.7594555680994,24.1766392763791,23.4913536433679,23.3662295775586,23.3121395017545,23.2061739855578,23.1162351815135,23.0838337317168,21.6692590697214,21.1929705968218,19.9462373993139,19.5479829189366,20.3380034634141,20.9100570061276,21.2089360882425,21.2836194710615,21.2727683323106,21.992575656657,21.6847636709906,22.2731389113555,22.3590161346843,23.4254846946115,24.2628735362468,26.0678813569965,26.899195656642,23.5223291392793,23.9586368725477,25.8036112343314,26.7239485491008,28.9351544144187,28.7263178264808,29.7589489033697,31.7159204043899,31.8691565720835,33.7056634789415,35.0659703051143,35.4035011997361,32.8058153195718,32.885490917016,31.5792958937076,31.558010409969,32.0521816756568,31.2320400098072,31.4491933549565,30.1373271575663,31.6414345797443,31.8912181228452,30.8708483244871,26.9185130821267,26.3272997565905,26.4000195260495,25.106371771274,24.5884922756916,24.311018890695,26.1119222530561,25.0694818392618,22.3183325314573,23.9368884358043,23.1611527564561,23.6283591169155,25.6388270044459,25.1199688813123,25.5893968800514,25.7729640207031,26.64713799471,27.3269386601848,26.3352866018978,26.8042123547548,26.7072163213769,26.9993362105463,28.1609975307829,29.0569887602604,30.4411959071511,30.1665967622763,29.9574015900567,29.6176064125007,29.8819280530301,30.4767774385683],"DDR3512M-FDS^FG_PRICE(0)":0.9272354,"PASP-FDS^FG_PRICE(0)":1012.0,"PLATI-FDS^FG_PRICE(0)":1011.0,"W-FDS^FG_PRICE(0)":5.5425,"COPP-FDS^FG_PRICE(0)":4.5085,"FC0000US^FG_PRICE(0)":416.81958,"FC0000GR^FG_PRICE(0)":9.810748,"EWI^FG_PRICE(0)":37.45,"SPY^FG_PRICE(0)":556.48,"EWJ^FG_PRICE(0)":71.01,"ENZL^FG_PRICE(0)":46.22,"EWA^FG_COMPANY_NAME":"iShares MSCI Australia ETF","FXI^P_PRICE(0)/P_PRICE_LOW_PR(0,,,,,,\"PRICE\",\"INTRA\",\"52W\")-1":0.29146695,"SPY^FMA_PCT_ABOVE_MAVG(200,0,,,,\"PORTAGG\")":64.4710578842315,"URTH^PERCENT_CHANGE(FMA_EPS(+1,0,,,,\"PORTAGG\",\"MEAN\"),FMA_EPS(+1,-3AM,,,,\"PORTAGG\",\"MEAN\"))":-0.07652062635234,"VGK^FG_TOTAL_RETURNC(0,-3AM)":5.326426,"EWD^P_PRICE(0)/P_PRICE_HIGH_PR(0,,,,,,\"PRICE\",\"INTRA\",\"52W\")":0.9575615,"EWQ^FG_TOTAL_RETURNC(0,-12AM)":5.6177735,"SPY^PERCENT_CHANGE(FMA_EPS(+1,0,,,,\"PORTAGG\",\"MEAN\"),FMA_EPS(+1,-1AM,,,,\"PORTAGG\",\"MEAN\"))":-0.60684536266157,"EWU^FG_TOTAL_RETURNC(0,-1AM)":2.5802732,"EWJ^FG_TOTAL_RETURNC(0,-6AM)":8.7244625,"EWC^P_PRICE(0)/P_PRICE_LOW_PR(0,,,,,,\"PRICE\",\"INTRA\",\"52W\")-1":0.22190392,"EWA^FMA_PCT_ABOVE_MAVG(200,0,,,,\"PORTAGG\")":54.2372881355932,"EWJ^SIZE(FG_CONSTITUENTS)":204,"EWD^FMA_COS_DOWN(\"EPS\",\"1M\",+1,0,,,\"PORTAGG\",\"MEANR\")":23.0,"EWU^FMA_COS_UP(\"EPS\",\"1M\",+1,0,,,\"PORTAGG\",\"MEANR\")":32.0,"ENZL^SIZE(FG_CONSTITUENTS)":14,"EWI^FMA_RBICS_REV_CURRENT(30, LOC, \"PORTAGG\")":37.0297073578115,"EWQ^FG_ROE(0)":12.766692446284,"TRYGB10Y-FDS^FG_YIELD_NAME":"United Kingdom Benchmark Bond - 10 Year","EWG^FG_COMPANY_NAME":"iShares MSCI Germany ETF","REFFFUND-FDS^(SUBARRAY(NOT_NA(NO_REPEAT_F(FG_YIELD(NOW,-10AY,D))),0,1)-SUBARRAY(NOT_NA(NO_REPEAT_F(FG_YIELD(NOW,-10AY,D))),1,1))*100":25.0,"REFEUREFI-FDS^FG_YIELD(NOW,,,0)":4.25,"TRYNL10Y-FDS^PCTCHG(FG_YIELD(0,,,,\"YTM\"),FG_YIELD(-1AM,,,,\"YTM\"))":-7.219972,"TRYCA10Y-FDS^PCTCHG(FG_YIELD(0,,,,\"YTM\"),FG_YIELD(-1AM,,,,\"YTM\"))":-1.665712,"TRYUS10Y-FDS^FG_YIELD_NAME":"US Benchmark Bond - 10 Year","TRYNZ10Y-FDS^FG_YIELD_NAME":"New Zealand Benchmark Bond - 10 Year","VWO^FG_FCF_YIELD_NTM(0)":5.42291804839651,"EWI^FMA_PE(NTMA,0,,,\"PORTAGG\",\"MEANR\")":9.6366363711624,"EWN^JULIAN(FMA_DIV_YLD(NTMA,NOW,NOW,M,\"PORTAGG\",\"MEANR\").DATES)":45471,"QQQ^FMA_EVAL_EBITDA(NTMA,0,,,\"PORTAGG\",\"MEANR\")":17.2647923362536,"EWL^FMA_DIV_YLD(NTMA,NOW,NOW,M,\"PORTAGG\",\"MEANR\")":3.23833990452955,"EWG^FMA_PE(LTM,0,,,\"PORTAGG\",\"MEANR\")":16.5042875465979,"ENZL^FMA_EVAL_EBIT(LTMA,NOW,NOW,M,\"PORTAGG\",\"MEANR\")":20.3806771257827,"EWJ^FG_COMPANY_NAME":"iShares MSCI Japan ETF","EWD^FG_COMPANY_NAME":"iShares MSCI Sweden ETF","VGK^P_PRICE(0)/P_PRICE_HIGH_PR(0,,,USD,,,\"PRICE\",\"INTRA\",\"52W\")":0.97177213,"QQQ^P_PRICE(0)/P_PRICE_HIGH_PR(0,,,USD,,,\"PRICE\",\"INTRA\",\"52W\")":0.97698206,"VWO^P_PRICE(0)/P_PRICE_HIGH_PR(0,,,USD,,,\"PRICE\",\"INTRA\",\"52W\")":0.99539375,"CAGDPY@AU^EE_ACTUAL_ANNUAL(MED,0)":0.275776825503169,"USDITL^FG_PRICE_CHANGE(0,-1AM)":-1.4339626,"USDUSD^FG_PRICE_CHANGE(0,-1AM)":0.0,"USDNZD^FG_PRICE_CHANGE(0,-1AM)":0.14711618,"EWI^FG_TOTAL_RETURNC(-10AY,0,AM)":[-5.1339746,-8.610451,5.458081,-11.275416,0.20834208,-2.4255037,-8.030004,7.776046,3.3910513,5.3035617,2.5182247,2.197802,-1.5208662,2.8758168,-5.463785,2.3521423,-5.581087,-4.520172,-5.980408,-16.394716,17.565048,-5.8498025,1.0075569,-3.158772,-6.0673532,5.639088,1.5124559,-4.5574007,1.4233232,6.3377023,5.648768,-3.7413597,4.267001,2.2285223,9.671032,2.0238519,2.8660536,3.5764337,4.9762964,0.93517303,-1.6613364,1.8193603,4.4659853,-2.6412785,2.7129412,1.4434814,1.5440583,-8.467502,-2.823478,-4.341835,0.576365,-7.4498596,-1.509285,-3.064835,4.438925,0.7075429,5.308342,4.37361,-2.8764188,0.4387498,7.5859547,-9.208679,6.016195,1.2004375,5.859101,-1.5959322,3.0590177,1.2811899,-26.165115,-3.0658245,-3.9069772,12.342691,8.273125,3.940487,-0.7350147,-1.6367912,7.0523024,7.4019194,4.3350577,2.3309946,2.6358604,0.47558546,2.0195723,5.539775,-4.4497194,4.408574,-3.95481,-1.2074292,6.1422706,-3.8086712,3.8832307,-3.7159085,-16.433239,8.156431,-8.4022045,-2.1227717,-7.957244,8.3871,-5.4761944,-9.739715,27.255821,0.0,8.181572,3.8408756,-2.1136105,5.026984,0.54609776,-1.0159552,5.291009,0.3140688,-1.0644972,-2.8797448,1.4988542,7.1910143,2.3230553,0.5927563,7.896292,-0.3823042,4.6875,-1.7899752,2.3224115],"SPY^FMA_PE(NTMA,-10AY,0,AM,\"PORTAGG\",\"MEANR\")":[15.3433437721194,14.911178096053,15.2700871372688,14.5264828399597,15.629654253249,15.6943080585517,16.0157856576161,16.6270587988844,16.3545738307633,16.7506179803448,16.6242589328258,16.5063970226408,16.1845842710819,16.2621647863037,15.2817631966567,15.7512636421626,16.2660717939002,15.7300489831403,15.0965716788976,15.5099438140132,15.5167363536305,16.5004635460184,16.5226770167304,16.5332547025517,16.7895077164128,17.0120438063636,16.443516067559,16.3782850308453,16.5261030604819,17.0817729331739,17.0133824231897,17.3573135161618,17.6868555093764,17.3885861861154,17.4609592662087,17.5892922074256,17.3950625401321,17.3716829759511,17.5650529762541,17.9352276023395,17.9158166017304,18.2513691551672,18.3133305053187,16.4319397139113,17.2975432074564,16.2514102222609,16.4505081458464,16.6011132635123,16.3985340136262,16.5026574691152,16.6667764569797,15.6512502728195,15.8933845224029,15.0545656237265,15.0726387797725,15.7828712290394,16.1649153021234,16.735658159891,16.5132645539269,16.4176908126895,17.0590432703296,16.601354700813,16.9491013974875,16.7891810909503,17.4245968796922,17.680669046995,18.3089397600708,18.8279214869709,15.4682637275698,17.9658547629139,20.8316241510724,21.1801395974539,22.1798914107909,22.13961262835,21.6520384602833,22.077193524248,21.8329747586022,21.8321034106042,22.4761158544033,22.1719283868819,21.9033973693184,22.5068850367059,21.2498865807796,21.3215030166419,21.6116833940397,21.0455275679611,20.8570526776756,20.278168093228,21.2282674206659,21.1865411819267,20.9838828526471,19.4146286105941,18.1868428998613,18.8531705600867,16.6253159886256,16.2978509334781,16.0864468299132,17.7585033372064,17.0969696971189,15.1891950320764,17.3034950497693,17.029096111951,17.2490187000189,18.0459977713077,16.9568781643918,18.0696916781829,17.9751551238653,18.5018371287707,19.0726029348547,18.9019037860325,18.7119815886104,18.1778471994387,18.2565964752324,18.8967611413291,19.5334160807986,20.3975199812305,20.4771885753891,20.7275991576667,20.4759526503474,20.7619078953362,21.5904132546223],"WL-FDS^MAX(FG_PRICE(0,-5AY))":763.4,"NI-FDS^MAX(FG_PRICE(0,-5AY))":48241.0,"BRENT-FDS^MAX(FG_PRICE(0,-5AY))":140.85,"FC0000GB^FG_PRICE(0)":130.52388,"EWD^FG_PRICE_MAVG(0,,,,200)":37.954723,"EWG^FG_PRICE_MAVG(0,,,,200)":29.47035,"FXI^P_PRICE(0)/P_PRICE_HIGH_PR(0,,,,,,\"PRICE\",\"INTRA\",\"52W\")":0.8821218,"VGK^FG_TOTAL_RETURNC(0,-1AM)":1.5089154,"DUMMY^ECON_EXPR_DATA('FDS_ECON[NTCPMIMFGSA@EME]',,,M)":52.09547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AGDPY@FR^EE_ACTUAL_ANNUAL(MED,0)":-0.756817157305732,"USDANG^FG_PRICE_CHANGE(0,-1AM)":0.0,"USDGBP^FG_PRICE_CHANGE(0,-1AM)":-1.6480327,"USDJPY^FG_PRICE_CHANGE(0,-1AM)":0.7722378,"USDCAD^FG_PRICE_CHANGE(0,-1AM)":-1.1689067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N^FMA_DIV_YLD(NTMA,-10AY,0,AM,\"PORTAGG\",\"MEANR\")":[2.89347782002791,3.06149075772117,3.00104001790359,3.17750860434438,3.08913156082057,3.06095932154212,3.13375663660281,2.8814342100664,2.63863870754586,2.58310347872124,2.73791140690727,2.88431717602198,2.92066189862663,3.05314144297488,3.50502890783083,3.46208639246176,3.14261294474862,3.3703178124924,3.32616144060891,3.73085497356854,3.3070368016115,3.35983063304366,3.40019443182294,3.2714917012433,3.29383909175332,3.13177851941349,3.15535955984215,3.11936472266154,3.18868506839284,3.04139651137152,2.95090430830372,2.915858114188,2.77039631952978,2.76564994465788,2.70276686252854,2.70111645765119,2.81700957183875,2.81879214633753,2.84485154781321,2.77117276080204,2.80115736908361,2.8214146298831,2.79917723071026,2.99428155186221,2.90740052526616,2.94670838213444,2.90794126440471,2.85143148349815,2.9618853000586,2.90400840329892,3.04072632879953,3.21760442026084,3.1656999123636,3.37134496957496,3.38437527772502,3.19634355466189,3.1289980037481,3.01308524281793,3.05710668139763,3.0669532887272,2.9849302174975,3.03754782768631,2.85681179257786,2.74741717089089,2.65745502778279,2.64026991179438,2.57652895081943,2.49450194682201,3.18582779394374,2.8833964806587,2.62688828286798,2.48417485709076,2.32345436308004,2.35251965973252,2.32122518056387,2.27544631956116,2.1846485874798,2.07826912388842,1.94257884352513,1.89038165959937,2.00187877971717,1.90472064936588,2.00607252422662,1.97589729034351,2.02574283996592,1.94040020855219,1.85198660892642,1.98511008605418,1.85156713944838,1.9770197803366,2.01233724635212,2.21584445906126,2.45050247290314,2.32180014301779,2.61275627863966,2.64469720276448,3.39307496051512,3.07293924732522,3.67773049128445,3.12449272678837,2.70869262830335,2.64607514561409,2.58752179758628,2.58519450278685,2.72543759070081,2.66878929063871,2.71862324909544,2.6816749498208,2.7417934056205,2.77621023414872,2.95727147211533,2.98909049311986,2.91257420792312,2.70383808167201,2.72564142048787,2.47229034478904,2.6053271774946,2.52437640289151,2.46559578577109,2.43639548016805,2.44370401467481],"EWU^FMA_PE(LTMA,-10AY,0,AM,\"PORTAGG\",\"MEANR\")":[14.2744493993483,14.1302479473592,14.1573206623118,13.4268495849335,13.9403205851875,13.5947856219578,13.4770673405133,14.5096383025039,15.1059044391867,15.4653415263547,15.7176650214959,15.698358007868,15.5822147632225,15.7710393146924,15.018967059324,15.7553625559977,15.7677008457074,15.0845130535522,14.7544904257769,13.9936954392155,15.6255820413721,15.8086409901152,15.8689019711773,15.8931277075778,16.4170151633055,16.9626444370876,16.851203979754,17.0469822940956,16.3174182826211,16.8868474178802,17.2688579985609,17.3356477048108,17.2791303258414,17.0539715640928,16.858552691487,16.6940067692947,16.3471164254866,16.1329607142966,16.0235510303927,15.8670953374715,15.4004427733942,15.2274109877955,15.6516379168601,14.2238916401885,13.9813350069092,13.9868660919576,14.1292551417902,13.9953243508908,13.7849751675198,13.7790666178708,13.3168935775809,12.9458173875826,12.8853225820427,12.1150686655359,12.3033933231619,12.6693115046268,12.9142227518401,13.0119420610559,12.8687263753885,13.0018402077936,13.1055757379882,12.7798315966711,13.0518854223501,13.1207783053745,13.3684730695287,13.4591438401208,14.2041445320893,14.02343628341,12.1462530360108,12.7909345289202,13.8921932337512,14.8259335578823,15.2113026920623,16.301502773507,16.7737634359504,17.213382093765,17.954972927967,19.2846537022257,20.3006962237872,19.3385245152965,18.6792587693578,18.1176319672665,17.4488221727928,16.9539767159684,16.1862392292448,15.2996319736062,14.4050657471326,13.8978854275389,13.3652069637279,12.518250410842,12.5635729769055,12.8897101201569,12.4077864211837,12.264769785585,11.7619494572827,11.478751117953,10.9431264556761,10.8428603457669,10.264478895724,9.38273324134799,9.68732007620547,9.88684898693499,9.98331146818982,10.1168517553844,10.232138501839,10.3494950570132,10.3455334741086,10.3121959129816,10.2342900373181,10.5418415791191,10.5276072269669,10.6561984235561,10.3964296310995,10.9115692875294,11.1599931536915,11.1812844991282,11.4568607720428,11.5266707058761,11.7600236311173,11.6318188769908,11.6939917925669],"CPALM-FDS^MAX(FG_PRICE(0,-5AY))":8163.0,"TIOS-FDS^MAX(FG_PRICE(0,-5AY))":219.77,"FC0000CA^FG_PRICE(0)":297.48196,"QQQ^FG_PRICE_MAVG(0,,,,200)":420.6756,"EWI^FG_COMPANY_NAME":"iShares MSCI Italy ETF","ENZL^FG_COMPANY_NAME":"iShares MSCI New Zealand ETF","EWJ^FG_TOTAL_RETURNC(0,-12AM)":17.355324,"URTH^PERCENT_CHANGE(FMA_EPS(+1,0,,,,\"PORTAGG\",\"MEAN\"),FMA_EPS(+1,-1AM,,,,\"PORTAGG\",\"MEAN\"))":0.0526196474914838,"EWD^FG_TOTAL_RETURNC(0,-6AM)":9.95779,"EWL^FG_COMPANY_NAME":"iShares MSCI Switzerland ETF"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76,13.147116166704],"TRYUS10Y-FDS^FG_YIELD(-10AY,0,Y,,\"YTM\")":[2.1881,2.2961,2.4752,2.4325,2.6836,1.9185,0.9174,1.5119,3.8776,3.8791],"TIPSCL10Y-FDS^FG_YIELD(-10AY,0,Y,,\"YTM\")":[null,null,null,null,null,null,null,null,null,null],"CAGDPY@IT^EE_ACTUAL_ANNUAL(MED,+1)":1.05,"CAGDPY@JP^EE_ACTUAL_ANNUAL(MED,+1)":3.8,"CC_CA^FG_COMPANY_NAME":"Canada","USDSEK^FG_PRICE_CHANGE(0,-1AY)":-1.9117832,"USDCHF^FG_PRICE_CHANGE(0,-1AY)":1.3149738,"USDUSD^FG_PRICE_CHANGE(0,-1AY)":0.0,"USDEUR^FG_PRICE_CHANGE(0,-1AY)":1.0249138,"USDAUD^FG_PRICE_CHANGE(0,-1AY)":-1.894444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451853,10.4260783078249,13.640269748948,12.7503134513224,16.3243001954911],"EWL^P_PRICE_RETURNS_PR('52W',2,-10AY,0,AM)":[15.799856,8.89374,11.428034,1.9650459,3.9951086,4.613602,-1.1441171,0.2355814,-3.9962113,2.5365233,2.8552532,2.2981524,2.6904225,4.518211,-2.5500536,5.1244617,-1.5835702,-3.969562,-5.2607536,-12.768626,-4.804039,-11.090815,-11.854929,-11.972207,-10.623556,-5.4597797,-0.85659623,-3.744197,-4.046088,-3.3436477,6.346023,12.506151,10.660601,10.186553,15.379858,14.132822,17.393982,13.0772,17.080366,20.659674,18.835281,22.235203,22.153913,14.797651,14.363373,9.021664,3.8845658,0.6543875,-0.7183492,2.3272038,1.213789,-5.942708,-0.27011633,-5.2598715,-7.009506,-2.079177,0.6374717,6.852448,6.624639,13.054562,14.792479,10.281897,12.551045,17.872084,18.009663,24.145758,25.441265,29.442347,5.670166,3.6839724,6.7379713,4.3465137,9.878564,10.756075,13.111186,16.144062,12.022913,12.938011,13.838363,9.940422,26.02967,29.537224,26.731705,34.390842,26.042128,25.972153,20.48664,14.128304,21.506287,20.056057,15.785587,9.183205,4.0564775,9.99732,-5.653417,-15.38474,-14.690346,-11.324787,-14.36016,-20.218342,-12.918925,-14.3558445,-12.091726,-7.665944,-4.4069586,-5.195749,14.476132,11.12628,13.635826,8.5724945,11.176359,23.36285,4.774916,10.203707,10.093951,6.564498,15.631032,2.1126747,1.3360023,8.402002,9.923959],"EWG^FG_TOTAL_RETURNC(-10AY,0,AM)":[-2.3306668,-6.546646,1.7863393,-11.493463,5.637634,3.9381623,-5.276203,5.981314,2.3280382,5.308509,-1.7675936,-1.5328228,-0.5368054,-1.4191747,-7.0224705,-0.83081126,0.8758545,-2.680254,-5.042672,-6.5767946,9.794485,0.0,2.9868603,-2.7455568,-2.1315157,10.4003315,-1.7309248,-0.3835857,-1.8482864,2.3538709,3.8302183,0.8493304,2.7096272,1.0338664,6.7748785,3.3707857,-0.105792284,-0.81565976,5.065787,2.943015,-0.42579174,1.1606455,3.1582832,-5.868542,2.2132158,-0.7014334,1.8120408,-2.0814538,-4.4005513,-1.9141912,-1.2449503,-5.144805,-1.2931049,-6.804943,1.991415,-0.7274151,4.6278358,2.7644634,1.6499281,-0.84685683,1.0222793,-4.922181,3.6924243,0.18355846,6.009519,0.5184889,2.3383737,-0.9408653,-21.404339,-0.5610645,1.6492963,12.852263,7.274413,4.4903755,3.3765316,-0.3629148,-0.8609295,3.206408,6.077087,1.6064286,1.1857748,3.9663434,0.23121834,4.455662,-1.965189,-0.114536285,-1.1467934,-5.7424603,4.8615456,-4.107988,2.6553154,-5.0811768,-15.394365,2.358675,-7.681054,1.4173985,-11.35723,8.995914,-6.5443935,-11.864406,25.657892,1.7317772,8.151924,1.6843677,-1.6924798,4.9450517,1.082027,-1.511538,1.5489936,-0.28378963,-2.3834944,-3.6807597,-0.34052134,10.250568,0.521791,0.27406216,6.012988,-0.5800843,4.31118,-2.0867705,2.21138],"EWA^FMA_DIV_YLD(NTMA,-10AY,0,AM,\"PORTAGG\",\"MEANR\")":[4.74636694716592,4.81023778721306,4.78393920230964,5.16716047928794,4.8570303764697,5.13106889031295,4.92127442003952,4.71378638369082,4.69792045491148,4.54105170690197,4.77671826492259,4.89937508530051,4.96635628879482,5.02349051502812,5.44583403731053,5.15528970427274,5.36187935007953,5.40701911427671,5.52458343305277,5.24910746642355,4.7275102218109,4.99510608473946,4.55362705095193,4.60917488292773,4.61161008700289,4.46995326970521,4.62050310787135,4.51042073142704,4.59867088536719,4.52908905740887,4.44806797739786,4.5227661126483,4.53558253191133,4.48252615377069,4.53909731751365,4.69411972917047,4.62393965906062,4.63807191236003,4.58904010727016,4.57672340987479,4.41404577305548,4.50260182161589,4.45685477449393,4.69933442738275,4.64656496734572,4.77738721147023,4.6041341656191,4.73069079443331,4.59918665742528,4.59308548319681,4.76674650553987,5.03906189083379,5.04993086166187,5.40846404558034,5.19983738357043,4.97323047227149,4.96420855196339,4.94890425670875,4.84504176839794,4.68414031758931,4.61424231982604,4.66313952740549,4.50584066024935,4.48307177315998,4.31375028759361,4.29487699853497,4.18574384545519,4.13220794811035,5.01478390117166,4.62239158745415,3.8292020740375,3.38900696948186,3.48245516335955,3.32794580852528,3.61444189221331,3.55089826648606,3.49270498207297,3.53310169428925,3.52813078623354,3.58779597924577,3.9128882420033,3.87995382583436,3.87916549123229,3.88196959154853,4.12660363312407,4.02153557632288,4.08612980080773,4.06089465900215,4.00712592130471,3.96358462703229,3.90160546835952,4.26377505883025,4.37534610690502,4.33220264263915,4.7527076468554,4.93217703429246,5.20492692498333,4.70950624377569,4.84058991028999,5.1344699666156,4.62663861339013,4.46801868135345,4.5117653580227,4.33437063625187,4.5871971192561,4.44747952784217,4.42701886445057,4.42272102375968,4.35553343813767,4.17803667592156,4.19681219976734,4.32053769564974,4.40617627294354,4.23641263830747,4.05729971344814,3.98663989765335,3.96941211541048,3.932480374451,3.98163848789144,3.94680414574687,3.90578832278136],"ENZL^JULIAN(FMA_DIV_YLD(NTMA,-10AY,0,AM,\"PORTAGG\",\"MEANR\").DATES)":[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,45422,45454,45483],"DDR3512M-FDS^FG_PRICE(0)/MAX(FG_PRICE(0,-1AY))":0.8915725,"PASP-FDS^FG_PRICE(0)/MAX(FG_PRICE(0,-1AY))":0.755223880597015,"PLATI-FDS^FG_PRICE(0)/MAX(FG_PRICE(0,-1AY))":0.945743685687559,"W-FDS^FG_PRICE(0)/MAX(FG_PRICE(0,-1AY))":0.729036501150937,"COPP-FDS^FG_PRICE(0)/MAX(FG_PRICE(0,-1AY))":0.880738425473725,"DUMMY^ECON_EXPR_DATA('FDS_ECON[PMIDMMANHE]',,,M)":49.659245,"TRYIN10Y-FDS^FG_YIELD(-10AY,0,Y,,\"YTM\")":[7.86,7.89,6.63,7.35,7.35,6.55,5.9,6.45,7.33,7.19],"CAGDPY@CA^EE_ACTUAL_ANNUAL(MED,0)":-0.725414399026327,"USDITL^FG_PRICE(0)":1779.8235,"USDCAD^STD(FG_PRICE_CHANGE(0,-1AY,AM))":1.15573375799351,"USDNZD^FG_PRICE_CHANGE(0,-1AY)":1.0625243,"EWU^FG_TOTAL_RETURNC(-10AY,0,AM)":[-0.19018054,-2.9937208,-0.34843087,-8.241755,4.300487,-4.279751,-2.1963775,5.116546,-2.7582467,3.615129,6.092322,-2.6562095,-2.51711,0.21715164,-8.179837,3.7168145,-2.7303755,-5.380118,-5.0635576,-5.7104945,10.492956,-0.509876,1.3452888,-1.2010098,-0.4824996,3.9525628,0.19011497,-3.858322,-0.98683834,3.5880446,1.4497995,2.0192266,-0.5340874,3.4112453,3.5736084,0.82571507,-1.1959672,1.2711763,2.9886484,2.0313382,-1.4789522,1.5300155,5.9454083,-6.2619686,2.304554,2.6518345,2.1388888,-0.38074255,-3.2392502,-1.8775225,-2.826029,-2.3023248,0.4031062,-7.257569,4.0235996,3.0421972,3.396821,3.5922647,-2.1932483,-0.090903044,0.3886342,-6.755501,4.087734,1.021707,3.0341268,1.1963248,3.724742,-1.8138587,-22.471231,-2.382815,0.56022406,2.228415,2.9383779,2.9942393,-3.1308234,1.4621019,7.9256654,3.1974792,5.726075,-1.9218266,5.114579,1.4533997,4.048586,2.694106,-1.6893983,1.5676856,-2.8198183,0.12216568,2.3184896,-1.4311254,6.327176,0.7307768,-8.589667,7.4285746,-9.249413,2.399683,-5.60233,6.6895366,-5.7234764,-11.493855,15.105974,5.490458,3.0746102,1.1562467,-2.4714231,5.0047517,0.4524827,-1.5473723,-1.243782,2.3299694,-1.5384614,0.5312443,-3.5125792,4.896903,2.5849342,-1.2251198,3.5348772999999998,2.0964384,6.042826,-1.6235948,2.5802732],"EWN^FMA_PE(LTMA,-10AY,0,AM,\"PORTAGG\",\"MEANR\")":[16.4947158935547,16.2153160854291,16.7601673258715,16.0456651431926,17.2339546988042,17.5278663939523,17.3169343985986,18.9427181268828,20.122531875868,20.0273441554243,19.5903588391333,19.2072746018086,18.9438543334915,18.80912887024,17.0888624814137,16.9663780479726,18.1862371013516,16.9058584507065,15.7327441666595,14.4969750345718,16.4239900373995,16.2808235893838,16.1713008237182,16.0153692848959,15.8841124285896,16.2430494838141,16.0420037505566,15.8577447224648,15.4974932696237,15.9210527944989,16.3842219226745,16.2040904439717,16.5042094847727,16.5588569356214,16.7229143922337,16.7603890824502,16.5451756953989,16.5481185923892,16.7249641423055,17.1808549962693,17.3375302328991,17.2870925779027,17.4813962463805,16.3813455423913,16.6808924860941,16.5914762865138,16.5893750068721,16.7345414788188,16.547377720712,16.6306357218737,16.2421255061107,15.517511500415,15.7089007227689,14.7844577910523,14.670371538714,15.5413373952729,16.1117373577366,16.2308030972538,16.1789465118486,16.2893949904298,16.4109119435036,16.1992289625717,16.9971883116977,17.2091382149649,17.8679688946383,18.3064450022566,18.7244527003207,19.8968857970103,17.0160415693592,17.2963780635682,18.0142139229654,18.9473201743931,20.0651374562863,20.7399591841086,21.5243174272252,22.6340516466748,24.5577859847437,25.9801910504561,27.7458481389958,30.0091915277886,28.817979537917,28.5639937360145,27.3893768241113,27.073149352726,26.364370449469,26.2181762058118,25.6665756104468,23.911951592977,24.4672728418922,22.6955153336399,21.8745422416947,20.0096138945917,18.162327039589,18.3953214957894,17.8609513192228,18.2945889099334,18.1747253695875,19.6501358002487,18.7326434900248,16.8200755440713,18.4667032012753,18.6015609825886,19.3057995135024,20.7077625373196,20.4921738468403,20.1908834307523,19.6407566564047,19.3305978661543,19.0021997584351,18.3333591197029,17.3978176387093,16.6341125199906,16.1277450085766,16.6793914820787,16.3184270971937,17.9721178016483,18.4584647726394,18.3602387002142,18.2685189627303,18.4659696959036,18.5165988866249],"CPALM-FDS^FG_PRICE_CHANGE(0,-1AM)":1.88247265326889,"QQQ^FG_COMPANY_NAME":"Invesco QQQ Trust Series I","EWC^FG_COMPANY_NAME":"iShares MSCI Canada ETF","SPY^PERCENT_CHANGE(FMA_EPS(+1,0,,,,\"PORTAGG\",\"MEAN\"),FMA_EPS(+1,-3AM,,,,\"PORTAGG\",\"MEAN\"))":0.637437486829068,"EWQ^PERCENT_CHANGE(FMA_EPS(+1,0,,,,\"PORTAGG\",\"MEAN\"),FMA_EPS(+1,-1AM,,,,\"PORTAGG\",\"MEAN\"))":-0.0963475587229787,"EWG^PERCENT_CHANGE(FMA_EPS(+1,0,,,,\"PORTAGG\",\"MEAN\"),FMA_EPS(+1,-3AM,,,,\"PORTAGG\",\"MEAN\"))":0.502434591626831,"SPY^FMA_COS_UP(\"EPS\",\"1M\",+1,0,,,\"PORTAGG\",\"MEANR\")":156.0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6432,24.5344428506904,26.6372021681967,24.0483215674387,25.3199155952553],"TRYFR10Y-FDS^FG_YIELD(-10AY,0,Y,,\"YTM\")":[0.837,0.9989,0.682,0.785,0.71,0.118,-0.344,0.201,3.07,2.534],"CAGDPY@SE^EE_ACTUAL_ANNUAL(MED,0)":6.4686639012956,"USDCHF^STD(FG_PRICE_CHANGE(0,-1AY,AM))":1.95476500759348,"USDCHF^FG_COMPANY_NAME":"Swiss Franc per U.S. Dollar","EWN^P_PRICE_RETURNS_PR('52W',2,-10AY,0,AM)":[14.053869,3.2388687,6.6027284,-2.4849296,-1.3528883,1.0178924,-8.207637,-1.5715301,-0.44930577,3.0173182,5.6548834,4.6117544,7.196021,12.946296,-0.25199652,7.2202563,5.5393577,-1.7267227,-0.40807128,-9.900999,-0.7315695,-4.8483253,-5.921274,-7.898712,-10.363555,-5.196208,3.6751628,2.3200512,-2.7945817,1.5625954,11.3652115,17.984486,15.488922,13.226879,20.752716,21.517765,30.085098,26.312721,30.35643,32.875645,33.53286,35.299088,35.204197,26.326252,26.626896,23.328125,13.57752,11.692619,7.299316,3.142178,-1.4345527,-9.53291,-5.803454,-12.269831,-14.714802,-6.765312,-8.286977,-3.5748243,-1.9816041,-1.9184709,3.2894135,-1.450938,8.291996,15.723062,16.667355,25.345648,27.43156,24.326181,-3.093475,-7.4298024,-3.9857984,2.5512934,11.679733,16.400087,12.407864,20.052124,17.61763,22.198141,26.984478,33.398354,65.87285,75.71104,67.0593,62.91033,44.11527,48.091614,53.066372,34.81108,39.40735,23.57031,16.888737,0.08087158,-14.104062,-14.925069,-24.227547,-25.249928,-28.530508,-24.079014,-32.93848,-37.68886,-26.896626,-19.519901,-14.48062,-8.766669,3.4733295,6.555772,19.645596,13.539516,29.265726,14.380062,16.570831,30.964518,11.475682,12.969387,7.79351,14.585436,24.171055,19.446861,23.071516,23.770893,23.01284],"ENZL^FMA_DIV_YLD(NTMA,-10AY,0,AM,\"PORTAGG\",\"MEANR\")":[4.47065595228737,4.56935885103544,4.53336692397436,4.60804294886135,4.43877701401957,4.49176577624116,4.42916115987728,4.27009228755625,4.30397228088674,4.43109586472914,4.46684507537055,4.45734684347586,4.71045703063957,4.63740267303238,5.14860233606005,5.25610306562709,4.89148516645734,4.80690185897919,4.91500710396966,5.00506587776045,4.69045024862221,4.57466759997125,4.48680314332507,4.36495976201959,4.28318419588048,4.13908222769064,4.15035892748783,4.47062267261873,4.75551146868518,4.6078893654269,4.49879391793521,4.50667709990805,4.56289658551886,4.54782765244196,4.4120669030521,4.45983933935568,4.39765769190603,4.37462018184818,4.37674925124824,4.37975500058567,4.46071557559729,4.27337967167598,4.30326745832043,4.56959119117219,4.21231062148988,4.24857329402348,4.16891396826759,4.02003836130956,4.04318509565326,4.06509938421979,3.96420940690043,4.29790467077548,4.16232154472356,4.2072097561295,4.10424526837896,4.02082362069456,3.90516139854378,3.79539484576937,3.69133867957838,3.69958217184623,3.45335730951031,3.39516552295264,3.32380257398423,3.33908241893286,3.32829318074809,3.26119680712192,3.16115836461661,3.0614920573976,3.29041534704995,2.99315351601391,2.59458847527481,2.56753949060891,2.48601791303435,2.40710005761217,2.42285264645463,2.35745165006595,2.35548026964501,2.37329087515197,2.40389451621252,2.55864349769717,2.61252028697769,2.58053083612425,2.61479268133808,2.68127948986522,2.61377342419419,2.67839015468842,2.60295707600186,2.679694214382,2.68312794802182,2.78182117206002,2.82053354848459,2.97607356038104,3.08455783962233,3.12183613769547,3.22166169109288,3.27040182027887,3.32596237858118,3.19764550067021,3.18309613799441,3.45344474023046,3.38689405810595,3.42404910768495,3.41812520577267,3.27312822269979,3.43694008882196,3.40674019677182,3.49807181510528,3.49598244824903,3.4314390240269,3.44218672125393,3.40116311875821,3.4247252194625,3.46446847410753,3.11220345253469,2.98100143901958,2.9897573073423,2.75655488731442,2.77572745845348,2.77853433719391,2.76076198737119,2.72131432976025],"NI-FDS^FG_PRICE_CHANGE(0,-6AM)":2.33846153846153,"COPP-FDS^MAX(FG_PRICE(0,-5AY))":5.119,"EWD^FG_PRICE(0)":40.84,"EWU^FG_PRICE_MAVG(0,,,,60)":35.392834,"EWC^FG_PRICE(0)":38.38,"URTH^FMA_PCT_ABOVE_MAVG(200,0,,,,\"PORTAGG\")":61.5007012622721,"VGK^FMA_PCT_ABOVE_MAVG(200,0,,,,\"PORTAGG\")":73.2114467408585,"EWD^FMA_PCT_ABOVE_MAVG(200,0,,,,\"PORTAGG\")":75.0,"QQQ^PERCENT_CHANGE(FMA_EPS(+1,0,,,,\"PORTAGG\",\"MEAN\"),FMA_EPS(+1,-1AM,,,,\"PORTAGG\",\"MEAN\"))":-0.207933782452992,"EWL^PERCENT_CHANGE(FMA_EPS(+1,0,,,,\"PORTAGG\",\"MEAN\"),FMA_EPS(+1,-1AM,,,,\"PORTAGG\",\"MEAN\"))":0.0683561988673771,"EWA^PERCENT_CHANGE(FMA_EPS(+1,0,,,,\"PORTAGG\",\"MEAN\"),FMA_EPS(+1,-3AM,,,,\"PORTAGG\",\"MEAN\"))":0.577599986215077,"EWN^SIZE(FG_CONSTITUENTS)":53,"EWN^FG_COMPANY_NAME":"iShares MSCI Netherlands ETF","EWA^FG_ROE(0)":12.5613674420637,"EWQ^FG_COMPANY_NAME":"iShares MSCI France ETF","REFJPTON-FDS^FG_YIELD(NOW,,,0)":0.1,"TRYAU10Y-FDS^PCTCHG(FG_YIELD(0,,,,\"YTM\"),FG_YIELD(-3AM,,,,\"YTM\"))":2.7967088,"CC_FR^IMF_IFS_RCPI_Q(0)":null,"EWD^FMA_PE(NTMA,0,,,\"PORTAGG\",\"MEANR\")":15.8983938999432,"EWG^FMA_EVAL_EBITDA(NTMA,0,,,\"PORTAGG\",\"MEANR\")":8.37514917945414,"UUP^FG_TOTAL_RETURNC(0,-3AM)":0.62915087,"TRYQA10Y-FDS^FG_YIELD(-10AY,0,Y,,\"YTM\")":[null,null,null,null,null,null,null,null,null,null],"USDITL^FG_COMPANY_NAME":"Italian Lira per U.S. Dollar","USDCAD^FG_PRICE_CHANGE(0,-6AM)":1.3626814,"USDNZD^FG_PRICE(0)":1.6346546,"EWL^FG_TOTAL_RETURNC(-10AY,0,AM)":[-1.5849292,-3.3840716,2.1107435,-8.298386,6.1091065,0.15393496,-2.8896391,3.0705929,-1.627773,7.4305415,1.9471169,0.2565503,-1.0177553,-1.8529415,-4.7947226,0.37771463,-2.1009743,-2.2741795,-4.1953506,-5.0975027,7.354009,0.33578873,1.0709524,0.06622076,0.55589676,3.8175702,-0.97624063,-1.7417073,-2.4080217,-0.17135143,3.9439678,1.8836737,2.238083,1.6814709,5.834627,1.4740586,0.8917928,0.0,2.5294185,1.262188,-3.2577813,2.0204902,3.8748503,-4.2829514,1.2702107,-2.480054,0.8477092,-1.6811669,-0.48418045,3.3404112,1.1460423,-5.897731,3.0873775,-3.5639346,1.9565225,0.791955,4.079783,3.5423994,0.22435188,4.6726346,1.0456204,0.97192526,1.4973164,-1.4488935,3.2076955,1.4503956,3.1146288,3.9118648,-15.034551,1.7386436,3.031981,2.3274422,6.8335533,1.3678193,3.6555529,-0.023663044,0.75757504,2.2791266,3.9366722,0.3538251,-2.6002645,4.5701385,0.8005142,8.511686,-0.72522163,2.2524357,-1.9845188,-4.2113724,7.2711825,0.9655237,0.33177137,-5.3686023,-7.173693,10.540295,-13.541662,-2.759111,0.1701951,6.2864065,-4.841292,-11.231094,17.085695,-1.223743,3.5296917,0.09031296,-3.3386052,8.238041,4.3984413,-3.5620213,0.26276112,1.5505552,-2.5591373,-1.5007734,-3.495407,7.0582747,3.4265876,-2.746904,4.484689,-4.416013,3.4974098,3.2690644,1.670444],"EWQ^FMA_PE(LTMA,-10AY,0,AM,\"PORTAGG\",\"MEANR\")":[15.4514760346479,15.1330105158836,15.5159009265747,14.5261243865285,14.9742342718932,14.9872964885129,14.7245678776234,16.4329592574129,17.5418240954451,17.7251653235171,17.4498741259813,17.3187269773629,17.0925287416513,17.1244216746713,15.8479709675718,16.0780701715542,16.5108847763979,15.2843130643889,14.3891069867754,13.6404128596657,15.2184878228901,15.0776518722822,15.0629603303781,14.9770349644531,14.8191965720716,15.1077149950153,15.0337553651864,14.8985534941708,14.7815856200756,15.4907924628096,15.8582063995181,15.447801357946,15.6137152627227,15.6397135602209,15.8354416668715,15.7555517255321,15.5563081379224,15.3988447690825,15.653298168875,16.0638360008686,15.992135723025,16.1804111481899,16.4497768912918,15.3835866010904,15.5902164776156,15.5034994149709,15.612696251901,15.380133954723,15.2006382883166,15.0933105345294,14.7746452896738,14.2431302010058,14.1703250775406,13.2370960996699,13.1270548197616,13.8282054704152,14.5448016591283,14.6201328160308,14.4692526783722,14.5313092825145,14.7414402116193,14.5334875112124,15.0166746869521,15.2320561543404,15.9625644041545,16.0801337102422,16.6367851371861,16.5969582858718,14.3654199093308,14.9613602860389,16.1007185910554,17.576847777897,19.3073467669477,22.0696580900755,23.2316284984354,23.9538881522158,26.892903166228,27.8729524541519,29.084060916432,27.350826156,26.8528020232836,26.1105208042622,25.0181297548693,24.4091929199843,23.2889973445042,22.0170039017465,20.6916094933619,19.2115946304932,18.6704477871407,17.5094176622944,17.1511510954802,16.118428637424,15.2608608620444,15.0992720704271,14.4888399470337,14.0425128573098,13.3518028989883,13.2761452442878,12.5202092682736,11.4027747290861,12.2316324443377,12.0529455440459,12.3708389397991,12.6108939279409,12.9104216252215,13.0696098717517,13.1334212115893,13.090008223275,13.1542002656956,13.3331684608015,13.2430641051068,12.9831512286381,12.8845314804823,13.9161821772981,13.9103011684038,14.6913277729786,15.4921253748748,15.4202818783835,15.5339664753498,15.1663001223313,14.9385182173037],"WL-FDS^FG_PRICE(0)/MAX(FG_PRICE(0,-1AY))":0.724914854597852,"CPALM-FDS^FG_PRICE_MAVG(0,,,,30)":3984.4333,"EWU^FG_COMPANY_NAME":"iShares MSCI United Kingdom ETF","EWQ^FMA_PCT_ABOVE_MAVG(200,0,,,,\"PORTAGG\")":45.1612903225806,"QQQ^FMA_PCT_ABOVE_MAVG(200,0,,,,\"PORTAGG\")":62.7450980392157,"EWG^PERCENT_CHANGE(FMA_EPS(+1,0,,,,\"PORTAGG\",\"MEAN\"),FMA_EPS(+1,-1AM,,,,\"PORTAGG\",\"MEAN\"))":1.06676075215939,"EWJ^FMA_COS_DOWN(\"EPS\",\"1M\",+1,0,,,\"PORTAGG\",\"MEANR\")":69.0,"TRYBR10Y-FDS^FG_YIELD(-10AY,0,Y,,\"YTM\")":[12.319731,15.989595,11.062725,9.887577,8.936093,6.883678,6.961219,10.970291,12.900059,10.455909],"TRY10Y-FDS^FG_YIELD(-10AY,0,Y,,\"YTM\")":[null,null,null,null,null,null,null,null,null,null],"CC_AU^FG_COMPANY_NAME":"Australia","USDGBP^FG_COMPANY_NAME":"British Pounds per U.S. Dollar","USDAUD^FG_PRICE_CHANGE(0,-1AM)":-2.7642667,"ENZL^P_PRICE_RETURNS_PR('52W',2,-10AY,0,AM)":[25.300968,17.058409,15.349663,2.547872,6.076777,12.242329,10.722601,7.0911765,-1.1847258,0.3360629,-3.7117898,-5.841744,-13.872492,-10.203433,-16.481596,-7.4837565,-8.42886,-5.984229,-9.317965,-7.302785,4.0916443,4.617095,11.699152,16.518938,33.803986,41.82111,53.034653,32.81857,20.130657,20.644928,24.906254,28.007317,14.201117,8.664953,8.968914,7.805431,7.3199987,5.658245,4.391265,13.387108,13.542867,15.320468,19.137383,12.236047,25.490284,23.643816,16.628874,16.583992,10.061466,4.527855,4.778564,-0.92815757,8.789754,5.837798,3.4255147,7.9009414,4.7439814,5.800104,11.012769,5.043137,16.030956,18.065548,16.723263,21.851086,15.259563,23.37563,25.2195,20.862103,5.411029,-5.511469,-0.83503723,5.9719086,8.900285,11.406958,11.142933,20.517624,26.618172,22.654093,21.711123,19.059776,26.797152,38.204967,31.661642,21.244324,10.75486,8.526659,10.965765,2.2033572,-2.8266966,-10.822701,-13.511526,-17.338526,-13.08403,-12.960106,-25.857342,-24.37467,-26.098484,-17.142273,-22.73389,-32.247997,-24.119658,-13.236737,-12.364185,-4.388708,-11.30147,-5.922973,10.498512,3.7522197,11.5965605,-3.9346159,-5.7162046,12.7841835,-1.287657,-4.629821,-0.93510747,-6.625718,-0.81038475,-5.731559,-8.657843,-1.6691625,-3.0320525],"SPY^FMA_DIV_YLD(NTMA,-10AY,0,AM,\"PORTAGG\",\"MEANR\")":[2.09999318935238,2.14905674284075,2.09601848491903,2.21104821185827,2.08943500819661,2.11450657020264,2.12001625623554,2.13107715552629,2.20428114645751,2.14719230192098,2.15710987745838,2.16264997671443,2.19483531868702,2.21782471067056,2.3678583434001,2.30970880384733,2.27434156761827,2.34103294675335,2.46484935821878,2.45182025901469,2.47519773454617,2.29179874134034,2.29270141173246,2.27710953304458,2.24414840435916,2.20100067632346,2.26317548959492,2.25490875326439,2.23891481056996,2.16289050591605,2.15944661425271,2.14117898857405,2.10103240225839,2.1270782557172,2.10601337622223,2.08510706554299,2.1164381560793,2.11521825969821,2.08499289871638,2.03621042040131,2.03271670486126,1.96681663098966,1.90167278905507,2.0390592771745,1.94003063748878,2.0650293118626,2.02027602670771,1.99166721083648,2.02136875391547,1.99644665563204,1.96927984988813,2.09642588240479,2.06010003386089,2.19258008146937,2.24375147571903,2.16493448629511,2.11355914333017,2.05472550576892,2.07114797213146,2.08281171046689,2.0151572024183,2.07891802957743,2.03310654963695,2.06478356507707,2.00015416336966,1.97695789429458,1.91795070874364,1.88075246456321,2.31596904529259,2.22380561817403,2.07488237845477,2.0082263028771,1.87128165782682,1.78650246446137,1.78685498464786,1.71950350625448,1.67847503796471,1.64069499282446,1.56314374883546,1.53320286792983,1.53275980497377,1.46924649657914,1.47153868994657,1.45106590793512,1.42719594966352,1.41647135040795,1.422671138082,1.46223204238077,1.38194585672334,1.37014220761781,1.37293626545056,1.48784281195475,1.57145630337307,1.49164053188785,1.68332743639582,1.71228908135129,1.74469670943013,1.61357369053099,1.6823462898788,1.9110469984611,1.73184263159918,1.76277422655773,1.75226886898702,1.71166532383398,1.82223430333338,1.71757716220119,1.70757404274704,1.65136604057453,1.6024145477779,1.60613834910376,1.60442494241816,1.6574594267913,1.64750706394445,1.58174802504476,1.54267407844812,1.48801651613724,1.46836403008087,1.44884160151729,1.4625945016768,1.4307895868396,1.36769619421884],"ENZL^JULIAN(FMA_DIV_YLD(LTMA,-10AY,0,AM,\"PORTAGG\",\"MEANR\").DATES)":[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,45422,45454,45483],"PLATI-FDS^FG_PRICE_CHANGE(0,-1AM)":4.87551867219918,"BRENT-FDS^FG_PRICE(0)/MAX(FG_PRICE(0,-1AY))":0.870614479821537,"FC0000JP^FG_PRICE(0)":180.66441,"FXI^FMA_PCT_ABOVE_MAVG(200,0,,,,\"PORTAGG\")":54.9019607843137,"EWJ^FMA_PCT_ABOVE_MAVG(200,0,,,,\"PORTAGG\")":68.6274509803922,"QQQ^FG_TOTAL_RETURNC(0,-12AM)":34.535587,"ENZL^PERCENT_CHANGE(FMA_EPS(+1,0,,,,\"PORTAGG\",\"MEAN\"),FMA_EPS(+1,-1AM,,,,\"PORTAGG\",\"MEAN\"))":-1.09898686154869,"VGK^FMA_COS_DOWN(\"EPS\",\"1M\",+1,0,,,\"PORTAGG\",\"MEANR\")":437.0,"EWA^SIZE(FG_CONSTITUENTS)":59,"SPY^FG_ROE(0)":18.5513162949416,"REFEUREFI-FDS^(SUBARRAY(NOT_NA(NO_REPEAT_F(FG_YIELD(NOW,-10AY,D))),0,1)-SUBARRAY(NOT_NA(NO_REPEAT_F(FG_YIELD(NOW,-10AY,D))),1,1))*100":-25.0,"REFAUCASH-FDS^PROPER_NAME(0,,,\"SECURITY\",\"NAME\")":"Australia Target Cash Rate","TRYCA10Y-FDS^FG_YIELD_NAME":"Canada Benchmark Bond - 10 Year","EWI^FMA_DIV_YLD(NTMA,NOW,NOW,M,\"PORTAGG\",\"MEANR\")":5.49637883079903,"QQQ^FMA_PE(NTMA,0,,,\"PORTAGG\",\"MEANR\")":27.5012873473499,"EWC^FMA_PE(NTMA,0,,,\"PORTAGG\",\"MEANR\")":14.1869990153247,"DBA^FG_TOTAL_RETURNC(0,-3AM)":-2.8174639,"CAGDPY@CH^EE_ACTUAL_ANNUAL(MED,+1)":8.0,"USDANG^STD(FG_PRICE_CHANGE(0,-1AY,AM))":0.0,"USDEUR^FG_PRICE_CHANGE(0,-6AM)":0.6204605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789544317285,4.61613854439477,4.46089540048153,4.56673185665912],"EWG^FMA_PE(NTMA,-10AY,0,AM,\"PORTAGG\",\"MEANR\")":[12.842789239977,12.2608350206265,12.8097101702167,11.6096709554332,12.3510125423259,12.949184231844,12.6855910791261,14.0071864268729,15.3035799927152,15.90603691566,14.5938137322233,13.9054443079359,13.7483321944471,13.6326400157879,12.2720804956214,12.4114362948476,13.5167808945896,12.9023751221756,12.1618266601024,11.100026615974,12.5412986546212,12.3505982643843,12.5265451761279,12.1514418532897,12.1485847516313,13.2010690973247,12.9826707681633,12.9232060016651,12.8149234703325,13.3932021891696,13.7984669251419,13.6297623685621,13.8574938465021,13.8427464364956,14.011767657901,13.8798517892156,13.4055200915825,12.9152603873323,13.3220218438137,13.7964138199584,13.9711759856291,13.980524004807,13.9948531093446,12.8299170612557,13.0889529675841,12.9342811795088,13.4341788607517,13.2933333278259,12.8634241458736,12.8581373553285,12.4324186081555,11.8814087807551,11.8044807401602,11.1793499057058,11.3205128750578,11.6236316067155,12.1782239728969,12.5848991666603,12.5783091446634,12.4397800289799,12.8250601798765,12.3727481152197,13.0750316134367,13.1175008100439,13.8728768692879,13.9866212019194,14.3552463604081,14.4494952997756,11.2420323231631,13.5012910233363,15.2945283110361,17.3699323788362,18.3088966874919,18.0863803444637,17.7496713341572,16.9529287792555,16.1626974935709,15.7093616352893,16.175176906481,15.8739581886621,15.9797532998646,16.2404691146104,14.7280617290459,15.0185377861553,14.702281825777,14.3062311844631,14.027002608384,13.4698990622488,13.791651553329,13.2990535981244,13.363982535774,12.8248312926141,11.0770534048936,11.394584528839,10.681805658294,10.4900520455481,9.80157268600476,10.2843964888198,9.81141013785207,9.04785992181912,10.7045980218153,10.7051481635387,11.3025345171243,11.6378126646984,11.4717174656139,11.3588185876711,11.0546087395791,10.7651912296208,10.5582417267273,10.6329017311486,10.5958285008211,10.3384052658324,10.256169930467,11.2491483218357,11.0130079037138,11.5220639326529,12.0594268525348,11.9983190400931,12.2262992190072,11.8306499334158,11.807159539009],"PASP-FDS^FG_PRICE_CHANGE(0,-6AM)":-0.197238658777121,"TIOS-FDS^FG_PRICE_CHANGE(0,-3AM)":4.65094069334353,"FC0000NZ^FG_PRICE(0)":396.76843,"SPY^FG_PRICE_MAVG(0,,,,60)":528.75714,"URTH^FG_TOTAL_RETURNC(0,-12AM)":23.83176,"VGK^FG_TOTAL_RETURNC(0,-12AM)":16.219437,"EWD^FG_TOTAL_RETURNC(0,-12AM)":21.320522,"EWQ^P_PRICE(0)/P_PRICE_LOW_PR(0,,,,,,\"PRICE\",\"INTRA\",\"52W\")-1":0.15805113,"EWL^FG_TOTAL_RETURNC(0,-12AM)":9.923959,"EWC^FMA_PCT_ABOVE_MAVG(200,0,,,,\"PORTAGG\")":65.9090909090909,"QQQ^FMA_COS_DOWN(\"EPS\",\"1M\",+1,0,,,\"PORTAGG\",\"MEANR\")":34.0,"TRYDE10Y-FDS^FG_YIELD_NAME":"Germany Benchmark Bond - 10 Year","REFGBBANK-FDS^(SUBARRAY(NOT_NA(NO_REPEAT_F(FG_YIELD(NOW,-10AY,D))),0,1)-SUBARRAY(NOT_NA(NO_REPEAT_F(FG_YIELD(NOW,-10AY,D))),1,1))*100":25.0,"TRYCH10Y-FDS^PCTCHG(FG_YIELD(0,,,,\"YTM\"),FG_YIELD(-3AM,,,,\"YTM\"))":-20.772299,"TRYNL10Y-FDS^FG_YIELD(0,,,,\"YTM\")":2.75,"VWO^FMA_EVAL_EBIT(LTMA,NOW,NOW,M,\"PORTAGG\",\"MEANR\")":14.2556471001055,"EWQ^FMA_EVAL_EBITDA(NTMA,0,,,\"PORTAGG\",\"MEANR\")":8.95783845679673,"EWJ^FMA_EVAL_EBITDA(NTMA,0,,,\"PORTAGG\",\"MEANR\")":10.8715545769131,"USDITL^FG_PRICE_CHANGE(0,-1AY)":1.0249138,"USDEUR^STD(FG_PRICE_CHANGE(0,-3AY,M))":2.13396080606637,"USDAUD^FG_COMPANY_NAME":"Australian Dollar per U.S. Dollar","EWJ^FG_TOTAL_RETURNC(-10AY,0,AM)":[2.4869561,-0.75376034,-0.16878247,-6.8469944,6.442821,-2.2165298,-2.3932278,5.2111387,4.1844606,6.0655713,-0.07727146,0.7733941,-2.3494065,1.8957376,-8.992249,3.0664444,3.5537124,-4.1500387,-3.3816338,-10.416675,11.724806,-2.3417115,3.0195355,0.43102503,2.5238752,4.556966,-0.4842639,0.40551424,-0.040388107,3.5353541,-0.011593103,1.4412642,-0.07785559,-0.2532184,2.011335,3.5413504,-1.0118008,1.6353369,2.1268725,2.7707338,4.105735,1.2186766,6.4947605,-6.623459,2.623999,-0.47838688,1.5746713,-0.407964,-5.921406,0.9303093,-1.0087013,-0.562191,-2.6501775,-3.6479115,0.3010273,-0.11355281,2.1788597,1.5761137,-1.2960911,1.3685942,1.3866186,-2.723807,4.237449,2.3459911,4.6019197,1.0705948,-0.31968355,0.30242205,-16.800673,1.4294386,4.882884,4.3716908,1.9715071,1.6848922,3.2081842,1.5542269,6.744039,3.9073467,4.486692,3.5984874,-4.317254,2.3956418,-2.7558446,2.414143,-0.65330863,0.3361106,6.0442686,-6.3864765,1.3497591,-0.94094276,-0.74530244,-4.580039,-8.474046,-0.068330765,-6.71795,1.3854146,-3.285271,6.2275887,-5.720377,-7.480687,11.894094,0.5824566,0.11343956,5.2898526,-2.3055732,1.9373059,3.5072565,4.5889735,-0.6428838,-0.7279217,1.5479922,-3.4338892,0.48189163,4.415405,5.681741,1.2613893,4.45745,0.56034327,-2.914703,0.910449,4.334414],"EWN^FMA_PE(NTMA,-10AY,0,AM,\"PORTAGG\",\"MEANR\")":[14.0701072000707,13.8123919566065,14.6303597529757,13.8188359071062,14.7337717604417,14.8608766344374,14.594353983902,15.8929376378321,17.451439233474,17.7990555385529,16.9943713502452,16.606450956847,16.4491634238409,16.6293813476083,14.559729005272,14.8640677897835,16.3260533006591,15.2061614074946,14.4109493562195,13.3741320426759,15.303880693061,14.9787486349474,14.8056168158084,14.5259455610511,14.3420045489848,15.0544011370519,14.8742964634283,14.7992529254784,14.4101590514397,14.7895848907391,15.008732219788,15.2732373653177,16.0658307955633,16.1836035031578,16.4634258965304,16.3278039027341,15.7466602926556,15.70057747508,15.788375649841,16.136728738471,16.1161194546651,16.049551834763,16.1948503328805,15.1646814553608,15.7741675501155,15.5797520988146,15.7079210668555,16.0251839708322,15.5216592746206,15.640740861733,14.9369146363776,14.0371414103715,14.3697220663431,13.5306330965405,13.4132960063511,14.4961052650769,14.8414978724862,15.467297042716,15.2539616935744,15.3731770168014,15.4887705314355,15.0337846097366,15.9743150731324,16.2028148063799,16.6668840677608,16.8139386083434,17.1620643650941,18.0183318240722,14.24451342756,15.8300240785872,17.5345484317724,18.8275553585078,20.107883748229,19.934858950791,19.5586880386938,19.893271946185,20.6195401938034,20.2011656746262,21.0269090229716,22.4660990068584,21.9352285754531,22.8845722833355,21.0642742467124,21.6370786908485,21.0945241265939,21.7992612005849,21.7374728885425,20.1715550218272,21.4237226880642,20.2110599892131,19.8679149851011,18.4049098222676,16.6233333739332,17.6100592382679,15.9935374967908,16.6065288125373,16.0860376740003,17.8139713044264,16.2211275956255,14.0476674113243,16.2938652611738,16.3428475678625,16.8283508635742,16.8701209075877,16.1868115184524,16.3313312489748,15.6083389222971,15.6427384978921,15.6326495298696,15.2821923786263,14.2719094385686,13.7148069202907,14.0587137534642,14.9563333866682,14.6911366021443,16.2928039100687,16.048459110029,16.1780171280421,16.1381383237528,16.60673728877,16.5948510136679],"CPALM-FDS^FG_PRICE_CHANGE(0,-1AY)":4.98034076015728,"BRENT-FDS^FG_PRICE(0)":85.86,"EWC^FG_PRICE_MAVG(0,,,,60)":37.539333,"EWJ^PERCENT_CHANGE(FMA_EPS(+1,0,,,,\"PORTAGG\",\"MEAN\"),FMA_EPS(+1,-3AM,,,,\"PORTAGG\",\"MEAN\"))":-3.66749200823175,"VGK^P_PRICE(0)/P_PRICE_LOW_PR(0,,,,,,\"PRICE\",\"INTRA\",\"52W\")-1":0.24736643,"EWD^FG_TOTAL_RETURNC(0,-1AM)":-0.17110705,"EWU^P_PRICE(0)/P_PRICE_HIGH_PR(0,,,,,,\"PRICE\",\"INTRA\",\"52W\")":0.9732082,"EWJ^FG_TOTAL_RETURNC(0,-1AM)":4.334414,"EWC^PERCENT_CHANGE(FMA_EPS(+1,0,,,,\"PORTAGG\",\"MEAN\"),FMA_EPS(+1,-1AM,,,,\"PORTAGG\",\"MEAN\"))":1.02788119493993,"TRYIT10Y-FDS^PCTCHG(FG_YIELD(0,,,,\"YTM\"),FG_YIELD(-3AM,,,,\"YTM\"))":-1.693592,"TRYDE10Y-FDS^PCTCHG(FG_YIELD(0,,,,\"YTM\"),FG_YIELD(-1AM,,,,\"YTM\"))":-6.58342,"EWN^FG_FCF_YIELD_NTM(0)":3.56079758715668,"QQQ^FMA_EVAL_EBIT(LTMA,NOW,NOW,M,\"PORTAGG\",\"MEANR\")":24.7925305825121,"EWL^JULIAN(FMA_DIV_YLD(NTMA,NOW,NOW,M,\"PORTAGG\",\"MEANR\").DATES)":45471,"EWC^FMA_PE(LTM,0,,,\"PORTAGG\",\"MEANR\")":17.5487574300849,"TLT^FG_TOTAL_RETURNC(0,-6AM)":-1.3531566,"CAGDPY@DE^EE_ACTUAL_ANNUAL(MED,0)":6.09959759767018,"USDSEK^STD(FG_PRICE_CHANGE(0,-3AY,M))":2.96832492591346,"USDCHF^FG_PRICE(0)":0.89375,"EWD^P_PRICE_RETURNS_PR('52W',2,-10AY,0,AM)":[11.52178,3.4761071,0.2763629,-6.553382,0.7011652,1.7089844,-8.944845,-6.0142937,-6.505066,-2.75082,-2.8966963,-2.3193657,-1.910758,-1.5575528,-2.4409533,4.783976,-5.700821,-10.114515,-7.9544067,-17.532707,-7.5143695,-8.481169,-11.447042,-14.314735,-12.523502,-5.5117188,-1.2248933,-4.413295,-4.1375694,2.0305753,10.337281,20.621014,12.297869,9.233463,19.945812,20.242893,29.573095,19.425034,24.534512,30.143188,28.246271,20.84129,26.934696,13.227749,16.135132,9.19367,5.013907,0.6146431,-6.0822544,-2.956158,-5.1645336,-12.089867,-10.334551,-11.920905,-14.31014,-7.7252746,-9.408874,1.4168978,-6.7075253,-3.8034737,3.094411,-8.0124855,-1.8851995,1.0428548,11.508942,18.499352,15.675902,20.61509,-4.969299,-12.200266,-6.706792,0.47746897,7.8163147,26.222456,20.548702,29.537846,21.664417,23.47343,27.734709,26.710785,68.16856,78.84852,73.839485,68.848274,51.862846,42.13488,38.947166,25.492882,30.110205,20.441675,16.9232,1.357913,-15.792447,-14.402133,-25.134636,-26.68963,-32.128197,-26.010334,-31.514894,-36.03077,-25.26018,-22.220505,-20.48856,-13.809562,-3.968203,-3.8875341,12.335944,3.5046816,16.607273,0.9869218,8.343161,26.747381,0.267303,11.871576,10.302234,8.219683,24.119198,14.28504,15.536189,20.701958,21.320522],"QQQ^FMA_PE(NTMA,-10AY,0,AM,\"PORTAGG\",\"MEANR\")":[17.6110670683091,17.2326988383151,17.7904038639591,16.5901439608725,17.7946329147507,17.7956949581197,17.3055562398709,17.5276670269575,17.4826444052859,17.9983431695291,17.8295958999817,17.9004550922778,17.511051871763,18.295257726722,17.422084545231,17.5754550150943,18.5888177764273,18.1011851659073,17.2073713935488,16.0163125744445,17.4343936503334,17.727155705711,17.5267639781036,17.7249180260534,18.1516213644554,18.8327012653276,18.0902057284532,18.3884292940106,17.9364907802065,18.283669809778,18.684358083426,19.7525406103705,20.1288580166441,19.9390544478359,20.6711178527086,20.6409360776652,20.2103927074971,20.349037668167,20.5786310711785,20.627316087287,20.8736426741464,20.8804691358462,21.6251892773836,19.6565314103086,21.4751158155038,19.7075796937303,20.196240228418,20.5612714899533,20.6188716619341,20.58621890021,20.6175204794942,19.009146828458,19.046710566254,18.119461015514,18.1372047182048,19.0896822909987,19.8067663480177,20.8651806603826,20.7155399203374,20.3353852779834,21.3296604638566,20.474755478143,20.8917234599683,20.6079454240265,21.5038623356954,21.9142140539912,23.2526547515883,24.10676740303,20.2424599860421,22.2789833780514,26.669137406046,27.2320487038225,30.0704993187267,28.5579213478383,28.6459694278399,29.8249902022577,29.131570390979,29.6192077761311,29.9074238272506,30.1503575865534,27.9949596629162,29.4433194249634,26.5539751249904,27.4005084898069,28.7357355079268,27.8127556364963,28.255653802456,26.8525758162069,29.1012371157892,29.199178944872,28.2028649925777,25.0762051202908,23.0478844087594,24.0734583861338,20.7735391842099,20.3747039214141,20.5467454966547,23.6993197304367,22.3198636770907,19.2327792030747,22.0148633438598,21.4621614397935,21.7200942883695,23.7898835150005,22.6207215612666,24.5587234606508,24.711849065996,26.0839909514419,26.5327071381493,24.4462687526256,24.4872896039411,23.8900295242225,23.9914234996858,24.5043333858892,24.9678550741727,26.3894644281846,25.9357294792517,26.1288793237452,25.645637389427,26.5063283548824,27.5012873473499],"ENZL^FMA_PE(LTMA,-10AY,0,AM,\"PORTAGG\",\"MEANR\")":[17.9096378356181,17.8016636002514,17.9639098580911,17.8689048706871,18.8239085083771,18.8689903282454,19.2938661591459,20.0034143543103,20.4637628496401,20.2042178295739,20.0563270299678,19.9695865019611,19.6258591634084,19.6481427717267,19.0525039041733,18.6646324256699,19.483926495824,19.4732059544712,19.0946037167696,18.5619111999904,19.3356460295648,19.3132665623906,19.6296974870895,19.7688926499115,19.9830873776566,20.6710264481811,21.2835286217647,20.4324388585761,19.5124372077911,19.9085519685142,20.5088174860674,20.5522290996097,19.7930368561237,19.8350746247794,20.0628590216386,19.946115112116,20.1029674192931,20.4946706374448,20.7065653846174,20.8477100587071,21.0391634695554,21.9340642152076,21.8608735172736,20.4918446230976,22.5603705497098,22.4100821352874,22.4615906030511,22.7598230887273,22.8883966048082,23.0521914419907,23.5313911524807,22.4501599788018,23.1008487815122,22.5910878441937,23.2702327107766,23.8402876518877,24.1315269646477,24.0631204979166,24.2429538514557,24.222283608966,25.0057681900134,25.4422551338654,28.4457124878746,28.7125919732495,29.2626714460513,31.3785509880758,32.3702856866614,33.1478754011266,30.753201507957,30.7890893984906,32.0496445007059,32.239198207276,33.2079643467989,33.9819268078474,33.7593155996043,35.0361357978003,35.8197687092209,37.1212536720626,38.2691661213967,35.3654147144884,34.3722005356456,34.4754655488868,34.918058506712,35.3670873351657,36.4228497855203,36.8320275028811,38.3842548037291,38.4143205438745,39.1918092372763,39.3060316456823,38.5275557468118,36.833960226324,35.072985904635,34.5511119156688,34.2760667391997,33.2953246492655,32.9917737261157,33.45529873339,34.3223276342766,31.4193896038389,31.2948009576031,29.5336256195383,29.430977385565,30.1105232049034,29.2819773512989,28.7393326297613,28.2334359884153,26.4766955421626,25.7994019098141,24.8749917649049,24.119067250312,23.5003573867012,22.6825770307956,23.4579588618341,24.0021673982946,23.29424360869,23.788477484841,24.1000866429016,24.4441135638509,24.157461833726,24.5931299106408],"PASP-FDS^FG_PRICE_CHANGE(0,-1AM)":12.0708748615725,"COPP-FDS^FG_PRICE_CHANGE(0,-6AM)":19.3830266119423,"FC0000CH^FG_PRICE(0)":337.6507,"EWI^FG_PRICE_MAVG(0,,,,200)":34.67775,"QQQ^FG_PRICE_MAVG(0,,,,30)":476.38068,"EWA^FG_PRICE_MAVG(0,,,,200)":23.4537,"FXI^FG_TOTAL_RETURNC(0,-1AM)":1.7755985,"SPY^SIZE(FG_CONSTITUENTS)":503,"EWG^SIZE(FG_CONSTITUENTS)":58,"EWD^FG_ROE(0)":16.7991163208058,"TRYJP10Y-FDS^FG_YIELD_NAME":"Japan Benchmark Bond - 10 Year","REFEUREFI-FDS^PROPER_NAME(0,,,\"SECURITY\",\"NAME\")":"Eurozone Main Refinancing Operations Minimum Bid Rate","REFCHMPR-FDS^(SUBARRAY(NOT_NA(NO_REPEAT_F(FG_YIELD(NOW,-10AY,D))),0,1)-SUBARRAY(NOT_NA(NO_REPEAT_F(FG_YIELD(NOW,-10AY,D))),1,1))*100":-25.0,"CC_GB^IMF_IFS_RCPI_Q(0)":null,"SPY^FG_COMPANY_NAME":"SPDR S&P 500 ETF Trust"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489916743573],"TRYCN10Y-FDS^FG_YIELD(-10AY,0,Y,,\"YTM\")":[3.653331,2.901145,3.070911,3.93859,3.259862,3.197311,3.1948,2.7893,2.855,2.574],"CAGDPY@DE^EE_ACTUAL_ANNUAL(MED,+1)":6.5,"USDCHF^FG_PRICE_CHANGE(0,-1AM)":-0.6116152,"USDGBP^FG_PRICE_CHANGE(0,-6AM)":-1.6441643,"EWI^P_PRICE_RETURNS_PR('52W',2,-10AY,0,AM)":[39.275753,14.815653,19.080317,-3.4401894,-3.1117022,-2.0462334,-16.682983,-12.481033,-14.133138,-11.398989,-9.376287,-10.317362,-6.457293,4.799354,-6.054282,7.553613,2.1139503,-0.07815957,2.1486402,-20.760065,-9.896982,-19.44036,-20.627457,-24.54905,-28.259998,-26.33304,-19.545109,-26.236898,-20.764833,-13.947892,-0.83925724,10.771108,6.208098,9.9424,19.372225,20.288288,37.721027,35.031963,39.63957,47.67562,42.66759,37.10028,35.565376,36.365734,36.285877,34.033775,24.101437,11.339796,5.181575,-3.4802139,-6.9309235,-14.662486,-14.641464,-18.630445,-18.651522,-15.853394,-13.727129,-11.235189,-14.768988,-6.838375,3.140986,-5.4775057,3.1881452,12.832737,21.27409,23.111797,20.115936,22.177172,-14.337873,-20.528275,-21.28777,-11.958843,-10.991359,1.4357924,-5.02373,-4.81236,-6.64593,1.8901587,3.1517148,4.220915,44.874657,50.167538,59.429146,49.77491,34.666157,32.770584,29.371489,29.024733,27.927912,13.712776,14.078641,7.3375583,-12.605101,-5.924201,-15.534491,-21.45728,-24.542475,-21.667141,-23.75772,-29.566061,-15.555531,-11.833096,-8.579599,-3.799808,13.878655,12.148714,23.104668,18.269575,42.416298,31.808674,37.960564,48.445847,21.05466,26.91412,20.041143,15.485358,28.177774,21.576107,25.381983,25.5939,22.052872],"EWA^FMA_PE(LTMA,-10AY,0,AM,\"PORTAGG\",\"MEANR\")":[15.2998893822455,15.1949198025421,15.3017169657748,14.5620837773082,15.24846172731,14.1742908967176,14.9696334262436,15.6754765824677,16.1345332579748,16.3754703964034,16.1650131630608,15.9907021984802,15.8603446039008,15.8792735670211,15.2345937139231,15.7686341041972,15.2774215107408,15.1460539267285,14.8500195356016,14.7391598693672,15.1551611205159,15.0466853873834,15.669861508333,15.7523770220437,15.940670403655,16.5571943871816,16.3410469681811,16.9065211986465,16.9991673123515,17.4724396473507,18.0301362147398,17.7663985794786,17.486200019872,17.3513524062745,17.1620120437372,16.7711077057384,16.7429675272664,16.6679885377975,16.5487662926911,16.4303225697227,16.8909540358367,16.5907472768174,16.767378506704,16.1209237484529,16.502246099838,16.2881816121046,16.3708513830814,16.1602221608266,16.2547014388167,16.3409066884196,16.0171793677876,15.4013940276661,15.4997242575337,14.5697614113422,14.9955251256875,15.6424433502083,15.8749665663695,15.828333712241,15.8579948762101,16.1061937728592,16.2691059096899,16.2636799741993,16.6135642277557,16.8178855295161,17.5868738522244,17.6941479577353,18.3003286936778,18.575611366524,16.6201124533699,16.7400853802088,17.4191243146542,18.5059018452608,18.5377572839866,19.509748123914,19.2094278903286,19.9101742863037,21.3483145505741,22.528460991956,23.3412426842149,23.1005575326384,21.6503772072194,21.3121881870479,20.9293647412989,20.5733404174323,19.6245206930597,19.3209657799166,18.7883007718241,18.5564526313149,18.2466947039735,17.8301644683925,17.6378527331635,16.1147456180129,15.6568677021589,15.7076326352541,15.0978516046875,14.6351382944227,13.9968562838986,14.6563458012222,14.1354768250674,13.2906286691942,14.1967677109023,14.2912873799392,14.2042943159637,14.6603986014135,14.2048637400215,14.3203353452154,14.3647269390013,14.3828880541592,14.5334551886801,15.0102017999146,15.0363833781349,14.8181841687786,14.8443256761663,15.3932230374865,16.2482643215489,16.5067742385129,16.6175103442558,16.668486920955,16.6785673828198,16.7646378602275,16.9527341205625],"PASP-FDS^FG_PRICE_CHANGE(0,-3AM)":-5.2434456928839,"COPP-FDS^FG_PRICE_CHANGE(0,-1AY)":20.1145597442387,"QQQ^FG_PRICE_MAVG(0,,,,60)":457.343,"FXI^FG_TOTAL_RETURNC(0,-3AM)":9.418238,"SPY^FG_TOTAL_RETURNC(0,-12AM)":27.538406,"FXI^FMA_COS_UP(\"EPS\",\"1M\",+1,0,,,\"PORTAGG\",\"MEANR\")":22.0,"EWD^FMA_COS_UP(\"EPS\",\"1M\",+1,0,,,\"PORTAGG\",\"MEANR\")":11.0,"EWJ^FMA_COS_UP(\"EPS\",\"1M\",+1,0,,,\"PORTAGG\",\"MEANR\")":100.0,"EWI^FG_ROE(0)":13.9632713363746,"TRYCH10Y-FDS^FG_YIELD_NAME":"Treasury - Switzerland Benchmark Bond 10Y","REFGBBANK-FDS^PROPER_NAME(0,,,\"SECURITY\",\"NAME\")":"UK Bank Rate","TRYGB10Y-FDS^FG_YIELD(0,,,,\"YTM\")":4.085,"CC_US^IMF_IFS_RCPI_Q(0)":null,"VGK^FG_PE_NTM(0,,,90,0)":13.4915278434262,"GLD^P_PRICE(0)/P_PRICE_HIGH_PR(0,,,USD,,,\"PRICE\",\"INTRA\",\"52W\")":0.9893202,"USDEUR^STD(FG_PRICE_CHANGE(0,-1AY,AM))":1.44206295156897,"USDNZD^STD(FG_PRICE_CHANGE(0,-3AY,M))":3.46200598131402,"EWC^FG_TOTAL_RETURNC(-10AY,0,AM)":[3.4514785,-0.49890876,1.2221813,-9.721363,2.9149532,-7.1642756,0.5803466,-0.4341483,-3.3430219,6.2030077,2.1592975,-3.4303546,-5.8469176,-2.611369,-7.5709763,6.3139915,-6.861961,-7.065916,-7.0531187,0.1011014,18.131315,1.4108539,2.6138306,2.9170036,-0.77513456,4.7039747,-1.8202901,-0.51282644,-1.4670849,8.410465,1.1866212,2.2230506,-3.8419724,2.035427,-3.3985972,1.3766766,2.2319555,1.2276769,4.6674013,2.808988,0.13661385,-0.54570436,4.2330265,-8.463848,2.0021915,-0.03569126,3.6058545,0.06891489,-0.3167212,0.20891428,-1.6330838,-4.168141,-1.290077,-5.0037327,2.7934194,3.8102746,3.2209635,2.5399208,-0.99080205,0.78628063,3.7354827,-2.8285623,2.307415,-0.9368539,3.1173468,0.5095124,2.7732015,1.399529,-23.03648,-1.1955619,6.4822793,2.4350643,4.7683,7.448435,-0.8887291,2.5825024,1.8181801,7.932687,2.3790598,3.1780958,4.574561,2.274716,4.3341875,3.9977908,-1.4807045,1.476121,-1.5075386,0.9935498,4.918897,-3.6239266,3.5051465,-0.05146861,-0.82389116,2.7258515,-11.068994,3.7228465,-8.170021,7.8749537,-2.7862906,-12.754369,15.111696,-3.3961236,2.6560307,3.6204457,-7.382369,6.1454177,0.14330149,-1.4152884,1.0264039,1.4804006,-1.6876459,-2.065754,-1.0992229,5.5271864,4.62296,0.22063255,3.7974715,0.10603666,1.1387706,-2.4894297,4.039037],"CPALM-FDS^FG_PRICE_CHANGE(0,-6AM)":7.0855614973262,"EWC^FG_PRICE_MAVG(0,,,,30)":37.318333,"EWJ^PERCENT_CHANGE(FMA_EPS(+1,0,,,,\"PORTAGG\",\"MEAN\"),FMA_EPS(+1,-1AM,,,,\"PORTAGG\",\"MEAN\"))":-0.522546145994265,"VGK^P_PRICE(0)/P_PRICE_HIGH_PR(0,,,,,,\"PRICE\",\"INTRA\",\"52W\")":0.97177213,"EWD^PERCENT_CHANGE(FMA_EPS(+1,0,,,,\"PORTAGG\",\"MEAN\"),FMA_EPS(+1,-3AM,,,,\"PORTAGG\",\"MEAN\"))":2.64426706025452,"SPY^P_PRICE(0)/P_PRICE_LOW_PR(0,,,,,,\"PRICE\",\"INTRA\",\"52W\")-1":0.35988855,"EWU^FG_TOTAL_RETURNC(0,-6AM)":11.732602,"EWA^FG_TOTAL_RETURNC(0,-12AM)":17.860104,"EWN^FMA_COS_DOWN(\"EPS\",\"1M\",+1,0,,,\"PORTAGG\",\"MEANR\")":14.0,"TRYIT10Y-FDS^PCTCHG(FG_YIELD(0,,,,\"YTM\"),FG_YIELD(-1AM,,,,\"YTM\"))":-8.110082,"TRYCA10Y-FDS^PCTCHG(FG_YIELD(0,,,,\"YTM\"),FG_YIELD(-3AM,,,,\"YTM\"))":-7.803326,"VGK^FG_PE(0)":14.3450486719058,"EWN^FMA_DIV_YLD(NTMA,NOW,NOW,M,\"PORTAGG\",\"MEANR\")":2.51381074077647,"QQQ^FG_FCF_YIELD_NTM(0)":3.42634741529019,"EWJ^FMA_EVAL_EBIT(LTMA,NOW,NOW,M,\"PORTAGG\",\"MEANR\")":17.7538954991225,"EWC^JULIAN(FMA_DIV_YLD(NTMA,NOW,NOW,M,\"PORTAGG\",\"MEANR\").DATES)":45471,"TLT^FG_TOTAL_RETURNC(0,-3AM)":5.206442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,13.2261379950135],"TRYTR7Y-FDS^FG_YIELD(-10AY,0,Y,,\"YTM\")":[7.979133,10.679033,11.110786,11.586128,15.896213,12.034795,12.534946,23.870693,7.323803,21.984322],"CAGDPY@US^EE_ACTUAL_ANNUAL(MED,0)":-3.31108668288718,"CC_JP^FG_COMPANY_NAME":"Japan","USDANG^FG_PRICE_CHANGE(0,-6AM)":0.0,"USDJPY^STD(FG_PRICE_CHANGE(0,-3AY,M))":3.0506571243322,"EWL^FMA_DIV_YLD(NTMA,-10AY,0,AM,\"PORTAGG\",\"MEANR\")":[3.36141895138386,3.42942384293439,3.28275675405744,3.50999395957838,3.29022813388774,3.27159136329315,3.29647717954121,3.3064586882823,3.18457671174765,3.02364388819327,3.11570799188276,3.15147902423242,3.18474821005041,3.1260975559978,3.35073926683314,3.34018456735464,3.26423234883833,3.38242276260618,3.51614648807459,3.7203992450258,3.46838611723425,3.56164380480201,3.53346536452848,3.54851094591252,3.52193031585186,3.41090464243024,3.4483318970418,3.52375364136037,3.63136955205799,3.59783374026028,3.48744955070643,3.41928802360108,3.34952494544337,3.42974005679905,3.31167510815375,3.35235274576484,3.32015340102662,3.33824926094887,3.28792797326389,3.23649001737837,3.28859251217393,3.24339272891985,3.17887785291999,3.46585499246936,3.41710619370605,3.50509980822064,3.42151360552011,3.54243139952615,3.52230253861212,3.42229033877822,3.44245796067306,3.63628464490984,3.49377293801998,3.64687563804013,3.53945959907157,3.44863266613664,3.37677642794637,3.26342900743091,3.34472369712065,3.24276941433371,3.24227311944791,3.26597630324671,3.17832935577873,3.21834761065463,3.13606648744439,3.11555240706046,3.03730209591307,2.93691965278267,3.51126070240072,3.40426873881295,3.25497586813558,3.14927955498111,3.0151502831315,2.96320764440225,2.89918818250058,2.92820217542626,2.88595452103352,2.91314693195398,2.81253769128028,2.81197636330235,2.83673878811899,2.73982619625331,2.79811476974512,2.6223880357757,2.62181296988257,2.56536114040884,2.63048266198272,2.74099051944376,2.58642559455046,2.58037771128618,2.59566494392658,2.74675653096951,2.9374052576004,2.73078246193552,3.00440997016962,3.12948282029368,3.1457206823454,3.04824066985473,3.17956822285297,3.46304179851524,3.09084637929833,3.12580928770435,3.08543201342941,3.09347390411903,3.24720786632931,3.12322919726034,3.06576245123308,3.17702424337124,3.23668859594048,3.21438809099203,3.29367558502037,3.32168327771906,3.49294969427173,3.31921359647587,3.30335444304881,3.39995777583724,3.24099863283577,3.3308324934251,3.27276741205932,3.20842539896763,3.22228547632111],"EWD^FMA_PE(LTMA,-10AY,0,AM,\"PORTAGG\",\"MEANR\")":[15.6998568725583,15.8614090532526,15.8420872144438,15.2323805172852,16.788239641363,17.39262218474,17.3501845842365,19.2334706712006,20.1522880921658,19.9010533588037,18.9608186036432,18.97696578605,18.6423040518817,18.5388523569438,17.2793039634111,17.0746739120283,16.9312876515718,15.838998612314,14.8548473970952,13.8840395946582,15.6817963226905,15.5940403374424,15.5143507452138,15.3255573180106,15.5117631170618,16.0646344496113,16.0850630095338,16.6385516139404,17.0412387106005,18.0715369323263,18.1149711269785,18.4676890876899,17.5196757699805,17.5530144690677,17.6691881454157,17.6468614598417,17.5951654627824,16.846638162441,17.0670498444975,17.6646964773352,18.2248621997234,18.1457671171149,18.5284232113559,16.1654813673167,16.9807111730829,16.6973055615486,16.8282702397389,16.5776606338127,16.3588714364117,16.597937316627,16.5650137302279,15.7771925439781,15.2068225607652,14.3146014657702,14.4829776621313,16.9245489508814,18.040518627933,17.8345378939706,17.5561521936487,17.1883600570835,17.0405911759078,15.9687518732497,16.2540528655725,16.4483794446096,16.9931448782384,15.8875700039383,16.3580854696463,14.3794153419704,12.6765220775013,13.6224721458717,15.2622485304281,16.0899670791654,17.6676947285208,17.6991228236364,17.6413207335192,18.3095364822575,16.4327982220928,17.0456956384353,18.5264280842577,17.5001117158553,17.9046078603835,18.3501237515266,17.4222808923927,17.9053411091939,18.1301508587298,17.6454174660835,17.4599766898171,16.8529653206918,16.7825416464892,16.5781978280861,16.0794374076931,12.3356387412845,11.7206012849664,12.1542897076406,13.134900478704,13.4548493770405,13.7585936563479,14.8196843938864,14.7549938375366,14.41604817689,14.2778378826689,15.7272486297867,16.6189987078315,25.9090195943243,25.2303229068894,23.9865328727301,22.8162367310882,21.7633408983041,20.3294351719213,18.9451671231805,17.5533084265956,16.4558335808099,15.5916466989067,17.896451430605,17.2291450521589,15.0839530821309,15.8611778216213,15.8903911104641,16.1097595476265,16.051964553675,16.052881095398],"WL-FDS^FG_PRICE_CHANGE(0,-6AM)":-11.1574891635897,"PLATI-FDS^MAX(FG_PRICE(0,-5AY))":1272.59,"W-FDS^FG_PRICE_MAVG(0,,,,30)":5.9665833,"EWN^FG_PRICE(0)":51.95,"EWJ^FG_PRICE_MAVG(0,,,,200)":65.7598,"VWO^P_PRICE(0)/P_PRICE_HIGH_PR(0,,,,,,\"PRICE\",\"INTRA\",\"52W\")":0.99539375,"EWI^FG_TOTAL_RETURNC(0,-1AM)":2.3224115,"QQQ^FMA_COS_UP(\"EPS\",\"1M\",+1,0,,,\"PORTAGG\",\"MEANR\")":34.0,"QQQ^FMA_RBICS_REV_CURRENT(30, LOC, \"PORTAGG\")":0.753235479992886,"REFCATARG-FDS^FG_YIELD(NOW,,,0)":4.75,"TRYUS10Y-FDS^PCTCHG(FG_YIELD(0,,,,\"YTM\"),FG_YIELD(-1AM,,,,\"YTM\"))":-4.4642053,"TRYSE10Y-FDS^FG_YIELD(0,,,,\"YTM\")":2.161,"USDCHF^FG_PRICE_CHANGE(0,-6AM)":4.526055,"USDGBP^FG_PRICE(0)":0.7737243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TIOS-FDS^FG_PRICE_MAVG(0,,,,30)":109.053,"EWU^FG_PRICE_MAVG(0,,,,200)":33.3435,"ENZL^FG_PRICE_MAVG(0,,,,60)":45.330048,"VWO^PERCENT_CHANGE(FMA_EPS(+1,0,,,,\"PORTAGG\",\"MEAN\"),FMA_EPS(+1,-1AM,,,,\"PORTAGG\",\"MEAN\"))":0.0,"EWN^FG_TOTAL_RETURNC(0,-12AM)":23.01284,"SPY^FG_TOTAL_RETURNC(0,-1AM)":3.9720058,"ENZL^PERCENT_CHANGE(FMA_EPS(+1,0,,,,\"PORTAGG\",\"MEAN\"),FMA_EPS(+1,-3AM,,,,\"PORTAGG\",\"MEAN\"))":2.44533518918966,"EWD^SIZE(FG_CONSTITUENTS)":45,"EWC^SIZE(FG_CONSTITUENTS)":88,"EWN^FMA_RBICS_REV_CURRENT(30, LOC, \"PORTAGG\")":23.8715121294945,"REFFFUND-FDS^PROPER_NAME(0,,,\"SECURITY\",\"NAME\")":"US Federal Funds Target Rate","TRYSE10Y-FDS^PCTCHG(FG_YIELD(0,,,,\"YTM\"),FG_YIELD(-1AM,,,,\"YTM\"))":-8.08167,"TRYUS10Y-FDS^FG_YIELD(0,,,,\"YTM\")":4.2009,"TRYCA10Y-FDS^FG_YIELD(0,,,,\"YTM\")":3.424,"VWO^FG_PE(0)":14.4733634593886,"SPY^JULIAN(FMA_DIV_YLD(NTMA,NOW,NOW,M,\"PORTAGG\",\"MEANR\").DATES)":45470,"EWJ^FMA_DIV_YLD(NTMA,NOW,NOW,M,\"PORTAGG\",\"MEANR\")":2.23301236857633,"TRYCH10Y-FDS^FG_YIELD(-10AY,0,Y,,\"YTM\")":[0.314,null,-0.12,-0.09,-0.176,-0.434,-0.49,-0.111,1.617,0.703],"USDITL^STD(FG_PRICE_CHANGE(0,-3AY,M))":2.13396081745498,"USDCAD^STD(FG_PRICE_CHANGE(0,-3AY,M))":1.78345213188899,"EWN^FG_TOTAL_RETURNC(-10AY,0,AM)":[-3.3866107,-3.6924958,2.9960155,-7.2823405,5.397105,1.4154911,-5.053985,5.683303,2.3398995,4.412353,1.8056035,0.9056568,-0.60043335,1.0658503,-9.039545,1.325047,2.0433187,-5.5666804,-3.7799776,-4.3902454,12.755108,0.08227825,0.65761805,-1.5108168,-2.9702961,6.892073,-0.48661232,-0.040751696,-3.0574799,1.0513067,3.016746,2.373159,6.5547585,0.562644,7.348013,2.6059747,0.33472776,3.792274,2.6991487,1.8910289,-1.6357362,1.4070988,2.9445052,-4.0049257,4.589224,-0.33752918,-1.139158,0.9031534,-3.6118388,-0.09762049,-1.9869745,-6.4805627,2.4520278,-5.5844603,0.075519085,4.9428225,2.8822541,4.783058,0.6194949,0.84251165,1.5061378,-2.0434618,4.801321,-0.063192844,3.2880187,1.4386296,2.2287846,1.8968582,-19.80803,-0.036269426,4.4992685,7.708335,10.3622675,2.2627115,1.2068987,4.2021513,3.6512256,5.3890586,6.232941,7.0435762,-0.2860844,5.8927298,-0.6461084,5.033362,-3.1162083,5.8933377,3.5077453,-7.251036,7.1851373,-6.0940742,-0.034826994,-8.348608,-14.419013,4.8805833,-11.509907,3.491187,-7.256299,12.488926,-8.2939625,-14.081276,25.749493,3.0463576,6.5703154,0.9466052,-4.376054,6.1855674,-0.6393552,1.0601163,2.6111722,-0.4647851,-6.5374794,-3.4723938,3.80435,7.6788783,1.6875982,8.648777,2.34375,2.145648,2.302575,1.7071247,1.9827247],"EWI^FMA_PE(NTMA,-10AY,0,AM,\"PORTAGG\",\"MEANR\")":[13.8617157517757,13.0501676734161,14.0759931612825,12.5150407256355,12.6794841454221,12.5771436691365,11.756665961576,14.097001353957,15.6873068172108,16.2389306829032,15.8496837048314,15.3980335528021,14.9774261091662,15.5943213328869,14.3746031426826,14.5971735812116,14.8171529052627,13.8996972130561,13.3208685643442,11.3227524659391,13.7408450918804,12.9057308005515,13.1381134694341,12.4906733518375,11.8298291647199,12.7968485458617,12.4798024463263,11.7280821786706,11.8434378398969,12.8113917756079,13.4855074143449,13.0473965591938,13.2863042680179,13.2047796175225,13.8339827809243,13.3966175320939,13.2858010619716,13.1548267937409,13.4101121970334,13.6343544877723,13.4460005963658,13.5620771047574,13.5891917985774,12.426312143247,12.717101374817,12.7153872586357,12.9419183625077,11.6542418697284,11.3582594777778,11.0899770874372,10.7425846934127,9.92915550276532,9.83250022460173,9.26225425279815,9.69421551586197,10.0729848571755,10.475005669469,10.8716695057461,10.3914402393696,10.1395791921148,10.9367895923365,10.0179679863687,10.7296148385626,10.8571929792904,11.3806577159949,11.2242476099526,11.6285504676505,11.8042046385782,8.75598712261855,10.5489472602225,14.9128710219147,17.1167848320886,17.324407478027,16.7733821331543,15.7376439361044,14.8153885346636,14.8602130540076,14.7921811915182,14.9427126998914,14.3289421919993,13.9840670202808,13.8515871782921,13.1546707212197,13.7436947531938,13.1343794703468,12.4119748862931,11.7191175863183,11.615399947347,11.7512456845556,10.8563034542595,11.1790075066485,10.6758535162701,9.18218897849224,9.69396941234049,9.12605508934807,8.16454429223532,7.78397799196989,7.76968849083534,7.64621193624032,7.25121608554498,8.29033705698233,7.79105088578293,8.15830342037662,8.40013224155108,8.55951059201857,8.64584881132127,8.31729821182227,8.5631520822216,8.70754513252644,8.28216617494314,8.43335784886033,8.23671507588337,8.09124723260381,8.84518833666573,8.88638262696507,9.00917528445176,9.425813180374,9.49320994291804,9.76945691876584,9.51341603855171,9.6366363711624],"DDR3512M-FDS^MAX(FG_PRICE(0,-5AY))":3.3053632,"NI-FDS^FG_PRICE_CHANGE(0,-1AY)":-18.7194525904203,"W-FDS^FG_PRICE_CHANGE(0,-3AM)":0.45310376076122,"EWU^FG_PRICE_MAVG(0,,,,30)":35.446335,"EWJ^P_PRICE(0)/P_PRICE_HIGH_PR(0,,,,,,\"PRICE\",\"INTRA\",\"52W\")":0.98536044,"EWL^FG_TOTAL_RETURNC(0,-6AM)":5.5445194,"EWC^P_PRICE(0)/P_PRICE_HIGH_PR(0,,,,,,\"PRICE\",\"INTRA\",\"52W\")":0.99019617,"EWN^FMA_COS_UP(\"EPS\",\"1M\",+1,0,,,\"PORTAGG\",\"MEANR\")":21.0,"ENZL^FG_ROE(0)":4.95421726352556,"TRYNL10Y-FDS^PCTCHG(FG_YIELD(0,,,,\"YTM\"),FG_YIELD(-3AM,,,,\"YTM\"))":-0.6861702,"EWD^JULIAN(FMA_DIV_YLD(NTMA,NOW,NOW,M,\"PORTAGG\",\"MEANR\").DATES)":45471,"EWA^FMA_PE(NTMA,0,,,\"PORTAGG\",\"MEANR\")":17.0016122843536,"UUP^P_PRICE(0)/P_PRICE_HIGH_PR(0,,,USD,,,\"PRICE\",\"INTRA\",\"52W\")":0.95441735,"TRYVN10Y-FDS^FG_YIELD(-10AY,0,Y,,\"YTM\")":[7.3,6.277413,7.1117578,5.6717234,4.738006,3.5404546,2.4877946,2.059403,4.687226,2.9473283],"CAGDPY@US^EE_ACTUAL_ANNUAL(MED,+1)":-3.1,"USDCHF^FG_PRICE_CHANGE(0,-3AM)":-1.9258201,"USDCHF^STD(FG_PRICE_CHANGE(0,-3AY,M))":2.41532241496882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NI-FDS^FG_PRICE_CHANGE(0,-3AM)":-6.12475303415185,"TIOS-FDS^FG_PRICE(0)":109.58,"ENZL^FG_PRICE_MAVG(0,,,,30)":45.77976,"VWO^FMA_PCT_ABOVE_MAVG(200,0,,,,\"PORTAGG\")":45.8297506448839,"EWN^P_PRICE(0)/P_PRICE_LOW_PR(0,,,,,,\"PRICE\",\"INTRA\",\"52W\")-1":0.4315238,"ENZL^FMA_PCT_ABOVE_MAVG(200,0,,,,\"PORTAGG\")":35.7142857142857,"EWC^FMA_COS_DOWN(\"EPS\",\"1M\",+1,0,,,\"PORTAGG\",\"MEANR\")":31.0,"EWQ^FMA_RBICS_REV_CURRENT(30, LOC, \"PORTAGG\")":11.1513304275672,"TRYIT10Y-FDS^FG_YIELD_NAME":"Italy Benchmark Bond - 10 Year","REFGBBANK-FDS^FG_YIELD(NOW,,,0)":5.25,"TRYAU10Y-FDS^FG_YIELD(0,,,,\"YTM\")":4.374,"VWO^JULIAN(FMA_DIV_YLD(NTMA,NOW,NOW,M,\"PORTAGG\",\"MEANR\").DATES)":45443,"EWN^FMA_EVAL_EBIT(LTMA,NOW,NOW,M,\"PORTAGG\",\"MEANR\")":21.9774534762203,"QQQ^FMA_DIV_YLD(NTMA,NOW,NOW,M,\"PORTAGG\",\"MEANR\")":0.84331715259231,"EWJ^FMA_PE(NTMA,0,,,\"PORTAGG\",\"MEANR\")":16.2004343354854,"EWA^FMA_PE(LTM,0,,,\"PORTAGG\",\"MEANR\")":19.6825859439353,"TRYSA10Y-FDS^FG_YIELD(-10AY,0,Y,,\"YTM\")":[null,null,3.8912454,3.7299898,4.5715504,2.8775356,2.0844028,2.5113702,4.613973,4.608568],"TRYEU10Y-FDS^FG_YIELD(-10AY,0,Y,,\"YTM\")":[0.5475,0.636,0.2082,0.4294,0.239,-0.189,-0.575,-0.181,2.533,2.004],"USDITL^STD(FG_PRICE_CHANGE(0,-1AY,AM))":1.44206106431476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7969,16.6617703334541,22.2767073875426,22.9687104675674,24.3449868007869],"EWQ^FG_TOTAL_RETURNC(-10AY,0,AM)":[-4.297966,-5.1590085,2.4590135,-10.763634,3.76935,-1.3940692,-4.1741967,6.9601655,-0.6272018,5.5226803,1.4953256,0.8103132,-1.8750012,2.4990559,-7.831544,3.0460835,-0.9334862,-5.496663,-5.098981,-4.701227,12.079298,-2.2624433,2.3989916,-1.644057,-2.737081,6.566763,-0.12407303,-1.4078677,-0.797981,3.4716368,2.782166,-0.39952397,3.4897685,2.0542622,8.925188,2.4407268,0.13616085,1.1410832,3.965807,2.6307106,-1.4738858,1.658535,3.801453,-5.1313696,4.2033195,0.4690528,2.2097707,-1.0048747,-2.93535,-1.5852451,-0.03287196,-4.2420206,-1.4766514,-6.064832,0.7208228,2.7387142,5.0792456,3.7709951,-1.0571539,2.070117,2.1778703,-3.9041936,3.0385733,0.53014755,4.5814037,0.15758276,2.5779486,-0.55333376,-22.009272,-3.3293724,-0.9840071,9.606624,6.205082,3.8668036,1.3443589,-1.0544181,9.212791,4.28077,2.8306723,0.265491,4.1776896,2.0050764,3.7929177,5.5134177,-3.093046,3.5083175,-1.5545368,-3.339374,6.8291306,-2.2060692,3.793776,-5.1776648,-12.981802,5.1676393,-7.3413253,1.714766,-7.188499,11.600685,-6.7242384,-10.515875,21.61863,2.218175,6.536269,1.9602418,-0.8239448,6.286347,1.4330387,-3.1742096,3.0919433,0.57879686,-2.7988493,-3.794402,0.0,7.3286653,0.46768188,1.4360309,5.585587,-1.633352,4.0892243,-4.084289,-0.9905994],"EWD^FMA_PE(NTMA,-10AY,0,AM,\"PORTAGG\",\"MEANR\")":[15.2762404082585,15.1200427613996,14.6136591927724,13.5743584972697,15.4067685165563,15.5779463083836,15.4187242794354,16.2988734378509,17.0957167471031,17.1031650844149,15.4598936020367,15.9964864332882,15.9021586170153,16.142034083653,14.8109783630453,15.0764009710019,15.5271813130198,14.4552181498819,14.0184570305259,13.764219185379,15.6747655272162,15.1315496732091,14.8737740233594,14.415651769368,14.8307833686945,15.5708713496777,15.4947158805012,15.9130016960997,15.9534793962779,16.6507371174598,16.3918109863325,16.0535738459264,16.8527444954059,16.9113182155193,17.105246351462,16.9129138384542,16.573929261824,15.7500476247099,16.0972210170825,16.7057657375322,16.8997188487636,16.5182405886505,16.6587682546577,15.5817227402787,16.3812019920089,15.4164827083674,16.0129220680866,15.5197271687816,15.1730816867006,15.5691015985699,15.489517546686,14.6686032437439,14.3961772472307,13.710364692444,13.9631171629353,14.5966803943034,14.7599378286887,15.1414181357009,14.9813018503785,14.796190737989,14.989609933328,13.6686927913931,14.5330865622807,15.0667745209736,15.9049335712408,15.7739868275546,16.2701914172908,17.0024280042068,13.5169052584348,15.6842281394485,18.0531726201186,18.4457194776109,19.5199342534149,18.9233006850343,18.2671045540754,18.3378146547211,17.1491417212017,17.1742451198595,18.6418997234651,18.7241538171892,20.0960712943579,20.6106303205753,17.7463616592238,18.6963165299631,18.8861156616608,18.7059657963343,18.4758436647682,17.6308297341894,18.7568983898625,18.999171537292,17.7119672515958,16.4303174007052,14.7333133907451,14.9725016124632,15.6370023128172,15.1929871014415,14.5484426268636,15.0684764107163,14.1004127978362,12.9401290870875,13.2401359212013,13.2761821999965,13.6234290778399,13.9522418566358,13.7023566875891,13.6474611637196,13.4654557870113,13.7103782183028,13.2830426360587,13.0924612303311,13.024524924572,13.1391250558575,12.7984855615799,15.2494607667054,15.2362730753821,15.6974883778289,16.4581442423415,16.1552055005767,16.4677751311164,16.0729426233901,15.8983938999432],"DDR3512M-FDS^FG_PRICE_CHANGE(0,-1AY)":-6.61782618989998,"W-FDS^FG_PRICE_CHANGE(0,-1AM)":-11.5323224261772,"EWI^FG_PRICE_MAVG(0,,,,60)":37.384167,"EWU^FG_PRICE(0)":35.78,"EWL^FG_TOTAL_RETURNC(0,-3AM)":8.666193,"EWC^FG_TOTAL_RETURNC(0,-6AM)":6.84886,"FXI^SIZE(FG_CONSTITUENTS)":52,"EWQ^SIZE(FG_CONSTITUENTS)":62,"REFCHMPR-FDS^FG_YIELD(NOW,,,0)":1.25,"TRYFR10Y-FDS^PCTCHG(FG_YIELD(0,,,,\"YTM\"),FG_YIELD(-3AM,,,,\"YTM\"))":4.94284,"TRYAU10Y-FDS^FG_YIELD_NAME":"Australia Benchmark Bond - 10 Year","VGK^FG_TOTAL_RETURNC(0,-6AM)":10.53586,"UUP^FG_TOTAL_RETURNC(0,-6AM)":4.9963593,"NI-FDS^FG_PRICE_CHANGE(0,-1AM)":-5.77903682719547,"EWN^P_PRICE(0)/P_PRICE_HIGH_PR(0,,,,,,\"PRICE\",\"INTRA\",\"52W\")":0.98595566,"EWL^FG_TOTAL_RETURNC(0,-1AM)":1.670444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3,12.2539555485597,13.1476341706421,13.2212508616692],"TRYPH10Y-FDS^FG_YIELD(-10AY,0,Y,,\"YTM\")":[3.8633,4.1,4.6281,5.6986,7.1730304,4.847582,3.4208684,4.796723,6.9293385,6.0028777],"USDSEK^FG_COMPANY_NAME":"Swedish Krona per U.S. Dollar","USDJPY^FG_PRICE_CHANGE(0,-1AY)":12.754679,"QQQ^P_PRICE_RETURNS_PR('52W',2,-10AY,0,AM)":[29.031647,26.719772,30.063557,21.90807,25.940395,23.655678,19.731676,19.801308,17.801071,28.021503,26.119888,19.353426,14.942705,16.615845,6.71314,11.173237,11.814523,7.8887105,2.7056098,-6.912607,2.348566,1.8876433,-0.6931484,0.58237314,4.2096853,7.5373173,11.274349,11.565315,3.5098672,7.053733,19.144356,33.212326,26.94229,22.285545,31.358088,28.341818,26.644648,22.58234,28.961658,27.232277,34.09926,31.767475,34.04347,24.073769,33.552193,22.99223,23.60481,26.039768,27.902115,29.037142,26.552498,15.444672,12.459528,5.7525396,-0.75089335,8.801889,1.7693996,16.447544,10.01761,5.7674766,10.026693,3.417647,6.006539,13.697254,18.218994,26.41368,36.549603,38.906742,12.645936,9.808922,23.679806,28.690683,38.187862,43.345165,41.675793,53.739834,45.266415,48.35974,44.972397,45.238148,64.075935,68.880775,44.285404,46.726643,38.476406,38.876617,39.063583,26.10954,35.519005,32.26881,23.30023,4.230273,2.491641,1.6089559,-9.8560095,-14.725161,-19.49144,-11.013251,-18.6249,-26.231324999999998,-25.818407,-27.922894,-27.533829,-15.771079,-12.2559185,-6.6423297,12.628961,19.309593,28.287197,13.81681,23.632885,42.244495,34.736073,41.190193,48.503136,45.87022,52.626465,41.954376,36.864864,32.90135,34.535587],"EWQ^FMA_DIV_YLD(NTMA,-10AY,0,AM,\"PORTAGG\",\"MEANR\")":[3.53094993660286,3.6610390361292,3.50994848731331,3.84671942820626,3.68622192730001,3.67725727444498,3.71383695470491,3.30807106056322,3.20895470970954,3.08495761012866,3.2684495284643,3.31924384936927,3.37716442667806,3.30076312695952,3.69712942805825,3.56337293234251,3.40872749810117,3.66685130327929,3.86282784769069,4.22120026727507,3.69147797520485,3.82581506691345,3.80576317272572,3.8509698530239,3.88096654546108,3.68237171372159,3.68553962811231,3.74400311946995,3.73859146001,3.53873590391365,3.45108092739468,3.50448723331954,3.42744830382001,3.37090498418615,3.21350037846793,3.25906833707337,3.38689325811452,3.4446711197802,3.3646919146247,3.28487652313379,3.30597966187697,3.27441368012398,3.2296295718637,3.50067759329645,3.38318623993438,3.408042020533,3.28066449848566,3.36158267253387,3.43827938536606,3.44521810088229,3.53589713702942,3.70203906138154,3.70226286608094,3.94454343862236,3.95068378533836,3.79648520364643,3.64247350593343,3.51909061192802,3.63304435327109,3.59632018275152,3.53400542746867,3.68507378399032,3.51861551601334,3.5018754089042,3.37805144688357,3.40932828201924,3.32799839464386,3.30584180039249,4.2408795012606,3.95122385534405,3.54076394729507,3.2306848231547,3.12527476487828,3.08890797035645,3.1164058952691,3.18530839872493,2.93283949159754,2.9420164419137,2.90703582167554,2.91809298105748,2.73834450596675,2.71755704150786,2.73449361757115,2.64213018670968,2.70365670141515,2.68011569245664,2.77701218905251,2.87356542870754,2.73629299817039,2.78956507303224,2.74762385056566,2.89460584357746,3.29293794792017,3.13309718742057,3.31503846121301,3.37057316337562,3.51261314287834,3.25280053921927,3.46854601331157,3.7407421315124,3.32180000400699,3.28545864528451,3.17248404953026,3.16612721138109,3.20154924527046,3.15289364688355,3.20054831293415,3.28917724925336,3.32157692755144,3.30006983422368,3.34197257449459,3.4273310777706,3.46069812831857,3.23993093873952,3.29826277080434,3.20098233522492,3.10440236168552,3.13143357782147,3.05446109250382,3.25517270775741,3.35123061004112],"EWQ^FG_PRICE_MAVG(0,,,,60)":40.302834,"EWU^P_PRICE(0)/P_PRICE_LOW_PR(0,,,,,,\"PRICE\",\"INTRA\",\"52W\")-1":0.18712676,"EWA^PERCENT_CHANGE(FMA_EPS(+1,0,,,,\"PORTAGG\",\"MEAN\"),FMA_EPS(+1,-1AM,,,,\"PORTAGG\",\"MEAN\"))":2.67559323280582,"EWU^FMA_COS_DOWN(\"EPS\",\"1M\",+1,0,,,\"PORTAGG\",\"MEANR\")":38.0,"EWN^FG_ROE(0)":10.9414557824785,"REFCATARG-FDS^PROPER_NAME(0,,,\"SECURITY\",\"NAME\")":"Canada Target Rate","TRYJP10Y-FDS^PCTCHG(FG_YIELD(0,,,,\"YTM\"),FG_YIELD(-3AM,,,,\"YTM\"))":26.994513,"CC_DE^IMF_IFS_RCPI_Q(0)":null,"VWO^FG_TOTAL_RETURNC(0,-6AM)":13.371706,"CC_US^FG_COMPANY_NAME":"United States","USDUSD^FG_PRICE_CHANGE(0,-6AM)":0.0,"USDNZD^STD(FG_PRICE_CHANGE(0,-1AY,AM))":2.10642022771051,"WL-FDS^FG_PRICE_MAVG(0,,,,30)":560.65,"CPALM-FDS^FG_PRICE(0)/MAX(FG_PRICE(0,-1AY))":0.87464511902162,"COPP-FDS^FG_PRICE_CHANGE(0,-1AM)":-0.32058368339597,"EWG^FG_PRICE(0)":31.43,"VWO^FG_TOTAL_RETURNC(0,-12AM)":14.674198,"EWI^PERCENT_CHANGE(FMA_EPS(+1,0,,,,\"PORTAGG\",\"MEAN\"),FMA_EPS(+1,-3AM,,,,\"PORTAGG\",\"MEAN\"))":-0.926275636336611,"EWQ^FG_TOTAL_RETURNC(0,-3AM)":-1.151073,"EWG^P_PRICE(0)/P_PRICE_LOW_PR(0,,,,,,\"PRICE\",\"INTRA\",\"52W\")-1":0.27221215,"VWO^FMA_COS_DOWN(\"EPS\",\"1M\",+1,0,,,\"PORTAGG\",\"MEANR\")":1328.0,"EWI^JULIAN(FMA_DIV_YLD(NTMA,NOW,NOW,M,\"PORTAGG\",\"MEANR\").DATES)":45471,"EWQ^JULIAN(FMA_DIV_YLD(NTMA,NOW,NOW,M,\"PORTAGG\",\"MEANR\").DATES)":45471,"EWL^FMA_EVAL_EBIT(LTMA,NOW,NOW,M,\"PORTAGG\",\"MEANR\")":16.4926838979767,"EWC^FMA_EVAL_EBITDA(NTMA,0,,,\"PORTAGG\",\"MEANR\")":9.67819498413561,"DBA^P_PRICE(0)/P_PRICE_HIGH_PR(0,,,USD,,,\"PRICE\",\"INTRA\",\"52W\")":0.9205037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39572,17.2298191445464,20.6862902766854,20.5983105915468,20.350503777424],"TRYZA10Y-FDS^JULIAN(FG_YIELD(-10AY,0,CY,,\"YTM\").DATES)":[42004,42369,42734,43098,43465,43830,44196,44561,44925,45289],"USDANG^STD(FG_PRICE_CHANGE(0,-3AY,M))":0.0594600681310969,"USDJPY^FG_PRICE(0)":158.55,"EWU^P_PRICE_RETURNS_PR('52W',2,-10AY,0,AM)":[18.136002,11.484265,8.266079,0.6505251,0.4875183,-2.8967917,-8.599299,-3.4538388,-6.9343925,-3.382969,-2.4161458,-5.4445267,-7.693529,-4.5921803,-12.090075,-1.8617809,-7.3313417,-8.3966255,-11.082047,-20.240616,-9.371752,-12.979728,-16.873407,-15.454971,-13.869822,-10.65948,-1.9370139,-9.635496,-8.015739,-1.4296293,7.611561,14.896059,6.9957137,8.944452,11.339855,9.490776,12.809229,9.899402,12.969124,19.88964,18.155396,16.923714,22.105038,12.511563,15.981436,14.547873,12.961149,11.609483,9.301388,5.3990126,-0.07620454,-4.320365,-2.6892304,-10.932005,-12.547672,-3.8674057,-2.8410256,-1.9509196,-5.9817553,-5.836421,-2.305919,-8.615273,-0.55737495,2.826035,5.5205584,15.139222,14.845991,9.397864,-17.971539,-22.542137,-20.526773,-18.681854,-16.590618,-7.8978004,-14.285147,-10.074597,-9.824449,-8.041233,-6.266916,-6.369996,26.94485,31.933605,36.510277,37.132133,32.492935,29.153097,30.87703,27.856647,21.213972,14.4908905,16.435564,19.584667,3.9938807,10.118687,-3.955102,-3.6018848,-8.04224,-3.4049928,-6.233883,-17.163122,-6.810397,-0.14573336,-3.3174276,-3.357774,2.903378,1.2521982,12.076783,5.2681923,12.732088,8.125603,12.92541,28.268278,7.80946,6.915736,6.4078093,3.5190463,10.301674,7.2466493,12.204254,13.127459,17.507982],"QQQ^FMA_DIV_YLD(NTMA,-10AY,0,AM,\"PORTAGG\",\"MEANR\")":[1.25295638039516,1.26295065214243,1.21037360522292,1.29897661037713,1.22047053970116,1.22027857920861,1.21236066567382,1.2436272525478,1.27979377167136,1.25309261202606,1.25269521352604,1.24669843572773,1.26815330981798,1.28562219136825,1.34946956388827,1.3388914690956,1.27700322288312,1.31058183502697,1.35368442426508,1.49207259848398,1.36792810606793,1.34383186670129,1.38816296263704,1.3621594770997,1.32770628270816,1.27622703615651,1.31642251813892,1.27561808966151,1.30955856276947,1.28681401466482,1.25559775260767,1.24020759724841,1.21495280909675,1.22006068218115,1.17539598622722,1.17124959059601,1.20431437770814,1.18881283492331,1.1626814868071,1.14460574160504,1.11365373427376,1.10733130112958,1.05297296948924,1.12646340323705,1.03102296146111,1.12574886013076,1.08179633413312,1.05629860663771,1.05016478041227,1.07776980813142,1.07474190503042,1.16626803583183,1.16992239306012,1.24660870765988,1.26893623605216,1.22449541408074,1.16998260637745,1.10932959748614,1.11979029855516,1.14121765196273,1.08387909773571,1.1260832092651,1.0919506643438,1.10539224329674,1.06610027929173,1.07417133964886,1.02233114907502,0.9698568695765,1.15915172891813,1.12674411195429,0.981781387685946,0.947659310511308,0.840603771608302,0.839923271441221,0.825129872897993,0.783905567916722,0.778660186233351,0.753044145578693,0.76364047749816,0.726005958282265,0.768281549410437,0.726699127659704,0.757421363306371,0.729243330712214,0.692488935024732,0.703536748014101,0.687638193436789,0.728397395045765,0.672146254659848,0.66581930577652,0.690494994135972,0.778889564111646,0.845466163098762,0.806591904161703,0.947300134806316,0.965087862658497,0.971829907439586,0.870800602246975,0.926391445838278,1.08975420916359,1.00380449172361,1.02385475103314,0.999043653370023,0.937086734413884,0.980801379408749,0.899375327518415,0.856379950754836,0.795897267784843,0.768264346887029,0.898413038778293,0.876642240036372,0.915525464466179,0.904436827620335,0.879350798821902,0.916161058631477,0.880326793829853,0.88906842531206,0.883690390130162,0.912491979061128,0.866139429200208,0.822567409766997],"EWQ^FG_PRICE_MAVG(0,,,,30)":39.48567,"EWU^FG_TOTAL_RETURNC(0,-3AM)":7.012892,"ENZL^FG_TOTAL_RETURNC(0,-12AM)":-3.0320525,"VWO^FMA_COS_UP(\"EPS\",\"1M\",+1,0,,,\"PORTAGG\",\"MEANR\")":1000.0,"EWL^SIZE(FG_CONSTITUENTS)":46,"QQQ^FG_ROE(0)":22.6563099070567,"REFAUCASH-FDS^(SUBARRAY(NOT_NA(NO_REPEAT_F(FG_YIELD(NOW,-10AY,D))),0,1)-SUBARRAY(NOT_NA(NO_REPEAT_F(FG_YIELD(NOW,-10AY,D))),1,1))*100":25.0,"TRYJP10Y-FDS^PCTCHG(FG_YIELD(0,,,,\"YTM\"),FG_YIELD(-1AM,,,,\"YTM\"))":7.3459783,"TRYCH10Y-FDS^FG_YIELD(0,,,,\"YTM\")":0.595,"CC_CA^IMF_IFS_RCPI_Q(0)":null,"VWO^FG_TOTAL_RETURNC(0,-3AM)":7.392621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66268,11.2074687408189,13.9227699516468,15.8587443966116,14.7202112757034],"USDNZD^FG_PRICE_CHANGE(0,-6AM)":1.5692711,"SPY^FMA_PE(LTMA,-10AY,0,AM,\"PORTAGG\",\"MEANR\")":[16.4061713621471,16.1807746576799,16.5236381699875,15.9764469536286,16.8888765564313,16.9290794505669,17.1803597250845,17.3109513399542,17.4823461897328,17.5603626447011,17.531065808012,17.5135167855186,17.3775374761632,17.4340284254423,16.7380542891142,17.0854389424927,17.3914755813826,16.8741555215366,16.1465991548736,16.2966838906097,16.18819342752,16.4452153070474,16.565182572191,16.7903390909585,17.1258275828842,17.5262633419947,17.3883673167525,17.6135263679888,17.9034217539695,18.7907440942411,19.0646140969249,19.1890335371885,19.4612423775783,19.2714227972503,19.1986653927497,19.1942620012913,19.0599517066698,18.996217932583,19.1373269003786,19.5692697307587,19.5975181931334,20.1302296888281,20.8654453988026,19.2822126347187,19.8054180333876,19.3070416948025,19.1192241658292,18.9711617715758,18.6844319844708,18.5812645833458,18.5639016032075,17.6375108501461,17.5514468335417,16.4556637048479,16.0581802784709,16.6736315159351,17.0877504521642,17.2276721585691,17.1933090638041,17.2064655393021,17.6363787381808,17.4686743723747,17.8688440025189,17.9258770916868,18.6464074649166,19.1691399360206,20.0674133092191,20.3985301743953,17.657307333381,18.2826226606841,19.7198971931536,20.5026407769791,21.7846468873171,22.5301597462518,23.0686106974927,24.347116376059,24.7644074541901,25.7995542692281,27.5353012677924,27.3097599901638,26.2269673463224,26.0871490400614,25.3114899837862,24.9985388825227,24.8770154551134,24.0812403581165,23.6659699782799,22.9325259367386,23.287792654359,23.1564266500092,22.9007443388257,21.0611907677777,20.500497757643,20.5212392896028,19.6069159282749,19.1923119553358,18.7702315103821,19.5122189937512,18.9155022453883,17.1733443117721,18.4569392236944,17.9937709340444,18.0098167593659,18.5840987534112,17.9533947757612,18.2495054053443,18.3045301764856,18.6650708700865,19.2104112404257,19.3625547405133,19.5610437904043,19.4218809312159,19.7380791676758,20.7759566274422,21.7520721458186,22.5991804069456,22.7248516991075,22.68136675174,22.5291070286567,22.6277030042922,23.1314052317502],"WL-FDS^FG_PRICE(0)":553.4,"CPALM-FDS^FG_PRICE_CHANGE(0,-3AM)":-11.3349568297543,"COPP-FDS^FG_PRICE_MAVG(0,,,,30)":4.5466166,"EWC^FG_PRICE_MAVG(0,,,,200)":36.15035,"SPY^P_PRICE(0)/P_PRICE_HIGH_PR(0,,,,,,\"PRICE\",\"INTRA\",\"52W\")":0.9895968,"VWO^P_PRICE(0)/P_PRICE_LOW_PR(0,,,,,,\"PRICE\",\"INTRA\",\"52W\")-1":0.21158719,"EWI^PERCENT_CHANGE(FMA_EPS(+1,0,,,,\"PORTAGG\",\"MEAN\"),FMA_EPS(+1,-1AM,,,,\"PORTAGG\",\"MEAN\"))":0.062066455093199,"EWQ^FG_TOTAL_RETURNC(0,-1AM)":-0.9905994,"EWG^P_PRICE(0)/P_PRICE_HIGH_PR(0,,,,,,\"PRICE\",\"INTRA\",\"52W\")":0.9597679,"EWD^FMA_EVAL_EBIT(LTMA,NOW,NOW,M,\"PORTAGG\",\"MEANR\")":15.8534745437462,"SPY^FMA_EVAL_EBIT(LTMA,NOW,NOW,M,\"PORTAGG\",\"MEANR\")":20.7819367211643,"EWL^FMA_EVAL_EBITDA(NTMA,0,,,\"PORTAGG\",\"MEANR\")":12.8385134592933,"EWC^FG_FCF_YIELD_NTM(0)":5.96235564372738,"DBA^FG_TOTAL_RETURNC(0,-6AM)":18.194984,"USDSEK^STD(FG_PRICE_CHANGE(0,-1AY,AM))":2.50511605362806,"USDUSD^STD(FG_PRICE_CHANGE(0,-1AY,AM))":0.0,"USDEUR^FG_COMPANY_NAME":"Euro per U.S. Dollar","EWJ^FMA_DIV_YLD(NTMA,-10AY,0,AM,\"PORTAGG\",\"MEANR\")":[2.09376186010652,2.11225010624207,2.03669688381247,2.16223506059452,1.96294654736754,1.9852166314743,2.02456223817472,1.99431479589481,1.88823123922511,1.84121609437922,1.87581733308854,1.88277624727378,1.98190899374002,1.87726875301063,2.15276343281783,2.10330704758935,2.00897397631536,2.07737373551735,2.2535110357339,2.5789848815479,2.36690275269492,2.52664634675218,2.40070194602975,2.37928286589849,2.51113122590021,2.39500136738711,2.34644872613198,2.3499917181,2.32742917500156,2.10087054762229,2.08853325667516,2.12416716336401,2.11971840524454,2.24987170835159,2.14780052852705,2.17547450532924,2.15407779329145,2.18696468023619,2.22655419133541,2.13733509698183,2.03834834585761,2.05275898417894,1.98349058196702,2.19981080208256,2.2567325470921,2.26213862620461,2.19318180309022,2.22733058830833,2.33876751942641,2.32917541421516,2.36711755843302,2.3726625216991,2.43389557508879,2.59453140575316,2.69154535046905,2.68588209816238,2.60808579600587,2.5813761381383,2.67362095415688,2.67126126417197,2.64437907850883,2.77226268401635,2.62262971321738,2.61505750109942,2.46237540346446,2.45022508632711,2.42976294931197,2.45029517702953,2.99966821997107,2.91891273090207,2.76577506074882,2.48550592547681,2.54244668125274,2.44622225951406,2.36236672653374,2.36562247409557,2.25249697505842,2.16157402290264,2.08647033943394,2.03061548667467,2.08547565139825,2.06618038289271,2.168948042982,2.16490573247655,2.23588962987143,2.21925472990668,2.12996395018624,2.24909640702047,2.24331217297346,2.31946218507204,2.32504072006442,2.41809456892634,2.70573521098031,2.59540329515533,2.67712152454486,2.58655461015119,2.64944663523925,2.62354212793894,2.59604909184108,2.76325525469252,2.59856578237879,2.64604130361895,2.72986976321454,2.60908499683829,2.57555402676874,2.63635831086817,2.53759309176592,2.37767767992149,2.39912991033994,2.36540009328313,2.33046731054985,2.39977735441431,2.40106163342274,2.42335221009494,2.31181369773937,2.27353232099119,2.2126375378058,2.17635076570484,2.23121794584535,2.23199253570444,2.15086850113039],"PLATI-FDS^FG_PRICE_MAVG(0,,,,30)":999.3,"SPY^FG_PRICE_MAVG(0,,,,200)":489.87994,"VWO^FG_TOTAL_RETURNC(0,-1AM)":5.088699,"EWN^PERCENT_CHANGE(FMA_EPS(+1,0,,,,\"PORTAGG\",\"MEAN\"),FMA_EPS(+1,-3AM,,,,\"PORTAGG\",\"MEAN\"))":-1.62237251329238,"EWU^FMA_RBICS_REV_CURRENT(30, LOC, \"PORTAGG\")":19.4049351140879,"TRYUS10Y-FDS^PCTCHG(FG_YIELD(0,,,,\"YTM\"),FG_YIELD(-3AM,,,,\"YTM\"))":-8.100714,"VWO^FMA_EVAL_EBITDA(NTMA,0,,,\"PORTAGG\",\"MEANR\")":8.89212430880916,"EWU^FMA_PE(NTMA,0,,,\"PORTAGG\",\"MEANR\")":11.3959099502407,"EWA^FMA_EVAL_EBITDA(NTMA,0,,,\"PORTAGG\",\"MEANR\")":8.66572194222982,"QQQ^FG_TOTAL_RETURNC(0,-6AM)":20.5243,"EWG^FMA_COS_DOWN(\"EPS\",\"1M\",+1,0,,,\"PORTAGG\",\"MEANR\")":24.0,"EWA^FG_FCF_YIELD_NTM(0)":5.00174746164853,"USDUSD^FG_COMPANY_NAME":"U.S. Dollar per U.S. Dollar","DDR3512M-FDS^FG_PRICE_MAVG(0,,,,30)":0.9467412,"EWN^FMA_PCT_ABOVE_MAVG(200,0,,,,\"PORTAGG\")":58.4905660377358,"EWC^PERCENT_CHANGE(FMA_EPS(+1,0,,,,\"PORTAGG\",\"MEAN\"),FMA_EPS(+1,-3AM,,,,\"PORTAGG\",\"MEAN\"))":0.114502949328731,"EWJ^FMA_RBICS_REV_CURRENT(30, LOC, \"PORTAGG\")":18.9424358750144,"REFFFUND-FDS^FG_YIELD(NOW,,,0)":5.5,"SPY^P_PRICE_RETURNS_PR('52W',2,-10AY,0,AM)":[19.729614,16.711914,20.565426,14.820421,17.381895,16.470945,13.39469,15.93051,11.356556,16.917372,14.234961,10.692108,7.747948,9.789038,0.15053749,6.57146,3.80584,0.87023973,-3.9859772,-9.792625,1.2128592,-0.7740259,0.16263723,1.7276287,5.103612,7.0752144,11.88786,8.306146,6.4347386,12.698973,20.755745,27.64542,21.680677,17.60087,18.323921,17.150318,15.802264,13.922405,19.225895,21.90554,21.38815,19.951248,23.943817,15.599644,20.020163,14.345527,16.15156,16.619003,16.446936,18.329657,18.149412,8.6692095,9.5479965,0.9882331,-4.4139266,5.466461,1.7550707,11.401796,7.9778314,5.7355165,10.259306,4.33259,5.9410453,11.035895,13.233673,21.420992,28.195381,26.229752,0.39891005,-1.1659801,3.6293268,6.2076926,8.51034,16.432608,13.514161,21.422768,17.944252,18.790268,18.478882,18.757462,46.165623,50.297928,43.89498,43.42694,40.612377,35.348927,35.41169,27.102983,31.87239,30.182457,25.71547,14.250398,8.180655,8.325386,-3.9247692,-6.7623196,-10.5193615,-4.011965,-8.148503,-16.454065,-12.768346,-14.389431,-14.432203,-7.7097774,-7.8244867,-5.275202,6.725514,8.917332,17.05265,7.8582883,12.110222,23.905241,13.409721,19.339096,22.280205,25.002611,34.515156,28.269505,27.994955,26.72062,27.538406],"SPY^FG_TOTAL_RETURNC(0,-6AM)":17.565691,"VGK^SIZE(FG_CONSTITUENTS)":1278,"EWA^FMA_DIV_YLD(NTMA,NOW,NOW,M,\"PORTAGG\",\"MEANR\")":3.93063969750354,"QQQ^FG_TOTAL_RETURNC(0,-1AM)":5.2776337,"TRYGB10Y-FDS^FG_YIELD(-10AY,0,Y,,\"YTM\")":[1.8155,2.0248,1.2817,1.2536,1.3339,0.822,0.197,0.966,3.662,3.534],"USDGBP^STD(FG_PRICE_CHANGE(0,-3AY,M))":2.33840337501068,"VGK^PERCENT_CHANGE(FMA_EPS(+1,0,,,,\"PORTAGG\",\"MEAN\"),FMA_EPS(+1,-3AM,,,,\"PORTAGG\",\"MEAN\"))":3.25353079492154,"EWL^P_PRICE(0)/P_PRICE_LOW_PR(0,,,,,,\"PRICE\",\"INTRA\",\"52W\")-1":0.18652225,"VGK^FMA_COS_UP(\"EPS\",\"1M\",+1,0,,,\"PORTAGG\",\"MEANR\")":514.0,"EWC^FMA_COS_UP(\"EPS\",\"1M\",+1,0,,,\"PORTAGG\",\"MEANR\")":28.0,"VGK^FMA_EVAL_EBIT(LTMA,NOW,NOW,M,\"PORTAGG\",\"MEANR\")":13.2942347031562,"EWQ^FG_FCF_YIELD_NTM(0)":6.05159744815414,"EWL^FG_FCF_YIELD_NTM(0)":4.77096379695367,"EWA^JULIAN(FMA_DIV_YLD(NTMA,NOW,NOW,M,\"PORTAGG\",\"MEANR\").DATES)":45471,"CAGDPY@GB^EE_ACTUAL_ANNUAL(MED,+1)":-2.7,"USDAUD^STD(FG_PRICE_CHANGE(0,-3AY,M))":3.06129369010948,"W-FDS^MAX(FG_PRICE(0,-5AY))":14.2525,"SPY^FG_TOTAL_RETURNC(0,-3AM)":7.7756166,"EWA^P_PRICE(0)/P_PRICE_HIGH_PR(0,,,,,,\"PRICE\",\"INTRA\",\"52W\")":0.9948799,"EWC^FMA_RBICS_REV_CURRENT(30, LOC, \"PORTAGG\")":39.9570295102958,"REFCHMPR-FDS^PROPER_NAME(0,,,\"SECURITY\",\"NAME\")":"Swiss Policy Rate - Sight Deposit Rate","TRYJP10Y-FDS^FG_YIELD(0,,,,\"YTM\")":1.0872,"VGK^FMA_EVAL_EBITDA(NTMA,0,,,\"PORTAGG\",\"MEANR\")":8.95909587610995,"USDGBP^STD(FG_PRICE_CHANGE(0,-1AY,AM))":1.73458020958056,"EWU^FMA_PE(NTMA,-10AY,0,AM,\"PORTAGG\",\"MEANR\")":[13.4705476197054,13.2889465838814,13.3706986723975,12.5069967406504,13.3917479464262,13.5282266126228,13.6574947514962,15.336208644109,15.1335206255697,16.0803042769955,16.2479356209188,15.7159697690335,15.2118083680274,15.3723210295655,14.325634596936,15.3093024904814,15.2086428510713,14.5504639555129,14.4149357757584,14.3459433544902,16.020247807802,16.1041398702929,15.8049922131335,15.456618916032,16.0387945197243,16.3529542493336,15.7862466416168,15.5253735063551,14.3743852810301,14.4597164461922,14.4127411852019,14.5121104342617,14.3415333034341,14.4925347863581,14.5895890380697,14.7216397543999,14.3969144131089,14.4243020492942,14.6419703772834,14.6262773573593,14.3707702445482,14.3561488322185,14.7589401057589,13.3277442334801,13.5669654160062,13.6229763994972,13.9891439125936,13.618191830355,13.1591292439607,13.0323955034441,12.3539425229695,11.8834158727692,11.9317973522365,11.3641677993985,11.8642334111706,12.2991729578137,12.3446009391539,12.7521685424105,12.2672687034365,12.5373441958068,12.6340609798896,11.9961277207802,12.3403694005886,12.4399492691007,12.7848907550662,12.8667540547455,13.4547526246979,13.4331277920806,10.9508504475153,13.2269464740455,15.1278209458202,15.905327873804,15.6119715922575,15.7583812967152,15.0329871236299,14.5779776791155,14.8580833310655,14.7994631566262,14.7098150581016,13.9494768346172,14.0823871362135,13.5394059689414,13.1801255248068,13.2186602423752,12.6549612456171,12.448726122841,11.97631497568,12.1561525105573,12.1852295422597,11.9373582331542,12.3552529626355,12.4026246604778,11.3002413464471,11.2400857069692,10.1903512473172,9.98848076507012,9.46837323128602,9.83355735816903,9.31139858171991,8.57115510830675,9.39165873373761,9.94151917243423,10.209102659803,10.5513876867065,10.3258797280825,10.6396540475034,10.4763236372431,10.2968231838126,10.0947353684752,10.503761804625,10.385466194844,10.4682635231545,10.0702362031538,10.6226045684464,10.9007739796238,11.0051009619906,11.2647907490981,11.4277923734821,11.9273847693777,11.4380312847075,11.3959099502407],"EWL^FG_PRICE_MAVG(0,,,,200)":46.5193,"VGK^PERCENT_CHANGE(FMA_EPS(+1,0,,,,\"PORTAGG\",\"MEAN\"),FMA_EPS(+1,-1AM,,,,\"PORTAGG\",\"MEAN\"))":0.0,"EWI^SIZE(FG_CONSTITUENTS)":26,"EWA^FMA_COS_DOWN(\"EPS\",\"1M\",+1,0,,,\"PORTAGG\",\"MEANR\")":33.0,"TRYGB10Y-FDS^PCTCHG(FG_YIELD(0,,,,\"YTM\"),FG_YIELD(-3AM,,,,\"YTM\"))":-3.382217,"EWL^FMA_PE(NTMA,0,,,\"PORTAGG\",\"MEANR\")":17.1573122841002,"UUP^FG_TOTAL_RETURNC(0,-1AM)":-0.31163096,"CAGDPY@GB^EE_ACTUAL_ANNUAL(MED,0)":-3.3,"EWG^P_PRICE_RETURNS_PR('52W',2,-10AY,0,AM)":[21.458626,9.004259,9.415865,-6.987423,-5.3343654,-3.4851432,-11.25325,-6.613165,-3.6300242,1.0252237,-2.2809088,-5.527705,-3.9497554,1.4860272,-7.2968063,1.7742157,-0.8107424,-7.126766,-6.897789,-17.92981,-11.941486,-16.380442,-12.333256,-13.44226,-14.801234,-4.586196,2.2338867,1.2987852,-1.43677,1.2271881,13.347912,21.455013,18.521559,15.645671,19.89931,23.226082,30.077589,16.8625,24.945223,29.117668,30.579138,29.461897,28.624094,20.144033,20.593607,17.423748,11.965954,6.060374,1.5004992,1.0410666,-5.6527557,-13.065237,-14.032518,-20.608252,-21.506298,-17.219246,-15.263677,-12.306059,-12.577545,-11.341763,-6.3126745,-11.941314,-4.645407,0.71099997,8.161915,16.661465,15.860701,16.806662,-12.255711,-14.388919,-15.095705,-3.3652246,2.245319,12.774145,12.430584,15.543151,4.5704603,7.366729,11.289144,14.150917,46.960403,53.65143,51.507877,40.235184,29.494976,22.508753,17.926407,10.823274,17.220188,7.7617526,5.3993583,-1.5378892,-17.671728,-18.944805,-25.343317,-27.29029,-34.459133,-28.481215,-32.4842,-36.77775,-24.239391,-19.230175,-15.322018,-11.199135,5.011487,8.068001,18.326008,11.408985,31.639242,20.431746,25.793684,37.474,12.240291,18.160856,9.824586,6.9153666,16.790176,10.641408,13.198757,13.509094,14.249492],"EWI^FG_TOTAL_RETURNC(0,-12AM)":22.052872,"VGK^FG_FCF_YIELD_NTM(0)":5.19765408703828,"GLD^FG_TOTAL_RETURNC(0,-6AM)":18.83217,"CAGDPY@NL^EE_ACTUAL_ANNUAL(MED,0)":10.1631565168417,"USDUSD^FG_PRICE(0)":1.0,"USDCAD^FG_PRICE_CHANGE(0,-1AY)":2.600336,"EWA^JULIAN(FMA_EPS(NTMA,-20AY,0,CY,,\"PORTAGG\",\"MEANR\").DATES)":[38352,38716,39080,39447,39813,40178,40543,40907,41274,41639,42004,42369,42734,43098,43465,43830,44196,44561,44925,45289],"DDR3512M-FDS^FG_PRICE_CHANGE(0,-1AM)":-2.90457335299322,"TIOS-FDS^FG_PRICE_CHANGE(0,-1AM)":3.11470781970453,"FXI^PERCENT_CHANGE(FMA_EPS(+1,0,,,,\"PORTAGG\",\"MEAN\"),FMA_EPS(+1,-1AM,,,,\"PORTAGG\",\"MEAN\"))":3.96569316686228,"EWU^PERCENT_CHANGE(FMA_EPS(+1,0,,,,\"PORTAGG\",\"MEAN\"),FMA_EPS(+1,-1AM,,,,\"PORTAGG\",\"MEAN\"))":0.262702760914512,"EWC^FG_TOTAL_RETURNC(0,-1AM)":4.039037,"URTH^FMA_COS_UP(\"EPS\",\"1M\",+1,0,,,\"PORTAGG\",\"MEANR\")":505.0,"EWL^FMA_RBICS_REV_CURRENT(30, LOC, \"PORTAGG\")":17.7952826099753,"EWN^FMA_PE(LTM,0,,,\"PORTAGG\",\"MEANR\")":22.8221668402325,"EWU^FMA_PE(LTM,0,,,\"PORTAGG\",\"MEANR\")":12.8889889896814,"USDSEK^FG_PRICE_CHANGE(0,-6AM)":1.7054081,"EWQ^P_PRICE_RETURNS_PR('52W',2,-10AY,0,AM)":[18.745577,5.0943255,7.0653915,-8.188361,-5.2805543,-4.805541,-11.251509,-6.459981,-9.807986,-5.641806,-6.37899,-6.620753,-4.019189,3.474331,-6.918204,6.060374,2.6153088,-1.6541004,-2.603215,-13.221961,-2.125913,-9.346747,-8.539618,-10.406274,-11.550313,-8.04016,0.49573183,-4.6572866,-4.5268774,2.5731921,13.214552,16.234982,12.591446,14.082241,21.353043,22.35366,30.126667,23.501469,28.558815,33.824886,31.355953,30.584085,31.879091,25.613749,28.06828,24.515211,16.838657,12.908781,9.445488,6.2048435,2.3993373,-4.457903,-4.584712,-11.719054,-14.339071,-7.232845,-6.453043,-3.378588,-6.352818,-3.5615504,1.5186667,-3.6295772,2.1722078,7.264042,13.859547,21.401775,22.237814,19.67845,-11.173618,-16.645605,-17.190248,-11.07586,-7.963562,-0.09654164,-1.7392039,-0.4329145,0.99487305,5.1525354,5.411589,6.279528,41.965042,49.79892,57.025826,51.161755,39.72875,37.45166,34.803783,30.436575,27.589691,19.113613,20.773565,14.217067,-4.5960546,-1.6381562,-12.189781,-14.872372,-18.92851,-12.59026,-17.54331,-23.329317,-12.714994,-8.508194,-6.355542,-2.363956,13.574446,15.983009,26.966095,17.667925,34.251045,20.992172,26.08397,35.55459,13.845646,17.03124,10.364819,8.98918,16.893375,8.183325,10.930788,9.972799,5.6177735],"EWG^FMA_DIV_YLD(NTMA,-10AY,0,AM,\"PORTAGG\",\"MEANR\")":[3.10477820995579,3.26265531550129,3.10944423168624,3.44366313081434,3.29287443282985,3.16942774955146,3.23809334138701,2.9443839503697,2.69424565226019,2.60633719784107,2.83807176161337,2.97359917900191,2.99985936476937,3.02486378795582,3.37282846320245,3.30474400999604,2.97937048237063,3.14603142088753,3.32623645068152,3.74879912317149,3.33529131160523,3.3892853609743,3.33830006876263,3.4186106729556,3.43008711549204,3.1339545408625,3.18462599176139,3.14207783878134,3.17717326560003,3.0388274934947,2.9379228836923,2.97462062373004,2.95471489324386,2.93630368038807,2.87830573476721,2.9050955420522,3.01509007875563,3.13089452200739,3.05871418380932,2.95669364923216,2.92047883043325,2.90490776996785,2.89580749699441,3.19950504726284,3.14791412114316,3.21786092780106,3.09773286075758,3.13359018347147,3.24627203932159,3.25195249270802,3.37012152957509,3.5414034675482,3.58925817903421,3.85813964465166,3.82866141842785,3.76866409502181,3.61164561687488,3.49919011853287,3.50930678667879,3.55330028185207,3.4817423335076,3.60035531819789,3.39568905264812,3.37765149597833,3.14311337538505,3.12017552860434,3.05129721228658,3.03520810114927,3.915838489406,3.58605127018635,3.34377891944796,2.97822866691369,2.85308277595171,2.81637390609678,2.79508690718946,2.81433848698402,2.84406706402069,2.82475335742733,2.71409446068447,2.73024853714693,2.73573731358226,2.68523749582644,2.84985980150436,2.77464175476478,2.79885024823141,2.84114505400025,2.87354650222325,2.99777347610672,2.93858869732076,3.05881481150264,3.05507560350679,3.20265534385878,3.68999096418112,3.59782681502816,3.85970809043873,3.91619842455652,4.1959087941943,3.94198505104168,4.11303520794007,4.44785682486992,3.80626273294324,3.74349959783665,3.56984847267797,3.48208167722459,3.53772356850636,3.53709620316086,3.5805985299456,3.64751341293101,3.72236690037709,3.72068936754222,3.74352325965753,3.84606922528208,3.88352137955856,3.53949209554833,3.62452026363467,3.53877334220308,3.34140813718646,3.3429172391678,3.28456189540082,3.39261322750422,3.39902047369185],"SPY^FG_PRICE_MAVG(0,,,,30)":542.4977,"VWO^PERCENT_CHANGE(FMA_EPS(+1,0,,,,\"PORTAGG\",\"MEAN\"),FMA_EPS(+1,-3AM,,,,\"PORTAGG\",\"MEAN\"))":-0.347140869626368,"EWN^PERCENT_CHANGE(FMA_EPS(+1,0,,,,\"PORTAGG\",\"MEAN\"),FMA_EPS(+1,-1AM,,,,\"PORTAGG\",\"MEAN\"))":1.18167744624843,"VWO^FMA_DIV_YLD(NTMA,NOW,NOW,M,\"PORTAGG\",\"MEANR\")":3.05871245679431,"QQQ^FG_TOTAL_RETURNC(0,-3AM)":10.631704,"USDCAD^FG_PRICE(0)":1.36125,"EWU^FMA_PCT_ABOVE_MAVG(200,0,,,,\"PORTAGG\")":63.75,"VWO^SIZE(FG_CONSTITUENTS)":4759,"VWO^FG_PE_NTM(0,,,90,0)":12.6432693306939,"EWQ^FMA_EVAL_EBIT(LTMA,NOW,NOW,M,\"PORTAGG\",\"MEANR\")":13.01836907898,"EWU^JULIAN(FMA_DIV_YLD(NTMA,NOW,NOW,M,\"PORTAGG\",\"MEANR\").DATES)":45471,"USDSEK^FG_PRICE_CHANGE(0,-3AM)":-2.8862596,"USDCAD^FG_COMPANY_NAME":"Canadian Dollar per U.S. Dollar","EWC^FMA_DIV_YLD(NTMA,-10AY,0,AM,\"PORTAGG\",\"MEANR\")":[2.80717271384625,2.80653905569787,2.76066052060937,3.03806498908146,2.93925382097613,3.09324637642975,2.99801577403161,2.86750868149039,2.94967590743087,2.82223793524456,2.86134963540995,2.93508337505854,3.04958986768268,3.07734746774373,3.25702790268895,3.15505015639616,3.31215830557563,3.4645427904955,3.567185841731,3.55264490961262,3.13247927740252,3.18071353395438,3.10042399759906,3.06615960829041,3.0261737322198,2.93621492598905,2.98454648841571,2.96567856493312,2.96792492493677,2.83367271891927,2.81356442475077,2.79808431904578,2.90463250433504,2.89756081141542,2.9496373738213,2.97693865529526,3.05024282723742,3.07048197542642,3.10469505389206,2.95275537175236,2.91112632064467,2.91009506508518,2.89893677001768,3.17889950624327,3.13244549703684,3.21961858273646,3.08208078040371,3.05898310784388,3.04997337169144,3.08437433543814,3.16484600225701,3.35222287185315,3.36301143524639,3.51745120489153,3.4558842174348,3.33836753101993,3.27113108113238,3.21745552901106,3.27174218037938,3.34125324973601,3.2969730841125,3.39060779978917,3.33926226332514,3.36744233887423,3.26669211278742,3.27338458375229,3.23733811628138,3.20516708364281,4.0797483726464,4.06022600286676,3.6974358517574,3.6553825423074,3.51201113177813,3.34428428667756,3.40981523896615,3.36038868810288,3.3063557193261,3.11411761245382,3.03220310685112,2.9435265984731,2.8430957626242,2.7647229883792,2.75146242279438,2.57534671046452,2.70442158023575,2.66980746913633,2.74572303100371,2.78703140537808,2.68097822114948,2.83914609760133,2.77185081815018,2.76645078205049,2.8501377418735,2.85394697884767,3.23161166324824,3.18696515705101,3.44512370067601,3.27275221321365,3.37802835544338,3.68529778704806,3.32398466028586,3.36797165354136,3.3562911354241,3.26675190945964,3.41785590300032,3.28491810282271,3.26237718044014,3.32182105895244,3.28971596844942,3.42131480981552,3.51128457811656,3.61998389040813,3.59801980680816,3.46729348036537,3.35833857732757,3.32552836827338,3.17311941609186,3.10555205510649,3.05824220542869,3.3353278684497,3.28351599911298],"CPALM-FDS^FG_PRICE(0)":4005.0,"EWG^FMA_COS_UP(\"EPS\",\"1M\",+1,0,,,\"PORTAGG\",\"MEANR\")":24.0,"WL-FDS^FG_PRICE_CHANGE(0,-1AY)":-18.4617651392368,"QQQ^FG_PRICE(0)":491.93,"EWQ^P_PRICE(0)/P_PRICE_HIGH_PR(0,,,,,,\"PRICE\",\"INTRA\",\"52W\")":0.9150235,"EWA^P_PRICE(0)/P_PRICE_LOW_PR(0,,,,,,\"PRICE\",\"INTRA\",\"52W\")-1":0.23460412,"EWG^FMA_RBICS_REV_CURRENT(30, LOC, \"PORTAGG\")":23.0594534932325,"USDSEK^FG_PRICE_CHANGE(0,-1AM)":-0.46396852,"EWJ^P_PRICE_RETURNS_PR('52W',2,-10AY,0,AM)":[1.9407988,4.697585,3.26159,-6.229651,1.6886115,-1.8240154,-6.065649,2.6798844,7.722616,20.896996,17.550325,12.501144,7.3720574,10.053825,0.32684803,9.415138,7.990825,5.855489,4.783559,-10.78074,-4.3235006,-11.907297,-9.177124,-9.066952,-4.968536,-2.4865806,6.629598,3.8766623,0.2713561,7.5945616,12.089157,24.394835,16.550123,15.945255,14.810551,16.27034,14.284182,11.090732,14.005602,16.691185,21.703386,18.811953,26.543152,17.304718,20.500887,19.362402,18.85146,14.318192,8.648264,7.735193,4.5819283,1.190269,-6.0759487,-9.925938,-15.164638,-9.250194,-9.643835,-7.778555,-9.707183,-8.786368,-1.700908,-6.623864,-0.23890734,2.67874,10.327816,15.730715,13.680649,15.493488,-5.959213,-6.368482,-0.21644235,2.7396917,3.5203695,8.015549,6.9489717,7.3044896,8.294845,11.33436,16.702663,20.537674,38.62343,39.94392,29.751646,27.318108,25.662601,22.395563,27.390718,15.925598,10.067344,5.154836,-0.3226459,-8.1916275,-12.180096,-14.293337,-17.785358,-18.492859,-20.767397,-16.115063,-25.503195,-26.293056,-18.624657,-17.25229,-16.658342,-8.779425,-3.4236789,0.13016462,11.106038,12.542152,17.74826,10.0384,18.521667,23.705805,13.295436,15.322256,21.736467,17.747295,25.18369,23.492706,16.160381,11.756861,17.355324],"TRYJP10Y-FDS^FG_YIELD(-10AY,0,Y,,\"YTM\")":[0.3138,0.2604,0.0315,0.0465,-0.0051,-0.0208,0.0201,0.0672,0.4224,0.6127],"EWQ^FG_TOTAL_RETURNC(0,-6AM)":4.139793,"EWL^P_PRICE(0)/P_PRICE_HIGH_PR(0,,,,,,\"PRICE\",\"INTRA\",\"52W\")":0.973731,"EWQ^FMA_DIV_YLD(NTMA,NOW,NOW,M,\"PORTAGG\",\"MEANR\")":3.39405110502247,"ENZL^FMA_EVAL_EBITDA(NTMA,0,,,\"PORTAGG\",\"MEANR\")":11.7411157713953,"USDSEK^FG_PRICE(0)":10.46925,"USDGBP^FG_PRICE_CHANGE(0,-1AY)":-0.21277666,"USDAUD^STD(FG_PRICE_CHANGE(0,-1AY,AM))":1.81387454779539,"WL-FDS^FG_PRICE_CHANGE(0,-3AM)":-11.8930106670912,"W-FDS^FG_PRICE_CHANGE(0,-1AY)":-14.6651270207852,"FC0000AU^FG_PRICE(0)":374.31332,"EWL^FG_PRICE_MAVG(0,,,,60)":47.956333,"EWL^PERCENT_CHANGE(FMA_EPS(+1,0,,,,\"PORTAGG\",\"MEAN\"),FMA_EPS(+1,-3AM,,,,\"PORTAGG\",\"MEAN\"))":2.44227031283475,"EWA^FG_TOTAL_RETURNC(0,-6AM)":8.84285,"EWA^FMA_RBICS_REV_CURRENT(30, LOC, \"PORTAGG\")":42.4062571267776,"REFJPTON-FDS^(SUBARRAY(NOT_NA(NO_REPEAT_F(FG_YIELD(NOW,-10AY,D))),0,1)-SUBARRAY(NOT_NA(NO_REPEAT_F(FG_YIELD(NOW,-10AY,D))),1,1))*100":20.0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6,7.7689690341127,6.57910753918315],"USDJPY^STD(FG_PRICE_CHANGE(0,-1AY,AM))":1.95814947860724,"EWI^FMA_PE(LTMA,-10AY,0,AM,\"PORTAGG\",\"MEANR\")":[17.0932738479799,16.7033651826421,17.9830045738979,16.6057970202461,17.2294615351006,18.2529943238869,17.9847340611129,32.0534942857612,44.2671378927617,41.630709008208,38.7064316763568,35.6603115385191,32.8268562504785,30.485346399749,26.8197849684988,24.7980715969217,22.5530256906716,19.3443437809919,16.8249210502295,13.9975632101423,15.491198863705,15.1872468823823,15.2188763923141,14.7941789169836,14.3551876580649,15.1500544707604,15.0932806233599,14.6147285756586,14.4928546227796,15.600308867887,28.0705914329345,20.2113008032908,83.6936885776985,76.1445083543372,69.3685409616605,62.4456491444949,54.9651922057747,47.6640328840124,40.6551742872961,33.9245521525938,27.0356986220154,20.2598566345016,15.8715529519577,14.2880606067901,14.213166354276,14.105870203086,14.1342325651946,13.5013598616347,13.221974672977,12.9147783640993,12.5224998590438,11.7041343931501,11.4554618129675,10.7283946613168,10.9245469207095,10.8969590323238,11.2747853136852,11.3344615174932,11.1527200179335,10.9842201088956,11.3540032008515,10.8206329945518,11.2737088570381,11.4178771454536,11.9643130468678,11.8678634970201,12.3495105864705,12.7138930251127,10.9819137612749,11.3594125527211,13.5039917164123,15.5136867638008,16.8457097275075,17.8451354807535,18.2445832226643,18.7647342688994,20.5573324271127,22.2710727259828,23.6152581957571,20.6554767037076,20.1495513516651,19.5983226751671,18.768233333425,18.4783752081425,17.703134076901,16.4175237255488,15.2641800257466,14.4441755308437,13.91922246715,12.3618843121288,12.2069172441674,11.7749939214889,10.4997690057126,10.5228216394677,10.2563673925551,9.67727762348045,9.26417747472071,8.89248816099702,8.47891126965454,7.9287247942919,8.46508007121735,7.71614793984135,7.93485220472971,8.26053351230494,8.29206594207187,8.36101445676482,8.27646216511997,8.44372267252691,8.56615293413867,8.24483947741719,8.37125967596516,8.24298651710843,8.11106250986129,8.80614436298899,8.8861426365603,9.0846110574636,9.37985210480597,9.41356365429272,9.55541123445786,9.50805059294778,9.63302444419207],"NI-FDS^FG_PRICE(0)/MAX(FG_PRICE(0,-1AY))":0.743905166629389,"BRENT-FDS^FG_PRICE_CHANGE(0,-1AM)":0.0,"EWD^FG_PRICE_MAVG(0,,,,60)":40.463585,"URTH^P_PRICE(0)/P_PRICE_HIGH_PR(0,,,,,,\"PRICE\",\"INTRA\",\"52W\")":0.99160933,"TRYNZ10Y-FDS^PCTCHG(FG_YIELD(0,,,,\"YTM\"),FG_YIELD(-1AM,,,,\"YTM\"))":-3.3461761,"EWI^FMA_PE(LTM,0,,,\"PORTAGG\",\"MEANR\")":10.1625873961814,"SPY^FMA_PE(LTM,0,,,\"PORTAGG\",\"MEANR\")":26.9892454463216,"EWG^FG_FCF_YIELD_NTM(0)":5.86736028777066,"TRYTW10Y-FDS^FG_YIELD(-10AY,0,Y,,\"YTM\")":[1.6015,1.015,1.2037,0.9478,0.8648,0.672,0.315,0.7413,1.2812,1.211],"CC_GB^FG_COMPANY_NAME":"United Kingdom","USDUSD^STD(FG_PRICE_CHANGE(0,-3AY,M))":0.0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A^FG_TOTAL_RETURNC(-10AY,0,AM)":[1.4294624,-1.9962311,0.65333843,-11.492938,8.110439,-9.936153,2.9292226,0.48888922,-0.6634295,4.85307,-4.3736696,-1.7761946,-4.1517076,-3.671497,-8.074224,7.146752,-6.6191435,-1.3631403,-3.2874346,-1.7626405,18.241632,-5.8674755,6.018269,-1.5205204,3.923285,5.9769034,-6.303316,4.1476965,-0.7770777,3.52422,4.033184,1.9598722,0.9153247,2.2675753,-3.10421,-1.2814701,2.2460938,3.0583858,3.4622312,-2.3468077,3.1152725,-1.9853294,6.207061,-6.032288,5.3797364,-4.290003,2.4204493,0.70022345,-0.39247274,0.0,-3.603202,-5.4914656,3.515637,-4.7169805,3.9107919,2.5235057,3.523171,0.93239546,0.27713776,4.0073752,1.9976258,-4.7851143,4.2345285,-1.160717,3.432703,-0.6550193,2.4475813,-0.08752942,-23.521687,-4.7537208,2.044499,11.078382,5.681753,5.094242,-2.326709,3.325057,7.2526455,6.35916,3.6936045,2.7846098,0.35856962,1.3100386,4.2319775,2.8803945,-3.2234132,1.4931083,-2.6782393,-1.2015462,1.3730884,-2.3219824,1.591289,-4.365402,3.0431032,7.7112436,-11.500382,-0.5893767,-7.2832823,11.036146,-2.9947937,-12.214762,16.207945,1.622808,2.697444,3.4674644,-7.9437313,4.494381,-1.1612952,-0.8588135,-0.2683401,-0.22421479,-0.89887977,-1.4512479,-1.6106784,6.6884995,5.8635473,-0.042265654,3.2135367,-0.24579763,0.5338788,0.1578331,5.0311923],"EWG^FG_PRICE_MAVG(0,,,,30)":31.086,"EWD^P_PRICE(0)/P_PRICE_LOW_PR(0,,,,,,\"PRICE\",\"INTRA\",\"52W\")-1":0.33094347,"QQQ^P_PRICE(0)/P_PRICE_HIGH_PR(0,,,,,,\"PRICE\",\"INTRA\",\"52W\")":0.97698206,"ENZL^FG_TOTAL_RETURNC(0,-1AM)":1.5601039,"SPY^FMA_COS_DOWN(\"EPS\",\"1M\",+1,0,,,\"PORTAGG\",\"MEANR\")":191.0,"EWC^FG_ROE(0)":11.0265715544175,"REFSEREPO-FDS^FG_YIELD(NOW,,,0)":3.75,"REFAUCASH-FDS^FG_YIELD(NOW,,,0)":4.35,"CC_NL^IMF_IFS_RCPI_Q(0)":null,"TLT^FG_TOTAL_RETURNC(0,-1AM)":2.191937,"EWA^JULIAN(FMA_ROE(NTMA,-20AY,NOW,FY,\"PORTAGG\",\"MEANR\").DATES)":[38352,38716,39080,39447,39813,40178,40543,40907,41274,41639,42004,42369,42734,43098,43465,43830,44196,44561,44925,45289],"TRYKR10Y-FDS^FG_YIELD(-10AY,0,Y,,\"YTM\")":[2.6272,2.0852,2.0916,2.4797,1.9804,1.6728,1.7238,2.2417,3.6906,3.1928],"USDJPY^FG_PRICE_CHANGE(0,-6AM)":8.62565,"NI-FDS^FG_PRICE_MAVG(0,,,,30)":17639.166,"BRENT-FDS^FG_PRICE_MAVG(0,,,,30)":85.86,"EWD^FG_PRICE_MAVG(0,,,,30)":40.93133,"URTH^FG_TOTAL_RETURNC(0,-6AM)":14.818931,"EWG^FG_TOTAL_RETURNC(0,-12AM)":14.249492,"TRYSE10Y-FDS^FG_YIELD_NAME":"Sweden Benchmark Bond - 10 Year","TRYIT10Y-FDS^FG_YIELD(0,,,,\"YTM\")":3.773,"EWD^FMA_EVAL_EBITDA(NTMA,0,,,\"PORTAGG\",\"MEANR\")":10.8769834425639,"QQQ^FMA_PE(LTM,0,,,\"PORTAGG\",\"MEANR\")":36.1674139079856,"EWG^FMA_DIV_YLD(NTMA,NOW,NOW,M,\"PORTAGG\",\"MEANR\")":3.41879576952376,"CC_CH^FG_COMPANY_NAME":"Switzerland"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NZL^FG_TOTAL_RETURNC(-10AY,0,AM)":[1.5358686,-5.2969933,1.2317777,-5.3886294,6.5879345,-0.19699931,2.1203876,-1.8380463,-1.5938818,4.482889,-3.921634,-2.9457033,-6.6452026,-1.7691433,-5.8458805,5.926621,4.381287,2.4673939,-1.5007198,0.34335852,10.502279,5.0103307,2.5823832,3.620243,4.7432303,4.116559,2.363336,-8.753145,-5.590063,3.7889838,1.1108637,3.0987144,-3.4715712,1.7861366,2.8693438,4.103267,2.6796222,2.5043964,1.1358738,-0.89001656,-3.709644,3.4972787,4.45745,-2.2399008,6.1670303,1.2908459,-2.9669464,4.063201,-3.06499,-2.9622257,1.7053962,-6.287992,6.240213,0.2105236,2.0766497,1.990366,3.0608058,2.3121476,1.2078643,-0.94321966,7.07469,-1.3448775,0.6349206,-2.1710873,0.49316883,7.266903,2.8859138,-0.873363,-10.114538,-8.860999,6.883192,5.8563113,9.77,1.168263,0.39641857,5.3562164,6.3060164,3.908646,2.0949244,-3.032732,-4.273123,-0.6613076,1.8227935,-2.519226,-0.12891293,-0.46789646,2.7232885,-3.0298233,1.0740399,-5.0635996,-0.54324865,-7.323408,0.6538391,-0.519681,-13.264918,-0.56984425,-2.4053931,11.594522,-3.7781298,-15.350884,13.200104,8.06452,0.91047287,3.5147667,-7.217699,3.7222862,1.8749952,-4.840165,2.9875398,-3.9363682,-5.5626335,1.2589931,-2.975136,6.6132665,4.8198223,-2.6964903,-1.1707783,-1.4237642,-0.15435219,1.2781024,1.5601039],"EWL^FMA_PE(LTMA,-10AY,0,AM,\"PORTAGG\",\"MEANR\")":[17.0572744019681,17.0201943865286,17.4383490665364,16.6282282876558,17.4659508185089,17.367672942273,17.2204408039944,17.0895644953238,17.9577365532647,18.2018605615944,18.0148205741411,18.0059261268862,17.9707290652863,18.073800099185,17.304875112429,17.4293642447104,17.586716598037,17.009780886121,16.21699574218,15.7553271668349,16.6658410291933,16.654973376306,16.867741129858,16.9699568280293,17.2562268892292,17.9366084140957,18.0029716744111,17.9517492132187,17.6093166174343,17.8654886768,18.581290538774,18.6964860850329,19.6418627422661,19.4235754471795,19.5193426661781,19.4440607452971,19.2546954714736,19.1066122872748,19.2584885629572,19.6818603774438,20.0782577995439,20.4135400265499,20.9909598295731,19.9728933721012,21.0915390608396,20.5115136336468,20.2243768769774,19.573803109059,19.2323214747624,19.0094286970982,18.5832341078204,17.6376097795367,17.9999144029141,17.0229272260667,16.970166277382,17.5633297962591,18.2801141625831,18.2988873417235,18.096693669386,18.2954897191905,18.3043027541262,18.1917427011976,18.5000476945669,18.4238054997665,18.855282770609,19.0747208015079,19.6126700682027,20.1813322520407,17.7865305864309,18.1273033007994,18.6941145583302,19.1599178522134,19.87898308013,20.2565752698563,20.8774630508209,20.9920117800959,21.2111521857934,21.0825476094379,22.0515718137131,21.2022557455181,20.488170063551,20.6298686066957,20.375835607984,20.8677443041449,20.894420909583,21.1068133772982,20.8101064904038,20.2151664231137,20.9452498457163,21.0987971381865,21.0652878438929,18.6843066457989,18.3477996915388,18.7112642392478,18.1488779555304,17.7423271552821,17.7259797990964,18.4347254525806,17.9840443064741,16.7412266473744,19.7506849150101,20.350156298494,21.1454829308094,21.1586703077434,20.5237710255832,20.3925097652976,20.2033334670339,19.4821536798564,19.049803697643,18.9493671581674,18.6192594211764,18.5039230415476,17.6171861317345,18.2582204846621,18.2829523425113,18.6877126428436,19.2152330819594,18.9855034555814,18.8862665224575,18.8689936313858,18.7773584771174],"EWN^FG_PRICE_MAVG(0,,,,200)":45.77581,"EWA^FG_PRICE_MAVG(0,,,,60)":24.3895,"FXI^FMA_COS_DOWN(\"EPS\",\"1M\",+1,0,,,\"PORTAGG\",\"MEANR\")":21.0,"REFSEREPO-FDS^PROPER_NAME(0,,,\"SECURITY\",\"NAME\")":"Sweden Repo Rate","REFNZOCR-FDS^(SUBARRAY(NOT_NA(NO_REPEAT_F(FG_YIELD(NOW,-10AY,D))),0,1)-SUBARRAY(NOT_NA(NO_REPEAT_F(FG_YIELD(NOW,-10AY,D))),1,1))*100":25.0,"USO^P_PRICE(0)/P_PRICE_HIGH_PR(0,,,USD,,,\"PRICE\",\"INTRA\",\"52W\")":0.9703872,"TRYID10Y-FDS^FG_YIELD(-10AY,0,Y,,\"YTM\")":[7.922017,8.942368,7.89735,6.462641,8.148183,7.263584,5.902206,6.458283,6.936579,6.498571],"TRYPL10Y-FDS^FG_YIELD(-10AY,0,Y,,\"YTM\")":[2.5048,2.9303,3.6245,3.292,2.8144,2.1086,1.235,3.6216,6.8411,5.1912],"NI-FDS^FG_PRICE(0)":16630.0,"URTH^FG_TOTAL_RETURNC(0,-3AM)":6.481302,"EWD^FG_TOTAL_RETURNC(0,-3AM)":4.8990607,"EWG^FG_TOTAL_RETURNC(0,-6AM)":10.329735,"QQQ^SIZE(FG_CONSTITUENTS)":102,"TRYNL10Y-FDS^FG_YIELD_NAME":"Netherlands Benchmark Bond - 10 Year","EWD^FG_FCF_YIELD_NTM(0)":5.14939397507916,"QQQ^JULIAN(FMA_DIV_YLD(NTMA,NOW,NOW,M,\"PORTAGG\",\"MEANR\").DATES)":45471,"EWG^FMA_PE(NTMA,0,,,\"PORTAGG\",\"MEANR\")":11.807159539009,"USDJPY^FG_COMPANY_NAME":"Japanese Yen per U.S. Dollar"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644246,2.03507562384137,2.71427224340632,3.12760121442787,3.00269886912718],"ENZL^JULIAN(FG_TOTAL_RETURNC(-10AY,0,AM).DATES)":[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,45422,45454,45484],"EWJ^FMA_PE(LTMA,-10AY,0,AM,\"PORTAGG\",\"MEANR\")":[15.1876667938493,14.9660388038514,15.2328550519898,14.6983497259631,15.7437846241602,15.6419922454167,15.5625901440065,15.775651640085,16.8778533600497,16.9086024667639,16.9595808291801,17.0082793018715,16.4777221502367,16.9513512083092,15.4554872071275,15.6083422029541,16.1923365552196,15.7344265555179,14.6395682307881,13.0545657044529,13.8980621957561,13.6258164058338,13.8376359310508,14.0301570735055,13.7526772907481,14.0870045472117,14.4021382193022,14.4541319662101,14.726368354767,16.4007547075462,16.7136866081716,16.3935407048128,15.9556360058039,15.6079172909583,15.7228038425008,15.6504208498473,15.5345717234751,15.1952121941301,14.7850834332444,15.05692787685,15.8660551661815,16.2671424816563,17.0347338282773,15.18742475902,14.3828924480937,14.2361664154318,14.3065771505919,14.1753839717359,13.7674428918904,13.6898952277831,13.4049735973249,13.2581926299185,12.9243749325811,12.1755550802937,11.7916340124008,12.054706773505,12.6577263890739,12.7281548725462,12.6222250240842,12.828834508555,12.9937825057202,12.7371439939319,13.3407385929292,13.5026269659587,14.4452325080344,15.0425610863395,15.4591429465003,15.3569144018523,13.7683132310539,13.8930910407238,14.5102030294009,16.3212899851035,17.1175849154485,18.2981509478946,19.5249453103872,20.471041769395,21.917619296594,22.7323814467418,23.9895118380375,23.7397587357309,21.5502239323026,21.2109845573332,20.5639757946942,20.1178243068643,19.4675772307452,19.030019008139,18.8208438959828,17.7358889344209,17.4165364360668,16.4080912074262,16.0102304309239,15.411752175885,14.5151455437849,14.4562681843291,14.1452240417267,14.2245688782032,13.9318939732331,13.874513912424,13.7644467787486,13.0475058319507,13.5397538741566,13.3748552408007,12.8774996711906,13.5554160303936,13.6807169779577,13.6354496326516,13.829465157894,14.3042008761821,14.4233598679109,14.6602819335812,14.922409470097,14.7693548336566,14.9993647668234,15.1340172205093,16.1172310837829,16.4645883214584,16.9747502560684,16.9435867734082,16.7404496622138,16.7584992200207,17.107169725677],"COPP-FDS^FG_PRICE_CHANGE(0,-3AM)":6.03245531514582,"EWN^FG_PRICE_MAVG(0,,,,60)":50.429,"EWA^FG_PRICE_MAVG(0,,,,30)":24.567667,"EWG^FG_TOTAL_RETURNC(0,-3AM)":4.393029,"REFNZOCR-FDS^FG_YIELD(NOW,,,0)":5.5,"USO^FG_TOTAL_RETURNC(0,-6AM)":19.645237,"TRYAE10Y-FDS^FG_YIELD(-10AY,0,Y,,\"YTM\")":[null,null,null,3.371059,3.6940188,2.542721,1.7060698,2.0444937,4.2739367,null],"TRYZA10Y-FDS^FG_YIELD(-10AY,0,Y,,\"YTM\")":[7.9537,9.7513,8.9047,8.58389,9.37766,9.011772,9.179499,9.791837,10.764477,11.358896],"CC_DE^FG_COMPANY_NAME":"Germany","TIOS-FDS^FG_PRICE_CHANGE(0,-6AM)":-21.0803024846957,"EWQ^FG_PRICE_MAVG(0,,,,200)":38.795074,"EWD^PERCENT_CHANGE(FMA_EPS(+1,0,,,,\"PORTAGG\",\"MEAN\"),FMA_EPS(+1,-1AM,,,,\"PORTAGG\",\"MEAN\"))":-0.548961214453935,"EWJ^FG_TOTAL_RETURNC(0,-3AM)":2.2156,"REFJPTON-FDS^PROPER_NAME(0,,,\"SECURITY\",\"NAME\")":"Japan Policy Rate","CAGDPY@CH^EE_ACTUAL_ANNUAL(MED,0)":6.98087557861584,"EWC^P_PRICE_RETURNS_PR('52W',2,-10AY,0,AM)":[19.659496,17.686546,16.146778,4.855728,4.668963,0.11059046,-1.0877728,-1.7581522,-6.9610596,-3.016603,-3.0089676,-8.855396,-17.612808,-18.808758,-25.861835,-14.33844,-20.987488,-20.903772,-26.906717,-26.513784,-10.187304,-14.239872,-13.858307,-8.393568,-3.2511353,4.016149,9.925008,3.3929348,9.381807,24.650024,38.908733,40.505028,17.835342,16.178703,9.371471,5.9164166,10.9995365,7.314205,14.405513,18.225443,18.012608,10.223663,13.542151,2.7895808,7.9732656,5.662,13.323426,11.861563,9.072817,8.134068,1.475513,-5.411124,-7.0441065,-10.938305,-12.168371,-0.39099455,0.799191,3.3963203,-1.2591004,-0.4827261,3.5627246,-0.7489443,4.4464707,7.968235,12.789047,19.334911,19.079935,16.540718,-13.105022,-16.062647,-9.950769,-8.477634,-7.5025854,2.2095084,-0.98357797,4.028034,1.2423038,8.719599,8.302641,10.202301,49.737907,54.99711,51.870323,54.187214,46.55806,36.931564,36.46822,33.96888,38.048683,22.643148,24.623322,20.722507,14.490461,14.99548,-1.9816697,-2.3698807,-8.878523,-3.1326234,-5.0531683,-17.40532,-9.381306,-9.262556,-9.912252,-6.794584,-13.22946,-9.875506,1.4872789,-5.598557,6.1199784,-0.17054677,0.9576559,13.326157,-1.6509354,6.3604593,8.398354,6.067121,17.497206,10.811925,10.58414,10.694075,13.995004],"WL-FDS^FG_PRICE_CHANGE(0,-1AM)":1.26258005489479,"EWQ^FG_PRICE(0)":38.98,"EWN^FG_TOTAL_RETURNC(0,-6AM)":20.52319,"EWQ^FMA_COS_UP(\"EPS\",\"1M\",+1,0,,,\"PORTAGG\",\"MEANR\")":19.0,"EWL^FG_ROE(0)":23.934743222721,"TRYDE10Y-FDS^FG_YIELD(0,,,,\"YTM\")":2.469,"EWN^FMA_PE(NTMA,0,,,\"PORTAGG\",\"MEANR\")":16.5948510136679,"EWC^FMA_DIV_YLD(NTMA,NOW,NOW,M,\"PORTAGG\",\"MEANR\")":3.34930642781892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FXI^FG_TOTAL_RETURNC(0,-6AM)":18.380665,"EWQ^FMA_PE(NTMA,0,,,\"PORTAGG\",\"MEANR\")":13.5655338316322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CAGDPY@JP^EE_ACTUAL_ANNUAL(MED,0)":3.61295912215857,"EWA^P_PRICE_RETURNS_PR('52W',2,-10AY,0,AM)":[17.63792,13.693047,7.489419,-5.645293,-1.5341043,-2.5672615,-2.1942973,-2.7247965,-5.541599,-6.5098467,-11.0704,-12.748587,-16.6708,-18.959003,-25.985998,-12.988639,-22.606373,-15.239411,-20.358742,-22.143162,-7.325971,-16.801292,-7.759893,-6.8883896,0.27142763,10.314751,12.747455,9.292698,16.130245,18.542385,31.11036,35.59195,19.151974,26.175367,15.318453,12.69828,13.732791,10.600698,22.128057,14.512324,18.655968,12.6710415,15.0254135,7.4350357,11.661029,3.600669,9.507608,11.705875,8.823168,5.8793545,-1.6172767,-4.785424,-4.4157386,-7.079649,-9.088654,-0.8111477,-2.5586486,2.7582288,0.47593117,3.911972,6.4053535,-0.3267944,9.55125,14.5713215,14.479518,19.359838,17.679083,14.682078,-15.277982,-19.717138,-18.641794,-13.110601,-9.692097,-0.6310284,-6.8860054,-0.68635345,0.9348631,8.06129,9.375596,12.519765,47.653915,57.05415,60.420834,48.581196,37.603317,31.398916,32.238533,25.190199,18.327332,8.16834,6.4661384,-0.9399712,1.7098308,8.136309,-8.185357,-11.347616,-15.003735,-7.0118246,-7.991868,-17.646105,-5.5944977,-1.625973,-0.7124424,6.340921,-5.046499,-6.899953,3.9765954,0.85567236,11.540306,0.22882223,2.39439,14.949155,-0.6279826,2.1749258,5.324936,1.2912035,14.084614,8.909392,9.537947,11.913252,17.860104],"PASP-FDS^MAX(FG_PRICE(0,-5AY))":3158.12,"EWN^FG_TOTAL_RETURNC(0,-3AM)":6.1120152,"EWG^FG_TOTAL_RETURNC(0,-1AM)":2.21138,"EWJ^FG_ROE(0)":9.7510523375743,"EWA^FMA_EVAL_EBIT(LTMA,NOW,NOW,M,\"PORTAGG\",\"MEANR\")":12.3960715432455,"EWL^FG_PRICE_MAVG(0,,,,30)":48.93833,"FXI^PERCENT_CHANGE(FMA_EPS(+1,0,,,,\"PORTAGG\",\"MEAN\"),FMA_EPS(+1,-3AM,,,,\"PORTAGG\",\"MEAN\"))":4.59938511841831,"ENZL^FG_FCF_YIELD_NTM(0)":-0.0949933781065295,"EWD^FG_TOTAL_RETURNC(-10AY,0,AM)":[-4.009211,-1.7171144,-1.6582787,-7.979524,8.049738,-0.60569644,-5.6805077,5.727315,1.4773726,1.8804908,1.6076207,1.6993761,-3.5796285,-1.3919055,-2.540779,0.096559525,-3.9871395,-5.257869,-3.4138322,-5.274719,13.805103,0.8154988,-1.6852021,-2.3311615,-0.8210659,6.512141,-0.41450858,-0.9018421,-3.7101865,4.616499,0.67733526,5.315852,0.8521795,1.2999654,7.9563737,1.9316435,2.6587963,-1.829803,3.8461566,3.5612583,-3.9064586,-2.662468,5.75397,-6.1797676,3.1736493,-4.3818893,3.8239717,-2.3384929,-4.1741667,1.7979741,1.1239529,-4.0012717,-1.8193841,-4.54852,2.885282,1.0298729,1.2911916,7.0446134,-3.8232505,0.0,2.697146,-7.0399523,5.3892255,-1.1363626,8.350229,1.435256,1.5026927,4.234433,-20.194292,-1.8443406,2.9688,7.7007294,10.342455,8.687615,0.65193176,2.7879477,5.178082,2.94348,5.005729,3.3988833,5.9168816,4.389274,0.08494854,4.608476,-1.888752,2.89824,-2.0764768,-6.7184567,9.047937,-4.4169245,1.629591,-10.365987,-12.004889,6.112802,-12.463993,2.648306,-9.355318,12.173343,-9.171337,-13.051945,27.408504,-0.6154716,3.9824247,-0.34227967,-4.092729,5.849004,2.3118138,-2.7555823,-0.68008304,-2.8530657,-2.5550604,1.7179012,-2.4000049,14.51124,2.523756,-0.2649784,7.8374147,-2.5375664,3.2608628,1.7605901,-0.17110705],"PASP-FDS^FG_PRICE_CHANGE(0,-1AY)":-18.714859437751,"SPY^FMA_EVAL_EBITDA(NTMA,0,,,\"PORTAGG\",\"MEANR\")":14.8985858175315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EWL^FG_PRICE(0)":49.3,"TRYFR10Y-FDS^FG_YIELD_NAME":"France Benchmark Bond - 10 Year","SPY^FG_FCF_YIELD_NTM(0)":4.01036194270253,"CAGDPY@NZ^EE_ACTUAL_ANNUAL(MED,+1)":-5.5,"EWJ^P_PRICE(0)/P_PRICE_LOW_PR(0,,,,,,\"PRICE\",\"INTRA\",\"52W\")-1":0.24143362,"EWQ^PERCENT_CHANGE(FMA_EPS(+1,0,,,,\"PORTAGG\",\"MEAN\"),FMA_EPS(+1,-3AM,,,,\"PORTAGG\",\"MEAN\"))":-1.05565543630967,"EWC^FG_TOTAL_RETURNC(0,-12AM)":13.995004,"EWL^FMA_COS_DOWN(\"EPS\",\"1M\",+1,0,,,\"PORTAGG\",\"MEANR\")":20.0,"CC_IT^IMF_IFS_RCPI_Q(0)":null,"EWJ^P_PRICE(0)/P_PRICE_HIGH_PR(0,,,USD,,,\"PRICE\",\"INTRA\",\"52W\")":0.98536044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859929800855,9.22076567390078,9.22544557136733,9.29976871138421],"QQQ^FG_TOTAL_RETURNC(-10AY,0,AM)":[2.8375626,0.19943714,4.7454476,-5.3259077,8.301568,1.4861226,-0.7702172,2.1048546,0.31495094,2.7459621,0.48259497,1.2745976,-1.5969157,2.3130536,-4.1492643,1.1584044,6.2048197,-2.0770729,-5.537331,-7.4571075,10.2951765,2.2832513,-2.0626128,2.4257302,2.1007895,5.5801034,-2.424866,3.0927896,-1.4635742,3.1951666,3.1755924,3.619945,3.148067,0.25393963,5.2034974,1.222074,-0.392282,2.1934628,2.6530504,1.7103195,3.8097858,1.4445662,4.9577117,-4.403204,10.928893,-7.285017,5.727482,3.2160997,1.0795236,2.324009,1.4402747,-7.2170553,1.132071,-4.6117067,-1.4968574,4.7980547,3.7589073,6.087196,-0.016212463,-0.86486936,5.1499367,-3.0817986,3.185153,-0.48568845,5.154097,2.0003915,6.791854,6.217098,-15.857071,3.107965,12.949312,3.1515837,12.992001,0.46217442,1.9834876,5.795765,1.4175296,4.1724205,4.353595,6.411803,-4.943502,6.1273932,-3.5003364,4.8968673,5.915487,1.4403939,2.8344393,-4.725128,8.984625,1.8996954,-2.937609,-10.046137,-6.5291286,5.2134156,-14.388811,-1.0279596,0.25701523,12.122881,-5.2425327,-14.286322,9.594667,-2.0558357,-1.3528764,7.9805493,-3.7203968,9.62311,3.2834172,8.675659,3.9987922,-0.52422285,2.929771,-1.3830304,1.9314766,4.527068,3.756559,6.76682,0.07779598,1.9579291,-0.74320436,5.8725,5.2776337],"EWC^FG_TOTAL_RETURNC(0,-3AM)":2.6043296,"ENZL^FMA_PE(NTMA,0,,,\"PORTAGG\",\"MEANR\")":24.4156236107302,"CAGDPY@NZ^EE_ACTUAL_ANNUAL(MED,0)":-6.9,"CC_SE^IMF_IFS_RCPI_Q(0)":null,"USDEUR^FG_PRICE_CHANGE(0,-3AM)":-1.5948176,"TRYSE10Y-FDS^PCTCHG(FG_YIELD(0,,,,\"YTM\"),FG_YIELD(-3AM,,,,\"YTM\"))":-14.551208,"CC_NZ^FG_COMPANY_NAME":"New Zealand","EWJ^FG_PRICE_MAVG(0,,,,30)":68.391335,"USDITL^FG_PRICE_CHANGE(0,-6AM)":0.6204605,"EWG^FG_PRICE_MAVG(0,,,,60)":31.234667,"EWU^FMA_EVAL_EBIT(LTMA,NOW,NOW,M,\"PORTAGG\",\"MEANR\")":10.5028463223621,"ENZL^JULIAN(FMA_DIV_YLD(NTMA,NOW,NOW,M,\"PORTAGG\",\"MEANR\").DATES)":45471,"URTH^P_PRICE(0)/P_PRICE_LOW_PR(0,,,,,,\"PRICE\",\"INTRA\",\"52W\")-1":0.3188318,"ENZL^P_PRICE(0)/P_PRICE_LOW_PR(0,,,,,,\"PRICE\",\"INTRA\",\"52W\")-1":0.12649,"ENZL^FMA_COS_DOWN(\"EPS\",\"1M\",+1,0,,,\"PORTAGG\",\"MEANR\")":6.0,"TRYFR10Y-FDS^PCTCHG(FG_YIELD(0,,,,\"YTM\"),FG_YIELD(-1AM,,,,\"YTM\"))":-3.998766,"CC_AU^IMF_IFS_RCPI_Q(0)":null,"USDEUR^FG_PRICE(0)":0.91920215,"PLATI-FDS^FG_PRICE_CHANGE(0,-3AM)":3.05810397553516,"EWA^FG_PRICE(0)":25.26,"ENZL^FMA_COS_UP(\"EPS\",\"1M\",+1,0,,,\"PORTAGG\",\"MEANR\")":2.0,"EWU^FMA_EVAL_EBITDA(NTMA,0,,,\"PORTAGG\",\"MEANR\")":7.38593704875779,"TRYAU10Y-FDS^FG_YIELD(-10AY,0,Y,,\"YTM\")":[2.81,2.88,2.76,2.63,2.315,1.375,0.972,1.671,4.051,3.955],"EWL^FMA_PE(NTMA,-10AY,0,AM,\"PORTAGG\",\"MEANR\")":[15.8759194942779,15.6850965645641,16.1996202242473,15.1180215919904,16.0171699386595,15.8844671221898,15.7565158369341,16.7688405585768,17.4307842939274,18.2873658413189,17.58207468929,17.4507722124497,17.3141890608346,17.5329748261516,16.4383634756011,16.5148429239243,16.9195713641884,16.3629039781085,15.8714021057983,15.3438078232223,16.6850509645926,16.3693736019375,16.7218410765325,16.6654060352742,16.8909296158977,17.632974680332,17.3492168529548,16.9472844163371,16.4589581239384,16.6379478574713,17.1329667105597,17.3800024830095,17.6390374546385,17.3655432380124,17.9636342430407,17.85127543502,17.5884797474274,17.4298361216625,17.6244891823348,17.9228212917989,17.6132197782747,17.5684426919503,17.8194456158752,16.2648856057421,16.4759389556176,15.9882902806959,16.3319589528541,15.7177299246148,15.7493936931123,16.0272555606498,15.8603191003457,15.099561828975,15.7763992586422,15.0717087920287,15.2151961802266,15.642013385746,16.2407004674962,16.8214935924938,16.4548542669117,17.0332851121985,17.0478071474615,16.8454919914567,17.2416350055733,17.0625929798254,17.39759123594,17.4475663713257,17.7647889301834,18.4564089491856,15.5532674730645,17.201386624659,18.4684854374838,18.9415663556914,19.627224632589,19.4476161836401,19.5541471928664,19.1489146370552,19.0489408517571,18.4091986008489,19.0330054440361,18.9427240000447,18.6366898886815,19.4318662139275,18.7563549514869,19.8934381358954,19.7674143893801,19.9125652537489,19.2911374042742,18.440787499336,19.3351641334146,19.3398855423122,19.154052139713,18.345573487205,17.2783782289093,18.6817404342863,16.8409878148009,15.9733284461668,16.1077690013462,17.0128718569753,16.20173530647,14.796269903738,16.9796219447775,16.781087288449,17.1235785879537,17.0338052116019,16.6508081957951,17.3460177269749,17.5288419446636,16.4810585049268,16.2413186963177,16.5933964586186,16.3982269830488,16.3155522802944,15.7195907330994,16.60565919173,16.883163278205,17.0331664846492,17.7433276188432,17.1640966935201,17.160922402842,17.2651156912581,17.1573122841002],"ENZL^FG_TOTAL_RETURNC(0,-6AM)":-2.6459634,"TRYCH10Y-FDS^PCTCHG(FG_YIELD(0,,,,\"YTM\"),FG_YIELD(-1AM,,,,\"YTM\"))":-29.41874,"USO^FG_TOTAL_RETURNC(0,-1AM)":7.1910977,"EWQ^FMA_PE(LTM,0,,,\"PORTAGG\",\"MEANR\")":15.8628633238993,"CAGDPY@CA^EE_ACTUAL_ANNUAL(MED,+1)":-0.6,"EWN^FG_TOTAL_RETURNC(0,-1AM)":1.9827247,"EWU^SIZE(FG_CONSTITUENTS)":81,"EWG^FG_ROE(0)":9.48226216222866,"TRYNZ10Y-FDS^FG_YIELD(0,,,,\"YTM\")":4.5667,"SPY^FG_TOTAL_RETURNC(-10AY,0,AM)":[1.3492107,-1.4317691,3.3566475,-4.427534,7.1559787,0.0073432922,0.5790949,1.3121128,-1.1743069,3.1634092,0.26899576,0.48669577,-1.4819324,0.57355165,-5.7171583,2.8741121,3.1838298,-2.8208315,-4.263115,-4.814953,10.88264,1.1382222,1.2155175,1.7288208,2.115643,2.4601698,-2.4559796,0.57781935,1.4009356,4.6622276,0.85253716,1.9418716,2.6694298,-0.67545176,1.8378377,1.6835093,-0.016057491,0.79689026,2.085042,2.8383493,1.2038231,3.1849384,4.209399,-5.2948,6.642449,-5.039978,3.4463167,2.092719,-0.16357899,2.2755265,2.0800948,-5.413294,2.0538568,-4.907113,-1.3650656,4.494548,2.889669,3.9625525,-0.038158894,0.2776742,4.107821,-2.5692463,2.9593349,-0.8644998,4.0738463,1.9685388,4.0978074,2.9320598,-18.16501,2.0225525,5.1401854,2.7726412,6.1161876,4.7891855,0.3786087,4.2491913,2.8311968,2.6999712,3.8249373,3.1741023,0.72176456,4.906857,0.6610155,2.4383783,2.9822946,1.896584,0.3740549,-2.0976067,6.6898227,1.5028954,0.1447916,-6.235236,-4.6292486,5.047226,-10.7224045,-0.75111985,-1.0040879,9.306919,-3.188169,-11.652433,11.396551,-1.312393,1.0370016,3.1654596,-5.423486,6.579888,0.5882025,4.3117404,3.305316,0.72096586,0.6283045,-2.357453,0.9832144,4.8523664,3.5270452,5.2167535,2.011168,1.6312957,0.54826736,3.0930758,3.9720058],"EWG^FMA_PCT_ABOVE_MAVG(200,0,,,,\"PORTAGG\")":58.6206896551724,"REFCATARG-FDS^(SUBARRAY(NOT_NA(NO_REPEAT_F(FG_YIELD(NOW,-10AY,D))),0,1)-SUBARRAY(NOT_NA(NO_REPEAT_F(FG_YIELD(NOW,-10AY,D))),1,1))*100":-25.0,"ENZL^FMA_DIV_YLD(NTMA,NOW,NOW,M,\"PORTAGG\",\"MEANR\")":2.762752008838,"PASP-FDS^FG_PRICE_MAVG(0,,,,30)":961.9667,"REFNZOCR-FDS^PROPER_NAME(0,,,\"SECURITY\",\"NAME\")":"New Zealand Official Cash Rate","SPY^FMA_DIV_YLD(NTMA,NOW,NOW,M,\"PORTAGG\",\"MEANR\")":1.40168721755284,"EWJ^FG_PRICE_MAVG(0,,,,60)":68.192,"EWL^FMA_COS_UP(\"EPS\",\"1M\",+1,0,,,\"PORTAGG\",\"MEANR\")":15.0,"EWI^FMA_DIV_YLD(NTMA,-10AY,0,AM,\"PORTAGG\",\"MEANR\")":[3.50256229449532,3.76100974459839,3.50867566499921,3.97519122118323,3.96500096243937,3.99531393602561,4.27218270378016,3.73714986584717,3.39361964990979,3.08211052344215,3.17529418561015,3.25948103308547,3.27861299320685,3.10047477499865,3.41146122623376,3.55995799370087,3.59009917998346,3.86957175168544,4.16618055213125,5.08168473647802,4.17694949415063,4.53000704125564,4.54673457015378,4.78788731735719,4.95816910205306,4.69444623522132,4.71948698640769,4.96865928423915,4.78241754393465,4.53550667294587,4.30591893685429,4.44599975976405,4.06750207002043,3.98330615193518,3.77460950413415,3.75897859432636,3.81447013713593,3.83046937246452,3.73479012407187,3.78124180585251,3.82206993493439,3.83021663243235,3.77688907453437,4.0296985547953,4.00243749414389,4.0058427649528,3.89538532686457,4.3751583803581,4.49157151742712,4.5769263603456,4.64571448812626,5.01240557759704,5.07712974022427,5.36064786589972,5.17574795645191,5.05567952268158,4.80552436506738,4.63862358887392,4.86556204899233,4.97485594177417,4.62791958293277,5.09412920189894,4.76957636127331,4.7333996357681,4.5375116113783,4.57583085406024,4.42752191483507,4.44898149167586,6.07553002107541,5.87672825081317,5.02906068230253,4.39776882412816,4.31542851825517,3.89400499923041,4.02482703489546,4.11721819137055,3.9837175960642,3.9945362949049,3.89127337530589,3.92170587177807,4.0701118391927,4.06191685254827,4.22257974919112,4.03764201616479,4.19602155604014,4.25863124992048,4.50177636052082,4.48191805079678,4.31844762971948,4.6461787413316,4.59632376301831,4.79913352155837,5.46323114399036,5.05428039019065,5.22122821831669,5.64574914330444,5.87745185781511,5.71324678684768,5.64700883993288,6.20209425822692,5.40669456173364,5.78300982870231,5.47233589346091,5.43309386819878,5.36210540883119,5.3563814853148,5.55641636431235,5.44352507918498,5.34419973749124,5.53065548535624,5.41277414681384,5.53241411791793,5.65643669854102,5.37287706150491,5.48262286890946,5.51378261351968,5.23493471158441,5.28431533873666,5.18614223012314,5.36351486719824,5.32603762699543],"PLATI-FDS^FG_PRICE_CHANGE(0,-1AY)":8.70967741935484,"EWA^FG_TOTAL_RETURNC(0,-3AM)":5.7585835,"CC_CH^IMF_IFS_RCPI_Q(0)":null,"SPY^FMA_PE(NTMA,0,,,\"PORTAGG\",\"MEANR\")":21.5904132546223,"ENZL^FMA_PE(LTM,0,,,\"PORTAGG\",\"MEANR\")":33.5620506752072,"TRYMY10Y-FDS^FG_YIELD(-10AY,0,Y,,\"YTM\")":[4.131911,4.345605,4.195897,3.902544,4.235642,3.300551,2.804181,3.573893,4.131847,3.727505],"EWA^FMA_COS_UP(\"EPS\",\"1M\",+1,0,,,\"PORTAGG\",\"MEANR\")":17.0,"TRYMX10Y-FDS^FG_YIELD(-10AY,0,Y,,\"YTM\")":[5.8237,6.2537,7.5651,7.6401,8.7069,6.8373,5.552,7.558,9.0223,8.95],"USDEUR^FG_PRICE_CHANGE(0,-1AM)":-1.4339566,"PLATI-FDS^FG_PRICE_CHANGE(0,-6AM)":8.70967741935484,"EWA^FG_TOTAL_RETURNC(0,-1AM)":5.0311923,"CC_JP^IMF_IFS_RCPI_Q(0)":null,"EWU^FMA_DIV_YLD(NTMA,-10AY,0,AM,\"PORTAGG\",\"MEANR\")":[3.9071045523781,3.98068742082602,3.93156341240818,4.24200475035231,4.06204798552656,4.18276157261068,4.22313167959041,4.01662749865851,4.05278046445944,3.89618276633237,3.85448538187116,3.98066573366638,4.1361340750538,4.0927454563587,4.48866255992631,4.21592468068719,4.27104550176788,4.47156315389068,4.58995960511796,4.84996341487956,4.37186829960877,4.34767089422538,4.35279928818214,4.38729510758901,4.1813138025016,4.05422628037877,4.16058799419207,4.21732784346167,4.44036754672159,4.32940806620778,4.24712450575692,4.2569869973864,4.3278016601037,4.3230777522226,4.28697725820012,4.25510615883469,4.36363991368454,4.36570533902133,4.30978587991614,4.2641743516809,4.34450700548192,4.33375451359651,4.16874661460578,4.52648762818742,4.46575346016303,4.42528558298073,4.2620540999122,4.3157173372341,4.43409875550564,4.45522852636632,4.66603497267666,4.83695684430861,4.82620639031375,5.15900682752731,5.17625245358321,5.01327270209293,4.99838406746535,4.82906729127487,4.98737567884278,4.78597450143352,4.78796503087733,5.07586236457466,4.94743865539014,4.91664859853503,4.80167726218684,4.78994647475308,4.57525459313119,4.65721174397384,5.95882155005484,5.76937965612166,4.60125670609141,4.15630942673202,4.14671353568214,3.93161258868403,4.11042161433814,4.18217387042461,4.00461731504129,3.91369002132342,3.82093134217586,4.02501919208787,3.95753992094394,3.95446355246998,3.94122757077517,3.88337557890241,4.00699699112042,4.10183737474932,4.22521501543159,4.10945465735877,3.99891280885453,4.02122919390466,3.86128317245345,3.76214169445237,4.16608307017141,3.94329303754305,4.20007621763991,4.21898078252048,4.32411748209806,4.17932171819133,4.39687625061829,4.71137606076592,4.38093656749229,4.21930981713332,4.13297592964115,4.09535307383303,4.21483976992072,4.13765619830735,4.27612805744305,4.34197318095396,4.49126602839213,4.42687625577262,4.48157215376414,4.42052911373763,4.6163423421354,4.39937887137016,4.34956520944625,4.31515344401398,4.15271318555561,4.04419697964455,3.81877673501896,3.97033646459412,3.96466474018233],"TRYGB10Y-FDS^PCTCHG(FG_YIELD(0,,,,\"YTM\"),FG_YIELD(-1AM,,,,\"YTM\"))":-4.5337644,"TLT^P_PRICE(0)/P_PRICE_HIGH_PR(0,,,USD,,,\"PRICE\",\"INTRA\",\"52W\")":0.9083317,"ENZL^FG_PRICE_MAVG(0,,,,200)":45.423954,"QQQ^P_PRICE(0)/P_PRICE_LOW_PR(0,,,,,,\"PRICE\",\"INTRA\",\"52W\")-1":0.43692124,"EWU^FG_FCF_YIELD_NTM(0)":6.18015345749268,"USO^FG_TOTAL_RETURNC(0,-3AM)":-0.7480085,"W-FDS^FG_PRICE_CHANGE(0,-6AM)":-8.19875776397514,"EWJ^FMA_PE(NTMA,-10AY,0,AM,\"PORTAGG\",\"MEANR\")":[13.6263013982414,13.4362957669993,13.9109548893139,13.1596564540028,14.4133810712487,14.222929110903,13.9224536986246,14.1709914550793,15.0933031416665,15.6172877626872,15.8649527554514,15.8944301363612,14.9094105664143,15.6907434557002,13.6481190642019,14.0086136298185,14.7293037420449,14.1751031803682,13.0969597168254,11.6158565025075,12.9482155711046,12.1774226877574,12.9782613040338,13.3577855484663,12.7816112765091,13.3559872883805,13.6231945826808,13.5587549899267,13.6887554780824,14.9883334209233,14.9310463794758,14.4869528859572,14.403819184986,13.5847484796143,14.3665066117731,14.354416422436,14.3388340762752,13.9592770856528,13.577881022662,14.0988393887013,14.8770236369231,14.7463238676892,15.3895464285226,13.7244013862978,12.8410379803821,12.8396618595364,13.3479615239113,13.2141139861734,12.5869207000207,12.6502865565222,12.4188164443487,12.4206107536519,12.1830320458456,11.628603927807,11.4645766704021,11.7866121654903,12.3342802695027,12.6101607693382,12.2375211438426,12.7114930420534,12.9477206358184,12.3916945396858,13.2140156323714,13.2674942504699,14.1576828007768,14.4741880309421,14.6490007714047,14.4689547416391,12.0433411635927,12.8765987539974,14.4032325981871,17.3356004645859,17.4938280818626,17.9964216666048,18.3689634145497,18.2031712999812,18.5160882375815,18.4829223578737,18.7209638893683,18.9175726399273,17.7027289073404,17.4869297138605,16.6088307590778,16.4803932349415,15.8682687959974,15.8135862294264,16.1230625216707,15.1710522402891,15.2131548410908,14.5322842511999,14.4476579481745,13.9109997209209,12.3255869243885,12.8436398543164,12.4213160174412,12.9388352819487,12.6038858136794,12.6949211882797,12.849589190331,12.0974591836804,12.8816887797732,12.7500405955229,12.3443907474526,13.0462945148309,13.2766275162845,13.093367918261,13.6351573960198,14.556397133743,14.4427337766431,14.5307347833241,14.6719995013771,14.2546497717044,14.2218305339527,14.0741546184337,14.7111985333405,15.0151271914245,15.3784518777419,15.6779164311256,15.3188262712535,15.5093934945879,16.2004343354854],"ENZL^FG_TOTAL_RETURNC(0,-3AM)":2.699387,"TRYDE10Y-FDS^PCTCHG(FG_YIELD(0,,,,\"YTM\"),FG_YIELD(-3AM,,,,\"YTM\"))":-0.28271282,"VGK^FMA_DIV_YLD(NTMA,NOW,NOW,M,\"PORTAGG\",\"MEANR\")":3.44346989340332,"USDANG^FG_PRICE_CHANGE(0,-1AY)":0.0,"USDAUD^FG_PRICE_CHANGE(0,-3AM)":-3.9141953,"QQQ^PERCENT_CHANGE(FMA_EPS(+1,0,,,,\"PORTAGG\",\"MEAN\"),FMA_EPS(+1,-3AM,,,,\"PORTAGG\",\"MEAN\"))":0.342961100982364,"VGK^JULIAN(FMA_DIV_YLD(NTMA,NOW,NOW,M,\"PORTAGG\",\"MEANR\").DATES)":45443,"EWL^FMA_PE(LTM,0,,,\"PORTAGG\",\"MEANR\")":16.9568997873486,"TRYGR10Y-FDS^FG_YIELD(-10AY,0,Y,,\"YTM\")":[9.61,8.24,7.15,4.14,4.37,1.45,0.618,1.315,4.585,3.099],"EWC^FMA_PE(NTMA,-10AY,0,AM,\"PORTAGG\",\"MEANR\")":[14.9990897095961,14.9275366338774,15.1253873944008,13.7566973440183,14.5445853863277,14.3577632428945,15.3149830697429,17.242852979671,16.89470694095,17.3889493103798,16.933720739617,16.3277979571452,15.6507552079045,15.5731427351293,14.6495285211832,15.2171116414363,14.5905254796864,13.9753990109654,13.4299471660693,13.8540433656348,15.764855796024,15.8029088203313,16.2961891778304,16.5638660182303,16.4951442550702,16.5977833046823,16.10554107775,15.942254304831,15.6758626920737,15.9969482324079,15.9306054538742,16.2379249672495,15.9114596927576,15.9734362876492,15.6186457774618,15.5265470273275,15.2544340936924,15.4348748627939,15.1808900406953,15.8415611904095,15.9309487680888,15.9856566269587,15.8600884984492,14.2710920811937,14.4567043259723,13.9631541236636,14.3439645129227,14.3856922031861,14.2384652717835,14.0206898622599,13.5875683893646,12.8070533140333,12.6934806330384,12.3666107161248,12.9128227284111,13.714506295609,14.185150615117,14.2463381785534,13.600233920858,13.5230760525806,13.7223338957749,13.5866796270719,13.8810436342627,13.769537392674,14.295945242106,14.2739681310682,14.4543699521625,14.8830097279104,12.3609884938578,14.6933365726659,17.6747450695753,17.5365475514038,17.5855953562723,17.570813337292,16.747630176199,16.4952905868174,16.1457604429991,16.1704747839626,16.1667006994007,16.1822307636254,15.5852539170192,15.6017763665735,15.4382275574268,15.5821467785511,15.5256302553181,15.1078359664142,14.8635048609444,14.5578412872593,14.9812373941129,14.2121602392571,14.3944731564101,14.3682561642342,13.5264539867456,13.3920569808281,11.92074747716,12.0595160011186,11.0921535577953,11.7380472699879,11.6262405811149,10.6334838230127,11.9564720953478,12.1594861715241,12.3983011768509,12.8805298121319,12.4714298839436,12.8849376191797,13.0102907485771,12.8537991261849,12.8591963102926,13.2612575674658,13.0550904354086,12.6471443457444,12.4872963005758,13.1611396916657,13.5955195424149,13.8937712614625,14.4639649026527,14.4626862124261,14.470233614894,14.0085091155645,14.1869990153247],"BRENT-FDS^FG_PRICE_CHANGE(0,-1AY)":7.64794383149447,"USDANG^FG_PRICE(0)":1.79,"USDAUD^FG_PRICE(0)":1.4742739,"EWU^FG_TOTAL_RETURNC(0,-12AM)":17.507982,"TRYAU10Y-FDS^PCTCHG(FG_YIELD(0,,,,\"YTM\"),FG_YIELD(-1AM,,,,\"YTM\"))":1.1563411,"EWI^FMA_EVAL_EBIT(LTMA,NOW,NOW,M,\"PORTAGG\",\"MEANR\")":10.8318043945352,"EWJ^FG_FCF_YIELD_NTM(0)":3.67847559538706,"DBA^FG_TOTAL_RETURNC(0,-1AM)":-3.0866683,"EWA^FMA_PE(NTMA,-10AY,0,AM,\"PORTAGG\",\"MEANR\")":[14.6345834112356,14.4824954408226,14.6519973626464,13.6405203794069,14.5153528099667,13.8229396404654,14.7910246106693,15.7533452056629,15.8074675603033,16.5830151988825,15.7693163286506,15.3122804398733,15.1095200696876,15.1347073694528,14.3028006920765,15.1554685743865,14.7288041770361,14.7746093515713,14.6514987708418,14.7578984991763,16.1166036707772,15.1590831350238,16.5732530353264,16.2466950378194,16.1366157028891,16.7145837992522,16.0677382127277,16.3355035757947,15.9164664958631,15.902515362013,16.0240467975403,15.8687074156165,15.8277049015119,15.9095792338548,15.7192324916987,15.1595002902089,15.4328559138326,15.5353954973803,15.5792195528617,15.5466707966009,16.131743422553,15.8507053868471,15.9728125145996,15.1562252732907,15.4056068152723,14.9567760029408,15.5073397881885,15.1267339329547,15.4558288670821,15.6011103556455,15.2022605041444,14.3832098140669,14.647037538523,13.830385769618,14.4239379752127,15.0143237482287,15.2420927258356,15.2184230729117,15.3891090344512,15.9353468461175,16.1393043559798,15.9716847105929,16.4340822707632,16.5104808010076,17.255301596916,17.2335091596144,17.6973313983956,18.0346297959722,14.8577018102295,15.7640645999622,17.4138326628337,19.3763788261573,18.8165039957777,19.5278741512129,18.4732198250566,18.7865480733202,19.2617954493314,19.2541317673783,19.273089005236,19.1890586627225,17.9817850404025,18.0821954365405,18.0681195699038,18.1272075763175,17.0199912304574,17.2217666174846,17.0164735671257,17.2542344656071,17.3405211669866,17.2270474645054,17.2963316084987,15.9710431809822,15.4753693266256,15.8531807318743,14.149024800812,13.4533685306735,12.7026748729092,14.1648664473334,13.6558920110344,12.8345208882583,14.26953039134,14.4531920800488,14.2521793611965,14.8224426982472,14.1321606836372,14.5799128653833,14.631264313976,14.5726792864749,14.7403507901797,15.4037629449184,15.3374949556746,14.872971194338,14.7527074569694,15.4009574521785,16.1577133476364,16.4366464563173,16.5977296052783,16.7105943398649,16.6295988536411,16.7429614633584,17.0016122843536],"BRENT-FDS^FG_PRICE_CHANGE(0,-6AM)":0.0,"REFSEREPO-FDS^(SUBARRAY(NOT_NA(NO_REPEAT_F(FG_YIELD(NOW,-10AY,D))),0,1)-SUBARRAY(NOT_NA(NO_REPEAT_F(FG_YIELD(NOW,-10AY,D))),1,1))*100":-25.0,"USDANG^FG_COMPANY_NAME":"Netherlands Antilles Guilder per U.S. Dollar","EWI^P_PRICE(0)/P_PRICE_LOW_PR(0,,,,,,\"PRICE\",\"INTRA\",\"52W\")-1":0.29071176,"EWU^PERCENT_CHANGE(FMA_EPS(+1,0,,,,\"PORTAGG\",\"MEAN\"),FMA_EPS(+1,-3AM,,,,\"PORTAGG\",\"MEAN\"))":1.27392859597253,"URTH^SIZE(FG_CONSTITUENTS)":1430,"EWD^FMA_RBICS_REV_CURRENT(30, LOC, \"PORTAGG\")":26.6826894897005,"TRYNZ10Y-FDS^PCTCHG(FG_YIELD(0,,,,\"YTM\"),FG_YIELD(-3AM,,,,\"YTM\"))":-5.105558,"EWI^FMA_EVAL_EBITDA(NTMA,0,,,\"PORTAGG\",\"MEANR\")":6.77118791512635,"EWJ^FMA_PE(LTM,0,,,\"PORTAGG\",\"MEANR\")":16.7167005181193,"GLD^FG_TOTAL_RETURNC(0,-3AM)":1.5696049,"ENZL^FMA_PE(NTMA,-10AY,0,AM,\"PORTAGG\",\"MEANR\")":[17.1045994736078,16.8342090359573,17.3328204410014,17.079922742083,18.1917479173829,17.962098875325,18.4251532652318,19.1026384884161,19.0889007357545,18.4018745260032,18.2915216883725,18.2664856412637,17.8056121259202,18.0702673860077,17.3210124041124,17.0316120615796,18.004283830299,18.0727813724927,17.5835165878356,16.86631790205,18.153055509205,18.4070110583007,19.2613725662353,19.3258585251587,19.537175612481,20.3203013316543,20.985895910256,19.5240826877748,18.2548768664489,18.5969651239115,19.0155999385726,19.171644371051,18.9561938524949,19.1983999009394,19.7961543811645,19.3419452657852,19.4592623057958,19.8077907127297,19.9539511474096,20.0068510473666,20.02579298852,20.6372888703939,20.4212532890336,19.1829856079539,20.3239563604608,20.2202499204706,20.5529675364946,21.2378351186799,21.1937394185908,21.2686264981258,21.6435844772013,20.0559702452413,20.5368053214283,19.7955198262016,20.3463813494912,21.018048082461,21.6903501080976,22.0615042087961,22.8659273154711,22.8316133845702,24.2845775339852,24.6598040535111,25.9199593238243,25.2651989769261,24.9222217908366,25.5790629415333,25.7807704174099,26.7152955960411,24.8968760286439,26.4067438196473,30.2453716660557,30.2954188242753,31.4972709052866,32.1518549867078,32.1004820471733,33.1656204674979,32.9937032055781,33.229776290467,34.3189478681902,31.9616736988616,31.8353417216934,32.2570585697458,32.9021931809334,33.1492931193202,34.3236059715828,33.7869669550779,34.6885777250705,33.5896932161488,33.3869191790286,32.4370504142251,31.5721355438606,30.002821874121,28.6664040408046,28.3278762567478,27.8435311726713,26.025025820899,25.8644183300611,26.571319540856,27.0220488287042,23.7020794871142,23.5166884132962,23.2466483788271,23.431725048814,24.4308318321944,23.1128691838479,23.3526095084452,23.3936523337765,20.6862263039356,20.911280705462,20.5081165159715,20.2174698346747,19.9174420064607,20.0927422706748,21.7202830387421,22.8980480806234,22.2274988672056,24.7831050096233,24.9927814253204,25.1440976663788,23.9448637208678,24.4156236107302],"BRENT-FDS^FG_PRICE_CHANGE(0,-3AM)":0.0,"EWL^FMA_PCT_ABOVE_MAVG(200,0,,,,\"PORTAGG\")":78.2608695652174,"EWJ^JULIAN(FMA_DIV_YLD(NTMA,NOW,NOW,M,\"PORTAGG\",\"MEANR\").DATES)":45471,"USDNZD^FG_COMPANY_NAME":"New Zealand Dollar per U.S. Dollar","EWI^FG_PRICE_MAVG(0,,,,30)":37.102665,"EWI^P_PRICE(0)/P_PRICE_HIGH_PR(0,,,,,,\"PRICE\",\"INTRA\",\"52W\")":0.95123196,"URTH^FMA_COS_DOWN(\"EPS\",\"1M\",+1,0,,,\"PORTAGG\",\"MEANR\")":566.0,"SPY^FMA_RBICS_REV_CURRENT(30, LOC, \"PORTAGG\")":12.3968672783064,"EWI^FG_FCF_YIELD_NTM(0)":6.15997332443669,"GLD^FG_TOTAL_RETURNC(0,-1AM)":4.249358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G^FMA_PE(LTMA,-10AY,0,AM,\"PORTAGG\",\"MEANR\")":[14.4068300416694,13.9833000182288,14.312660230648,13.2688778334265,13.7880940237434,14.4001799283093,14.0789368329184,15.5248918928687,16.5350042881932,16.646122667963,16.1861943982277,15.7748816427991,15.5554574828692,15.3046880678917,14.1879545370979,13.9774515135673,14.5318741865672,13.7111668565447,12.7825812102268,11.6041301356356,12.7194321345345,12.6975217488305,12.8120559615309,12.7200029920131,12.7627140905597,13.4647172270557,13.5332344123155,13.6641639492056,13.7021570143689,14.3636267024595,14.9751977455918,14.9245788584118,14.9697675917959,14.8968341920428,14.9000141783268,14.8163297120057,14.5331920416681,14.1397285354081,14.3288921007457,14.7460738287816,15.2540062124712,15.4644535213951,15.5103619492625,14.0776883634533,14.229153280713,14.1103480587839,14.2223580899837,14.1546323562172,13.9647728014047,13.9825843129578,13.7394458573839,13.2568977944979,13.1517536795005,12.4158188470605,12.4286019601991,12.7450540775733,13.2064083879524,13.267070821425,13.2771545266368,13.23640124351,13.507235528024,13.3144695032251,14.0033915092222,14.2074658759574,15.1185855759996,15.2248307994576,15.7657294752993,16.1609318047122,13.7200051442524,14.2755371533434,15.2613336102803,16.8789059387715,18.4257868504757,19.434149880441,20.4414630495581,20.6697172467235,20.5122673809125,20.7392148199832,22.1236907955054,21.5518785816271,20.2466172232739,19.9978889789909,19.0636426728606,18.7485671370333,18.1967916886044,17.3167064847863,16.620089408538,15.8195465784178,15.3977232305858,14.3821211134293,14.1134659875757,13.3543936908569,12.3681779584845,12.3701007601036,12.0505522287059,11.8684936581831,11.3417382298911,11.2902213577109,10.8861633542092,10.0238948472563,11.0081201475376,10.8304330094286,11.2840184746858,11.5528098847402,11.3525927837404,11.38976921802,11.3311723689046,11.232146150223,11.1532649197892,11.1961324924858,11.2328222771885,11.0843263603956,10.9770353651854,11.9364272239867,11.790041231111,12.026773450266,12.5211736237745,12.5187979341874,12.6209950283757,12.5019927914801,12.5157058336304],"EWI^FMA_COS_DOWN(\"EPS\",\"1M\",+1,0,,,\"PORTAGG\",\"MEANR\")":10.0,"EWG^FMA_EVAL_EBIT(LTMA,NOW,NOW,M,\"PORTAGG\",\"MEANR\")":13.4149492313984,"EWI^FG_TOTAL_RETURNC(0,-6AM)":13.7446995,"EWD^FMA_DIV_YLD(NTMA,NOW,NOW,M,\"PORTAGG\",\"MEANR\")":3.22895661187727,"SPY^P_PRICE(0)/P_PRICE_HIGH_PR(0,,,USD,,,\"PRICE\",\"INTRA\",\"52W\")":0.9895968,"CAGDPY@IT^EE_ACTUAL_ANNUAL(MED,0)":0.464202084267218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EWC^FMA_PE(LTMA,-10AY,0,AM,\"PORTAGG\",\"MEANR\")":[16.266517579643,16.2700962887037,16.4244225978026,15.3566460622082,15.7507413223875,14.9726777445497,15.3376035407089,16.4307216539304,16.9650181534598,17.2093417824561,17.2682335288017,17.1717689642083,16.9457934484426,17.0083883732719,16.4451589072329,17.0482870791567,16.6265385556302,15.8825064152861,14.8969450566934,14.5682041829125,15.9050554668237,16.012509596499,16.359402000722,16.7352595149435,17.0329366876007,17.4971179708227,17.5260598080156,17.8699314323103,18.267031202304,19.1512962673975,19.5581475063379,19.8096750901768,19.3120615915666,19.0472557788551,18.6623098230171,18.3731674506928,17.9826092605643,17.7475737700226,17.3164040740252,17.6240111484143,17.4332531234355,17.2951613104617,17.2527918257056,15.7055638038075,15.8189162920825,15.5896569607014,15.6290746823206,15.6030696953749,15.4950769221326,15.3916115569486,15.0719847970612,14.4487395701509,14.1939020728361,13.549670844126,13.7305129754452,14.5642052870875,14.7304697559195,14.7543549919735,14.510113844369,14.4339989298598,14.503509889299,14.3899521995027,14.5826610520479,14.5619943785231,15.0408233666358,15.078669702455,15.3662787589315,15.7695244040694,14.0722947041718,14.7024224119322,16.2978530649869,16.9168735551322,17.54963884573,18.1808048853924,18.2152915262953,18.8406299336757,19.2253867114048,20.21175959142,21.2013691438187,21.0372551214973,19.8889177035317,19.5288423386196,19.081108814594,18.6776812581821,18.3030045215367,17.6125468068159,17.0214922610531,16.4453428042504,16.5333932866362,15.5465493038929,15.4631108271139,15.7028059969481,15.1225456297367,14.9425682472274,14.2535439969773,14.0463034229785,13.2564741733888,13.2974674080388,12.9163798040129,11.9318695505755,12.7041396517295,12.5373941196975,12.3898363575325,12.8442552131191,12.5461106527594,12.6998641797897,12.8245067969054,12.8744996703987,13.01905779426,13.4825825054393,13.5354771931546,13.3534632080768,13.3799360276828,14.0217311019081,14.5526046461283,14.6301487896657,14.9128755400288,14.9344100245887,14.9834608856668,14.8317846094464,14.9867463675132],"TIOS-FDS^FG_PRICE(0)/MAX(FG_PRICE(0,-1AY))":0.760127635960044,"EWI^FMA_COS_UP(\"EPS\",\"1M\",+1,0,,,\"PORTAGG\",\"MEANR\")":9.0,"DDR3512M-FDS^FG_PRICE_CHANGE(0,-6AM)":-6.61544677847676,"EWN^FG_PRICE_MAVG(0,,,,30)":51.237335,"EWI^FG_TOTAL_RETURNC(0,-3AM)":5.2013755,"ENZL^FMA_RBICS_REV_CURRENT(30, LOC, \"PORTAGG\")":14.6753056662198,"TRYFR10Y-FDS^FG_YIELD(0,,,,\"YTM\")":3.121,"EWG^JULIAN(FMA_DIV_YLD(NTMA,NOW,NOW,M,\"PORTAGG\",\"MEANR\").DATES)":45471,"CAGDPY@SE^EE_ACTUAL_ANNUAL(MED,+1)":5.8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069371,2.68263358415049],"TIOS-FDS^FG_PRICE_CHANGE(0,-1AY)":0.219498811048102,"EWD^FMA_PE(LTM,0,,,\"PORTAGG\",\"MEANR\")":14.5298984408216,"CAGDPY@NL^EE_ACTUAL_ANNUAL(MED,+1)":9.3,"DDR3512M-FDS^FG_PRICE_CHANGE(0,-3AM)":-4.40872164948453,"FXI^FG_TOTAL_RETURNC(0,-12AM)":1.4736176,"EWI^FMA_PCT_ABOVE_MAVG(200,0,,,,\"PORTAGG\")":52.0,"EWQ^FMA_COS_DOWN(\"EPS\",\"1M\",+1,0,,,\"PORTAGG\",\"MEANR\")":35.0,"EWU^FG_ROE(0)":14.4433018221076,"EWN^FMA_EVAL_EBITDA(NTMA,0,,,\"PORTAGG\",\"MEANR\")":12.8737916922902,"EWC^FMA_EVAL_EBIT(LTMA,NOW,NOW,M,\"PORTAGG\",\"MEANR\")":15.9257744999214,"URTH^FG_TOTAL_RETURNC(0,-1AM)":3.6308885,"ENZL^P_PRICE(0)/P_PRICE_HIGH_PR(0,,,,,,\"PRICE\",\"INTRA\",\"52W\")":0.90115035,"CC_NZ^IMF_IFS_RCPI_Q(0)":null,"USDAUD^FG_PRICE_CHANGE(0,-6AM)":-1.805985,"TRYPE10Y-FDS^FG_YIELD(-10AY,0,Y,,\"YTM\")":[5.681629,7.426917,6.415413,5.167133,5.645114,4.243226,3.535983,5.889906,7.923381,6.6087],"EWU^FMA_DIV_YLD(NTMA,NOW,NOW,M,\"PORTAGG\",\"MEANR\")":3.97999106701433,"DUMMY^ECON_DATE(45455,,, 'MM/YYYY')":"06/2024","DUMMY^ECON_DATE(45363,,, 'MM/YYYY')":"03/2024","CC_US^IMF_IFS_RCPI_Q(-1AM)":3.241016,"CC_NZ^IMF_IFS_RCPI_Q(-1AM)":4.022989,"CC_AU^IMF_IFS_RCPI_Q(-1AM)":3.61991,"CC_CA^IMF_IFS_RCPI_Q(-1AM)":2.8466706,"CC_DE^IMF_IFS_RCPI_Q(-1AM)":2.5173564,"CC_JP^IMF_IFS_RCPI_Q(-1AM)":2.5231562,"CC_CH^IMF_IFS_RCPI_Q(-1AM)":1.1636324,"CC_GB^IMF_IFS_RCPI_Q(-1AM)":3.9194994,"CC_FR^IMF_IFS_RCPI_Q(-1AM)":2.79402,"CC_NL^IMF_IFS_RCPI_Q(-1AM)":3.0237906,"CC_SE^IMF_IFS_RCPI_Q(-1AM)":4.6701536,"CC_IT^IMF_IFS_RCPI_Q(-1AM)":0.92385906,"DUMMY^ECON_EXPR_DATA('FDS_ECON[NTCPMIMFGSA@NZ]',06/2024,,Q)":45.388824,"DUMMY^ECON_EXPR_DATA('FDS_ECON[NTCPMIMFGSA@NZ]',03/2024,,Q)":47.7971,"DUMMY^ECON_EXPR_DATA('FDS_ECON[NTCPMIMFGSA@AU]',06/2024,,Q)":48.811333,"DUMMY^ECON_EXPR_DATA('FDS_ECON[NTCPMIMFGSA@AU]',03/2024,,Q)":48.39547,"DUMMY^ECON_EXPR_DATA('FDS_ECON[NTCPMIMFGSA@CA]',06/2024,,Q)":49.331886,"DUMMY^ECON_EXPR_DATA('FDS_ECON[NTCPMIMFGSA@CA]',03/2024,,Q)":49.30091,"DUMMY^ECON_EXPR_DATA('FDS_ECON[NTCPMIMFGSA@DE]',06/2024,,Q)":43.782,"DUMMY^ECON_EXPR_DATA('FDS_ECON[NTCPMIMFGSA@DE]',03/2024,,Q)":43.319096,"DUMMY^ECON_EXPR_DATA('FDS_ECON[NTCPMIMFGSA@JP]',06/2024,,Q)":49.991356,"DUMMY^ECON_EXPR_DATA('FDS_ECON[NTCPMIMFGSA@JP]',03/2024,,Q)":47.808857,"DUMMY^ECON_EXPR_DATA('FDS_ECON[NTCPMIMFGSA@CH]',06/2024,,Q)":43.896877,"DUMMY^ECON_EXPR_DATA('FDS_ECON[NTCPMIMFGSA@CH]',03/2024,,Q)":44.08605,"DUMMY^ECON_EXPR_DATA('FDS_ECON[NTCPMIMFGSA@GB]',06/2024,,Q)":50.395269999999996,"DUMMY^ECON_EXPR_DATA('FDS_ECON[NTCPMIMFGSA@GB]',03/2024,,Q)":48.24796,"DUMMY^ECON_EXPR_DATA('FDS_ECON[NTCPMIMFGMESA@US]',06/2024,,Q)":50.939392,"DUMMY^ECON_EXPR_DATA('FDS_ECON[NTCPMIMFGMESA@US]',03/2024,,Q)":51.582687,"DUMMY^ECON_EXPR_DATA('FDS_ECON[NTCPMIMFGSA@FR]',06/2024,,Q)":45.684513,"DUMMY^ECON_EXPR_DATA('FDS_ECON[NTCPMIMFGSA@FR]',03/2024,,Q)":45.498753,"DUMMY^ECON_EXPR_DATA('FDS_ECON[NTCPMIMFGSA@NL]',06/2024,,Q)":51.49388,"DUMMY^ECON_EXPR_DATA('FDS_ECON[NTCPMIMFGSA@NL]',03/2024,,Q)":49.325874,"DUMMY^ECON_EXPR_DATA('FDS_ECON[]',06/2024,,Q)":null,"DUMMY^ECON_EXPR_DATA('FDS_ECON[]',03/2024,,Q)":null,"DUMMY^ECON_EXPR_DATA('FDS_ECON[NTCPMIMFGSA@IT]',06/2024,,Q)":46.215786,"DUMMY^ECON_EXPR_DATA('FDS_ECON[NTCPMIMFGSA@IT]',03/2024,,Q)":49.208153,"DUMMY^ECON_EXPR_DATA('FDS_ECON[PMIDMMANHE]',06/2024,,Q)":49.41843,"DUMMY^ECON_EXPR_DATA('FDS_ECON[PMIDMMANHE]',03/2024,,Q)":49.135437,"DUMMY^ECON_EXPR_DATA('FDS_ECON[NTCPMIMFGSA@EME]',06/2024,,Q)":52.017086,"DUMMY^ECON_EXPR_DATA('FDS_ECON[NTCPMIMFGSA@EME]',03/2024,,Q)":51.512165}]]></FdsFormulaCache>
</file>

<file path=customXml/itemProps1.xml><?xml version="1.0" encoding="utf-8"?>
<ds:datastoreItem xmlns:ds="http://schemas.openxmlformats.org/officeDocument/2006/customXml" ds:itemID="{0B21F149-7131-434F-AF31-E1EA3A6BAE0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2024-07-12T11:31:59Z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