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E93DA9B-8115-4AB4-BD85-54488A5F59F6}" xr6:coauthVersionLast="47" xr6:coauthVersionMax="47" xr10:uidLastSave="{00000000-0000-0000-0000-000000000000}"/>
  <bookViews>
    <workbookView xWindow="382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Risk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ranking'!$A$2:$AI$30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8" l="1" a="1"/>
  <c r="G33" i="57" a="1"/>
  <c r="G16" i="57" a="1"/>
  <c r="D33" i="57" a="1"/>
  <c r="D16" i="57" a="1"/>
  <c r="G19" i="57" a="1"/>
  <c r="G31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8" i="57" a="1"/>
  <c r="D8" i="57" a="1"/>
  <c r="D7" i="57" a="1"/>
  <c r="G22" i="57" a="1"/>
  <c r="G6" i="57" a="1"/>
  <c r="D22" i="57" a="1"/>
  <c r="G5" i="57" a="1"/>
  <c r="D5" i="57" a="1"/>
  <c r="D20" i="57" a="1"/>
  <c r="D4" i="57" a="1"/>
  <c r="G3" i="57" a="1"/>
  <c r="D3" i="57" a="1"/>
  <c r="G18" i="57" a="1"/>
  <c r="D17" i="57" a="1"/>
  <c r="G15" i="57" a="1"/>
  <c r="D6" i="57" a="1"/>
  <c r="G24" i="57" a="1"/>
  <c r="D24" i="57" a="1"/>
  <c r="G23" i="57" a="1"/>
  <c r="G7" i="57" a="1"/>
  <c r="D23" i="57" a="1"/>
  <c r="G21" i="57" a="1"/>
  <c r="D21" i="57" a="1"/>
  <c r="G20" i="57" a="1"/>
  <c r="G4" i="57" a="1"/>
  <c r="D19" i="57" a="1"/>
  <c r="G2" i="57" a="1"/>
  <c r="D18" i="57" a="1"/>
  <c r="D2" i="57" a="1"/>
  <c r="G17" i="57" a="1"/>
  <c r="E33" i="57" a="1"/>
  <c r="B33" i="57" a="1"/>
  <c r="G3" i="18" l="1"/>
  <c r="B33" i="57"/>
  <c r="E33" i="57"/>
  <c r="G17" i="57"/>
  <c r="D2" i="57"/>
  <c r="D18" i="57"/>
  <c r="G2" i="57"/>
  <c r="D19" i="57"/>
  <c r="G4" i="57"/>
  <c r="G20" i="57"/>
  <c r="D21" i="57"/>
  <c r="G21" i="57"/>
  <c r="D23" i="57"/>
  <c r="G7" i="57"/>
  <c r="G23" i="57"/>
  <c r="D24" i="57"/>
  <c r="G24" i="57"/>
  <c r="D6" i="57"/>
  <c r="G15" i="57"/>
  <c r="D17" i="57"/>
  <c r="G18" i="57"/>
  <c r="D3" i="57"/>
  <c r="G3" i="57"/>
  <c r="D4" i="57"/>
  <c r="D20" i="57"/>
  <c r="D5" i="57"/>
  <c r="G5" i="57"/>
  <c r="D22" i="57"/>
  <c r="G6" i="57"/>
  <c r="G22" i="57"/>
  <c r="D7" i="57"/>
  <c r="D8" i="57"/>
  <c r="G8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31" i="57"/>
  <c r="G19" i="57"/>
  <c r="D16" i="57"/>
  <c r="D33" i="57"/>
  <c r="G16" i="57"/>
  <c r="G33" i="57"/>
  <c r="M8" i="48" a="1"/>
  <c r="M24" i="48" a="1"/>
  <c r="M17" i="48" a="1"/>
  <c r="M15" i="48" a="1"/>
  <c r="M4" i="48" a="1"/>
  <c r="M23" i="48" a="1"/>
  <c r="M6" i="48" a="1"/>
  <c r="M16" i="48" a="1"/>
  <c r="M14" i="48" a="1"/>
  <c r="M13" i="48" a="1"/>
  <c r="M12" i="48" a="1"/>
  <c r="M21" i="48" a="1"/>
  <c r="M10" i="48" a="1"/>
  <c r="M11" i="48" a="1"/>
  <c r="M19" i="48" a="1"/>
  <c r="M18" i="48" a="1"/>
  <c r="M18" i="48" l="1"/>
  <c r="M19" i="48"/>
  <c r="M11" i="48"/>
  <c r="M10" i="48"/>
  <c r="M21" i="48"/>
  <c r="M12" i="48"/>
  <c r="M13" i="48"/>
  <c r="M14" i="48"/>
  <c r="M16" i="48"/>
  <c r="M6" i="48"/>
  <c r="M23" i="48"/>
  <c r="M4" i="48"/>
  <c r="M15" i="48"/>
  <c r="M17" i="48"/>
  <c r="M24" i="48"/>
  <c r="M8" i="48"/>
  <c r="L2" i="48" l="1"/>
  <c r="L1" i="48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J28" i="48" a="1"/>
  <c r="H2" i="38" a="1"/>
  <c r="AF4" i="9" a="1"/>
  <c r="P4" i="9" a="1"/>
  <c r="C21" i="43" a="1"/>
  <c r="C5" i="43" a="1"/>
  <c r="H17" i="43" a="1"/>
  <c r="H9" i="43" a="1"/>
  <c r="E22" i="42" a="1"/>
  <c r="J27" i="48" a="1"/>
  <c r="G2" i="38" a="1"/>
  <c r="AE4" i="9" a="1"/>
  <c r="O4" i="9" a="1"/>
  <c r="G17" i="43" a="1"/>
  <c r="G9" i="43" a="1"/>
  <c r="C20" i="43" a="1"/>
  <c r="C4" i="43" a="1"/>
  <c r="D22" i="42" a="1"/>
  <c r="V2" i="38" a="1"/>
  <c r="F2" i="38" a="1"/>
  <c r="AD4" i="9" a="1"/>
  <c r="N4" i="9" a="1"/>
  <c r="G6" i="52" a="1"/>
  <c r="G4" i="52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S25" i="56" a="1"/>
  <c r="U2" i="38" a="1"/>
  <c r="E2" i="38" a="1"/>
  <c r="A4" i="9" a="1"/>
  <c r="G16" i="43" a="1"/>
  <c r="G8" i="43" a="1"/>
  <c r="C18" i="43" a="1"/>
  <c r="J23" i="42" a="1"/>
  <c r="J21" i="42" a="1"/>
  <c r="J19" i="42" a="1"/>
  <c r="J17" i="42" a="1"/>
  <c r="J15" i="42" a="1"/>
  <c r="J13" i="42" a="1"/>
  <c r="J11" i="42" a="1"/>
  <c r="T2" i="38" a="1"/>
  <c r="D2" i="38" a="1"/>
  <c r="AB4" i="9" a="1"/>
  <c r="L4" i="9" a="1"/>
  <c r="H23" i="43" a="1"/>
  <c r="H15" i="43" a="1"/>
  <c r="H7" i="43" a="1"/>
  <c r="C17" i="43" a="1"/>
  <c r="I23" i="42" a="1"/>
  <c r="I21" i="42" a="1"/>
  <c r="I19" i="42" a="1"/>
  <c r="I17" i="42" a="1"/>
  <c r="I15" i="42" a="1"/>
  <c r="I13" i="42" a="1"/>
  <c r="I11" i="42" a="1"/>
  <c r="I9" i="42" a="1"/>
  <c r="I7" i="42" a="1"/>
  <c r="I5" i="42" a="1"/>
  <c r="I3" i="42" a="1"/>
  <c r="M3" i="18" a="1"/>
  <c r="S2" i="15" a="1"/>
  <c r="C2" i="15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H17" i="42" a="1"/>
  <c r="H15" i="42" a="1"/>
  <c r="H13" i="42" a="1"/>
  <c r="H11" i="42" a="1"/>
  <c r="H9" i="42" a="1"/>
  <c r="H7" i="42" a="1"/>
  <c r="H5" i="42" a="1"/>
  <c r="R2" i="38" a="1"/>
  <c r="B2" i="38" a="1"/>
  <c r="Z4" i="9" a="1"/>
  <c r="J4" i="9" a="1"/>
  <c r="H22" i="43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Q2" i="38" a="1"/>
  <c r="Y4" i="9" a="1"/>
  <c r="G11" i="43" a="1"/>
  <c r="C10" i="43" a="1"/>
  <c r="E18" i="42" a="1"/>
  <c r="J14" i="42" a="1"/>
  <c r="F5" i="42" a="1"/>
  <c r="Q2" i="15" a="1"/>
  <c r="T2" i="46" a="1"/>
  <c r="A2" i="46" a="1"/>
  <c r="F10" i="52" a="1"/>
  <c r="C8" i="52" a="1"/>
  <c r="F3" i="52" a="1"/>
  <c r="V17" i="56" a="1"/>
  <c r="S9" i="56" a="1"/>
  <c r="J25" i="56" a="1"/>
  <c r="I21" i="56" a="1"/>
  <c r="H17" i="56" a="1"/>
  <c r="G13" i="56" a="1"/>
  <c r="J8" i="56" a="1"/>
  <c r="Q34" i="12" a="1"/>
  <c r="P30" i="12" a="1"/>
  <c r="O20" i="12" a="1"/>
  <c r="R15" i="12" a="1"/>
  <c r="Q11" i="12" a="1"/>
  <c r="P7" i="12" a="1"/>
  <c r="O3" i="12" a="1"/>
  <c r="L23" i="12" a="1"/>
  <c r="M11" i="12" a="1"/>
  <c r="K6" i="12" a="1"/>
  <c r="F32" i="12" a="1"/>
  <c r="G20" i="12" a="1"/>
  <c r="E15" i="12" a="1"/>
  <c r="F9" i="12" a="1"/>
  <c r="G3" i="12" a="1"/>
  <c r="J8" i="39" a="1"/>
  <c r="H12" i="39" a="1"/>
  <c r="F16" i="39" a="1"/>
  <c r="K23" i="28" a="1"/>
  <c r="L17" i="28" a="1"/>
  <c r="M11" i="28" a="1"/>
  <c r="K6" i="28" a="1"/>
  <c r="G11" i="28" a="1"/>
  <c r="E26" i="28" a="1"/>
  <c r="D18" i="42" a="1"/>
  <c r="F11" i="42" a="1"/>
  <c r="H8" i="42" a="1"/>
  <c r="T3" i="18" a="1"/>
  <c r="Q2" i="5" a="1"/>
  <c r="P2" i="7" a="1"/>
  <c r="Q2" i="47" a="1"/>
  <c r="H5" i="52" a="1"/>
  <c r="S22" i="56" a="1"/>
  <c r="U17" i="56" a="1"/>
  <c r="T13" i="56" a="1"/>
  <c r="K23" i="12" a="1"/>
  <c r="L17" i="12" a="1"/>
  <c r="M5" i="28" a="1"/>
  <c r="H19" i="28" a="1"/>
  <c r="L5" i="1" a="1"/>
  <c r="I3" i="1" a="1"/>
  <c r="P34" i="12" a="1"/>
  <c r="O30" i="12" a="1"/>
  <c r="R19" i="12" a="1"/>
  <c r="Q15" i="12" a="1"/>
  <c r="P11" i="12" a="1"/>
  <c r="O7" i="12" a="1"/>
  <c r="M34" i="12" a="1"/>
  <c r="K17" i="12" a="1"/>
  <c r="L22" i="1" a="1"/>
  <c r="K10" i="1" a="1"/>
  <c r="H8" i="1" a="1"/>
  <c r="H3" i="1" a="1"/>
  <c r="C16" i="55" a="1"/>
  <c r="R2" i="46" a="1"/>
  <c r="I7" i="52" a="1"/>
  <c r="D3" i="52" a="1"/>
  <c r="S17" i="56" a="1"/>
  <c r="V12" i="56" a="1"/>
  <c r="U8" i="56" a="1"/>
  <c r="H25" i="56" a="1"/>
  <c r="G21" i="56" a="1"/>
  <c r="P2" i="38" a="1"/>
  <c r="X4" i="9" a="1"/>
  <c r="H10" i="43" a="1"/>
  <c r="C9" i="43" a="1"/>
  <c r="C21" i="42" a="1"/>
  <c r="I14" i="42" a="1"/>
  <c r="E5" i="42" a="1"/>
  <c r="P2" i="15" a="1"/>
  <c r="O2" i="7" a="1"/>
  <c r="S2" i="46" a="1"/>
  <c r="I12" i="52" a="1"/>
  <c r="E10" i="52" a="1"/>
  <c r="J7" i="52" a="1"/>
  <c r="E3" i="52" a="1"/>
  <c r="S13" i="56" a="1"/>
  <c r="V8" i="56" a="1"/>
  <c r="I25" i="56" a="1"/>
  <c r="H21" i="56" a="1"/>
  <c r="G17" i="56" a="1"/>
  <c r="J12" i="56" a="1"/>
  <c r="I8" i="56" a="1"/>
  <c r="L11" i="12" a="1"/>
  <c r="M5" i="12" a="1"/>
  <c r="E32" i="12" a="1"/>
  <c r="F20" i="12" a="1"/>
  <c r="G14" i="12" a="1"/>
  <c r="E9" i="12" a="1"/>
  <c r="F3" i="12" a="1"/>
  <c r="J7" i="39" a="1"/>
  <c r="H11" i="39" a="1"/>
  <c r="F15" i="39" a="1"/>
  <c r="M22" i="28" a="1"/>
  <c r="K17" i="28" a="1"/>
  <c r="L11" i="28" a="1"/>
  <c r="G19" i="28" a="1"/>
  <c r="H10" i="28" a="1"/>
  <c r="D26" i="28" a="1"/>
  <c r="E15" i="28" a="1"/>
  <c r="D7" i="28" a="1"/>
  <c r="O15" i="1" a="1"/>
  <c r="H28" i="1" a="1"/>
  <c r="I20" i="1" a="1"/>
  <c r="F18" i="1" a="1"/>
  <c r="G13" i="1" a="1"/>
  <c r="G22" i="43" a="1"/>
  <c r="G17" i="42" a="1"/>
  <c r="E11" i="42" a="1"/>
  <c r="G8" i="42" a="1"/>
  <c r="S3" i="18" a="1"/>
  <c r="P2" i="5" a="1"/>
  <c r="P2" i="47" a="1"/>
  <c r="G5" i="52" a="1"/>
  <c r="U21" i="56" a="1"/>
  <c r="T17" i="56" a="1"/>
  <c r="L34" i="12" a="1"/>
  <c r="M22" i="12" a="1"/>
  <c r="K11" i="28" a="1"/>
  <c r="L5" i="28" a="1"/>
  <c r="G8" i="1" a="1"/>
  <c r="K5" i="1" a="1"/>
  <c r="H12" i="52" a="1"/>
  <c r="D10" i="52" a="1"/>
  <c r="O2" i="38" a="1"/>
  <c r="W4" i="9" a="1"/>
  <c r="C8" i="43" a="1"/>
  <c r="J20" i="42" a="1"/>
  <c r="H14" i="42" a="1"/>
  <c r="O2" i="15" a="1"/>
  <c r="N2" i="7" a="1"/>
  <c r="J16" i="56" a="1"/>
  <c r="N2" i="38" a="1"/>
  <c r="V4" i="9" a="1"/>
  <c r="H21" i="43" a="1"/>
  <c r="H6" i="43" a="1"/>
  <c r="F17" i="42" a="1"/>
  <c r="E8" i="42" a="1"/>
  <c r="C5" i="42" a="1"/>
  <c r="Q3" i="18" a="1"/>
  <c r="O2" i="5" a="1"/>
  <c r="M2" i="7" a="1"/>
  <c r="O2" i="47" a="1"/>
  <c r="C10" i="52" a="1"/>
  <c r="F5" i="52" a="1"/>
  <c r="T21" i="56" a="1"/>
  <c r="Q6" i="12" a="1"/>
  <c r="K34" i="12" a="1"/>
  <c r="L16" i="28" a="1"/>
  <c r="M10" i="28" a="1"/>
  <c r="I10" i="1" a="1"/>
  <c r="F8" i="1" a="1"/>
  <c r="H12" i="56" a="1"/>
  <c r="C7" i="43" a="1"/>
  <c r="I20" i="42" a="1"/>
  <c r="G14" i="42" a="1"/>
  <c r="C11" i="42" a="1"/>
  <c r="D8" i="42" a="1"/>
  <c r="P3" i="18" a="1"/>
  <c r="Q2" i="46" a="1"/>
  <c r="F12" i="52" a="1"/>
  <c r="H7" i="52" a="1"/>
  <c r="C3" i="52" a="1"/>
  <c r="S21" i="56" a="1"/>
  <c r="V16" i="56" a="1"/>
  <c r="U12" i="56" a="1"/>
  <c r="T8" i="56" a="1"/>
  <c r="G25" i="56" a="1"/>
  <c r="J20" i="56" a="1"/>
  <c r="I16" i="56" a="1"/>
  <c r="G8" i="56" a="1"/>
  <c r="R33" i="12" a="1"/>
  <c r="M2" i="38" a="1"/>
  <c r="U4" i="9" a="1"/>
  <c r="G6" i="43" a="1"/>
  <c r="E17" i="42" a="1"/>
  <c r="J4" i="42" a="1"/>
  <c r="M2" i="15" a="1"/>
  <c r="M2" i="5" a="1"/>
  <c r="L2" i="7" a="1"/>
  <c r="N2" i="47" a="1"/>
  <c r="E12" i="52" a="1"/>
  <c r="J9" i="52" a="1"/>
  <c r="E5" i="52" a="1"/>
  <c r="Q10" i="12" a="1"/>
  <c r="P6" i="12" a="1"/>
  <c r="M21" i="28" a="1"/>
  <c r="K16" i="28" a="1"/>
  <c r="K12" i="1" a="1"/>
  <c r="H10" i="1" a="1"/>
  <c r="H20" i="42" a="1"/>
  <c r="E14" i="42" a="1"/>
  <c r="J10" i="42" a="1"/>
  <c r="J7" i="42" a="1"/>
  <c r="N3" i="18" a="1"/>
  <c r="L2" i="5" a="1"/>
  <c r="O2" i="46" a="1"/>
  <c r="G7" i="52" a="1"/>
  <c r="U25" i="56" a="1"/>
  <c r="S8" i="56" a="1"/>
  <c r="H16" i="56" a="1"/>
  <c r="G12" i="56" a="1"/>
  <c r="J7" i="56" a="1"/>
  <c r="Q33" i="12" a="1"/>
  <c r="O19" i="12" a="1"/>
  <c r="L2" i="38" a="1"/>
  <c r="H20" i="43" a="1"/>
  <c r="V20" i="56" a="1"/>
  <c r="U16" i="56" a="1"/>
  <c r="T12" i="56" a="1"/>
  <c r="J24" i="56" a="1"/>
  <c r="I20" i="56" a="1"/>
  <c r="P23" i="12" a="1"/>
  <c r="T4" i="9" a="1"/>
  <c r="H5" i="43" a="1"/>
  <c r="G23" i="42" a="1"/>
  <c r="D14" i="42" a="1"/>
  <c r="G7" i="42" a="1"/>
  <c r="I4" i="42" a="1"/>
  <c r="L3" i="18" a="1"/>
  <c r="L2" i="15" a="1"/>
  <c r="K2" i="7" a="1"/>
  <c r="M2" i="47" a="1"/>
  <c r="D12" i="52" a="1"/>
  <c r="I9" i="52" a="1"/>
  <c r="D5" i="52" a="1"/>
  <c r="Q14" i="12" a="1"/>
  <c r="P10" i="12" a="1"/>
  <c r="F11" i="39" a="1"/>
  <c r="L21" i="28" a="1"/>
  <c r="F15" i="1" a="1"/>
  <c r="J12" i="1" a="1"/>
  <c r="I24" i="56" a="1"/>
  <c r="I7" i="56" a="1"/>
  <c r="O23" i="12" a="1"/>
  <c r="K33" i="12" a="1"/>
  <c r="L21" i="12" a="1"/>
  <c r="M15" i="12" a="1"/>
  <c r="K10" i="12" a="1"/>
  <c r="L4" i="12" a="1"/>
  <c r="G30" i="12" a="1"/>
  <c r="E19" i="12" a="1"/>
  <c r="F13" i="12" a="1"/>
  <c r="G7" i="12" a="1"/>
  <c r="J3" i="39" a="1"/>
  <c r="C12" i="55" a="1"/>
  <c r="H19" i="43" a="1"/>
  <c r="K2" i="38" a="1"/>
  <c r="G20" i="43" a="1"/>
  <c r="G20" i="42" a="1"/>
  <c r="C17" i="42" a="1"/>
  <c r="I10" i="42" a="1"/>
  <c r="K3" i="18" a="1"/>
  <c r="J2" i="5" a="1"/>
  <c r="N2" i="46" a="1"/>
  <c r="C12" i="52" a="1"/>
  <c r="F7" i="52" a="1"/>
  <c r="T25" i="56" a="1"/>
  <c r="U20" i="56" a="1"/>
  <c r="T16" i="56" a="1"/>
  <c r="S12" i="56" a="1"/>
  <c r="V7" i="56" a="1"/>
  <c r="H20" i="56" a="1"/>
  <c r="G16" i="56" a="1"/>
  <c r="J11" i="56" a="1"/>
  <c r="P33" i="12" a="1"/>
  <c r="R18" i="12" a="1"/>
  <c r="O10" i="12" a="1"/>
  <c r="R5" i="12" a="1"/>
  <c r="J20" i="39" a="1"/>
  <c r="H7" i="39" a="1"/>
  <c r="K21" i="28" a="1"/>
  <c r="L15" i="28" a="1"/>
  <c r="M9" i="28" a="1"/>
  <c r="K4" i="28" a="1"/>
  <c r="G17" i="28" a="1"/>
  <c r="H8" i="28" a="1"/>
  <c r="D22" i="28" a="1"/>
  <c r="E13" i="28" a="1"/>
  <c r="D5" i="28" a="1"/>
  <c r="O11" i="1" a="1"/>
  <c r="K27" i="1" a="1"/>
  <c r="H22" i="1" a="1"/>
  <c r="L19" i="1" a="1"/>
  <c r="I17" i="1" a="1"/>
  <c r="I12" i="1" a="1"/>
  <c r="F10" i="1" a="1"/>
  <c r="G5" i="1" a="1"/>
  <c r="C29" i="55" a="1"/>
  <c r="H4" i="43" a="1"/>
  <c r="E20" i="42" a="1"/>
  <c r="J16" i="42" a="1"/>
  <c r="H10" i="42" a="1"/>
  <c r="J3" i="18" a="1"/>
  <c r="H2" i="5" a="1"/>
  <c r="I2" i="7" a="1"/>
  <c r="J11" i="52" a="1"/>
  <c r="E7" i="52" a="1"/>
  <c r="V24" i="56" a="1"/>
  <c r="T20" i="56" a="1"/>
  <c r="S16" i="56" a="1"/>
  <c r="V11" i="56" a="1"/>
  <c r="U7" i="56" a="1"/>
  <c r="H24" i="56" a="1"/>
  <c r="G20" i="56" a="1"/>
  <c r="J15" i="56" a="1"/>
  <c r="I11" i="56" a="1"/>
  <c r="H7" i="56" a="1"/>
  <c r="R22" i="12" a="1"/>
  <c r="S4" i="9" a="1"/>
  <c r="F23" i="42" a="1"/>
  <c r="G13" i="42" a="1"/>
  <c r="F7" i="42" a="1"/>
  <c r="H4" i="42" a="1"/>
  <c r="K2" i="15" a="1"/>
  <c r="I2" i="5" a="1"/>
  <c r="L2" i="47" a="1"/>
  <c r="H9" i="52" a="1"/>
  <c r="C5" i="52" a="1"/>
  <c r="Q18" i="12" a="1"/>
  <c r="P14" i="12" a="1"/>
  <c r="H6" i="39" a="1"/>
  <c r="F10" i="39" a="1"/>
  <c r="H17" i="1" a="1"/>
  <c r="L14" i="1" a="1"/>
  <c r="J2" i="38" a="1"/>
  <c r="L2" i="46" a="1"/>
  <c r="O33" i="12" a="1"/>
  <c r="R4" i="9" a="1"/>
  <c r="E23" i="42" a="1"/>
  <c r="D20" i="42" a="1"/>
  <c r="F13" i="42" a="1"/>
  <c r="E7" i="42" a="1"/>
  <c r="G4" i="42" a="1"/>
  <c r="J2" i="15" a="1"/>
  <c r="G2" i="5" a="1"/>
  <c r="K2" i="47" a="1"/>
  <c r="K2" i="46" a="1"/>
  <c r="G9" i="52" a="1"/>
  <c r="I4" i="52" a="1"/>
  <c r="Q22" i="12" a="1"/>
  <c r="P18" i="12" a="1"/>
  <c r="H22" i="39" a="1"/>
  <c r="H5" i="39" a="1"/>
  <c r="I2" i="38" a="1"/>
  <c r="G19" i="43" a="1"/>
  <c r="G4" i="43" a="1"/>
  <c r="I16" i="42" a="1"/>
  <c r="G10" i="42" a="1"/>
  <c r="I3" i="18" a="1"/>
  <c r="H2" i="7" a="1"/>
  <c r="I11" i="52" a="1"/>
  <c r="D7" i="52" a="1"/>
  <c r="U24" i="56" a="1"/>
  <c r="S20" i="56" a="1"/>
  <c r="V15" i="56" a="1"/>
  <c r="U11" i="56" a="1"/>
  <c r="T7" i="56" a="1"/>
  <c r="G24" i="56" a="1"/>
  <c r="J19" i="56" a="1"/>
  <c r="I15" i="56" a="1"/>
  <c r="H11" i="56" a="1"/>
  <c r="G7" i="56" a="1"/>
  <c r="R32" i="12" a="1"/>
  <c r="O18" i="12" a="1"/>
  <c r="R13" i="12" a="1"/>
  <c r="Q9" i="12" a="1"/>
  <c r="P5" i="12" a="1"/>
  <c r="L32" i="12" a="1"/>
  <c r="M20" i="12" a="1"/>
  <c r="K15" i="12" a="1"/>
  <c r="L9" i="12" a="1"/>
  <c r="M3" i="12" a="1"/>
  <c r="E30" i="12" a="1"/>
  <c r="F18" i="12" a="1"/>
  <c r="G12" i="12" a="1"/>
  <c r="E7" i="12" a="1"/>
  <c r="J18" i="39" a="1"/>
  <c r="H4" i="39" a="1"/>
  <c r="F8" i="39" a="1"/>
  <c r="L20" i="28" a="1"/>
  <c r="M14" i="28" a="1"/>
  <c r="K9" i="28" a="1"/>
  <c r="A2" i="38" a="1"/>
  <c r="Q4" i="9" a="1"/>
  <c r="G19" i="42" a="1"/>
  <c r="E13" i="42" a="1"/>
  <c r="E4" i="42" a="1"/>
  <c r="I2" i="15" a="1"/>
  <c r="F2" i="5" a="1"/>
  <c r="I2" i="47" a="1"/>
  <c r="J2" i="46" a="1"/>
  <c r="F9" i="52" a="1"/>
  <c r="H4" i="52" a="1"/>
  <c r="Q32" i="12" a="1"/>
  <c r="P22" i="12" a="1"/>
  <c r="J17" i="39" a="1"/>
  <c r="H21" i="39" a="1"/>
  <c r="M4" i="9" a="1"/>
  <c r="H18" i="43" a="1"/>
  <c r="H3" i="43" a="1"/>
  <c r="C23" i="42" a="1"/>
  <c r="AN4" i="9" a="1"/>
  <c r="I4" i="9" a="1"/>
  <c r="F19" i="42" a="1"/>
  <c r="D10" i="42" a="1"/>
  <c r="G2" i="15" a="1"/>
  <c r="E2" i="5" a="1"/>
  <c r="E9" i="52" a="1"/>
  <c r="F4" i="52" a="1"/>
  <c r="S24" i="56" a="1"/>
  <c r="I6" i="56" a="1"/>
  <c r="P32" i="12" a="1"/>
  <c r="F6" i="12" a="1"/>
  <c r="J16" i="39" a="1"/>
  <c r="G27" i="1" a="1"/>
  <c r="K21" i="1" a="1"/>
  <c r="G3" i="43" a="1"/>
  <c r="J22" i="42" a="1"/>
  <c r="G16" i="42" a="1"/>
  <c r="C13" i="42" a="1"/>
  <c r="J6" i="42" a="1"/>
  <c r="J3" i="42" a="1"/>
  <c r="F2" i="15" a="1"/>
  <c r="F2" i="7" a="1"/>
  <c r="F2" i="47" a="1"/>
  <c r="H2" i="46" a="1"/>
  <c r="G11" i="52" a="1"/>
  <c r="I6" i="52" a="1"/>
  <c r="U19" i="56" a="1"/>
  <c r="T15" i="56" a="1"/>
  <c r="S11" i="56" a="1"/>
  <c r="V6" i="56" a="1"/>
  <c r="I23" i="56" a="1"/>
  <c r="H19" i="56" a="1"/>
  <c r="G15" i="56" a="1"/>
  <c r="J10" i="56" a="1"/>
  <c r="O32" i="12" a="1"/>
  <c r="R21" i="12" a="1"/>
  <c r="Q17" i="12" a="1"/>
  <c r="P13" i="12" a="1"/>
  <c r="O9" i="12" a="1"/>
  <c r="R4" i="12" a="1"/>
  <c r="M31" i="12" a="1"/>
  <c r="AM4" i="9" a="1"/>
  <c r="H4" i="9" a="1"/>
  <c r="H14" i="43" a="1"/>
  <c r="E19" i="42" a="1"/>
  <c r="J9" i="42" a="1"/>
  <c r="H3" i="42" a="1"/>
  <c r="F3" i="18" a="1"/>
  <c r="E2" i="47" a="1"/>
  <c r="D9" i="52" a="1"/>
  <c r="E4" i="52" a="1"/>
  <c r="V23" i="56" a="1"/>
  <c r="AL4" i="9" a="1"/>
  <c r="C23" i="43" a="1"/>
  <c r="I22" i="42" a="1"/>
  <c r="E16" i="42" a="1"/>
  <c r="J12" i="42" a="1"/>
  <c r="G9" i="42" a="1"/>
  <c r="I6" i="42" a="1"/>
  <c r="G3" i="42" a="1"/>
  <c r="D2" i="15" a="1"/>
  <c r="C2" i="5" a="1"/>
  <c r="E2" i="7" a="1"/>
  <c r="G2" i="46" a="1"/>
  <c r="F11" i="52" a="1"/>
  <c r="H6" i="52" a="1"/>
  <c r="T19" i="56" a="1"/>
  <c r="S15" i="56" a="1"/>
  <c r="V10" i="56" a="1"/>
  <c r="U6" i="56" a="1"/>
  <c r="H23" i="56" a="1"/>
  <c r="G19" i="56" a="1"/>
  <c r="J14" i="56" a="1"/>
  <c r="G6" i="56" a="1"/>
  <c r="R31" i="12" a="1"/>
  <c r="Q21" i="12" a="1"/>
  <c r="P17" i="12" a="1"/>
  <c r="O13" i="12" a="1"/>
  <c r="R8" i="12" a="1"/>
  <c r="Q4" i="12" a="1"/>
  <c r="L31" i="12" a="1"/>
  <c r="M19" i="12" a="1"/>
  <c r="G4" i="9" a="1"/>
  <c r="G14" i="43" a="1"/>
  <c r="D16" i="42" a="1"/>
  <c r="E3" i="18" a="1"/>
  <c r="B2" i="15" a="1"/>
  <c r="D2" i="47" a="1"/>
  <c r="C9" i="52" a="1"/>
  <c r="D4" i="52" a="1"/>
  <c r="U23" i="56" a="1"/>
  <c r="I14" i="56" a="1"/>
  <c r="H10" i="56" a="1"/>
  <c r="E17" i="12" a="1"/>
  <c r="F11" i="12" a="1"/>
  <c r="O22" i="1" a="1"/>
  <c r="O5" i="1" a="1"/>
  <c r="C19" i="42" a="1"/>
  <c r="I12" i="42" a="1"/>
  <c r="F9" i="42" a="1"/>
  <c r="H6" i="42" a="1"/>
  <c r="F3" i="42" a="1"/>
  <c r="B2" i="5" a="1"/>
  <c r="C2" i="47" a="1"/>
  <c r="F2" i="46" a="1"/>
  <c r="E11" i="52" a="1"/>
  <c r="F6" i="52" a="1"/>
  <c r="C4" i="52" a="1"/>
  <c r="S19" i="56" a="1"/>
  <c r="V14" i="56" a="1"/>
  <c r="U10" i="56" a="1"/>
  <c r="T6" i="56" a="1"/>
  <c r="G23" i="56" a="1"/>
  <c r="J18" i="56" a="1"/>
  <c r="G10" i="56" a="1"/>
  <c r="J5" i="56" a="1"/>
  <c r="Q31" i="12" a="1"/>
  <c r="AK4" i="9" a="1"/>
  <c r="F4" i="9" a="1"/>
  <c r="H22" i="42" a="1"/>
  <c r="A2" i="15" a="1"/>
  <c r="C2" i="7" a="1"/>
  <c r="H13" i="43" a="1"/>
  <c r="C15" i="43" a="1"/>
  <c r="G15" i="42" a="1"/>
  <c r="D3" i="18" a="1"/>
  <c r="B2" i="7" a="1"/>
  <c r="I8" i="52" a="1"/>
  <c r="T23" i="56" a="1"/>
  <c r="I18" i="56" a="1"/>
  <c r="H14" i="56" a="1"/>
  <c r="F22" i="12" a="1"/>
  <c r="G16" i="12" a="1"/>
  <c r="D10" i="28" a="1"/>
  <c r="M30" i="12" a="1"/>
  <c r="K19" i="12" a="1"/>
  <c r="L13" i="12" a="1"/>
  <c r="M7" i="12" a="1"/>
  <c r="E34" i="12" a="1"/>
  <c r="F16" i="12" a="1"/>
  <c r="G10" i="12" a="1"/>
  <c r="J12" i="39" a="1"/>
  <c r="H16" i="39" a="1"/>
  <c r="O3" i="1" a="1"/>
  <c r="H16" i="1" a="1"/>
  <c r="G4" i="1" a="1"/>
  <c r="C22" i="55" a="1"/>
  <c r="V5" i="56" a="1"/>
  <c r="R20" i="12" a="1"/>
  <c r="AJ4" i="9" a="1"/>
  <c r="E4" i="9" a="1"/>
  <c r="G22" i="42" a="1"/>
  <c r="J18" i="42" a="1"/>
  <c r="H12" i="42" a="1"/>
  <c r="E9" i="42" a="1"/>
  <c r="G6" i="42" a="1"/>
  <c r="E3" i="42" a="1"/>
  <c r="V2" i="5" a="1"/>
  <c r="A2" i="5" a="1"/>
  <c r="B2" i="47" a="1"/>
  <c r="E2" i="46" a="1"/>
  <c r="D11" i="52" a="1"/>
  <c r="E6" i="52" a="1"/>
  <c r="J3" i="52" a="1"/>
  <c r="V18" i="56" a="1"/>
  <c r="U14" i="56" a="1"/>
  <c r="T10" i="56" a="1"/>
  <c r="S6" i="56" a="1"/>
  <c r="J22" i="56" a="1"/>
  <c r="G14" i="56" a="1"/>
  <c r="J9" i="56" a="1"/>
  <c r="I5" i="56" a="1"/>
  <c r="P31" i="12" a="1"/>
  <c r="O21" i="12" a="1"/>
  <c r="R16" i="12" a="1"/>
  <c r="Q12" i="12" a="1"/>
  <c r="P8" i="12" a="1"/>
  <c r="O4" i="12" a="1"/>
  <c r="E5" i="12" a="1"/>
  <c r="F20" i="39" a="1"/>
  <c r="F3" i="39" a="1"/>
  <c r="M18" i="28" a="1"/>
  <c r="K13" i="28" a="1"/>
  <c r="L7" i="28" a="1"/>
  <c r="G22" i="28" a="1"/>
  <c r="H13" i="28" a="1"/>
  <c r="G5" i="28" a="1"/>
  <c r="O20" i="1" a="1"/>
  <c r="J23" i="1" a="1"/>
  <c r="G21" i="1" a="1"/>
  <c r="K18" i="1" a="1"/>
  <c r="L13" i="1" a="1"/>
  <c r="I11" i="1" a="1"/>
  <c r="F9" i="1" a="1"/>
  <c r="J6" i="1" a="1"/>
  <c r="J13" i="56" a="1"/>
  <c r="C14" i="43" a="1"/>
  <c r="F15" i="42" a="1"/>
  <c r="C3" i="18" a="1"/>
  <c r="V2" i="47" a="1"/>
  <c r="H8" i="52" a="1"/>
  <c r="S23" i="56" a="1"/>
  <c r="I22" i="56" a="1"/>
  <c r="H18" i="56" a="1"/>
  <c r="G33" i="12" a="1"/>
  <c r="E22" i="12" a="1"/>
  <c r="D18" i="28" a="1"/>
  <c r="E9" i="28" a="1"/>
  <c r="T14" i="56" a="1"/>
  <c r="S10" i="56" a="1"/>
  <c r="G18" i="56" a="1"/>
  <c r="I9" i="56" a="1"/>
  <c r="H5" i="56" a="1"/>
  <c r="O31" i="12" a="1"/>
  <c r="AI4" i="9" a="1"/>
  <c r="D4" i="9" a="1"/>
  <c r="H12" i="43" a="1"/>
  <c r="I18" i="42" a="1"/>
  <c r="G12" i="42" a="1"/>
  <c r="E6" i="42" a="1"/>
  <c r="U2" i="5" a="1"/>
  <c r="V2" i="7" a="1"/>
  <c r="U2" i="47" a="1"/>
  <c r="A2" i="47" a="1"/>
  <c r="D2" i="46" a="1"/>
  <c r="C11" i="52" a="1"/>
  <c r="D6" i="52" a="1"/>
  <c r="I3" i="52" a="1"/>
  <c r="U18" i="56" a="1"/>
  <c r="C13" i="43" a="1"/>
  <c r="G21" i="42" a="1"/>
  <c r="E15" i="42" a="1"/>
  <c r="C9" i="42" a="1"/>
  <c r="D6" i="42" a="1"/>
  <c r="C3" i="42" a="1"/>
  <c r="A3" i="18" a="1"/>
  <c r="AH4" i="9" a="1"/>
  <c r="C4" i="9" a="1"/>
  <c r="G12" i="43" a="1"/>
  <c r="F21" i="42" a="1"/>
  <c r="D12" i="42" a="1"/>
  <c r="J8" i="42" a="1"/>
  <c r="J5" i="42" a="1"/>
  <c r="V3" i="18" a="1"/>
  <c r="S2" i="5" a="1"/>
  <c r="S2" i="47" a="1"/>
  <c r="E8" i="52" a="1"/>
  <c r="J5" i="52" a="1"/>
  <c r="U22" i="56" a="1"/>
  <c r="U9" i="56" a="1"/>
  <c r="T5" i="56" a="1"/>
  <c r="L12" i="12" a="1"/>
  <c r="M6" i="12" a="1"/>
  <c r="G12" i="28" a="1"/>
  <c r="H3" i="28" a="1"/>
  <c r="C19" i="55" a="1"/>
  <c r="B4" i="9" a="1"/>
  <c r="AG4" i="9" a="1"/>
  <c r="AC4" i="9" a="1"/>
  <c r="E21" i="42" a="1"/>
  <c r="G11" i="42" a="1"/>
  <c r="I8" i="42" a="1"/>
  <c r="U3" i="18" a="1"/>
  <c r="R2" i="15" a="1"/>
  <c r="R2" i="5" a="1"/>
  <c r="R2" i="7" a="1"/>
  <c r="R2" i="47" a="1"/>
  <c r="D8" i="52" a="1"/>
  <c r="I5" i="52" a="1"/>
  <c r="T22" i="56" a="1"/>
  <c r="U13" i="56" a="1"/>
  <c r="T9" i="56" a="1"/>
  <c r="M17" i="12" a="1"/>
  <c r="K12" i="12" a="1"/>
  <c r="H11" i="43" a="1"/>
  <c r="T2" i="47" a="1"/>
  <c r="H13" i="56" a="1"/>
  <c r="O17" i="12" a="1"/>
  <c r="L15" i="12" a="1"/>
  <c r="G13" i="12" a="1"/>
  <c r="J13" i="39" a="1"/>
  <c r="F17" i="39" a="1"/>
  <c r="M17" i="28" a="1"/>
  <c r="L6" i="28" a="1"/>
  <c r="D19" i="28" a="1"/>
  <c r="E3" i="28" a="1"/>
  <c r="J27" i="1" a="1"/>
  <c r="J20" i="1" a="1"/>
  <c r="I16" i="1" a="1"/>
  <c r="F4" i="1" a="1"/>
  <c r="C9" i="55" a="1"/>
  <c r="K7" i="1" a="1"/>
  <c r="M15" i="28" a="1"/>
  <c r="L4" i="28" a="1"/>
  <c r="G10" i="28" a="1"/>
  <c r="E16" i="28" a="1"/>
  <c r="H27" i="1" a="1"/>
  <c r="J3" i="1" a="1"/>
  <c r="L23" i="1" a="1"/>
  <c r="K23" i="1" a="1"/>
  <c r="H7" i="28" a="1"/>
  <c r="C28" i="55" a="1"/>
  <c r="G9" i="12" a="1"/>
  <c r="J13" i="1" a="1"/>
  <c r="C11" i="43" a="1"/>
  <c r="T18" i="56" a="1"/>
  <c r="I12" i="56" a="1"/>
  <c r="Q16" i="12" a="1"/>
  <c r="P4" i="12" a="1"/>
  <c r="M14" i="12" a="1"/>
  <c r="F33" i="12" a="1"/>
  <c r="E13" i="12" a="1"/>
  <c r="J11" i="39" a="1"/>
  <c r="H12" i="28" a="1"/>
  <c r="D3" i="28" a="1"/>
  <c r="H20" i="1" a="1"/>
  <c r="G16" i="1" a="1"/>
  <c r="F12" i="1" a="1"/>
  <c r="L7" i="1" a="1"/>
  <c r="K5" i="28" a="1"/>
  <c r="E17" i="28" a="1"/>
  <c r="I27" i="1" a="1"/>
  <c r="G20" i="1" a="1"/>
  <c r="F12" i="39" a="1"/>
  <c r="H15" i="1" a="1"/>
  <c r="D31" i="1" a="1"/>
  <c r="G15" i="1" a="1"/>
  <c r="G11" i="1" a="1"/>
  <c r="H23" i="1" a="1"/>
  <c r="H22" i="28" a="1"/>
  <c r="L20" i="1" a="1"/>
  <c r="H12" i="1" a="1"/>
  <c r="J8" i="1" a="1"/>
  <c r="H2" i="47" a="1"/>
  <c r="S18" i="56" a="1"/>
  <c r="G11" i="56" a="1"/>
  <c r="R3" i="12" a="1"/>
  <c r="L14" i="12" a="1"/>
  <c r="E33" i="12" a="1"/>
  <c r="F12" i="12" a="1"/>
  <c r="F14" i="39" a="1"/>
  <c r="M16" i="28" a="1"/>
  <c r="L3" i="1" a="1"/>
  <c r="K19" i="1" a="1"/>
  <c r="I15" i="1" a="1"/>
  <c r="G7" i="1" a="1"/>
  <c r="F7" i="39" a="1"/>
  <c r="H11" i="52" a="1"/>
  <c r="U15" i="56" a="1"/>
  <c r="I10" i="56" a="1"/>
  <c r="P16" i="12" a="1"/>
  <c r="G32" i="12" a="1"/>
  <c r="E12" i="12" a="1"/>
  <c r="J10" i="39" a="1"/>
  <c r="F13" i="39" a="1"/>
  <c r="M4" i="28" a="1"/>
  <c r="H11" i="28" a="1"/>
  <c r="D17" i="28" a="1"/>
  <c r="O23" i="1" a="1"/>
  <c r="F20" i="1" a="1"/>
  <c r="F16" i="1" a="1"/>
  <c r="L11" i="1" a="1"/>
  <c r="I7" i="1" a="1"/>
  <c r="K3" i="1" a="1"/>
  <c r="L15" i="1" a="1"/>
  <c r="H11" i="1" a="1"/>
  <c r="F3" i="1" a="1"/>
  <c r="G23" i="12" a="1"/>
  <c r="H19" i="1" a="1"/>
  <c r="G23" i="28" a="1"/>
  <c r="I6" i="1" a="1"/>
  <c r="K22" i="1" a="1"/>
  <c r="H6" i="1" a="1"/>
  <c r="I18" i="1" a="1"/>
  <c r="G6" i="1" a="1"/>
  <c r="I22" i="1" a="1"/>
  <c r="K22" i="12" a="1"/>
  <c r="J9" i="1" a="1"/>
  <c r="F5" i="1" a="1"/>
  <c r="K5" i="12" a="1"/>
  <c r="L8" i="28" a="1"/>
  <c r="E6" i="28" a="1"/>
  <c r="K28" i="1" a="1"/>
  <c r="H18" i="42" a="1"/>
  <c r="V2" i="46" a="1"/>
  <c r="O16" i="12" a="1"/>
  <c r="Q3" i="12" a="1"/>
  <c r="K14" i="12" a="1"/>
  <c r="G31" i="12" a="1"/>
  <c r="G11" i="12" a="1"/>
  <c r="J9" i="39" a="1"/>
  <c r="G23" i="1" a="1"/>
  <c r="O12" i="1" a="1"/>
  <c r="J10" i="1" a="1"/>
  <c r="G10" i="1" a="1"/>
  <c r="K12" i="28" a="1"/>
  <c r="C7" i="52" a="1"/>
  <c r="J17" i="1" a="1"/>
  <c r="E16" i="12" a="1"/>
  <c r="L8" i="1" a="1"/>
  <c r="G18" i="42" a="1"/>
  <c r="U2" i="46" a="1"/>
  <c r="H9" i="56" a="1"/>
  <c r="P15" i="12" a="1"/>
  <c r="P3" i="12" a="1"/>
  <c r="M13" i="12" a="1"/>
  <c r="F31" i="12" a="1"/>
  <c r="J6" i="39" a="1"/>
  <c r="F9" i="39" a="1"/>
  <c r="K15" i="28" a="1"/>
  <c r="M3" i="28" a="1"/>
  <c r="H9" i="28" a="1"/>
  <c r="J19" i="1" a="1"/>
  <c r="K11" i="1" a="1"/>
  <c r="H7" i="1" a="1"/>
  <c r="F27" i="1" a="1"/>
  <c r="K15" i="1" a="1"/>
  <c r="J11" i="1" a="1"/>
  <c r="D15" i="28" a="1"/>
  <c r="I19" i="1" a="1"/>
  <c r="L14" i="28" a="1"/>
  <c r="F7" i="1" a="1"/>
  <c r="C21" i="55" a="1"/>
  <c r="H16" i="42" a="1"/>
  <c r="I2" i="46" a="1"/>
  <c r="S14" i="56" a="1"/>
  <c r="G9" i="56" a="1"/>
  <c r="O15" i="12" a="1"/>
  <c r="K13" i="12" a="1"/>
  <c r="E31" i="12" a="1"/>
  <c r="E11" i="12" a="1"/>
  <c r="J5" i="39" a="1"/>
  <c r="G9" i="28" a="1"/>
  <c r="D16" i="28" a="1"/>
  <c r="G3" i="1" a="1"/>
  <c r="G8" i="28" a="1"/>
  <c r="V13" i="56" a="1"/>
  <c r="H8" i="56" a="1"/>
  <c r="R14" i="12" a="1"/>
  <c r="M33" i="12" a="1"/>
  <c r="F30" i="12" a="1"/>
  <c r="F10" i="12" a="1"/>
  <c r="J4" i="39" a="1"/>
  <c r="L3" i="28" a="1"/>
  <c r="J2" i="39" a="1"/>
  <c r="O17" i="1" a="1"/>
  <c r="D14" i="28" a="1"/>
  <c r="K14" i="1" a="1"/>
  <c r="H20" i="28" a="1"/>
  <c r="K13" i="1" a="1"/>
  <c r="C15" i="42" a="1"/>
  <c r="C2" i="46" a="1"/>
  <c r="T11" i="56" a="1"/>
  <c r="J6" i="56" a="1"/>
  <c r="O14" i="12" a="1"/>
  <c r="L33" i="12" a="1"/>
  <c r="M12" i="12" a="1"/>
  <c r="E14" i="28" a="1"/>
  <c r="K3" i="28" a="1"/>
  <c r="I23" i="1" a="1"/>
  <c r="K11" i="12" a="1"/>
  <c r="H19" i="39" a="1"/>
  <c r="D13" i="28" a="1"/>
  <c r="L10" i="1" a="1"/>
  <c r="G19" i="12" a="1"/>
  <c r="O8" i="1" a="1"/>
  <c r="K9" i="1" a="1"/>
  <c r="G18" i="1" a="1"/>
  <c r="P20" i="12" a="1"/>
  <c r="J21" i="39" a="1"/>
  <c r="K16" i="1" a="1"/>
  <c r="B2" i="46" a="1"/>
  <c r="H6" i="56" a="1"/>
  <c r="Q13" i="12" a="1"/>
  <c r="M32" i="12" a="1"/>
  <c r="F23" i="12" a="1"/>
  <c r="E10" i="12" a="1"/>
  <c r="H20" i="39" a="1"/>
  <c r="F6" i="39" a="1"/>
  <c r="K14" i="28" a="1"/>
  <c r="K4" i="1" a="1"/>
  <c r="E12" i="42" a="1"/>
  <c r="H23" i="28" a="1"/>
  <c r="F11" i="1" a="1"/>
  <c r="J23" i="56" a="1"/>
  <c r="L22" i="28" a="1"/>
  <c r="C23" i="55" a="1"/>
  <c r="F14" i="1" a="1"/>
  <c r="E3" i="12" a="1"/>
  <c r="V9" i="56" a="1"/>
  <c r="G5" i="56" a="1"/>
  <c r="R12" i="12" a="1"/>
  <c r="M10" i="12" a="1"/>
  <c r="E23" i="12" a="1"/>
  <c r="G8" i="12" a="1"/>
  <c r="F5" i="39" a="1"/>
  <c r="M13" i="28" a="1"/>
  <c r="G7" i="28" a="1"/>
  <c r="O14" i="1" a="1"/>
  <c r="F2" i="39" a="1"/>
  <c r="L9" i="1" a="1"/>
  <c r="G4" i="28" a="1"/>
  <c r="O4" i="1" a="1"/>
  <c r="K20" i="28" a="1"/>
  <c r="E10" i="42" a="1"/>
  <c r="I10" i="52" a="1"/>
  <c r="R34" i="12" a="1"/>
  <c r="P12" i="12" a="1"/>
  <c r="K31" i="12" a="1"/>
  <c r="L10" i="12" a="1"/>
  <c r="G22" i="12" a="1"/>
  <c r="F8" i="12" a="1"/>
  <c r="H18" i="39" a="1"/>
  <c r="F4" i="39" a="1"/>
  <c r="L13" i="28" a="1"/>
  <c r="E12" i="28" a="1"/>
  <c r="J14" i="1" a="1"/>
  <c r="L18" i="1" a="1"/>
  <c r="C26" i="55" a="1"/>
  <c r="G21" i="28" a="1"/>
  <c r="J22" i="1" a="1"/>
  <c r="H18" i="1" a="1"/>
  <c r="C24" i="55" a="1"/>
  <c r="Q30" i="12" a="1"/>
  <c r="I5" i="1" a="1"/>
  <c r="G16" i="28" a="1"/>
  <c r="E7" i="28" a="1"/>
  <c r="Q20" i="12" a="1"/>
  <c r="H2" i="39" a="1"/>
  <c r="F17" i="1" a="1"/>
  <c r="H10" i="52" a="1"/>
  <c r="S7" i="56" a="1"/>
  <c r="O34" i="12" a="1"/>
  <c r="L30" i="12" a="1"/>
  <c r="M9" i="12" a="1"/>
  <c r="G21" i="12" a="1"/>
  <c r="E8" i="12" a="1"/>
  <c r="H17" i="39" a="1"/>
  <c r="G5" i="12" a="1"/>
  <c r="E10" i="28" a="1"/>
  <c r="O7" i="1" a="1"/>
  <c r="G17" i="1" a="1"/>
  <c r="H9" i="1" a="1"/>
  <c r="L4" i="1" a="1"/>
  <c r="I21" i="1" a="1"/>
  <c r="O12" i="12" a="1"/>
  <c r="K9" i="12" a="1"/>
  <c r="F7" i="12" a="1"/>
  <c r="H15" i="39" a="1"/>
  <c r="H21" i="28" a="1"/>
  <c r="G6" i="28" a="1"/>
  <c r="D12" i="28" a="1"/>
  <c r="F23" i="1" a="1"/>
  <c r="I14" i="1" a="1"/>
  <c r="U5" i="56" a="1"/>
  <c r="R11" i="12" a="1"/>
  <c r="K30" i="12" a="1"/>
  <c r="M8" i="12" a="1"/>
  <c r="F21" i="12" a="1"/>
  <c r="G6" i="12" a="1"/>
  <c r="M23" i="28" a="1"/>
  <c r="L12" i="28" a="1"/>
  <c r="H5" i="28" a="1"/>
  <c r="C7" i="42" a="1"/>
  <c r="F8" i="52" a="1"/>
  <c r="E11" i="28" a="1"/>
  <c r="K8" i="12" a="1"/>
  <c r="G20" i="28" a="1"/>
  <c r="G14" i="1" a="1"/>
  <c r="G18" i="28" a="1"/>
  <c r="J22" i="39" a="1"/>
  <c r="O11" i="12" a="1"/>
  <c r="M23" i="12" a="1"/>
  <c r="E21" i="12" a="1"/>
  <c r="H14" i="39" a="1"/>
  <c r="L23" i="28" a="1"/>
  <c r="F6" i="1" a="1"/>
  <c r="F17" i="12" a="1"/>
  <c r="R7" i="12" a="1"/>
  <c r="G5" i="42" a="1"/>
  <c r="S5" i="56" a="1"/>
  <c r="R30" i="12" a="1"/>
  <c r="R10" i="12" a="1"/>
  <c r="L22" i="12" a="1"/>
  <c r="L8" i="12" a="1"/>
  <c r="E20" i="12" a="1"/>
  <c r="E6" i="12" a="1"/>
  <c r="H13" i="39" a="1"/>
  <c r="F22" i="1" a="1"/>
  <c r="H3" i="39" a="1"/>
  <c r="C17" i="55" a="1"/>
  <c r="H21" i="1" a="1"/>
  <c r="C13" i="55" a="1"/>
  <c r="D4" i="42" a="1"/>
  <c r="C6" i="52" a="1"/>
  <c r="R23" i="12" a="1"/>
  <c r="R9" i="12" a="1"/>
  <c r="M21" i="12" a="1"/>
  <c r="L7" i="12" a="1"/>
  <c r="F19" i="12" a="1"/>
  <c r="F5" i="12" a="1"/>
  <c r="H10" i="39" a="1"/>
  <c r="K22" i="28" a="1"/>
  <c r="L10" i="28" a="1"/>
  <c r="H18" i="28" a="1"/>
  <c r="G3" i="28" a="1"/>
  <c r="M8" i="28" a="1"/>
  <c r="H15" i="28" a="1"/>
  <c r="F13" i="1" a="1"/>
  <c r="H22" i="56" a="1"/>
  <c r="Q23" i="12" a="1"/>
  <c r="P9" i="12" a="1"/>
  <c r="K21" i="12" a="1"/>
  <c r="K7" i="12" a="1"/>
  <c r="G18" i="12" a="1"/>
  <c r="G4" i="12" a="1"/>
  <c r="H9" i="39" a="1"/>
  <c r="K10" i="28" a="1"/>
  <c r="M4" i="12" a="1"/>
  <c r="G22" i="56" a="1"/>
  <c r="O22" i="12" a="1"/>
  <c r="L20" i="12" a="1"/>
  <c r="E18" i="12" a="1"/>
  <c r="H8" i="39" a="1"/>
  <c r="M20" i="28" a="1"/>
  <c r="L9" i="28" a="1"/>
  <c r="H17" i="28" a="1"/>
  <c r="E23" i="28" a="1"/>
  <c r="E8" i="28" a="1"/>
  <c r="L21" i="1" a="1"/>
  <c r="K17" i="1" a="1"/>
  <c r="H5" i="1" a="1"/>
  <c r="C20" i="55" a="1"/>
  <c r="C15" i="55" a="1"/>
  <c r="Q7" i="12" a="1"/>
  <c r="D6" i="28" a="1"/>
  <c r="V2" i="15" a="1"/>
  <c r="J21" i="56" a="1"/>
  <c r="Q8" i="12" a="1"/>
  <c r="K20" i="12" a="1"/>
  <c r="L6" i="12" a="1"/>
  <c r="G17" i="12" a="1"/>
  <c r="F4" i="12" a="1"/>
  <c r="H16" i="28" a="1"/>
  <c r="D23" i="28" a="1"/>
  <c r="T2" i="15" a="1"/>
  <c r="I19" i="56" a="1"/>
  <c r="P21" i="12" a="1"/>
  <c r="O8" i="12" a="1"/>
  <c r="L5" i="12" a="1"/>
  <c r="E4" i="12" a="1"/>
  <c r="E22" i="28" a="1"/>
  <c r="L28" i="1" a="1"/>
  <c r="J21" i="1" a="1"/>
  <c r="I13" i="1" a="1"/>
  <c r="C18" i="55" a="1"/>
  <c r="H13" i="1" a="1"/>
  <c r="K4" i="12" a="1"/>
  <c r="H3" i="52" a="1"/>
  <c r="G3" i="52" a="1"/>
  <c r="C14" i="55" a="1"/>
  <c r="T24" i="56" a="1"/>
  <c r="J17" i="56" a="1"/>
  <c r="V22" i="56" a="1"/>
  <c r="I17" i="56" a="1"/>
  <c r="Q19" i="12" a="1"/>
  <c r="R6" i="12" a="1"/>
  <c r="L18" i="12" a="1"/>
  <c r="L3" i="12" a="1"/>
  <c r="J19" i="39" a="1"/>
  <c r="F22" i="39" a="1"/>
  <c r="L19" i="28" a="1"/>
  <c r="K8" i="28" a="1"/>
  <c r="G15" i="28" a="1"/>
  <c r="E5" i="28" a="1"/>
  <c r="F21" i="1" a="1"/>
  <c r="L16" i="1" a="1"/>
  <c r="L12" i="1" a="1"/>
  <c r="U2" i="7" a="1"/>
  <c r="H15" i="56" a="1"/>
  <c r="P19" i="12" a="1"/>
  <c r="K18" i="12" a="1"/>
  <c r="K3" i="12" a="1"/>
  <c r="G15" i="12" a="1"/>
  <c r="F21" i="39" a="1"/>
  <c r="K19" i="28" a="1"/>
  <c r="M7" i="28" a="1"/>
  <c r="E20" i="28" a="1"/>
  <c r="E4" i="28" a="1"/>
  <c r="I28" i="1" a="1"/>
  <c r="K8" i="1" a="1"/>
  <c r="J4" i="1" a="1"/>
  <c r="C11" i="55" a="1"/>
  <c r="S2" i="7" a="1"/>
  <c r="O6" i="12" a="1"/>
  <c r="M16" i="12" a="1"/>
  <c r="F15" i="12" a="1"/>
  <c r="J15" i="39" a="1"/>
  <c r="F19" i="39" a="1"/>
  <c r="L18" i="28" a="1"/>
  <c r="K7" i="28" a="1"/>
  <c r="H14" i="28" a="1"/>
  <c r="D20" i="28" a="1"/>
  <c r="G28" i="1" a="1"/>
  <c r="G2" i="7" a="1"/>
  <c r="V19" i="56" a="1"/>
  <c r="R17" i="12" a="1"/>
  <c r="Q5" i="12" a="1"/>
  <c r="L16" i="12" a="1"/>
  <c r="G34" i="12" a="1"/>
  <c r="F14" i="12" a="1"/>
  <c r="G14" i="28" a="1"/>
  <c r="D4" i="28" a="1"/>
  <c r="F28" i="1" a="1"/>
  <c r="K20" i="1" a="1"/>
  <c r="I4" i="1" a="1"/>
  <c r="C10" i="55" a="1"/>
  <c r="L27" i="1" a="1"/>
  <c r="J16" i="1" a="1"/>
  <c r="G12" i="1" a="1"/>
  <c r="I8" i="1" a="1"/>
  <c r="H4" i="1" a="1"/>
  <c r="G19" i="1" a="1"/>
  <c r="H6" i="28" a="1"/>
  <c r="K6" i="1" a="1"/>
  <c r="H14" i="1" a="1"/>
  <c r="D11" i="28" a="1"/>
  <c r="G22" i="1" a="1"/>
  <c r="I9" i="1" a="1"/>
  <c r="I13" i="56" a="1"/>
  <c r="O5" i="12" a="1"/>
  <c r="K16" i="12" a="1"/>
  <c r="F34" i="12" a="1"/>
  <c r="E14" i="12" a="1"/>
  <c r="J14" i="39" a="1"/>
  <c r="F18" i="39" a="1"/>
  <c r="K18" i="28" a="1"/>
  <c r="M6" i="28" a="1"/>
  <c r="G13" i="28" a="1"/>
  <c r="E19" i="28" a="1"/>
  <c r="K32" i="12" a="1"/>
  <c r="L6" i="1" a="1"/>
  <c r="C27" i="55" a="1"/>
  <c r="O13" i="1" a="1"/>
  <c r="F19" i="1" a="1"/>
  <c r="M12" i="28" a="1"/>
  <c r="C25" i="55" a="1"/>
  <c r="H4" i="28" a="1"/>
  <c r="D9" i="28" a="1"/>
  <c r="L17" i="1" a="1"/>
  <c r="D8" i="28" a="1"/>
  <c r="L19" i="12" a="1"/>
  <c r="M18" i="12" a="1"/>
  <c r="M19" i="28" a="1"/>
  <c r="G9" i="1" a="1"/>
  <c r="D21" i="28" a="1"/>
  <c r="J28" i="1" a="1"/>
  <c r="L26" i="48" a="1"/>
  <c r="O3" i="48" a="1"/>
  <c r="K26" i="48" a="1"/>
  <c r="N3" i="48" a="1"/>
  <c r="N3" i="48" l="1"/>
  <c r="K26" i="48"/>
  <c r="O3" i="48"/>
  <c r="L26" i="48"/>
  <c r="J28" i="1"/>
  <c r="D21" i="28"/>
  <c r="G9" i="1"/>
  <c r="M19" i="28"/>
  <c r="M18" i="12"/>
  <c r="L19" i="12"/>
  <c r="D8" i="28"/>
  <c r="L17" i="1"/>
  <c r="D9" i="28"/>
  <c r="H4" i="28"/>
  <c r="C25" i="55"/>
  <c r="M12" i="28"/>
  <c r="F19" i="1"/>
  <c r="O13" i="1"/>
  <c r="C27" i="55"/>
  <c r="L6" i="1"/>
  <c r="K32" i="12"/>
  <c r="E19" i="28"/>
  <c r="G13" i="28"/>
  <c r="M6" i="28"/>
  <c r="K18" i="28"/>
  <c r="F18" i="39"/>
  <c r="J14" i="39"/>
  <c r="E14" i="12"/>
  <c r="F34" i="12"/>
  <c r="K16" i="12"/>
  <c r="O5" i="12"/>
  <c r="I13" i="56"/>
  <c r="I9" i="1"/>
  <c r="G22" i="1"/>
  <c r="D11" i="28"/>
  <c r="H14" i="1"/>
  <c r="K6" i="1"/>
  <c r="H6" i="28"/>
  <c r="G19" i="1"/>
  <c r="H4" i="1"/>
  <c r="I8" i="1"/>
  <c r="G12" i="1"/>
  <c r="J16" i="1"/>
  <c r="L27" i="1"/>
  <c r="C10" i="55"/>
  <c r="I4" i="1"/>
  <c r="K20" i="1"/>
  <c r="F28" i="1"/>
  <c r="D4" i="28"/>
  <c r="G14" i="28"/>
  <c r="F14" i="12"/>
  <c r="G34" i="12"/>
  <c r="L16" i="12"/>
  <c r="Q5" i="12"/>
  <c r="R17" i="12"/>
  <c r="V19" i="56"/>
  <c r="G2" i="7"/>
  <c r="G28" i="1"/>
  <c r="D20" i="28"/>
  <c r="H14" i="28"/>
  <c r="K7" i="28"/>
  <c r="L18" i="28"/>
  <c r="F19" i="39"/>
  <c r="J15" i="39"/>
  <c r="F15" i="12"/>
  <c r="M16" i="12"/>
  <c r="O6" i="12"/>
  <c r="S2" i="7"/>
  <c r="C11" i="55"/>
  <c r="J4" i="1"/>
  <c r="K8" i="1"/>
  <c r="I28" i="1"/>
  <c r="E4" i="28"/>
  <c r="E20" i="28"/>
  <c r="M7" i="28"/>
  <c r="K19" i="28"/>
  <c r="F21" i="39"/>
  <c r="G15" i="12"/>
  <c r="K3" i="12"/>
  <c r="K18" i="12"/>
  <c r="P19" i="12"/>
  <c r="H15" i="56"/>
  <c r="U2" i="7"/>
  <c r="L12" i="1"/>
  <c r="L16" i="1"/>
  <c r="F21" i="1"/>
  <c r="E5" i="28"/>
  <c r="G15" i="28"/>
  <c r="K8" i="28"/>
  <c r="L19" i="28"/>
  <c r="F22" i="39"/>
  <c r="J19" i="39"/>
  <c r="L3" i="12"/>
  <c r="L18" i="12"/>
  <c r="R6" i="12"/>
  <c r="Q19" i="12"/>
  <c r="I17" i="56"/>
  <c r="V22" i="56"/>
  <c r="J17" i="56"/>
  <c r="T24" i="56"/>
  <c r="C14" i="55"/>
  <c r="G3" i="52"/>
  <c r="H3" i="52"/>
  <c r="K4" i="12"/>
  <c r="H13" i="1"/>
  <c r="C18" i="55"/>
  <c r="I13" i="1"/>
  <c r="J21" i="1"/>
  <c r="L28" i="1"/>
  <c r="E22" i="28"/>
  <c r="E4" i="12"/>
  <c r="L5" i="12"/>
  <c r="O8" i="12"/>
  <c r="P21" i="12"/>
  <c r="I19" i="56"/>
  <c r="T2" i="15"/>
  <c r="D23" i="28"/>
  <c r="H16" i="28"/>
  <c r="F4" i="12"/>
  <c r="G17" i="12"/>
  <c r="L6" i="12"/>
  <c r="K20" i="12"/>
  <c r="Q8" i="12"/>
  <c r="J21" i="56"/>
  <c r="V2" i="15"/>
  <c r="D6" i="28"/>
  <c r="Q7" i="12"/>
  <c r="C15" i="55"/>
  <c r="C20" i="55"/>
  <c r="H5" i="1"/>
  <c r="K17" i="1"/>
  <c r="L21" i="1"/>
  <c r="E8" i="28"/>
  <c r="E23" i="28"/>
  <c r="H17" i="28"/>
  <c r="L9" i="28"/>
  <c r="M20" i="28"/>
  <c r="H8" i="39"/>
  <c r="E18" i="12"/>
  <c r="L20" i="12"/>
  <c r="O22" i="12"/>
  <c r="G22" i="56"/>
  <c r="M4" i="12"/>
  <c r="K10" i="28"/>
  <c r="H9" i="39"/>
  <c r="G4" i="12"/>
  <c r="G18" i="12"/>
  <c r="K7" i="12"/>
  <c r="K21" i="12"/>
  <c r="P9" i="12"/>
  <c r="Q23" i="12"/>
  <c r="H22" i="56"/>
  <c r="F13" i="1"/>
  <c r="H15" i="28"/>
  <c r="M8" i="28"/>
  <c r="G3" i="28"/>
  <c r="H18" i="28"/>
  <c r="L10" i="28"/>
  <c r="K22" i="28"/>
  <c r="H10" i="39"/>
  <c r="F5" i="12"/>
  <c r="F19" i="12"/>
  <c r="L7" i="12"/>
  <c r="M21" i="12"/>
  <c r="R9" i="12"/>
  <c r="R23" i="12"/>
  <c r="C6" i="52"/>
  <c r="D4" i="42"/>
  <c r="C13" i="55"/>
  <c r="H21" i="1"/>
  <c r="C17" i="55"/>
  <c r="H3" i="39"/>
  <c r="F22" i="1"/>
  <c r="H13" i="39"/>
  <c r="E6" i="12"/>
  <c r="E20" i="12"/>
  <c r="L8" i="12"/>
  <c r="L22" i="12"/>
  <c r="R10" i="12"/>
  <c r="R30" i="12"/>
  <c r="S5" i="56"/>
  <c r="G5" i="42"/>
  <c r="R7" i="12"/>
  <c r="F17" i="12"/>
  <c r="F6" i="1"/>
  <c r="L23" i="28"/>
  <c r="H14" i="39"/>
  <c r="E21" i="12"/>
  <c r="M23" i="12"/>
  <c r="O11" i="12"/>
  <c r="J22" i="39"/>
  <c r="G18" i="28"/>
  <c r="G14" i="1"/>
  <c r="G20" i="28"/>
  <c r="K8" i="12"/>
  <c r="E11" i="28"/>
  <c r="F8" i="52"/>
  <c r="C7" i="42"/>
  <c r="H5" i="28"/>
  <c r="L12" i="28"/>
  <c r="M23" i="28"/>
  <c r="G6" i="12"/>
  <c r="F21" i="12"/>
  <c r="M8" i="12"/>
  <c r="K30" i="12"/>
  <c r="R11" i="12"/>
  <c r="U5" i="56"/>
  <c r="I14" i="1"/>
  <c r="F23" i="1"/>
  <c r="D12" i="28"/>
  <c r="G6" i="28"/>
  <c r="H21" i="28"/>
  <c r="H15" i="39"/>
  <c r="F7" i="12"/>
  <c r="K9" i="12"/>
  <c r="O12" i="12"/>
  <c r="I21" i="1"/>
  <c r="L4" i="1"/>
  <c r="H9" i="1"/>
  <c r="G17" i="1"/>
  <c r="O7" i="1"/>
  <c r="E10" i="28"/>
  <c r="G5" i="12"/>
  <c r="H17" i="39"/>
  <c r="E8" i="12"/>
  <c r="G21" i="12"/>
  <c r="M9" i="12"/>
  <c r="L30" i="12"/>
  <c r="O34" i="12"/>
  <c r="S7" i="56"/>
  <c r="H10" i="52"/>
  <c r="F17" i="1"/>
  <c r="H2" i="39"/>
  <c r="Q20" i="12"/>
  <c r="E7" i="28"/>
  <c r="G16" i="28"/>
  <c r="I5" i="1"/>
  <c r="Q30" i="12"/>
  <c r="C24" i="55"/>
  <c r="H18" i="1"/>
  <c r="J22" i="1"/>
  <c r="G21" i="28"/>
  <c r="C26" i="55"/>
  <c r="L18" i="1"/>
  <c r="J14" i="1"/>
  <c r="E12" i="28"/>
  <c r="L13" i="28"/>
  <c r="F4" i="39"/>
  <c r="H18" i="39"/>
  <c r="F8" i="12"/>
  <c r="G22" i="12"/>
  <c r="L10" i="12"/>
  <c r="K31" i="12"/>
  <c r="P12" i="12"/>
  <c r="R34" i="12"/>
  <c r="I10" i="52"/>
  <c r="E10" i="42"/>
  <c r="K20" i="28"/>
  <c r="O4" i="1"/>
  <c r="G4" i="28"/>
  <c r="L9" i="1"/>
  <c r="F2" i="39"/>
  <c r="O14" i="1"/>
  <c r="G7" i="28"/>
  <c r="M13" i="28"/>
  <c r="F5" i="39"/>
  <c r="G8" i="12"/>
  <c r="E23" i="12"/>
  <c r="M10" i="12"/>
  <c r="R12" i="12"/>
  <c r="G5" i="56"/>
  <c r="V9" i="56"/>
  <c r="E3" i="12"/>
  <c r="F14" i="1"/>
  <c r="C23" i="55"/>
  <c r="L22" i="28"/>
  <c r="J23" i="56"/>
  <c r="F11" i="1"/>
  <c r="H23" i="28"/>
  <c r="E12" i="42"/>
  <c r="K4" i="1"/>
  <c r="K14" i="28"/>
  <c r="F6" i="39"/>
  <c r="H20" i="39"/>
  <c r="E10" i="12"/>
  <c r="F23" i="12"/>
  <c r="M32" i="12"/>
  <c r="Q13" i="12"/>
  <c r="H6" i="56"/>
  <c r="B2" i="46"/>
  <c r="K16" i="1"/>
  <c r="J21" i="39"/>
  <c r="P20" i="12"/>
  <c r="G18" i="1"/>
  <c r="K9" i="1"/>
  <c r="O8" i="1"/>
  <c r="G19" i="12"/>
  <c r="L10" i="1"/>
  <c r="D13" i="28"/>
  <c r="H19" i="39"/>
  <c r="K11" i="12"/>
  <c r="I23" i="1"/>
  <c r="K3" i="28"/>
  <c r="E14" i="28"/>
  <c r="M12" i="12"/>
  <c r="L33" i="12"/>
  <c r="O14" i="12"/>
  <c r="J6" i="56"/>
  <c r="T11" i="56"/>
  <c r="C2" i="46"/>
  <c r="C15" i="42"/>
  <c r="K13" i="1"/>
  <c r="H20" i="28"/>
  <c r="K14" i="1"/>
  <c r="D14" i="28"/>
  <c r="O17" i="1"/>
  <c r="J2" i="39"/>
  <c r="L3" i="28"/>
  <c r="J4" i="39"/>
  <c r="F10" i="12"/>
  <c r="F30" i="12"/>
  <c r="M33" i="12"/>
  <c r="R14" i="12"/>
  <c r="H8" i="56"/>
  <c r="V13" i="56"/>
  <c r="G8" i="28"/>
  <c r="G3" i="1"/>
  <c r="D16" i="28"/>
  <c r="G9" i="28"/>
  <c r="J5" i="39"/>
  <c r="E11" i="12"/>
  <c r="E31" i="12"/>
  <c r="K13" i="12"/>
  <c r="O15" i="12"/>
  <c r="G9" i="56"/>
  <c r="S14" i="56"/>
  <c r="I2" i="46"/>
  <c r="H16" i="42"/>
  <c r="C21" i="55"/>
  <c r="F7" i="1"/>
  <c r="L14" i="28"/>
  <c r="I19" i="1"/>
  <c r="D15" i="28"/>
  <c r="J11" i="1"/>
  <c r="K15" i="1"/>
  <c r="F27" i="1"/>
  <c r="H7" i="1"/>
  <c r="K11" i="1"/>
  <c r="J19" i="1"/>
  <c r="H9" i="28"/>
  <c r="M3" i="28"/>
  <c r="K15" i="28"/>
  <c r="F9" i="39"/>
  <c r="J6" i="39"/>
  <c r="F31" i="12"/>
  <c r="M13" i="12"/>
  <c r="P3" i="12"/>
  <c r="P15" i="12"/>
  <c r="H9" i="56"/>
  <c r="U2" i="46"/>
  <c r="G18" i="42"/>
  <c r="L8" i="1"/>
  <c r="E16" i="12"/>
  <c r="J17" i="1"/>
  <c r="C7" i="52"/>
  <c r="K12" i="28"/>
  <c r="G10" i="1"/>
  <c r="J10" i="1"/>
  <c r="O12" i="1"/>
  <c r="G23" i="1"/>
  <c r="J9" i="39"/>
  <c r="G11" i="12"/>
  <c r="G31" i="12"/>
  <c r="K14" i="12"/>
  <c r="Q3" i="12"/>
  <c r="O16" i="12"/>
  <c r="V2" i="46"/>
  <c r="H18" i="42"/>
  <c r="K28" i="1"/>
  <c r="E6" i="28"/>
  <c r="L8" i="28"/>
  <c r="K5" i="12"/>
  <c r="F5" i="1"/>
  <c r="J9" i="1"/>
  <c r="K22" i="12"/>
  <c r="I22" i="1"/>
  <c r="G6" i="1"/>
  <c r="I18" i="1"/>
  <c r="H6" i="1"/>
  <c r="K22" i="1"/>
  <c r="I6" i="1"/>
  <c r="G23" i="28"/>
  <c r="H19" i="1"/>
  <c r="G23" i="12"/>
  <c r="F3" i="1"/>
  <c r="H11" i="1"/>
  <c r="L15" i="1"/>
  <c r="K3" i="1"/>
  <c r="I7" i="1"/>
  <c r="L11" i="1"/>
  <c r="F16" i="1"/>
  <c r="F20" i="1"/>
  <c r="O23" i="1"/>
  <c r="D17" i="28"/>
  <c r="H11" i="28"/>
  <c r="M4" i="28"/>
  <c r="F13" i="39"/>
  <c r="J10" i="39"/>
  <c r="E12" i="12"/>
  <c r="G32" i="12"/>
  <c r="P16" i="12"/>
  <c r="I10" i="56"/>
  <c r="U15" i="56"/>
  <c r="H11" i="52"/>
  <c r="F7" i="39"/>
  <c r="G7" i="1"/>
  <c r="I15" i="1"/>
  <c r="K19" i="1"/>
  <c r="L3" i="1"/>
  <c r="M16" i="28"/>
  <c r="F14" i="39"/>
  <c r="F12" i="12"/>
  <c r="E33" i="12"/>
  <c r="L14" i="12"/>
  <c r="R3" i="12"/>
  <c r="G11" i="56"/>
  <c r="S18" i="56"/>
  <c r="H2" i="47"/>
  <c r="J8" i="1"/>
  <c r="H12" i="1"/>
  <c r="L20" i="1"/>
  <c r="H22" i="28"/>
  <c r="H23" i="1"/>
  <c r="G11" i="1"/>
  <c r="G15" i="1"/>
  <c r="D31" i="1"/>
  <c r="H15" i="1"/>
  <c r="F12" i="39"/>
  <c r="G20" i="1"/>
  <c r="I27" i="1"/>
  <c r="E17" i="28"/>
  <c r="K5" i="28"/>
  <c r="L7" i="1"/>
  <c r="F12" i="1"/>
  <c r="G16" i="1"/>
  <c r="H20" i="1"/>
  <c r="D3" i="28"/>
  <c r="H12" i="28"/>
  <c r="J11" i="39"/>
  <c r="E13" i="12"/>
  <c r="F33" i="12"/>
  <c r="M14" i="12"/>
  <c r="P4" i="12"/>
  <c r="Q16" i="12"/>
  <c r="I12" i="56"/>
  <c r="T18" i="56"/>
  <c r="C11" i="43"/>
  <c r="J13" i="1"/>
  <c r="G9" i="12"/>
  <c r="C28" i="55"/>
  <c r="H7" i="28"/>
  <c r="K23" i="1"/>
  <c r="L23" i="1"/>
  <c r="J3" i="1"/>
  <c r="H27" i="1"/>
  <c r="E16" i="28"/>
  <c r="G10" i="28"/>
  <c r="L4" i="28"/>
  <c r="M15" i="28"/>
  <c r="K7" i="1"/>
  <c r="C9" i="55"/>
  <c r="F4" i="1"/>
  <c r="I16" i="1"/>
  <c r="J20" i="1"/>
  <c r="J27" i="1"/>
  <c r="E3" i="28"/>
  <c r="D19" i="28"/>
  <c r="L6" i="28"/>
  <c r="M17" i="28"/>
  <c r="F17" i="39"/>
  <c r="J13" i="39"/>
  <c r="G13" i="12"/>
  <c r="L15" i="12"/>
  <c r="O17" i="12"/>
  <c r="H13" i="56"/>
  <c r="T2" i="47"/>
  <c r="H11" i="43"/>
  <c r="K12" i="12"/>
  <c r="M17" i="12"/>
  <c r="T9" i="56"/>
  <c r="U13" i="56"/>
  <c r="T22" i="56"/>
  <c r="I5" i="52"/>
  <c r="D8" i="52"/>
  <c r="R2" i="47"/>
  <c r="R2" i="7"/>
  <c r="R2" i="5"/>
  <c r="R2" i="15"/>
  <c r="U3" i="18"/>
  <c r="I8" i="42"/>
  <c r="G11" i="42"/>
  <c r="E21" i="42"/>
  <c r="AC4" i="9"/>
  <c r="AG4" i="9"/>
  <c r="B4" i="9"/>
  <c r="C19" i="55"/>
  <c r="H3" i="28"/>
  <c r="G12" i="28"/>
  <c r="M6" i="12"/>
  <c r="L12" i="12"/>
  <c r="T5" i="56"/>
  <c r="U9" i="56"/>
  <c r="U22" i="56"/>
  <c r="J5" i="52"/>
  <c r="E8" i="52"/>
  <c r="S2" i="47"/>
  <c r="S2" i="5"/>
  <c r="V3" i="18"/>
  <c r="J5" i="42"/>
  <c r="J8" i="42"/>
  <c r="D12" i="42"/>
  <c r="F21" i="42"/>
  <c r="G12" i="43"/>
  <c r="C4" i="9"/>
  <c r="AH4" i="9"/>
  <c r="A3" i="18"/>
  <c r="C3" i="42"/>
  <c r="D6" i="42"/>
  <c r="C9" i="42"/>
  <c r="E15" i="42"/>
  <c r="G21" i="42"/>
  <c r="C13" i="43"/>
  <c r="U18" i="56"/>
  <c r="I3" i="52"/>
  <c r="D6" i="52"/>
  <c r="C11" i="52"/>
  <c r="D2" i="46"/>
  <c r="A2" i="47"/>
  <c r="U2" i="47"/>
  <c r="V2" i="7"/>
  <c r="U2" i="5"/>
  <c r="E6" i="42"/>
  <c r="G12" i="42"/>
  <c r="I18" i="42"/>
  <c r="H12" i="43"/>
  <c r="D4" i="9"/>
  <c r="AI4" i="9"/>
  <c r="O31" i="12"/>
  <c r="H5" i="56"/>
  <c r="I9" i="56"/>
  <c r="G18" i="56"/>
  <c r="S10" i="56"/>
  <c r="T14" i="56"/>
  <c r="E9" i="28"/>
  <c r="D18" i="28"/>
  <c r="E22" i="12"/>
  <c r="G33" i="12"/>
  <c r="H18" i="56"/>
  <c r="I22" i="56"/>
  <c r="S23" i="56"/>
  <c r="H8" i="52"/>
  <c r="V2" i="47"/>
  <c r="C3" i="18"/>
  <c r="F15" i="42"/>
  <c r="C14" i="43"/>
  <c r="J13" i="56"/>
  <c r="J6" i="1"/>
  <c r="F9" i="1"/>
  <c r="I11" i="1"/>
  <c r="L13" i="1"/>
  <c r="K18" i="1"/>
  <c r="G21" i="1"/>
  <c r="J23" i="1"/>
  <c r="O20" i="1"/>
  <c r="G5" i="28"/>
  <c r="H13" i="28"/>
  <c r="G22" i="28"/>
  <c r="L7" i="28"/>
  <c r="K13" i="28"/>
  <c r="M18" i="28"/>
  <c r="F3" i="39"/>
  <c r="F20" i="39"/>
  <c r="E5" i="12"/>
  <c r="O4" i="12"/>
  <c r="P8" i="12"/>
  <c r="Q12" i="12"/>
  <c r="R16" i="12"/>
  <c r="O21" i="12"/>
  <c r="P31" i="12"/>
  <c r="I5" i="56"/>
  <c r="J9" i="56"/>
  <c r="G14" i="56"/>
  <c r="J22" i="56"/>
  <c r="S6" i="56"/>
  <c r="T10" i="56"/>
  <c r="U14" i="56"/>
  <c r="V18" i="56"/>
  <c r="J3" i="52"/>
  <c r="E6" i="52"/>
  <c r="D11" i="52"/>
  <c r="E2" i="46"/>
  <c r="B2" i="47"/>
  <c r="A2" i="5"/>
  <c r="V2" i="5"/>
  <c r="E3" i="42"/>
  <c r="G6" i="42"/>
  <c r="E9" i="42"/>
  <c r="H12" i="42"/>
  <c r="J18" i="42"/>
  <c r="G22" i="42"/>
  <c r="E4" i="9"/>
  <c r="AJ4" i="9"/>
  <c r="R20" i="12"/>
  <c r="V5" i="56"/>
  <c r="C22" i="55"/>
  <c r="G4" i="1"/>
  <c r="H16" i="1"/>
  <c r="O3" i="1"/>
  <c r="H16" i="39"/>
  <c r="J12" i="39"/>
  <c r="G10" i="12"/>
  <c r="F16" i="12"/>
  <c r="E34" i="12"/>
  <c r="M7" i="12"/>
  <c r="L13" i="12"/>
  <c r="K19" i="12"/>
  <c r="M30" i="12"/>
  <c r="D10" i="28"/>
  <c r="G16" i="12"/>
  <c r="F22" i="12"/>
  <c r="H14" i="56"/>
  <c r="I18" i="56"/>
  <c r="T23" i="56"/>
  <c r="I8" i="52"/>
  <c r="B2" i="7"/>
  <c r="D3" i="18"/>
  <c r="G15" i="42"/>
  <c r="C15" i="43"/>
  <c r="H13" i="43"/>
  <c r="C2" i="7"/>
  <c r="A2" i="15"/>
  <c r="H22" i="42"/>
  <c r="F4" i="9"/>
  <c r="AK4" i="9"/>
  <c r="Q31" i="12"/>
  <c r="J5" i="56"/>
  <c r="G10" i="56"/>
  <c r="J18" i="56"/>
  <c r="G23" i="56"/>
  <c r="T6" i="56"/>
  <c r="U10" i="56"/>
  <c r="V14" i="56"/>
  <c r="S19" i="56"/>
  <c r="C4" i="52"/>
  <c r="F6" i="52"/>
  <c r="E11" i="52"/>
  <c r="F2" i="46"/>
  <c r="C2" i="47"/>
  <c r="B2" i="5"/>
  <c r="F3" i="42"/>
  <c r="H6" i="42"/>
  <c r="F9" i="42"/>
  <c r="I12" i="42"/>
  <c r="C19" i="42"/>
  <c r="O5" i="1"/>
  <c r="O22" i="1"/>
  <c r="F11" i="12"/>
  <c r="E17" i="12"/>
  <c r="H10" i="56"/>
  <c r="I14" i="56"/>
  <c r="U23" i="56"/>
  <c r="D4" i="52"/>
  <c r="C9" i="52"/>
  <c r="D2" i="47"/>
  <c r="B2" i="15"/>
  <c r="E3" i="18"/>
  <c r="D16" i="42"/>
  <c r="G14" i="43"/>
  <c r="G4" i="9"/>
  <c r="M19" i="12"/>
  <c r="L31" i="12"/>
  <c r="Q4" i="12"/>
  <c r="R8" i="12"/>
  <c r="O13" i="12"/>
  <c r="P17" i="12"/>
  <c r="Q21" i="12"/>
  <c r="R31" i="12"/>
  <c r="G6" i="56"/>
  <c r="J14" i="56"/>
  <c r="G19" i="56"/>
  <c r="H23" i="56"/>
  <c r="U6" i="56"/>
  <c r="V10" i="56"/>
  <c r="S15" i="56"/>
  <c r="T19" i="56"/>
  <c r="H6" i="52"/>
  <c r="F11" i="52"/>
  <c r="G2" i="46"/>
  <c r="E2" i="7"/>
  <c r="C2" i="5"/>
  <c r="D2" i="15"/>
  <c r="G3" i="42"/>
  <c r="I6" i="42"/>
  <c r="G9" i="42"/>
  <c r="J12" i="42"/>
  <c r="E16" i="42"/>
  <c r="I22" i="42"/>
  <c r="C23" i="43"/>
  <c r="AL4" i="9"/>
  <c r="V23" i="56"/>
  <c r="E4" i="52"/>
  <c r="D9" i="52"/>
  <c r="E2" i="47"/>
  <c r="F3" i="18"/>
  <c r="H3" i="42"/>
  <c r="J9" i="42"/>
  <c r="E19" i="42"/>
  <c r="H14" i="43"/>
  <c r="H4" i="9"/>
  <c r="AM4" i="9"/>
  <c r="M31" i="12"/>
  <c r="R4" i="12"/>
  <c r="O9" i="12"/>
  <c r="P13" i="12"/>
  <c r="Q17" i="12"/>
  <c r="R21" i="12"/>
  <c r="O32" i="12"/>
  <c r="J10" i="56"/>
  <c r="G15" i="56"/>
  <c r="H19" i="56"/>
  <c r="I23" i="56"/>
  <c r="V6" i="56"/>
  <c r="S11" i="56"/>
  <c r="T15" i="56"/>
  <c r="U19" i="56"/>
  <c r="I6" i="52"/>
  <c r="G11" i="52"/>
  <c r="H2" i="46"/>
  <c r="F2" i="47"/>
  <c r="F2" i="7"/>
  <c r="F2" i="15"/>
  <c r="J3" i="42"/>
  <c r="J6" i="42"/>
  <c r="C13" i="42"/>
  <c r="G16" i="42"/>
  <c r="J22" i="42"/>
  <c r="G3" i="43"/>
  <c r="K21" i="1"/>
  <c r="G27" i="1"/>
  <c r="J16" i="39"/>
  <c r="F6" i="12"/>
  <c r="P32" i="12"/>
  <c r="I6" i="56"/>
  <c r="S24" i="56"/>
  <c r="F4" i="52"/>
  <c r="E9" i="52"/>
  <c r="E2" i="5"/>
  <c r="G2" i="15"/>
  <c r="D10" i="42"/>
  <c r="F19" i="42"/>
  <c r="I4" i="9"/>
  <c r="AN4" i="9"/>
  <c r="C23" i="42"/>
  <c r="H3" i="43"/>
  <c r="H18" i="43"/>
  <c r="M4" i="9"/>
  <c r="H21" i="39"/>
  <c r="J17" i="39"/>
  <c r="P22" i="12"/>
  <c r="Q32" i="12"/>
  <c r="H4" i="52"/>
  <c r="F9" i="52"/>
  <c r="J2" i="46"/>
  <c r="I2" i="47"/>
  <c r="F2" i="5"/>
  <c r="I2" i="15"/>
  <c r="E4" i="42"/>
  <c r="E13" i="42"/>
  <c r="G19" i="42"/>
  <c r="Q4" i="9"/>
  <c r="A2" i="38"/>
  <c r="K9" i="28"/>
  <c r="M14" i="28"/>
  <c r="L20" i="28"/>
  <c r="F8" i="39"/>
  <c r="H4" i="39"/>
  <c r="J18" i="39"/>
  <c r="E7" i="12"/>
  <c r="G12" i="12"/>
  <c r="F18" i="12"/>
  <c r="E30" i="12"/>
  <c r="M3" i="12"/>
  <c r="L9" i="12"/>
  <c r="K15" i="12"/>
  <c r="M20" i="12"/>
  <c r="L32" i="12"/>
  <c r="P5" i="12"/>
  <c r="Q9" i="12"/>
  <c r="R13" i="12"/>
  <c r="O18" i="12"/>
  <c r="R32" i="12"/>
  <c r="G7" i="56"/>
  <c r="H11" i="56"/>
  <c r="I15" i="56"/>
  <c r="J19" i="56"/>
  <c r="G24" i="56"/>
  <c r="T7" i="56"/>
  <c r="U11" i="56"/>
  <c r="V15" i="56"/>
  <c r="S20" i="56"/>
  <c r="U24" i="56"/>
  <c r="D7" i="52"/>
  <c r="I11" i="52"/>
  <c r="H2" i="7"/>
  <c r="I3" i="18"/>
  <c r="G10" i="42"/>
  <c r="I16" i="42"/>
  <c r="G4" i="43"/>
  <c r="G19" i="43"/>
  <c r="I2" i="38"/>
  <c r="H5" i="39"/>
  <c r="H22" i="39"/>
  <c r="P18" i="12"/>
  <c r="Q22" i="12"/>
  <c r="I4" i="52"/>
  <c r="G9" i="52"/>
  <c r="K2" i="46"/>
  <c r="K2" i="47"/>
  <c r="G2" i="5"/>
  <c r="J2" i="15"/>
  <c r="G4" i="42"/>
  <c r="E7" i="42"/>
  <c r="F13" i="42"/>
  <c r="D20" i="42"/>
  <c r="E23" i="42"/>
  <c r="R4" i="9"/>
  <c r="O33" i="12"/>
  <c r="L2" i="46"/>
  <c r="J2" i="38"/>
  <c r="L14" i="1"/>
  <c r="H17" i="1"/>
  <c r="F10" i="39"/>
  <c r="H6" i="39"/>
  <c r="P14" i="12"/>
  <c r="Q18" i="12"/>
  <c r="C5" i="52"/>
  <c r="H9" i="52"/>
  <c r="L2" i="47"/>
  <c r="I2" i="5"/>
  <c r="K2" i="15"/>
  <c r="H4" i="42"/>
  <c r="F7" i="42"/>
  <c r="G13" i="42"/>
  <c r="F23" i="42"/>
  <c r="S4" i="9"/>
  <c r="R22" i="12"/>
  <c r="H7" i="56"/>
  <c r="I11" i="56"/>
  <c r="J15" i="56"/>
  <c r="G20" i="56"/>
  <c r="H24" i="56"/>
  <c r="U7" i="56"/>
  <c r="V11" i="56"/>
  <c r="S16" i="56"/>
  <c r="T20" i="56"/>
  <c r="V24" i="56"/>
  <c r="E7" i="52"/>
  <c r="J11" i="52"/>
  <c r="I2" i="7"/>
  <c r="H2" i="5"/>
  <c r="J3" i="18"/>
  <c r="H10" i="42"/>
  <c r="J16" i="42"/>
  <c r="E20" i="42"/>
  <c r="H4" i="43"/>
  <c r="C29" i="55"/>
  <c r="G5" i="1"/>
  <c r="F10" i="1"/>
  <c r="I12" i="1"/>
  <c r="I17" i="1"/>
  <c r="L19" i="1"/>
  <c r="H22" i="1"/>
  <c r="K27" i="1"/>
  <c r="O11" i="1"/>
  <c r="D5" i="28"/>
  <c r="E13" i="28"/>
  <c r="D22" i="28"/>
  <c r="H8" i="28"/>
  <c r="G17" i="28"/>
  <c r="K4" i="28"/>
  <c r="M9" i="28"/>
  <c r="L15" i="28"/>
  <c r="K21" i="28"/>
  <c r="H7" i="39"/>
  <c r="J20" i="39"/>
  <c r="R5" i="12"/>
  <c r="O10" i="12"/>
  <c r="R18" i="12"/>
  <c r="P33" i="12"/>
  <c r="J11" i="56"/>
  <c r="G16" i="56"/>
  <c r="H20" i="56"/>
  <c r="V7" i="56"/>
  <c r="S12" i="56"/>
  <c r="T16" i="56"/>
  <c r="U20" i="56"/>
  <c r="T25" i="56"/>
  <c r="F7" i="52"/>
  <c r="C12" i="52"/>
  <c r="N2" i="46"/>
  <c r="J2" i="5"/>
  <c r="K3" i="18"/>
  <c r="I10" i="42"/>
  <c r="C17" i="42"/>
  <c r="G20" i="42"/>
  <c r="G20" i="43"/>
  <c r="K2" i="38"/>
  <c r="H19" i="43"/>
  <c r="C12" i="55"/>
  <c r="J3" i="39"/>
  <c r="G7" i="12"/>
  <c r="F13" i="12"/>
  <c r="E19" i="12"/>
  <c r="G30" i="12"/>
  <c r="L4" i="12"/>
  <c r="K10" i="12"/>
  <c r="M15" i="12"/>
  <c r="L21" i="12"/>
  <c r="K33" i="12"/>
  <c r="O23" i="12"/>
  <c r="I7" i="56"/>
  <c r="I24" i="56"/>
  <c r="J12" i="1"/>
  <c r="F15" i="1"/>
  <c r="L21" i="28"/>
  <c r="F11" i="39"/>
  <c r="P10" i="12"/>
  <c r="Q14" i="12"/>
  <c r="D5" i="52"/>
  <c r="I9" i="52"/>
  <c r="D12" i="52"/>
  <c r="M2" i="47"/>
  <c r="K2" i="7"/>
  <c r="L2" i="15"/>
  <c r="L3" i="18"/>
  <c r="I4" i="42"/>
  <c r="G7" i="42"/>
  <c r="D14" i="42"/>
  <c r="G23" i="42"/>
  <c r="H5" i="43"/>
  <c r="T4" i="9"/>
  <c r="P23" i="12"/>
  <c r="I20" i="56"/>
  <c r="J24" i="56"/>
  <c r="T12" i="56"/>
  <c r="U16" i="56"/>
  <c r="V20" i="56"/>
  <c r="H20" i="43"/>
  <c r="L2" i="38"/>
  <c r="O19" i="12"/>
  <c r="Q33" i="12"/>
  <c r="J7" i="56"/>
  <c r="G12" i="56"/>
  <c r="H16" i="56"/>
  <c r="S8" i="56"/>
  <c r="U25" i="56"/>
  <c r="G7" i="52"/>
  <c r="O2" i="46"/>
  <c r="L2" i="5"/>
  <c r="N3" i="18"/>
  <c r="J7" i="42"/>
  <c r="J10" i="42"/>
  <c r="E14" i="42"/>
  <c r="H20" i="42"/>
  <c r="H10" i="1"/>
  <c r="K12" i="1"/>
  <c r="K16" i="28"/>
  <c r="M21" i="28"/>
  <c r="P6" i="12"/>
  <c r="Q10" i="12"/>
  <c r="E5" i="52"/>
  <c r="J9" i="52"/>
  <c r="E12" i="52"/>
  <c r="N2" i="47"/>
  <c r="L2" i="7"/>
  <c r="M2" i="5"/>
  <c r="M2" i="15"/>
  <c r="J4" i="42"/>
  <c r="E17" i="42"/>
  <c r="G6" i="43"/>
  <c r="U4" i="9"/>
  <c r="M2" i="38"/>
  <c r="R33" i="12"/>
  <c r="G8" i="56"/>
  <c r="I16" i="56"/>
  <c r="J20" i="56"/>
  <c r="G25" i="56"/>
  <c r="T8" i="56"/>
  <c r="U12" i="56"/>
  <c r="V16" i="56"/>
  <c r="S21" i="56"/>
  <c r="C3" i="52"/>
  <c r="H7" i="52"/>
  <c r="F12" i="52"/>
  <c r="Q2" i="46"/>
  <c r="P3" i="18"/>
  <c r="D8" i="42"/>
  <c r="C11" i="42"/>
  <c r="G14" i="42"/>
  <c r="I20" i="42"/>
  <c r="C7" i="43"/>
  <c r="H12" i="56"/>
  <c r="F8" i="1"/>
  <c r="I10" i="1"/>
  <c r="M10" i="28"/>
  <c r="L16" i="28"/>
  <c r="K34" i="12"/>
  <c r="Q6" i="12"/>
  <c r="T21" i="56"/>
  <c r="F5" i="52"/>
  <c r="C10" i="52"/>
  <c r="O2" i="47"/>
  <c r="M2" i="7"/>
  <c r="O2" i="5"/>
  <c r="Q3" i="18"/>
  <c r="C5" i="42"/>
  <c r="E8" i="42"/>
  <c r="F17" i="42"/>
  <c r="H6" i="43"/>
  <c r="H21" i="43"/>
  <c r="V4" i="9"/>
  <c r="N2" i="38"/>
  <c r="J16" i="56"/>
  <c r="N2" i="7"/>
  <c r="O2" i="15"/>
  <c r="H14" i="42"/>
  <c r="J20" i="42"/>
  <c r="C8" i="43"/>
  <c r="W4" i="9"/>
  <c r="O2" i="38"/>
  <c r="D10" i="52"/>
  <c r="H12" i="52"/>
  <c r="K5" i="1"/>
  <c r="G8" i="1"/>
  <c r="L5" i="28"/>
  <c r="K11" i="28"/>
  <c r="M22" i="12"/>
  <c r="L34" i="12"/>
  <c r="T17" i="56"/>
  <c r="U21" i="56"/>
  <c r="G5" i="52"/>
  <c r="P2" i="47"/>
  <c r="P2" i="5"/>
  <c r="S3" i="18"/>
  <c r="G8" i="42"/>
  <c r="E11" i="42"/>
  <c r="G17" i="42"/>
  <c r="G22" i="43"/>
  <c r="G13" i="1"/>
  <c r="F18" i="1"/>
  <c r="I20" i="1"/>
  <c r="H28" i="1"/>
  <c r="O15" i="1"/>
  <c r="D7" i="28"/>
  <c r="E15" i="28"/>
  <c r="D26" i="28"/>
  <c r="H10" i="28"/>
  <c r="G19" i="28"/>
  <c r="L11" i="28"/>
  <c r="K17" i="28"/>
  <c r="M22" i="28"/>
  <c r="F15" i="39"/>
  <c r="H11" i="39"/>
  <c r="J7" i="39"/>
  <c r="F3" i="12"/>
  <c r="E9" i="12"/>
  <c r="G14" i="12"/>
  <c r="F20" i="12"/>
  <c r="E32" i="12"/>
  <c r="M5" i="12"/>
  <c r="L11" i="12"/>
  <c r="I8" i="56"/>
  <c r="J12" i="56"/>
  <c r="G17" i="56"/>
  <c r="H21" i="56"/>
  <c r="I25" i="56"/>
  <c r="V8" i="56"/>
  <c r="S13" i="56"/>
  <c r="E3" i="52"/>
  <c r="J7" i="52"/>
  <c r="E10" i="52"/>
  <c r="I12" i="52"/>
  <c r="S2" i="46"/>
  <c r="O2" i="7"/>
  <c r="P2" i="15"/>
  <c r="E5" i="42"/>
  <c r="I14" i="42"/>
  <c r="C21" i="42"/>
  <c r="C9" i="43"/>
  <c r="H10" i="43"/>
  <c r="X4" i="9"/>
  <c r="P2" i="38"/>
  <c r="G21" i="56"/>
  <c r="H25" i="56"/>
  <c r="U8" i="56"/>
  <c r="V12" i="56"/>
  <c r="S17" i="56"/>
  <c r="D3" i="52"/>
  <c r="I7" i="52"/>
  <c r="R2" i="46"/>
  <c r="C16" i="55"/>
  <c r="H3" i="1"/>
  <c r="H8" i="1"/>
  <c r="K10" i="1"/>
  <c r="L22" i="1"/>
  <c r="K17" i="12"/>
  <c r="M34" i="12"/>
  <c r="O7" i="12"/>
  <c r="P11" i="12"/>
  <c r="Q15" i="12"/>
  <c r="R19" i="12"/>
  <c r="O30" i="12"/>
  <c r="P34" i="12"/>
  <c r="I3" i="1"/>
  <c r="L5" i="1"/>
  <c r="H19" i="28"/>
  <c r="M5" i="28"/>
  <c r="L17" i="12"/>
  <c r="K23" i="12"/>
  <c r="T13" i="56"/>
  <c r="U17" i="56"/>
  <c r="S22" i="56"/>
  <c r="H5" i="52"/>
  <c r="Q2" i="47"/>
  <c r="P2" i="7"/>
  <c r="Q2" i="5"/>
  <c r="T3" i="18"/>
  <c r="H8" i="42"/>
  <c r="F11" i="42"/>
  <c r="D18" i="42"/>
  <c r="E26" i="28"/>
  <c r="G11" i="28"/>
  <c r="K6" i="28"/>
  <c r="M11" i="28"/>
  <c r="L17" i="28"/>
  <c r="K23" i="28"/>
  <c r="F16" i="39"/>
  <c r="H12" i="39"/>
  <c r="J8" i="39"/>
  <c r="G3" i="12"/>
  <c r="F9" i="12"/>
  <c r="E15" i="12"/>
  <c r="G20" i="12"/>
  <c r="F32" i="12"/>
  <c r="K6" i="12"/>
  <c r="M11" i="12"/>
  <c r="L23" i="12"/>
  <c r="O3" i="12"/>
  <c r="P7" i="12"/>
  <c r="Q11" i="12"/>
  <c r="R15" i="12"/>
  <c r="O20" i="12"/>
  <c r="P30" i="12"/>
  <c r="Q34" i="12"/>
  <c r="J8" i="56"/>
  <c r="G13" i="56"/>
  <c r="H17" i="56"/>
  <c r="I21" i="56"/>
  <c r="J25" i="56"/>
  <c r="S9" i="56"/>
  <c r="V17" i="56"/>
  <c r="F3" i="52"/>
  <c r="C8" i="52"/>
  <c r="F10" i="52"/>
  <c r="A2" i="46"/>
  <c r="T2" i="46"/>
  <c r="Q2" i="15"/>
  <c r="F5" i="42"/>
  <c r="J14" i="42"/>
  <c r="E18" i="42"/>
  <c r="C10" i="43"/>
  <c r="G11" i="43"/>
  <c r="Y4" i="9"/>
  <c r="Q2" i="38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H22" i="43"/>
  <c r="J4" i="9"/>
  <c r="Z4" i="9"/>
  <c r="B2" i="38"/>
  <c r="R2" i="38"/>
  <c r="H5" i="42"/>
  <c r="H7" i="42"/>
  <c r="H9" i="42"/>
  <c r="H11" i="42"/>
  <c r="H13" i="42"/>
  <c r="H15" i="42"/>
  <c r="H17" i="42"/>
  <c r="H19" i="42"/>
  <c r="H21" i="42"/>
  <c r="H23" i="42"/>
  <c r="C16" i="43"/>
  <c r="G7" i="43"/>
  <c r="G15" i="43"/>
  <c r="G23" i="43"/>
  <c r="K4" i="9"/>
  <c r="AA4" i="9"/>
  <c r="C2" i="38"/>
  <c r="S2" i="38"/>
  <c r="C2" i="15"/>
  <c r="S2" i="15"/>
  <c r="M3" i="18"/>
  <c r="I3" i="42"/>
  <c r="I5" i="42"/>
  <c r="I7" i="42"/>
  <c r="I9" i="42"/>
  <c r="I11" i="42"/>
  <c r="I13" i="42"/>
  <c r="I15" i="42"/>
  <c r="I17" i="42"/>
  <c r="I19" i="42"/>
  <c r="I21" i="42"/>
  <c r="I23" i="42"/>
  <c r="C17" i="43"/>
  <c r="H7" i="43"/>
  <c r="H15" i="43"/>
  <c r="H23" i="43"/>
  <c r="L4" i="9"/>
  <c r="AB4" i="9"/>
  <c r="D2" i="38"/>
  <c r="T2" i="38"/>
  <c r="J11" i="42"/>
  <c r="J13" i="42"/>
  <c r="J15" i="42"/>
  <c r="J17" i="42"/>
  <c r="J19" i="42"/>
  <c r="J21" i="42"/>
  <c r="J23" i="42"/>
  <c r="C18" i="43"/>
  <c r="G8" i="43"/>
  <c r="G16" i="43"/>
  <c r="A11" i="9"/>
  <c r="A10" i="9"/>
  <c r="A9" i="9"/>
  <c r="A8" i="9"/>
  <c r="A7" i="9"/>
  <c r="A6" i="9"/>
  <c r="A5" i="9"/>
  <c r="A12" i="9"/>
  <c r="A4" i="9"/>
  <c r="A13" i="9"/>
  <c r="E2" i="38"/>
  <c r="U2" i="38"/>
  <c r="S25" i="56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G4" i="52"/>
  <c r="G6" i="52"/>
  <c r="N4" i="9"/>
  <c r="AD4" i="9"/>
  <c r="F2" i="38"/>
  <c r="V2" i="38"/>
  <c r="D22" i="42"/>
  <c r="C4" i="43"/>
  <c r="C20" i="43"/>
  <c r="G9" i="43"/>
  <c r="G17" i="43"/>
  <c r="O4" i="9"/>
  <c r="AE4" i="9"/>
  <c r="G2" i="38"/>
  <c r="J27" i="48"/>
  <c r="E22" i="42"/>
  <c r="H9" i="43"/>
  <c r="H17" i="43"/>
  <c r="C5" i="43"/>
  <c r="C21" i="43"/>
  <c r="P4" i="9"/>
  <c r="AF4" i="9"/>
  <c r="H2" i="38"/>
  <c r="J28" i="48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J18" i="1" a="1"/>
  <c r="J5" i="1" a="1"/>
  <c r="J15" i="1" a="1"/>
  <c r="M20" i="48" a="1"/>
  <c r="M5" i="48" a="1"/>
  <c r="M9" i="48" a="1"/>
  <c r="M22" i="48" a="1"/>
  <c r="M7" i="48" a="1"/>
  <c r="O16" i="1" a="1"/>
  <c r="O10" i="1" a="1"/>
  <c r="O9" i="1" a="1"/>
  <c r="O6" i="1" a="1"/>
  <c r="O19" i="1" a="1"/>
  <c r="O18" i="1" a="1"/>
  <c r="O21" i="1" a="1"/>
  <c r="E21" i="28" a="1"/>
  <c r="E18" i="28" a="1"/>
  <c r="J7" i="1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J7" i="1"/>
  <c r="E18" i="28"/>
  <c r="E21" i="28"/>
  <c r="O21" i="1"/>
  <c r="O18" i="1"/>
  <c r="O19" i="1"/>
  <c r="O6" i="1"/>
  <c r="O9" i="1"/>
  <c r="O10" i="1"/>
  <c r="O16" i="1"/>
  <c r="M7" i="48"/>
  <c r="M22" i="48"/>
  <c r="M9" i="48"/>
  <c r="M5" i="48"/>
  <c r="M20" i="48"/>
  <c r="J15" i="1"/>
  <c r="J5" i="1"/>
  <c r="J18" i="1"/>
  <c r="AE2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AE3" i="12" l="1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Q8" i="48" a="1"/>
  <c r="Q8" i="48" s="1"/>
  <c r="Q11" i="48" a="1"/>
  <c r="Q11" i="48" s="1"/>
  <c r="Q14" i="48" a="1"/>
  <c r="Q14" i="48" s="1"/>
  <c r="Q17" i="48" a="1"/>
  <c r="Q17" i="48" s="1"/>
  <c r="Q24" i="48" a="1"/>
  <c r="Q24" i="48" s="1"/>
  <c r="Q5" i="48" a="1"/>
  <c r="Q5" i="48" s="1"/>
  <c r="Q12" i="48" a="1"/>
  <c r="Q12" i="48" s="1"/>
  <c r="Q15" i="48" a="1"/>
  <c r="Q15" i="48" s="1"/>
  <c r="Q18" i="48" a="1"/>
  <c r="Q18" i="48" s="1"/>
  <c r="Q21" i="48" a="1"/>
  <c r="Q21" i="48" s="1"/>
  <c r="Q6" i="48" a="1"/>
  <c r="Q6" i="48" s="1"/>
  <c r="Q9" i="48" a="1"/>
  <c r="Q9" i="48" s="1"/>
  <c r="Q16" i="48" a="1"/>
  <c r="Q16" i="48" s="1"/>
  <c r="Q19" i="48" a="1"/>
  <c r="Q19" i="48" s="1"/>
  <c r="Q22" i="48" a="1"/>
  <c r="Q22" i="48" s="1"/>
  <c r="Q7" i="48" a="1"/>
  <c r="Q7" i="48" s="1"/>
  <c r="Q10" i="48" a="1"/>
  <c r="Q10" i="48" s="1"/>
  <c r="Q13" i="48" a="1"/>
  <c r="Q13" i="48" s="1"/>
  <c r="Q20" i="48" a="1"/>
  <c r="Q20" i="48" s="1"/>
  <c r="Q23" i="48" a="1"/>
  <c r="Q23" i="48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1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39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S20" i="48" s="1"/>
  <c r="R19" i="48" a="1"/>
  <c r="R19" i="48" s="1"/>
  <c r="S19" i="48" s="1"/>
  <c r="R18" i="48" a="1"/>
  <c r="R18" i="48" s="1"/>
  <c r="S18" i="48" s="1"/>
  <c r="R23" i="48" a="1"/>
  <c r="R23" i="48" s="1"/>
  <c r="S23" i="48" s="1"/>
  <c r="R11" i="48" a="1"/>
  <c r="R11" i="48" s="1"/>
  <c r="S11" i="48" s="1"/>
  <c r="R5" i="48" a="1"/>
  <c r="R5" i="48" s="1"/>
  <c r="S5" i="48" s="1"/>
  <c r="R12" i="48" a="1"/>
  <c r="R12" i="48" s="1"/>
  <c r="S12" i="48" s="1"/>
  <c r="R16" i="48" a="1"/>
  <c r="R16" i="48" s="1"/>
  <c r="S16" i="48" s="1"/>
  <c r="R6" i="48" a="1"/>
  <c r="R6" i="48" s="1"/>
  <c r="S6" i="48" s="1"/>
  <c r="R13" i="48" a="1"/>
  <c r="R13" i="48" s="1"/>
  <c r="S13" i="48" s="1"/>
  <c r="R9" i="48" a="1"/>
  <c r="R9" i="48" s="1"/>
  <c r="S9" i="48" s="1"/>
  <c r="R4" i="48" a="1"/>
  <c r="R4" i="48" s="1"/>
  <c r="S4" i="48" s="1"/>
  <c r="R15" i="48" a="1"/>
  <c r="R15" i="48" s="1"/>
  <c r="S15" i="48" s="1"/>
  <c r="R10" i="48" a="1"/>
  <c r="R10" i="48" s="1"/>
  <c r="S10" i="48" s="1"/>
  <c r="R14" i="48" a="1"/>
  <c r="R14" i="48" s="1"/>
  <c r="S14" i="48" s="1"/>
  <c r="R24" i="48" a="1"/>
  <c r="R24" i="48" s="1"/>
  <c r="S24" i="48" s="1"/>
  <c r="R7" i="48" a="1"/>
  <c r="R7" i="48" s="1"/>
  <c r="S7" i="48" s="1"/>
  <c r="R21" i="48" a="1"/>
  <c r="R21" i="48" s="1"/>
  <c r="S21" i="48" s="1"/>
  <c r="R17" i="48" a="1"/>
  <c r="R17" i="48" s="1"/>
  <c r="S17" i="48" s="1"/>
  <c r="R22" i="48" a="1"/>
  <c r="R22" i="48" s="1"/>
  <c r="S22" i="48" s="1"/>
  <c r="R8" i="48" a="1"/>
  <c r="R8" i="48" s="1"/>
  <c r="S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T16" i="48" l="1" a="1"/>
  <c r="T16" i="48" s="1"/>
  <c r="T11" i="48" a="1"/>
  <c r="T11" i="48" s="1"/>
  <c r="T20" i="48" a="1"/>
  <c r="T20" i="48" s="1"/>
  <c r="T17" i="48" a="1"/>
  <c r="T17" i="48" s="1"/>
  <c r="T19" i="48" a="1"/>
  <c r="T19" i="48" s="1"/>
  <c r="T6" i="48" a="1"/>
  <c r="T6" i="48" s="1"/>
  <c r="T5" i="48" a="1"/>
  <c r="T5" i="48" s="1"/>
  <c r="T18" i="48" a="1"/>
  <c r="T18" i="48" s="1"/>
  <c r="T7" i="48" a="1"/>
  <c r="T7" i="48" s="1"/>
  <c r="T8" i="48" a="1"/>
  <c r="T8" i="48" s="1"/>
  <c r="T13" i="48" a="1"/>
  <c r="T13" i="48" s="1"/>
  <c r="T10" i="48" a="1"/>
  <c r="T10" i="48" s="1"/>
  <c r="T21" i="48" a="1"/>
  <c r="T21" i="48" s="1"/>
  <c r="T22" i="48" a="1"/>
  <c r="T22" i="48" s="1"/>
  <c r="T9" i="48" a="1"/>
  <c r="T9" i="48" s="1"/>
  <c r="T15" i="48" a="1"/>
  <c r="T15" i="48" s="1"/>
  <c r="T23" i="48" a="1"/>
  <c r="T23" i="48" s="1"/>
  <c r="T12" i="48" a="1"/>
  <c r="T12" i="48" s="1"/>
  <c r="T4" i="48" a="1"/>
  <c r="T4" i="48" s="1"/>
  <c r="T14" i="48" a="1"/>
  <c r="T14" i="48" s="1"/>
  <c r="T24" i="48" a="1"/>
  <c r="T24" i="48" s="1"/>
  <c r="R124" i="47" a="1"/>
  <c r="R124" i="47" s="1"/>
  <c r="R125" i="47" a="1"/>
  <c r="R125" i="47" s="1"/>
  <c r="R127" i="47" a="1"/>
  <c r="R127" i="47" s="1"/>
  <c r="B127" i="46" l="1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E24" i="8" l="1"/>
  <c r="U2" i="12" s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E20" i="8" l="1"/>
  <c r="Z2" i="12" s="1"/>
  <c r="H16" i="8"/>
  <c r="AB2" i="12" s="1"/>
  <c r="G16" i="8"/>
  <c r="AA2" i="12" s="1"/>
  <c r="F12" i="8"/>
  <c r="W2" i="12" s="1"/>
  <c r="G12" i="8"/>
  <c r="X2" i="12" s="1"/>
  <c r="E12" i="8"/>
  <c r="V2" i="12" s="1"/>
  <c r="L13" i="13" l="1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AF2" i="12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F6" i="12" s="1"/>
  <c r="AB9" i="12" a="1"/>
  <c r="AB9" i="12" s="1"/>
  <c r="AF9" i="12" s="1"/>
  <c r="AB14" i="12" a="1"/>
  <c r="AB14" i="12" s="1"/>
  <c r="AF14" i="12" s="1"/>
  <c r="AB17" i="12" a="1"/>
  <c r="AB17" i="12" s="1"/>
  <c r="AF17" i="12" s="1"/>
  <c r="AB22" i="12" a="1"/>
  <c r="AB22" i="12" s="1"/>
  <c r="AF22" i="12" s="1"/>
  <c r="AB3" i="12" a="1"/>
  <c r="AB3" i="12" s="1"/>
  <c r="AF3" i="12" s="1"/>
  <c r="AB4" i="12" a="1"/>
  <c r="AB4" i="12" s="1"/>
  <c r="AF4" i="12" s="1"/>
  <c r="AB7" i="12" a="1"/>
  <c r="AB7" i="12" s="1"/>
  <c r="AF7" i="12" s="1"/>
  <c r="AB12" i="12" a="1"/>
  <c r="AB12" i="12" s="1"/>
  <c r="AF12" i="12" s="1"/>
  <c r="AB15" i="12" a="1"/>
  <c r="AB15" i="12" s="1"/>
  <c r="AF15" i="12" s="1"/>
  <c r="AB20" i="12" a="1"/>
  <c r="AB20" i="12" s="1"/>
  <c r="AF20" i="12" s="1"/>
  <c r="AB23" i="12" a="1"/>
  <c r="AB23" i="12" s="1"/>
  <c r="AF23" i="12" s="1"/>
  <c r="AB5" i="12" a="1"/>
  <c r="AB5" i="12" s="1"/>
  <c r="AF5" i="12" s="1"/>
  <c r="AB10" i="12" a="1"/>
  <c r="AB10" i="12" s="1"/>
  <c r="AF10" i="12" s="1"/>
  <c r="AB13" i="12" a="1"/>
  <c r="AB13" i="12" s="1"/>
  <c r="AF13" i="12" s="1"/>
  <c r="AB18" i="12" a="1"/>
  <c r="AB18" i="12" s="1"/>
  <c r="AF18" i="12" s="1"/>
  <c r="AB21" i="12" a="1"/>
  <c r="AB21" i="12" s="1"/>
  <c r="AF21" i="12" s="1"/>
  <c r="AB8" i="12" a="1"/>
  <c r="AB8" i="12" s="1"/>
  <c r="AI8" i="12" s="1"/>
  <c r="AB11" i="12" a="1"/>
  <c r="AB11" i="12" s="1"/>
  <c r="AF11" i="12" s="1"/>
  <c r="AB16" i="12" a="1"/>
  <c r="AB16" i="12" s="1"/>
  <c r="AF16" i="12" s="1"/>
  <c r="AB19" i="12" a="1"/>
  <c r="AB19" i="12" s="1"/>
  <c r="AF19" i="12" s="1"/>
  <c r="M27" i="55"/>
  <c r="M18" i="55"/>
  <c r="M10" i="55"/>
  <c r="M14" i="55"/>
  <c r="M23" i="55"/>
  <c r="M9" i="55"/>
  <c r="M22" i="55"/>
  <c r="M24" i="55"/>
  <c r="M29" i="55"/>
  <c r="M15" i="55"/>
  <c r="M16" i="55"/>
  <c r="M21" i="55"/>
  <c r="M13" i="55"/>
  <c r="M12" i="55"/>
  <c r="M28" i="55"/>
  <c r="M20" i="55"/>
  <c r="M25" i="55"/>
  <c r="M17" i="55"/>
  <c r="M26" i="55"/>
  <c r="M19" i="55"/>
  <c r="AF8" i="12" l="1"/>
  <c r="AI17" i="12"/>
  <c r="AI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I14" i="12"/>
  <c r="AI21" i="12"/>
  <c r="AI23" i="12"/>
  <c r="AI20" i="12"/>
  <c r="AI7" i="12"/>
  <c r="AI22" i="12"/>
  <c r="AI3" i="12"/>
  <c r="AI19" i="12"/>
  <c r="AI5" i="12"/>
  <c r="AI12" i="12"/>
  <c r="AI11" i="12"/>
  <c r="AI6" i="12"/>
  <c r="AI15" i="12"/>
  <c r="AI16" i="12"/>
  <c r="AI9" i="12"/>
  <c r="AI13" i="12"/>
  <c r="AI4" i="12"/>
  <c r="AI10" i="12"/>
  <c r="AH4" i="12" l="1" a="1"/>
  <c r="AH4" i="12" s="1"/>
  <c r="J25" i="40" s="1"/>
  <c r="M25" i="40" s="1"/>
  <c r="AH8" i="12" a="1"/>
  <c r="AH8" i="12" s="1"/>
  <c r="AH15" i="12" a="1"/>
  <c r="AH15" i="12" s="1"/>
  <c r="J15" i="40" s="1"/>
  <c r="AH22" i="12" a="1"/>
  <c r="AH22" i="12" s="1"/>
  <c r="J23" i="40" s="1"/>
  <c r="AH6" i="12" a="1"/>
  <c r="AH6" i="12" s="1"/>
  <c r="J16" i="40" s="1"/>
  <c r="M16" i="40" s="1"/>
  <c r="AH19" i="12" a="1"/>
  <c r="AH19" i="12" s="1"/>
  <c r="AH13" i="12" a="1"/>
  <c r="AH13" i="12" s="1"/>
  <c r="J7" i="40" s="1"/>
  <c r="AH12" i="12" a="1"/>
  <c r="AH12" i="12" s="1"/>
  <c r="J9" i="40" s="1"/>
  <c r="AH9" i="12" a="1"/>
  <c r="AH9" i="12" s="1"/>
  <c r="AH18" i="12" a="1"/>
  <c r="AH18" i="12" s="1"/>
  <c r="J26" i="40" s="1"/>
  <c r="AH3" i="12" a="1"/>
  <c r="AH3" i="12" s="1"/>
  <c r="AH17" i="12" a="1"/>
  <c r="AH17" i="12" s="1"/>
  <c r="J13" i="40" s="1"/>
  <c r="AH16" i="12" a="1"/>
  <c r="AH16" i="12" s="1"/>
  <c r="J11" i="40" s="1"/>
  <c r="AH10" i="12" a="1"/>
  <c r="AH10" i="12" s="1"/>
  <c r="AH23" i="12" a="1"/>
  <c r="AH23" i="12" s="1"/>
  <c r="J18" i="40" s="1"/>
  <c r="AH7" i="12" a="1"/>
  <c r="AH7" i="12" s="1"/>
  <c r="J8" i="40" s="1"/>
  <c r="AH14" i="12" a="1"/>
  <c r="AH14" i="12" s="1"/>
  <c r="J22" i="40" s="1"/>
  <c r="AH11" i="12" a="1"/>
  <c r="AH11" i="12" s="1"/>
  <c r="J19" i="40" s="1"/>
  <c r="AH21" i="12" a="1"/>
  <c r="AH21" i="12" s="1"/>
  <c r="J12" i="40" s="1"/>
  <c r="AH5" i="12" a="1"/>
  <c r="AH5" i="12" s="1"/>
  <c r="J27" i="40" s="1"/>
  <c r="AH20" i="12" a="1"/>
  <c r="AH20" i="12" s="1"/>
  <c r="J24" i="40" s="1"/>
  <c r="J11" i="49" l="1"/>
  <c r="F13" i="55"/>
  <c r="F18" i="55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J22" i="49"/>
  <c r="F12" i="55"/>
  <c r="J12" i="55" s="1"/>
  <c r="J16" i="49"/>
  <c r="F10" i="55"/>
  <c r="J10" i="55" s="1"/>
  <c r="J10" i="40"/>
  <c r="J14" i="40"/>
  <c r="J17" i="40"/>
  <c r="J21" i="40"/>
  <c r="J20" i="40"/>
  <c r="J18" i="55"/>
  <c r="J13" i="55"/>
  <c r="M18" i="40"/>
  <c r="M9" i="40"/>
  <c r="M12" i="40"/>
  <c r="M19" i="40"/>
  <c r="M22" i="40"/>
  <c r="M8" i="40"/>
  <c r="M7" i="40"/>
  <c r="M24" i="40"/>
  <c r="M11" i="40"/>
  <c r="M23" i="40"/>
  <c r="M27" i="40"/>
  <c r="M20" i="40" l="1"/>
  <c r="J19" i="49"/>
  <c r="F14" i="55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J14" i="55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S11" i="55" s="1"/>
  <c r="K15" i="55"/>
  <c r="R15" i="55" s="1"/>
  <c r="K19" i="55"/>
  <c r="R19" i="55" s="1"/>
  <c r="K22" i="55"/>
  <c r="R22" i="55" s="1"/>
  <c r="S24" i="55" l="1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B80A746-08E4-411E-9610-35A1F7F4F84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Timestamp="1710502641"&gt;&lt;FQL&gt;&lt;Q&gt;FC0000ZA^FG_MCAP_IDX(0,,,USD)&lt;/Q&gt;&lt;R&gt;1&lt;/R&gt;&lt;C&gt;1&lt;/C&gt;&lt;D xsi:type="xsd:double"&gt;296158.72&lt;/D&gt;&lt;/FQL&gt;&lt;FQL&gt;&lt;Q&gt;FC0000CN^FMA_MCAP(0,,,USD,"PORTAGG")&lt;/Q&gt;&lt;R&gt;1&lt;/R&gt;&lt;C&gt;1&lt;/C&gt;&lt;D xsi:type="xsd:double"&gt;7704829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xsi:type="xsd:double"&gt;5157.828&lt;/D&gt;&lt;/FQL&gt;&lt;FQL&gt;&lt;Q&gt;FC0000TR^FMA_MCAP(0,,,USD,"PORTAGG")&lt;/Q&gt;&lt;R&gt;1&lt;/R&gt;&lt;C&gt;1&lt;/C&gt;&lt;D xsi:type="xsd:double"&gt;361966.16&lt;/D&gt;&lt;/FQL&gt;&lt;FQL&gt;&lt;Q&gt;FC0000US^FMA_MCAP(0,,,USD,"PORTAGG")&lt;/Q&gt;&lt;R&gt;1&lt;/R&gt;&lt;C&gt;1&lt;/C&gt;&lt;D xsi:type="xsd:double"&gt;53747804&lt;/D&gt;&lt;/FQL&gt;&lt;FQL&gt;&lt;Q&gt;SPY^FREF_MARKET_VALUE_COMPANY(0,,,USD,,0,,"LEGACY")&lt;/Q&gt;&lt;R&gt;1&lt;/R&gt;&lt;C&gt;1&lt;/C&gt;&lt;D xsi:type="xsd:double"&gt;506263.895493&lt;/D&gt;&lt;/FQL&gt;&lt;FQL&gt;&lt;Q&gt;INDA^FREF_MARKET_VALUE_COMPANY(0,,,USD,,0,,"LEGACY")&lt;/Q&gt;&lt;R&gt;1&lt;/R&gt;&lt;C&gt;1&lt;/C&gt;&lt;D xsi:type="xsd:double"&gt;8932.5665&lt;/D&gt;&lt;/FQL&gt;&lt;FQL&gt;&lt;Q&gt;FC0000GR^FMA_MCAP(0,,,USD,"PORTAGG")&lt;/Q&gt;&lt;R&gt;1&lt;/R&gt;&lt;C&gt;1&lt;/C&gt;&lt;D xsi:type="xsd:double"&gt;82401.29&lt;/D&gt;&lt;/FQL&gt;&lt;FQL&gt;&lt;Q&gt;QQQ^FREF_MARKET_VALUE_COMPANY(0,,,USD,,0,,"LEGACY")&lt;/Q&gt;&lt;R&gt;1&lt;/R&gt;&lt;C&gt;1&lt;/C&gt;&lt;D xsi:type="xsd:double"&gt;253252.038&lt;/D&gt;&lt;/FQL&gt;&lt;FQL&gt;&lt;Q&gt;GREK^FREF_MARKET_VALUE_COMPANY(0,,,USD,,0,,"LEGACY")&lt;/Q&gt;&lt;R&gt;1&lt;/R&gt;&lt;C&gt;1&lt;/C&gt;&lt;D xsi:type="xsd:double"&gt;195.807171085&lt;/D&gt;&lt;/FQL&gt;&lt;FQL&gt;&lt;Q&gt;FC0000GB^FMA_MCAP(0,,,USD,"PORTAGG")&lt;/Q&gt;&lt;R&gt;1&lt;/R&gt;&lt;C&gt;1&lt;/C&gt;&lt;D xsi:type="xsd:double"&gt;3096719.5&lt;/D&gt;&lt;/FQL&gt;&lt;FQL&gt;&lt;Q&gt;FC0000ZA^FMA_MCAP(0,,,USD,"PORTAGG")&lt;/Q&gt;&lt;R&gt;1&lt;/R&gt;&lt;C&gt;1&lt;/C&gt;&lt;D xsi:type="xsd:double"&gt;296158.72&lt;/D&gt;&lt;/FQL&gt;&lt;FQL&gt;&lt;Q&gt;EWU^FREF_MARKET_VALUE_COMPANY(0,,,USD,,0,,"LEGACY")&lt;/Q&gt;&lt;R&gt;1&lt;/R&gt;&lt;C&gt;1&lt;/C&gt;&lt;D xsi:type="xsd:double"&gt;2542.65&lt;/D&gt;&lt;/FQL&gt;&lt;FQL&gt;&lt;Q&gt;EZA^FREF_MARKET_VALUE_COMPANY(0,,,USD,,0,,"LEGACY")&lt;/Q&gt;&lt;R&gt;1&lt;/R&gt;&lt;C&gt;1&lt;/C&gt;&lt;D xsi:type="xsd:double"&gt;263.568&lt;/D&gt;&lt;/FQL&gt;&lt;FQL&gt;&lt;Q&gt;FC0000CH^FMA_MCAP(0,,,USD,"PORTAGG")&lt;/Q&gt;&lt;R&gt;1&lt;/R&gt;&lt;C&gt;1&lt;/C&gt;&lt;D xsi:type="xsd:double"&gt;2177973.5&lt;/D&gt;&lt;/FQL&gt;&lt;FQL&gt;&lt;Q&gt;FC0000BR^FMA_MCAP(0,,,USD,"PORTAGG")&lt;/Q&gt;&lt;R&gt;1&lt;/R&gt;&lt;C&gt;1&lt;/C&gt;&lt;D xsi:type="xsd:double"&gt;781767.7&lt;/D&gt;&lt;/FQL&gt;&lt;FQL&gt;&lt;Q&gt;EWL^FREF_MARKET_VALUE_COMPANY(0,,,USD,,0,,"LEGACY")&lt;/Q&gt;&lt;R&gt;1&lt;/R&gt;&lt;C&gt;1&lt;/C&gt;&lt;D xsi:type="xsd:double"&gt;1178.2875&lt;/D&gt;&lt;/FQL&gt;&lt;FQL&gt;&lt;Q&gt;EWZ^FREF_MARKET_VALUE_COMPANY(0,,,USD,,0,,"LEGACY")&lt;/Q&gt;&lt;R&gt;1&lt;/R&gt;&lt;C&gt;1&lt;/C&gt;&lt;D xsi:type="xsd:double"&gt;5088.42&lt;/D&gt;&lt;/FQL&gt;&lt;FQL&gt;&lt;Q&gt;FC0000JP^FMA_MCAP(0,,,USD,"PORTAGG")&lt;/Q&gt;&lt;R&gt;1&lt;/R&gt;&lt;C&gt;1&lt;/C&gt;&lt;D xsi:type="xsd:double"&gt;6652499&lt;/D&gt;&lt;/FQL&gt;&lt;FQL&gt;&lt;Q&gt;FC0000KR^FMA_MCAP(0,,,USD,"PORTAGG")&lt;/Q&gt;&lt;R&gt;1&lt;/R&gt;&lt;C&gt;1&lt;/C&gt;&lt;D xsi:type="xsd:double"&gt;1963733.9&lt;/D&gt;&lt;/FQL&gt;&lt;FQL&gt;&lt;Q&gt;EWJ^FREF_MARKET_VALUE_COMPANY(0,,,USD,,0,,"LEGACY")&lt;/Q&gt;&lt;R&gt;1&lt;/R&gt;&lt;C&gt;1&lt;/C&gt;&lt;D xsi:type="xsd:double"&gt;16450.092&lt;/D&gt;&lt;/FQL&gt;&lt;FQL&gt;&lt;Q&gt;EWY^FREF_MARKET_VALUE_COMPANY(0,,,USD,,0,,"LEGACY")&lt;/Q&gt;&lt;R&gt;1&lt;/R&gt;&lt;C&gt;1&lt;/C&gt;&lt;D xsi:type="xsd:double"&gt;4841.01&lt;/D&gt;&lt;/FQL&gt;&lt;FQL&gt;&lt;Q&gt;FC0000DE^FMA_MCAP(0,,,USD,"PORTAGG")&lt;/Q&gt;&lt;R&gt;1&lt;/R&gt;&lt;C&gt;1&lt;/C&gt;&lt;D xsi:type="xsd:double"&gt;2337301&lt;/D&gt;&lt;/FQL&gt;&lt;FQL&gt;&lt;Q&gt;FC0000MX^FMA_MCAP(0,,,USD,"PORTAGG")&lt;/Q&gt;&lt;R&gt;1&lt;/R&gt;&lt;C&gt;1&lt;/C&gt;&lt;D xsi:type="xsd:double"&gt;539225.8&lt;/D&gt;&lt;/FQL&gt;&lt;FQL&gt;&lt;Q&gt;EWG^FREF_MARKET_VALUE_COMPANY(0,,,USD,,0,,"LEGACY")&lt;/Q&gt;&lt;R&gt;1&lt;/R&gt;&lt;C&gt;1&lt;/C&gt;&lt;D xsi:type="xsd:double"&gt;1009.26&lt;/D&gt;&lt;/FQL&gt;&lt;FQL&gt;&lt;Q&gt;EWW^FREF_MARKET_VALUE_COMPANY(0,,,USD,,0,,"LEGACY")&lt;/Q&gt;&lt;R&gt;1&lt;/R&gt;&lt;C&gt;1&lt;/C&gt;&lt;D xsi:type="xsd:double"&gt;1977.738&lt;/D&gt;&lt;/FQL&gt;&lt;FQL&gt;&lt;Q&gt;FC0000CA^FMA_MCAP(0,,,USD,"PORTAGG")&lt;/Q&gt;&lt;R&gt;1&lt;/R&gt;&lt;C&gt;1&lt;/C&gt;&lt;D xsi:type="xsd:double"&gt;2704108.8&lt;/D&gt;&lt;/FQL&gt;&lt;FQL&gt;&lt;Q&gt;FC0000TW^FMA_MCAP(0,,,USD,"PORTAGG")&lt;/Q&gt;&lt;R&gt;1&lt;/R&gt;&lt;C&gt;1&lt;/C&gt;&lt;D xsi:type="xsd:double"&gt;2192252.5&lt;/D&gt;&lt;/FQL&gt;&lt;FQL&gt;&lt;Q&gt;EWC^FREF_MARKET_VALUE_COMPANY(0,,,USD,,0,,"LEGACY")&lt;/Q&gt;&lt;R&gt;1&lt;/R&gt;&lt;C&gt;1&lt;/C&gt;&lt;D xsi:type="xsd:double"&gt;2798.757&lt;/D&gt;&lt;/FQL&gt;&lt;FQL&gt;&lt;Q&gt;EWT^FREF_MARKET_VALUE_COMPANY(0,,,USD,,0,,"LEGACY")&lt;/Q&gt;&lt;R&gt;1&lt;/R&gt;&lt;C&gt;1&lt;/C&gt;&lt;D xsi:type="xsd:double"&gt;4029.519&lt;/D&gt;&lt;/FQL&gt;&lt;FQL&gt;&lt;Q&gt;FC0000MY^FMA_MCAP(0,,,USD,"PORTAGG")&lt;/Q&gt;&lt;R&gt;1&lt;/R&gt;&lt;C&gt;1&lt;/C&gt;&lt;D xsi:type="xsd:double"&gt;369061.34&lt;/D&gt;&lt;/FQL&gt;&lt;FQL&gt;&lt;Q&gt;EWM^FREF_MARKET_VALUE_COMPANY(0,,,USD,,0,,"LEGACY")&lt;/Q&gt;&lt;R&gt;1&lt;/R&gt;&lt;C&gt;1&lt;/C&gt;&lt;D xsi:type="xsd:double"&gt;247.1625&lt;/D&gt;&lt;/FQL&gt;&lt;FQL&gt;&lt;Q&gt;EPU^FREF_MARKET_VALUE_COMPANY(0,,,USD,,0,,"LEGACY")&lt;/Q&gt;&lt;R&gt;1&lt;/R&gt;&lt;C&gt;1&lt;/C&gt;&lt;D xsi:type="xsd:double"&gt;105.530975&lt;/D&gt;&lt;/FQL&gt;&lt;FQL&gt;&lt;Q&gt;FC0000SA^FMA_MCAP(0,,,USD,"PORTAGG")&lt;/Q&gt;&lt;R&gt;1&lt;/R&gt;&lt;C&gt;1&lt;/C&gt;&lt;D xsi:type="xsd:double"&gt;2975066.5&lt;/D&gt;&lt;/FQL&gt;&lt;FQL&gt;&lt;Q&gt;FC0000PL^FMA_MCAP(0,,,USD,"PORTAGG")&lt;/Q&gt;&lt;R&gt;1&lt;/R&gt;&lt;C&gt;1&lt;/C&gt;&lt;D xsi:type="xsd:double"&gt;205383.28&lt;/D&gt;&lt;/FQL&gt;&lt;FQL&gt;&lt;Q&gt;KSA^FREF_MARKET_VALUE_COMPANY(0,,,USD,,0,,"LEGACY")&lt;/Q&gt;&lt;R&gt;1&lt;/R&gt;&lt;C&gt;1&lt;/C&gt;&lt;D xsi:type="xsd:double"&gt;831.215&lt;/D&gt;&lt;/FQL&gt;&lt;FQL&gt;&lt;Q&gt;FC0000PH^FMA_MCAP(0,,,USD,"PORTAGG")&lt;/Q&gt;&lt;R&gt;1&lt;/R&gt;&lt;C&gt;1&lt;/C&gt;&lt;D xsi:type="xsd:double"&gt;222019.4&lt;/D&gt;&lt;/FQL&gt;&lt;FQL&gt;&lt;Q&gt;EPHE^FREF_MARKET_VALUE_COMPANY(0,,,USD,,0,,"LEGACY")&lt;/Q&gt;&lt;R&gt;1&lt;/R&gt;&lt;C&gt;1&lt;/C&gt;&lt;D xsi:type="xsd:double"&gt;125.865&lt;/D&gt;&lt;/FQL&gt;&lt;FQL&gt;&lt;Q&gt;UAE^FREF_MARKET_VALUE_COMPANY(0,,,USD,,0,,"LEGACY")&lt;/Q&gt;&lt;R&gt;1&lt;/R&gt;&lt;C&gt;1&lt;/C&gt;&lt;D xsi:type="xsd:double"&gt;39.366&lt;/D&gt;&lt;/FQL&gt;&lt;FQL&gt;&lt;Q&gt;EIDO^FREF_MARKET_VALUE_COMPANY(0,,,USD,,0,,"LEGACY")&lt;/Q&gt;&lt;R&gt;1&lt;/R&gt;&lt;C&gt;1&lt;/C&gt;&lt;D xsi:type="xsd:double"&gt;514.08&lt;/D&gt;&lt;/FQL&gt;&lt;FQL&gt;&lt;Q&gt;FC0000CL^FMA_MCAP(0,,,USD,"PORTAGG")&lt;/Q&gt;&lt;R&gt;1&lt;/R&gt;&lt;C&gt;1&lt;/C&gt;&lt;D xsi:type="xsd:double"&gt;145370.08&lt;/D&gt;&lt;/FQL&gt;&lt;FQL&gt;&lt;Q&gt;ECH^FREF_MARKET_VALUE_COMPANY(0,,,USD,,0,,"LEGACY")&lt;/Q&gt;&lt;R&gt;1&lt;/R&gt;&lt;C&gt;1&lt;/C&gt;&lt;D xsi:type="xsd:double"&gt;579.012&lt;/D&gt;&lt;/FQL&gt;&lt;FQL&gt;&lt;Q&gt;SET-BKK^FMA_MCAP(0,,,USD,"PORTAGG")&lt;/Q&gt;&lt;R&gt;1&lt;/R&gt;&lt;C&gt;1&lt;/C&gt;&lt;D xsi:type="xsd:double"&gt;483039.974613142&lt;/D&gt;&lt;/FQL&gt;&lt;FQL&gt;&lt;Q&gt;QAT^FREF_MARKET_VALUE_COMPANY(0,,,USD,,0,,"LEGACY")&lt;/Q&gt;&lt;R&gt;1&lt;/R&gt;&lt;C&gt;1&lt;/C&gt;&lt;D xsi:type="xsd:double"&gt;81.7635&lt;/D&gt;&lt;/FQL&gt;&lt;FQL&gt;&lt;Q&gt;FC0000IN^FMA_MCAP(0,,,USD,"PORTAGG")&lt;/Q&gt;&lt;R&gt;1&lt;/R&gt;&lt;C&gt;1&lt;/C&gt;&lt;D xsi:type="xsd:double"&gt;4513078&lt;/D&gt;&lt;/FQL&gt;&lt;FQL&gt;&lt;Q&gt;EPOL^FREF_MARKET_VALUE_COMPANY(0,,,USD,,0,,"LEGACY")&lt;/Q&gt;&lt;R&gt;1&lt;/R&gt;&lt;C&gt;1&lt;/C&gt;&lt;D xsi:type="xsd:double"&gt;263.363&lt;/D&gt;&lt;/FQL&gt;&lt;FQL&gt;&lt;Q&gt;FC0000AU^FMA_MCAP(0,,,USD,"PORTAGG")&lt;/Q&gt;&lt;R&gt;1&lt;/R&gt;&lt;C&gt;1&lt;/C&gt;&lt;D xsi:type="xsd:double"&gt;1666016.6&lt;/D&gt;&lt;/FQL&gt;&lt;FQL&gt;&lt;Q&gt;EWA^FREF_MARKET_VALUE_COMPANY(0,,,USD,,0,,"LEGACY")&lt;/Q&gt;&lt;R&gt;1&lt;/R&gt;&lt;C&gt;1&lt;/C&gt;&lt;D xsi:type="xsd:double"&gt;1968.192&lt;/D&gt;&lt;/FQL&gt;&lt;FQL&gt;&lt;Q&gt;FC0000NZ^FMA_MCAP(0,,,USD,"PORTAGG")&lt;/Q&gt;&lt;R&gt;1&lt;/R&gt;&lt;C&gt;1&lt;/C&gt;&lt;D xsi:type="xsd:double"&gt;91759.45&lt;/D&gt;&lt;/FQL&gt;&lt;FQL&gt;&lt;Q&gt;FC0000PE^FMA_MCAP(0,,,USD,"PORTAGG")&lt;/Q&gt;&lt;R&gt;1&lt;/R&gt;&lt;C&gt;1&lt;/C&gt;&lt;D xsi:type="xsd:double"&gt;40302.51&lt;/D&gt;&lt;/FQL&gt;&lt;FQL&gt;&lt;Q&gt;ENZL^FREF_MARKET_VALUE_COMPANY(0,,,USD,,0,,"LEGACY")&lt;/Q&gt;&lt;R&gt;1&lt;/R&gt;&lt;C&gt;1&lt;/C&gt;&lt;D xsi:type="xsd:double"&gt;99.99&lt;/D&gt;&lt;/FQL&gt;&lt;FQL&gt;&lt;Q&gt;FTSEWIVNXXXX^FMA_MCAP(0,,,USD,"PORTAGG")&lt;/Q&gt;&lt;R&gt;1&lt;/R&gt;&lt;C&gt;1&lt;/C&gt;&lt;D xsi:type="xsd:double"&gt;25353.038894&lt;/D&gt;&lt;/FQL&gt;&lt;FQL&gt;&lt;Q&gt;VNM^FREF_MARKET_VALUE_COMPANY(0,,,USD,,0,,"LEGACY")&lt;/Q&gt;&lt;R&gt;1&lt;/R&gt;&lt;C&gt;1&lt;/C&gt;&lt;D xsi:type="xsd:double"&gt;551.6885&lt;/D&gt;&lt;/FQL&gt;&lt;FQL&gt;&lt;Q&gt;FC0000AE^FMA_MCAP(0,,,USD,"PORTAGG")&lt;/Q&gt;&lt;R&gt;1&lt;/R&gt;&lt;C&gt;1&lt;/C&gt;&lt;D xsi:type="xsd:double"&gt;889479.7&lt;/D&gt;&lt;/FQL&gt;&lt;FQL&gt;&lt;Q&gt;FC0000ID^FMA_MCAP(0,,,USD,"PORTAGG")&lt;/Q&gt;&lt;R&gt;1&lt;/R&gt;&lt;C&gt;1&lt;/C&gt;&lt;D xsi:type="xsd:double"&gt;665976.44&lt;/D&gt;&lt;/FQL&gt;&lt;FQL&gt;&lt;Q&gt;TUR^FREF_MARKET_VALUE_COMPANY(0,,,USD,,0,,"LEGACY")&lt;/Q&gt;&lt;R&gt;1&lt;/R&gt;&lt;C&gt;1&lt;/C&gt;&lt;D xsi:type="xsd:double"&gt;205.6275&lt;/D&gt;&lt;/FQL&gt;&lt;FQL&gt;&lt;Q&gt;SET-BKK^FG_MCAP_IDX(0,,,USD)&lt;/Q&gt;&lt;R&gt;1&lt;/R&gt;&lt;C&gt;1&lt;/C&gt;&lt;D xsi:type="xsd:double"&gt;483039.974613142&lt;/D&gt;&lt;/FQL&gt;&lt;FQL&gt;&lt;Q&gt;CNYA^FREF_MARKET_VALUE_COMPANY(0,,,USD,,0,,"LEGACY")&lt;/Q&gt;&lt;R&gt;1&lt;/R&gt;&lt;C&gt;1&lt;/C&gt;&lt;D xsi:type="xsd:double"&gt;188.792175&lt;/D&gt;&lt;/FQL&gt;&lt;FQL&gt;&lt;Q&gt;FC0000QA^FMA_MCAP(0,,,USD,"PORTAGG")&lt;/Q&gt;&lt;R&gt;1&lt;/R&gt;&lt;C&gt;1&lt;/C&gt;&lt;D xsi:type="xsd:double"&gt;161365&lt;/D&gt;&lt;/FQL&gt;&lt;FQL&gt;&lt;Q&gt;CC_ZA^FG_COMPANY_NAME&lt;/Q&gt;&lt;R&gt;1&lt;/R&gt;&lt;C&gt;1&lt;/C&gt;&lt;D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xsi:type="xsd:double"&gt;47.87733&lt;/D&gt;&lt;/FQL&gt;&lt;FQL&gt;&lt;Q&gt;DUMMY^ECON_EXPR_DATA('FDS_ECON[NTCPMIINDEXSA@SA]',,,M)&lt;/Q&gt;&lt;R&gt;1&lt;/R&gt;&lt;C&gt;1&lt;/C&gt;&lt;D xsi:type="xsd:double"&gt;57.158&lt;/D&gt;&lt;/FQL&gt;&lt;FQL&gt;&lt;Q&gt;DUMMY^ECON_EXPR_DATA('FDS_ECON[NTCPMIMFGSA@IN]',,,M)&lt;/Q&gt;&lt;R&gt;1&lt;/R&gt;&lt;C&gt;1&lt;/C&gt;&lt;D xsi:type="xsd:double"&gt;56.899437&lt;/D&gt;&lt;/FQL&gt;&lt;FQL&gt;&lt;Q&gt;DUMMY^ECON_EXPR_DATA('FDS_ECON[PMIMFGSA@ZA]',,,M)&lt;/Q&gt;&lt;R&gt;1&lt;/R&gt;&lt;C&gt;1&lt;/C&gt;&lt;D xsi:type="xsd:double"&gt;50.78166&lt;/D&gt;&lt;/FQL&gt;&lt;FQL&gt;&lt;Q&gt;DUMMY^ECON_EXPR_DATA('FDS_ECON[NTCPMIPHMANHE]',,,M)&lt;/Q&gt;&lt;R&gt;0&lt;/R&gt;&lt;C&gt;0&lt;/C&gt;&lt;/FQL&gt;&lt;FQL&gt;&lt;Q&gt;DUMMY^ECON_EXPR_DATA('FDS_ECON[NTCPMIMFGSA@CN]',,,M)&lt;/Q&gt;&lt;R&gt;1&lt;/R&gt;&lt;C&gt;1&lt;/C&gt;&lt;D xsi:type="xsd:double"&gt;50.918056&lt;/D&gt;&lt;/FQL&gt;&lt;FQL&gt;&lt;Q&gt;DUMMY^ECON_EXPR_DATA('FDS_ECON[NTCPMIMFGSA@VN]',,,M)&lt;/Q&gt;&lt;R&gt;1&lt;/R&gt;&lt;C&gt;1&lt;/C&gt;&lt;D xsi:type="xsd:double"&gt;50.37239&lt;/D&gt;&lt;/FQL&gt;&lt;FQL&gt;&lt;Q&gt;DUMMY^ECON_EXPR_DATA('FDS_ECON[NTCPMIMFGSA@ID]',,,M)&lt;/Q&gt;&lt;R&gt;1&lt;/R&gt;&lt;C&gt;1&lt;/C&gt;&lt;D xsi:type="xsd:double"&gt;52.654537&lt;/D&gt;&lt;/FQL&gt;&lt;FQL&gt;&lt;Q&gt;DUMMY^ECON_EXPR_DATA('FDS_ECON[NTCPMIMFGSA@AE]',,,M)&lt;/Q&gt;&lt;R&gt;0&lt;/R&gt;&lt;C&gt;0&lt;/C&gt;&lt;/FQL&gt;&lt;FQL&gt;&lt;Q&gt;DUMMY^ECON_EXPR_DATA('FDS_ECON[NTCPMIMFGSA@GR]',,,M)&lt;/Q&gt;&lt;R&gt;1&lt;/R&gt;&lt;C&gt;1&lt;/C&gt;&lt;D xsi:type="xsd:double"&gt;55.729668&lt;/D&gt;&lt;/FQL&gt;&lt;FQL&gt;&lt;Q&gt;DUMMY^ECON_EXPR_DATA('FDS_ECON[NTCPMIMFGSA@BR]',,,M)&lt;/Q&gt;&lt;R&gt;1&lt;/R&gt;&lt;C&gt;1&lt;/C&gt;&lt;D xsi:type="xsd:double"&gt;54.05694&lt;/D&gt;&lt;/FQL&gt;&lt;FQL&gt;&lt;Q&gt;DUMMY^ECON_EXPR_DATA('FDS_ECON[NTCPMIMFGSA@KR]',,,M)&lt;/Q&gt;&lt;R&gt;1&lt;/R&gt;&lt;C&gt;1&lt;/C&gt;&lt;D xsi:type="xsd:double"&gt;50.65793&lt;/D&gt;&lt;/FQL&gt;&lt;FQL&gt;&lt;Q&gt;DUMMY^ECON_EXPR_DATA('FDS_ECON[NTCPMIMFGSA@PE]',,,M)&lt;/Q&gt;&lt;R&gt;0&lt;/R&gt;&lt;C&gt;0&lt;/C&gt;&lt;/FQL&gt;&lt;FQL&gt;&lt;Q&gt;DUMMY^ECON_EXPR_DATA('FDS_ECON[NTCPMIMFGSA@CL]',,,M)&lt;/Q&gt;&lt;R&gt;0&lt;/R&gt;&lt;C&gt;0&lt;/C&gt;&lt;/FQL&gt;&lt;FQL&gt;&lt;Q&gt;DUMMY^ECON_EXPR_DATA('FDS_ECON[NTCPMIMFGSA@MX]',,,M)&lt;/Q&gt;&lt;R&gt;1&lt;/R&gt;&lt;C&gt;1&lt;/C&gt;&lt;D xsi:type="xsd:double"&gt;52.29834&lt;/D&gt;&lt;/FQL&gt;&lt;FQL&gt;&lt;Q&gt;DUMMY^ECON_EXPR_DATA('FDS_ECON[NTCPMIMFGSA@TR]',,,M)&lt;/Q&gt;&lt;R&gt;1&lt;/R&gt;&lt;C&gt;1&lt;/C&gt;&lt;D xsi:type="xsd:double"&gt;50.248722&lt;/D&gt;&lt;/FQL&gt;&lt;FQL&gt;&lt;Q&gt;DUMMY^ECON_EXPR_DATA('FDS_ECON[PMIMYMANHE]',,,M)&lt;/Q&gt;&lt;R&gt;1&lt;/R&gt;&lt;C&gt;1&lt;/C&gt;&lt;D xsi:type="xsd:double"&gt;49.473457&lt;/D&gt;&lt;/FQL&gt;&lt;FQL&gt;&lt;Q&gt;DUMMY^ECON_EXPR_DATA('FDS_ECON[NTCPMITHMANHE]',,,M)&lt;/Q&gt;&lt;R&gt;0&lt;/R&gt;&lt;C&gt;0&lt;/C&gt;&lt;/FQL&gt;&lt;FQL&gt;&lt;Q&gt;DUMMY^ECON_EXPR_DATA('FDS_ECON[NTCPMIMFGSA@TW]',,,M)&lt;/Q&gt;&lt;R&gt;1&lt;/R&gt;&lt;C&gt;1&lt;/C&gt;&lt;D xsi:type="xsd:double"&gt;48.6&lt;/D&gt;&lt;/FQL&gt;&lt;FQL&gt;&lt;Q&gt;DUMMY^ECON_EXPR_DATA('FDS_ECON[PMIQAWHEHE]',,,M)&lt;/Q&gt;&lt;R&gt;1&lt;/R&gt;&lt;C&gt;1&lt;/C&gt;&lt;D xsi:type="xsd:double"&gt;51.0252&lt;/D&gt;&lt;/FQL&gt;&lt;FQL&gt;&lt;Q&gt;CAGDPY@QA^EE_ACTUAL_ANNUAL(MED,0)&lt;/Q&gt;&lt;R&gt;1&lt;/R&gt;&lt;C&gt;1&lt;/C&gt;&lt;D xsi:type="xsd:double"&gt;16.4&lt;/D&gt;&lt;/FQL&gt;&lt;FQL&gt;&lt;Q&gt;CAGDPY@TW^EE_ACTUAL_ANNUAL(MED,0)&lt;/Q&gt;&lt;R&gt;1&lt;/R&gt;&lt;C&gt;1&lt;/C&gt;&lt;D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xsi:type="xsd:double"&gt;1.2087703&lt;/D&gt;&lt;/FQL&gt;&lt;FQL&gt;&lt;Q&gt;USDTRY^FG_PRICE_CHANGE(0,-1AM)&lt;/Q&gt;&lt;R&gt;1&lt;/R&gt;&lt;C&gt;1&lt;/C&gt;&lt;D xsi:type="xsd:double"&gt;4.4168115&lt;/D&gt;&lt;/FQL&gt;&lt;FQL&gt;&lt;Q&gt;USDQAR^FG_PRICE_CHANGE(0,-1AM)&lt;/Q&gt;&lt;R&gt;1&lt;/R&gt;&lt;C&gt;1&lt;/C&gt;&lt;D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xsi:type="xsd:double"&gt;-0.24310946&lt;/D&gt;&lt;/FQL&gt;&lt;FQL&gt;&lt;Q&gt;USDZAR^FG_PRICE_CHANGE(0,-1AM)&lt;/Q&gt;&lt;R&gt;1&lt;/R&gt;&lt;C&gt;1&lt;/C&gt;&lt;D xsi:type="xsd:double"&gt;-1.6594589&lt;/D&gt;&lt;/FQL&gt;&lt;FQL&gt;&lt;Q&gt;USDKRW^FG_PRICE_CHANGE(0,-1AM)&lt;/Q&gt;&lt;R&gt;1&lt;/R&gt;&lt;C&gt;1&lt;/C&gt;&lt;D xsi:type="xsd:double"&gt;-1.3217509&lt;/D&gt;&lt;/FQL&gt;&lt;FQL&gt;&lt;Q&gt;USDTWD^FG_PRICE_CHANGE(0,-1AM)&lt;/Q&gt;&lt;R&gt;1&lt;/R&gt;&lt;C&gt;1&lt;/C&gt;&lt;D xsi:type="xsd:double"&gt;0.41296482&lt;/D&gt;&lt;/FQL&gt;&lt;FQL&gt;&lt;Q&gt;USDPEN^FG_PRICE_CHANGE(0,-1AM)&lt;/Q&gt;&lt;R&gt;1&lt;/R&gt;&lt;C&gt;1&lt;/C&gt;&lt;D xsi:type="xsd:double"&gt;-5.2639723&lt;/D&gt;&lt;/FQL&gt;&lt;FQL&gt;&lt;Q&gt;USDPHP^FG_PRICE_CHANGE(0,-1AM)&lt;/Q&gt;&lt;R&gt;1&lt;/R&gt;&lt;C&gt;1&lt;/C&gt;&lt;D xsi:type="xsd:double"&gt;-1.2731194&lt;/D&gt;&lt;/FQL&gt;&lt;FQL&gt;&lt;Q&gt;USDCLP^FG_PRICE_CHANGE(0,-1AM)&lt;/Q&gt;&lt;R&gt;1&lt;/R&gt;&lt;C&gt;1&lt;/C&gt;&lt;D xsi:type="xsd:double"&gt;-1.6642511&lt;/D&gt;&lt;/FQL&gt;&lt;FQL&gt;&lt;Q&gt;FC0000TH^FMA_EPS(NTMA,-20AY,0,CY,,"PORTAGG","MEANR")&lt;/Q&gt;&lt;R&gt;20&lt;/R&gt;&lt;C&gt;1&lt;/C&gt;&lt;D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xsi:type="xsd:double"&gt;48.1240323779404&lt;/D&gt;&lt;D xsi:type="xsd:double"&gt;34.7106307447247&lt;/D&gt;&lt;D xsi:type="xsd:double"&gt;40.2723415306575&lt;/D&gt;&lt;D xsi:type="xsd:double"&gt;42.4815782670558&lt;/D&gt;&lt;D xsi:type="xsd:double"&gt;40.1815773704769&lt;/D&gt;&lt;/FQL&gt;&lt;FQL&gt;&lt;Q&gt;FC0000CN^FMA_EPS(NTMA,-20AY,0,CY,,"PORTAGG","MEANR")&lt;/Q&gt;&lt;R&gt;20&lt;/R&gt;&lt;C&gt;1&lt;/C&gt;&lt;D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xsi:type="xsd:double"&gt;19.1116968247571&lt;/D&gt;&lt;/FQL&gt;&lt;FQL&gt;&lt;Q&gt;EWM^P_PRICE_RETURNS_PR('52W',2,-10AY,0,AM)&lt;/Q&gt;&lt;R&gt;121&lt;/R&gt;&lt;C&gt;1&lt;/C&gt;&lt;D xsi:type="xsd:double"&gt;6.8627477&lt;/D&gt;&lt;D xsi:type="xsd:double"&gt;5.780852&lt;/D&gt;&lt;D xsi:type="xsd:double"&gt;-1.1349738&lt;/D&gt;&lt;D xsi:type="xsd:double"&gt;4.264426&lt;/D&gt;&lt;D xsi:type="xsd:double"&gt;6.079948&lt;/D&gt;&lt;D xsi:type="xsd:double"&gt;8.741307&lt;/D&gt;&lt;D xsi:type="xsd:double"&gt;8.556056&lt;/D&gt;&lt;D xsi:type="xsd:double"&gt;-2.7749658&lt;/D&gt;&lt;D xsi:type="xsd:double"&gt;-2.9180288&lt;/D&gt;&lt;D xsi:type="xsd:double"&gt;-12.546987&lt;/D&gt;&lt;D xsi:type="xsd:double"&gt;-12.983948&lt;/D&gt;&lt;D xsi:type="xsd:double"&gt;-5.5847526&lt;/D&gt;&lt;D xsi:type="xsd:double"&gt;-11.775571&lt;/D&gt;&lt;D xsi:type="xsd:double"&gt;-12.11732&lt;/D&gt;&lt;D xsi:type="xsd:double"&gt;-11.597931&lt;/D&gt;&lt;D xsi:type="xsd:double"&gt;-19.337273&lt;/D&gt;&lt;D xsi:type="xsd:double"&gt;-22.204994&lt;/D&gt;&lt;D xsi:type="xsd:double"&gt;-33.05499&lt;/D&gt;&lt;D xsi:type="xsd:double"&gt;-33.66143&lt;/D&gt;&lt;D xsi:type="xsd:double"&gt;-24.206543&lt;/D&gt;&lt;D xsi:type="xsd:double"&gt;-30.267876&lt;/D&gt;&lt;D xsi:type="xsd:double"&gt;-21.599186&lt;/D&gt;&lt;D xsi:type="xsd:double"&gt;-21.322744&lt;/D&gt;&lt;D xsi:type="xsd:double"&gt;-18.93227&lt;/D&gt;&lt;D xsi:type="xsd:double"&gt;-11.27221&lt;/D&gt;&lt;D xsi:type="xsd:double"&gt;-7.9589963&lt;/D&gt;&lt;D xsi:type="xsd:double"&gt;-17.673748&lt;/D&gt;&lt;D xsi:type="xsd:double"&gt;-11.76486&lt;/D&gt;&lt;D xsi:type="xsd:double"&gt;-3.4213066&lt;/D&gt;&lt;D xsi:type="xsd:double"&gt;8.777356&lt;/D&gt;&lt;D xsi:type="xsd:double"&gt;9.151018&lt;/D&gt;&lt;D xsi:type="xsd:double"&gt;-0.19113421&lt;/D&gt;&lt;D xsi:type="xsd:double"&gt;2.4038196&lt;/D&gt;&lt;D xsi:type="xsd:double"&gt;0.19526482&lt;/D&gt;&lt;D xsi:type="xsd:double"&gt;5.5543065&lt;/D&gt;&lt;D xsi:type="xsd:double"&gt;-0.33368468&lt;/D&gt;&lt;D xsi:type="xsd:double"&gt;-3.5547793&lt;/D&gt;&lt;D xsi:type="xsd:double"&gt;-9.2333975&lt;/D&gt;&lt;D xsi:type="xsd:double"&gt;3.804624&lt;/D&gt;&lt;D xsi:type="xsd:double"&gt;9.231615&lt;/D&gt;&lt;D xsi:type="xsd:double"&gt;-0.9005904&lt;/D&gt;&lt;D xsi:type="xsd:double"&gt;0.4333377&lt;/D&gt;&lt;D xsi:type="xsd:double"&gt;8.15481&lt;/D&gt;&lt;D xsi:type="xsd:double"&gt;7.492912&lt;/D&gt;&lt;D xsi:type="xsd:double"&gt;13.932716&lt;/D&gt;&lt;D xsi:type="xsd:double"&gt;20.694946&lt;/D&gt;&lt;D xsi:type="xsd:double"&gt;25.516558&lt;/D&gt;&lt;D xsi:type="xsd:double"&gt;25.240648&lt;/D&gt;&lt;D xsi:type="xsd:double"&gt;24.812067&lt;/D&gt;&lt;D xsi:type="xsd:double"&gt;24.423717&lt;/D&gt;&lt;D xsi:type="xsd:double"&gt;14.262236&lt;/D&gt;&lt;D xsi:type="xsd:double"&gt;6.4524174&lt;/D&gt;&lt;D xsi:type="xsd:double"&gt;6.751418&lt;/D&gt;&lt;D xsi:type="xsd:double"&gt;8.999419&lt;/D&gt;&lt;D xsi:type="xsd:double"&gt;5.8375955&lt;/D&gt;&lt;D xsi:type="xsd:double"&gt;2.3578525&lt;/D&gt;&lt;D xsi:type="xsd:double"&gt;-0.020217896&lt;/D&gt;&lt;D xsi:type="xsd:double"&gt;-5.7383957&lt;/D&gt;&lt;D xsi:type="xsd:double"&gt;-9.649408&lt;/D&gt;&lt;D xsi:type="xsd:double"&gt;-9.761077&lt;/D&gt;&lt;D xsi:type="xsd:double"&gt;-11.090774&lt;/D&gt;&lt;D xsi:type="xsd:double"&gt;-15.71666&lt;/D&gt;&lt;D xsi:type="xsd:double"&gt;-14.585233&lt;/D&gt;&lt;D xsi:type="xsd:double"&gt;-8.271951&lt;/D&gt;&lt;D xsi:type="xsd:double"&gt;-1.485467&lt;/D&gt;&lt;D xsi:type="xsd:double"&gt;-11.867607&lt;/D&gt;&lt;D xsi:type="xsd:double"&gt;-9.228367&lt;/D&gt;&lt;D xsi:type="xsd:double"&gt;-7.4716034&lt;/D&gt;&lt;D xsi:type="xsd:double"&gt;-1.8645465&lt;/D&gt;&lt;D xsi:type="xsd:double"&gt;-2.1020293&lt;/D&gt;&lt;D xsi:type="xsd:double"&gt;-3.2049239&lt;/D&gt;&lt;D xsi:type="xsd:double"&gt;-8.793038&lt;/D&gt;&lt;D xsi:type="xsd:double"&gt;-24.23448&lt;/D&gt;&lt;D xsi:type="xsd:double"&gt;-18.67224&lt;/D&gt;&lt;D xsi:type="xsd:double"&gt;-14.017129&lt;/D&gt;&lt;D xsi:type="xsd:double"&gt;-7.2141705&lt;/D&gt;&lt;D xsi:type="xsd:double"&gt;-5.546933&lt;/D&gt;&lt;D xsi:type="xsd:double"&gt;2.0052075&lt;/D&gt;&lt;D xsi:type="xsd:double"&gt;-4.713565&lt;/D&gt;&lt;D xsi:type="xsd:double"&gt;-0.68074465&lt;/D&gt;&lt;D xsi:type="xsd:double"&gt;0.3623247&lt;/D&gt;&lt;D xsi:type="xsd:double"&gt;6.3738704&lt;/D&gt;&lt;D xsi:type="xsd:double"&gt;3.5684943&lt;/D&gt;&lt;D xsi:type="xsd:double"&gt;4.9009085&lt;/D&gt;&lt;D xsi:type="xsd:double"&gt;30.271435&lt;/D&gt;&lt;D xsi:type="xsd:double"&gt;20.119143&lt;/D&gt;&lt;D xsi:type="xsd:double"&gt;17.54545&lt;/D&gt;&lt;D xsi:type="xsd:double"&gt;5.0679207&lt;/D&gt;&lt;D xsi:type="xsd:double"&gt;-5.8427753&lt;/D&gt;&lt;D xsi:type="xsd:double"&gt;-6.682992&lt;/D&gt;&lt;D xsi:type="xsd:double"&gt;2.596891&lt;/D&gt;&lt;D xsi:type="xsd:double"&gt;3.7699819&lt;/D&gt;&lt;D xsi:type="xsd:double"&gt;-3.769511&lt;/D&gt;&lt;D xsi:type="xsd:double"&gt;-12.965059&lt;/D&gt;&lt;D xsi:type="xsd:double"&gt;-7.059866&lt;/D&gt;&lt;D xsi:type="xsd:double"&gt;-3.5847068&lt;/D&gt;&lt;D xsi:type="xsd:double"&gt;-3.5441458&lt;/D&gt;&lt;D xsi:type="xsd:double"&gt;-0.7980108&lt;/D&gt;&lt;D xsi:type="xsd:double"&gt;-6.487894&lt;/D&gt;&lt;D xsi:type="xsd:double"&gt;-11.989432&lt;/D&gt;&lt;D xsi:type="xsd:double"&gt;-9.785056&lt;/D&gt;&lt;D xsi:type="xsd:double"&gt;-2.59372&lt;/D&gt;&lt;D xsi:type="xsd:double"&gt;-11.599695&lt;/D&gt;&lt;D xsi:type="xsd:double"&gt;-22.043478&lt;/D&gt;&lt;D xsi:type="xsd:double"&gt;-11.117381&lt;/D&gt;&lt;D xsi:type="xsd:double"&gt;-0.4660666&lt;/D&gt;&lt;D xsi:type="xsd:double"&gt;-4.3502865&lt;/D&gt;&lt;D xsi:type="xsd:double"&gt;-6.3230157&lt;/D&gt;&lt;D xsi:type="xsd:double"&gt;-12.508732&lt;/D&gt;&lt;D xsi:type="xsd:double"&gt;-9.791136&lt;/D&gt;&lt;D xsi:type="xsd:double"&gt;-5.792671&lt;/D&gt;&lt;D xsi:type="xsd:double"&gt;-5.810237&lt;/D&gt;&lt;D xsi:type="xsd:double"&gt;1.5897036&lt;/D&gt;&lt;D xsi:type="xsd:double"&gt;-4.1065636&lt;/D&gt;&lt;D xsi:type="xsd:double"&gt;-0.17751455&lt;/D&gt;&lt;D xsi:type="xsd:double"&gt;7.7584505&lt;/D&gt;&lt;D xsi:type="xsd:double"&gt;2.4134517&lt;/D&gt;&lt;D xsi:type="xsd:double"&gt;-4.185045&lt;/D&gt;&lt;D xsi:type="xsd:double"&gt;-4.7212067&lt;/D&gt;&lt;D xsi:type="xsd:double"&gt;-4.129571&lt;/D&gt;&lt;D xsi:type="xsd:double"&gt;6.967938&lt;/D&gt;&lt;/FQL&gt;&lt;FQL&gt;&lt;Q&gt;GREK^FG_TOTAL_RETURNC(-10AY,0,AM)&lt;/Q&gt;&lt;R&gt;121&lt;/R&gt;&lt;C&gt;1&lt;/C&gt;&lt;D xsi:type="xsd:double"&gt;4.8832536&lt;/D&gt;&lt;D xsi:type="xsd:double"&gt;-9.068834&lt;/D&gt;&lt;D xsi:type="xsd:double"&gt;-3.428316&lt;/D&gt;&lt;D xsi:type="xsd:double"&gt;7.883811&lt;/D&gt;&lt;D xsi:type="xsd:double"&gt;-6.02563&lt;/D&gt;&lt;D xsi:type="xsd:double"&gt;-5.866301&lt;/D&gt;&lt;D xsi:type="xsd:double"&gt;-1.0628104&lt;/D&gt;&lt;D xsi:type="xsd:double"&gt;-18.554688&lt;/D&gt;&lt;D xsi:type="xsd:double"&gt;-7.434058&lt;/D&gt;&lt;D xsi:type="xsd:double"&gt;-10.751289&lt;/D&gt;&lt;D xsi:type="xsd:double"&gt;-4.7702312&lt;/D&gt;&lt;D xsi:type="xsd:double"&gt;4.9992204&lt;/D&gt;&lt;D xsi:type="xsd:double"&gt;-21.757662&lt;/D&gt;&lt;D xsi:type="xsd:double"&gt;-0.28090477&lt;/D&gt;&lt;D xsi:type="xsd:double"&gt;19.24883&lt;/D&gt;&lt;D xsi:type="xsd:double"&gt;-7.1653485&lt;/D&gt;&lt;D xsi:type="xsd:double"&gt;-16.709084&lt;/D&gt;&lt;D xsi:type="xsd:double"&gt;1.8329978&lt;/D&gt;&lt;D xsi:type="xsd:double"&gt;1.6000032&lt;/D&gt;&lt;D xsi:type="xsd:double"&gt;-0.9842515&lt;/D&gt;&lt;D xsi:type="xsd:double"&gt;-8.747519&lt;/D&gt;&lt;D xsi:type="xsd:double"&gt;-12.3093605&lt;/D&gt;&lt;D xsi:type="xsd:double"&gt;-5.950099&lt;/D&gt;&lt;D xsi:type="xsd:double"&gt;-21.447723&lt;/D&gt;&lt;D xsi:type="xsd:double"&gt;25.938559&lt;/D&gt;&lt;D xsi:type="xsd:double"&gt;-2.7100325&lt;/D&gt;&lt;D xsi:type="xsd:double"&gt;15.041792&lt;/D&gt;&lt;D xsi:type="xsd:double"&gt;-8.716715&lt;/D&gt;&lt;D xsi:type="xsd:double"&gt;-2.5198936&lt;/D&gt;&lt;D xsi:type="xsd:double"&gt;-0.54421425&lt;/D&gt;&lt;D xsi:type="xsd:double"&gt;-4.240763&lt;/D&gt;&lt;D xsi:type="xsd:double"&gt;4.571426&lt;/D&gt;&lt;D xsi:type="xsd:double"&gt;-2.0491838&lt;/D&gt;&lt;D xsi:type="xsd:double"&gt;7.391906&lt;/D&gt;&lt;D xsi:type="xsd:double"&gt;6.47614&lt;/D&gt;&lt;D xsi:type="xsd:double"&gt;-4.601991&lt;/D&gt;&lt;D xsi:type="xsd:double"&gt;1.0430217&lt;/D&gt;&lt;D xsi:type="xsd:double"&gt;3.6129117&lt;/D&gt;&lt;D xsi:type="xsd:double"&gt;19.053532&lt;/D&gt;&lt;D xsi:type="xsd:double"&gt;1.9874454&lt;/D&gt;&lt;D xsi:type="xsd:double"&gt;10.153842&lt;/D&gt;&lt;D xsi:type="xsd:double"&gt;-3.1657398&lt;/D&gt;&lt;D xsi:type="xsd:double"&gt;-5.1923094&lt;/D&gt;&lt;D xsi:type="xsd:double"&gt;-3.144008&lt;/D&gt;&lt;D xsi:type="xsd:double"&gt;-7.3298454&lt;/D&gt;&lt;D xsi:type="xsd:double"&gt;10.960447&lt;/D&gt;&lt;D xsi:type="xsd:double"&gt;14.100468&lt;/D&gt;&lt;D xsi:type="xsd:double"&gt;-1.7319977&lt;/D&gt;&lt;D xsi:type="xsd:double"&gt;-4.1743994&lt;/D&gt;&lt;D xsi:type="xsd:double"&gt;-3.0977726&lt;/D&gt;&lt;D xsi:type="xsd:double"&gt;0.59940815&lt;/D&gt;&lt;D xsi:type="xsd:double"&gt;-6.653428&lt;/D&gt;&lt;D xsi:type="xsd:double"&gt;-1.3829708&lt;/D&gt;&lt;D xsi:type="xsd:double"&gt;-7.119751&lt;/D&gt;&lt;D xsi:type="xsd:double"&gt;-5.342621&lt;/D&gt;&lt;D xsi:type="xsd:double"&gt;-6.993866&lt;/D&gt;&lt;D xsi:type="xsd:double"&gt;-0.39576292&lt;/D&gt;&lt;D xsi:type="xsd:double"&gt;-0.7947147&lt;/D&gt;&lt;D xsi:type="xsd:double"&gt;-0.55845976&lt;/D&gt;&lt;D xsi:type="xsd:double"&gt;1.3755202&lt;/D&gt;&lt;D xsi:type="xsd:double"&gt;8.955229&lt;/D&gt;&lt;D xsi:type="xsd:double"&gt;6.849313&lt;/D&gt;&lt;D xsi:type="xsd:double"&gt;-6.643361&lt;/D&gt;&lt;D xsi:type="xsd:double"&gt;15.980029&lt;/D&gt;&lt;D xsi:type="xsd:double"&gt;2.2832155&lt;/D&gt;&lt;D xsi:type="xsd:double"&gt;-10.676538&lt;/D&gt;&lt;D xsi:type="xsd:double"&gt;10.295868&lt;/D&gt;&lt;D xsi:type="xsd:double"&gt;1.394844&lt;/D&gt;&lt;D xsi:type="xsd:double"&gt;3.386259&lt;/D&gt;&lt;D xsi:type="xsd:double"&gt;1.5353084&lt;/D&gt;&lt;D xsi:type="xsd:double"&gt;2.9813051&lt;/D&gt;&lt;D xsi:type="xsd:double"&gt;-6.8793535&lt;/D&gt;&lt;D xsi:type="xsd:double"&gt;-37.152035&lt;/D&gt;&lt;D xsi:type="xsd:double"&gt;4.5996666&lt;/D&gt;&lt;D xsi:type="xsd:double"&gt;-5.3202033&lt;/D&gt;&lt;D xsi:type="xsd:double"&gt;12.672007&lt;/D&gt;&lt;D xsi:type="xsd:double"&gt;0.98154545&lt;/D&gt;&lt;D xsi:type="xsd:double"&gt;5.175042&lt;/D&gt;&lt;D xsi:type="xsd:double"&gt;3.7626624&lt;/D&gt;&lt;D xsi:type="xsd:double"&gt;-7.2524366&lt;/D&gt;&lt;D xsi:type="xsd:double"&gt;2.7568936&lt;/D&gt;&lt;D xsi:type="xsd:double"&gt;24.195122&lt;/D&gt;&lt;D xsi:type="xsd:double"&gt;0.83158016&lt;/D&gt;&lt;D xsi:type="xsd:double"&gt;-3.6580503&lt;/D&gt;&lt;D xsi:type="xsd:double"&gt;10.028887&lt;/D&gt;&lt;D xsi:type="xsd:double"&gt;5.1012754&lt;/D&gt;&lt;D xsi:type="xsd:double"&gt;4.2112827&lt;/D&gt;&lt;D xsi:type="xsd:double"&gt;2.4657488&lt;/D&gt;&lt;D xsi:type="xsd:double"&gt;-8.455885&lt;/D&gt;&lt;D xsi:type="xsd:double"&gt;2.1175623&lt;/D&gt;&lt;D xsi:type="xsd:double"&gt;1.966393&lt;/D&gt;&lt;D xsi:type="xsd:double"&gt;-2.5245488&lt;/D&gt;&lt;D xsi:type="xsd:double"&gt;0.57554245&lt;/D&gt;&lt;D xsi:type="xsd:double"&gt;-5.114442&lt;/D&gt;&lt;D xsi:type="xsd:double"&gt;10.081232&lt;/D&gt;&lt;D xsi:type="xsd:double"&gt;1.5745282&lt;/D&gt;&lt;D xsi:type="xsd:double"&gt;-15.294522&lt;/D&gt;&lt;D xsi:type="xsd:double"&gt;10.695398&lt;/D&gt;&lt;D xsi:type="xsd:double"&gt;-7.935339&lt;/D&gt;&lt;D xsi:type="xsd:double"&gt;-6.2250557&lt;/D&gt;&lt;D xsi:type="xsd:double"&gt;-5.7600737&lt;/D&gt;&lt;D xsi:type="xsd:double"&gt;13.354468&lt;/D&gt;&lt;D xsi:type="xsd:double"&gt;-7.5878677&lt;/D&gt;&lt;D xsi:type="xsd:double"&gt;-4.1918755&lt;/D&gt;&lt;D xsi:type="xsd:double"&gt;16.01262&lt;/D&gt;&lt;D xsi:type="xsd:double"&gt;5.4821134&lt;/D&gt;&lt;D xsi:type="xsd:double"&gt;8.195126&lt;/D&gt;&lt;D xsi:type="xsd:double"&gt;12.476408&lt;/D&gt;&lt;D xsi:type="xsd:double"&gt;-2.7020335&lt;/D&gt;&lt;D xsi:type="xsd:double"&gt;2.970302&lt;/D&gt;&lt;D xsi:type="xsd:double"&gt;-0.9305239&lt;/D&gt;&lt;D xsi:type="xsd:double"&gt;14.026297&lt;/D&gt;&lt;D xsi:type="xsd:double"&gt;7.795787&lt;/D&gt;&lt;D xsi:type="xsd:double"&gt;-4.509348&lt;/D&gt;&lt;D xsi:type="xsd:double"&gt;-7.6469064&lt;/D&gt;&lt;D xsi:type="xsd:double"&gt;-5.752468&lt;/D&gt;&lt;D xsi:type="xsd:double"&gt;12.083853&lt;/D&gt;&lt;D xsi:type="xsd:double"&gt;4.5104504&lt;/D&gt;&lt;D xsi:type="xsd:double"&gt;4.764855&lt;/D&gt;&lt;D xsi:type="xsd:double"&gt;2.383399&lt;/D&gt;&lt;D xsi:type="xsd:double"&gt;0.95119476&lt;/D&gt;&lt;/FQL&gt;&lt;FQL&gt;&lt;Q&gt;UAE^FMA_DIV_YLD(NTMA,-10AY,0,AM,"PORTAGG","MEANR")&lt;/Q&gt;&lt;R&gt;121&lt;/R&gt;&lt;C&gt;1&lt;/C&gt;&lt;D xsi:type="xsd:string"&gt;@NA&lt;/D&gt;&lt;D xsi:type="xsd:string"&gt;@NA&lt;/D&gt;&lt;D xsi:type="xsd:string"&gt;@NA&lt;/D&gt;&lt;D xsi:type="xsd:double"&gt;2.42520158067288&lt;/D&gt;&lt;D xsi:type="xsd:double"&gt;2.62507568099265&lt;/D&gt;&lt;D xsi:type="xsd:double"&gt;2.59433982615833&lt;/D&gt;&lt;D xsi:type="xsd:double"&gt;2.51901215759423&lt;/D&gt;&lt;D xsi:type="xsd:double"&gt;2.8074585904729&lt;/D&gt;&lt;D xsi:type="xsd:double"&gt;2.85221934030609&lt;/D&gt;&lt;D xsi:type="xsd:double"&gt;3.54092010856906&lt;/D&gt;&lt;D xsi:type="xsd:double"&gt;3.3739825600536&lt;/D&gt;&lt;D xsi:type="xsd:double"&gt;3.40757706133488&lt;/D&gt;&lt;D xsi:type="xsd:double"&gt;3.66240834446095&lt;/D&gt;&lt;D xsi:type="xsd:double"&gt;3.2769844532272&lt;/D&gt;&lt;D xsi:type="xsd:double"&gt;3.21854038356857&lt;/D&gt;&lt;D xsi:type="xsd:double"&gt;3.46100746433188&lt;/D&gt;&lt;D xsi:type="xsd:double"&gt;3.55377854870387&lt;/D&gt;&lt;D xsi:type="xsd:double"&gt;3.62532465032494&lt;/D&gt;&lt;D xsi:type="xsd:double"&gt;4.13027599623142&lt;/D&gt;&lt;D xsi:type="xsd:double"&gt;3.82305965671159&lt;/D&gt;&lt;D xsi:type="xsd:double"&gt;4.40936724737157&lt;/D&gt;&lt;D xsi:type="xsd:double"&gt;4.62719578897697&lt;/D&gt;&lt;D xsi:type="xsd:double"&gt;4.72710505314767&lt;/D&gt;&lt;D xsi:type="xsd:double"&gt;4.65105595687221&lt;/D&gt;&lt;D xsi:type="xsd:double"&gt;3.92978859124455&lt;/D&gt;&lt;D xsi:type="xsd:double"&gt;3.85158064845527&lt;/D&gt;&lt;D xsi:type="xsd:double"&gt;4.14270633433081&lt;/D&gt;&lt;D xsi:type="xsd:double"&gt;4.00680619194666&lt;/D&gt;&lt;D xsi:type="xsd:double"&gt;3.83330721145852&lt;/D&gt;&lt;D xsi:type="xsd:double"&gt;3.77743177030132&lt;/D&gt;&lt;D xsi:type="xsd:double"&gt;3.7365617613306&lt;/D&gt;&lt;D xsi:type="xsd:double"&gt;3.70667340518336&lt;/D&gt;&lt;D xsi:type="xsd:double"&gt;3.99796332274729&lt;/D&gt;&lt;D xsi:type="xsd:double"&gt;4.08796837433287&lt;/D&gt;&lt;D xsi:type="xsd:double"&gt;3.95581155142963&lt;/D&gt;&lt;D xsi:type="xsd:double"&gt;4.0830634928556&lt;/D&gt;&lt;D xsi:type="xsd:double"&gt;4.12516091589537&lt;/D&gt;&lt;D xsi:type="xsd:double"&gt;4.02399231374829&lt;/D&gt;&lt;D xsi:type="xsd:double"&gt;3.86803731421877&lt;/D&gt;&lt;D xsi:type="xsd:double"&gt;4.04548121704641&lt;/D&gt;&lt;D xsi:type="xsd:double"&gt;3.95392224818792&lt;/D&gt;&lt;D xsi:type="xsd:double"&gt;3.95343692415837&lt;/D&gt;&lt;D xsi:type="xsd:double"&gt;4.08664674126943&lt;/D&gt;&lt;D xsi:type="xsd:double"&gt;4.16690147914318&lt;/D&gt;&lt;D xsi:type="xsd:double"&gt;4.39558609831088&lt;/D&gt;&lt;D xsi:type="xsd:double"&gt;4.57607349830207&lt;/D&gt;&lt;D xsi:type="xsd:double"&gt;4.31534132704103&lt;/D&gt;&lt;D xsi:type="xsd:double"&gt;4.34699832096862&lt;/D&gt;&lt;D xsi:type="xsd:double"&gt;4.52314263972987&lt;/D&gt;&lt;D xsi:type="xsd:double"&gt;4.77649621562799&lt;/D&gt;&lt;D xsi:type="xsd:double"&gt;4.96684108933992&lt;/D&gt;&lt;D xsi:type="xsd:double"&gt;4.72143344386515&lt;/D&gt;&lt;D xsi:type="xsd:double"&gt;4.87378389879356&lt;/D&gt;&lt;D xsi:type="xsd:double"&gt;4.78174459789623&lt;/D&gt;&lt;D xsi:type="xsd:double"&gt;4.7508450455146&lt;/D&gt;&lt;D xsi:type="xsd:double"&gt;4.90406983789996&lt;/D&gt;&lt;D xsi:type="xsd:double"&gt;4.85885804777859&lt;/D&gt;&lt;D xsi:type="xsd:double"&gt;5.07724200477105&lt;/D&gt;&lt;D xsi:type="xsd:double"&gt;5.15079384526773&lt;/D&gt;&lt;D xsi:type="xsd:double"&gt;5.25512180538668&lt;/D&gt;&lt;D xsi:type="xsd:double"&gt;5.26225070295304&lt;/D&gt;&lt;D xsi:type="xsd:double"&gt;4.97141166676353&lt;/D&gt;&lt;D xsi:type="xsd:double"&gt;5.35895352756002&lt;/D&gt;&lt;D xsi:type="xsd:double"&gt;5.22776612489663&lt;/D&gt;&lt;D xsi:type="xsd:double"&gt;5.10395582729664&lt;/D&gt;&lt;D xsi:type="xsd:double"&gt;5.08334557190805&lt;/D&gt;&lt;D xsi:type="xsd:double"&gt;4.7856348913475&lt;/D&gt;&lt;D xsi:type="xsd:double"&gt;4.6660056243527&lt;/D&gt;&lt;D xsi:type="xsd:double"&gt;4.76221152054627&lt;/D&gt;&lt;D xsi:type="xsd:double"&gt;5.01750285297598&lt;/D&gt;&lt;D xsi:type="xsd:double"&gt;5.12320334864357&lt;/D&gt;&lt;D xsi:type="xsd:double"&gt;5.36669499190765&lt;/D&gt;&lt;D xsi:type="xsd:double"&gt;6.8070780418677&lt;/D&gt;&lt;D xsi:type="xsd:double"&gt;5.70632104593332&lt;/D&gt;&lt;D xsi:type="xsd:double"&gt;4.68524514913413&lt;/D&gt;&lt;D xsi:type="xsd:double"&gt;4.30772235164414&lt;/D&gt;&lt;D xsi:type="xsd:double"&gt;4.65371085339315&lt;/D&gt;&lt;D xsi:type="xsd:double"&gt;4.60859665345177&lt;/D&gt;&lt;D xsi:type="xsd:double"&gt;4.37747270119575&lt;/D&gt;&lt;D xsi:type="xsd:double"&gt;4.37487865190405&lt;/D&gt;&lt;D xsi:type="xsd:double"&gt;4.73273720111018&lt;/D&gt;&lt;D xsi:type="xsd:double"&gt;4.36371279273478&lt;/D&gt;&lt;D xsi:type="xsd:double"&gt;4.28497955442143&lt;/D&gt;&lt;D xsi:type="xsd:double"&gt;4.41669137551379&lt;/D&gt;&lt;D xsi:type="xsd:double"&gt;4.61365619576114&lt;/D&gt;&lt;D xsi:type="xsd:double"&gt;4.46227056736384&lt;/D&gt;&lt;D xsi:type="xsd:double"&gt;4.51629774361376&lt;/D&gt;&lt;D xsi:type="xsd:double"&gt;4.32038280028207&lt;/D&gt;&lt;D xsi:type="xsd:double"&gt;4.67494144965055&lt;/D&gt;&lt;D xsi:type="xsd:double"&gt;4.54836046309871&lt;/D&gt;&lt;D xsi:type="xsd:double"&gt;4.29342346899139&lt;/D&gt;&lt;D xsi:type="xsd:double"&gt;4.16137023272335&lt;/D&gt;&lt;D xsi:type="xsd:double"&gt;3.83259681424538&lt;/D&gt;&lt;D xsi:type="xsd:double"&gt;4.10384711621115&lt;/D&gt;&lt;D xsi:type="xsd:double"&gt;4.38239652989179&lt;/D&gt;&lt;D xsi:type="xsd:double"&gt;4.23902303785769&lt;/D&gt;&lt;D xsi:type="xsd:double"&gt;3.71662900003546&lt;/D&gt;&lt;D xsi:type="xsd:double"&gt;3.45886645369584&lt;/D&gt;&lt;D xsi:type="xsd:double"&gt;3.93496734598787&lt;/D&gt;&lt;D xsi:type="xsd:double"&gt;4.22933786532662&lt;/D&gt;&lt;D xsi:type="xsd:double"&gt;4.39731571260909&lt;/D&gt;&lt;D xsi:type="xsd:double"&gt;3.98850548434889&lt;/D&gt;&lt;D xsi:type="xsd:double"&gt;4.21721748634049&lt;/D&gt;&lt;D xsi:type="xsd:double"&gt;4.41844828929357&lt;/D&gt;&lt;D xsi:type="xsd:double"&gt;4.27535541310352&lt;/D&gt;&lt;D xsi:type="xsd:double"&gt;4.85145335654375&lt;/D&gt;&lt;D xsi:type="xsd:double"&gt;4.76199453049417&lt;/D&gt;&lt;D xsi:type="xsd:double"&gt;4.60731158911141&lt;/D&gt;&lt;D xsi:type="xsd:double"&gt;4.88274373357738&lt;/D&gt;&lt;D xsi:type="xsd:double"&gt;4.47074494631038&lt;/D&gt;&lt;D xsi:type="xsd:double"&gt;4.46132252815698&lt;/D&gt;&lt;D xsi:type="xsd:double"&gt;4.5626135752087&lt;/D&gt;&lt;D xsi:type="xsd:double"&gt;4.25115679491414&lt;/D&gt;&lt;D xsi:type="xsd:double"&gt;4.17337470410626&lt;/D&gt;&lt;D xsi:type="xsd:double"&gt;4.37271172377432&lt;/D&gt;&lt;D xsi:type="xsd:double"&gt;4.56247205661282&lt;/D&gt;&lt;D xsi:type="xsd:double"&gt;4.67918687851136&lt;/D&gt;&lt;D xsi:type="xsd:double"&gt;4.7199177335951&lt;/D&gt;&lt;D xsi:type="xsd:double"&gt;4.48015252220897&lt;/D&gt;&lt;D xsi:type="xsd:double"&gt;4.82391872254859&lt;/D&gt;&lt;D xsi:type="xsd:double"&gt;5.11455645593357&lt;/D&gt;&lt;/FQL&gt;&lt;FQL&gt;&lt;Q&gt;EIDO^FMA_DIV_YLD(NTMA,-10AY,0,AM,"PORTAGG","MEANR")&lt;/Q&gt;&lt;R&gt;121&lt;/R&gt;&lt;C&gt;1&lt;/C&gt;&lt;D xsi:type="xsd:double"&gt;2.48402675686067&lt;/D&gt;&lt;D xsi:type="xsd:double"&gt;2.51569151286455&lt;/D&gt;&lt;D xsi:type="xsd:double"&gt;2.47512820966174&lt;/D&gt;&lt;D xsi:type="xsd:double"&gt;2.56690228688447&lt;/D&gt;&lt;D xsi:type="xsd:double"&gt;2.5723425571523&lt;/D&gt;&lt;D xsi:type="xsd:double"&gt;2.50661006369909&lt;/D&gt;&lt;D xsi:type="xsd:double"&gt;2.55204084830015&lt;/D&gt;&lt;D xsi:type="xsd:double"&gt;2.6762419999251&lt;/D&gt;&lt;D xsi:type="xsd:double"&gt;2.55545135381422&lt;/D&gt;&lt;D xsi:type="xsd:double"&gt;2.48510706264369&lt;/D&gt;&lt;D xsi:type="xsd:double"&gt;2.52868896291171&lt;/D&gt;&lt;D xsi:type="xsd:double"&gt;2.33756193081708&lt;/D&gt;&lt;D xsi:type="xsd:double"&gt;2.32519625327416&lt;/D&gt;&lt;D xsi:type="xsd:double"&gt;2.3125560482655&lt;/D&gt;&lt;D xsi:type="xsd:double"&gt;2.33908156487854&lt;/D&gt;&lt;D xsi:type="xsd:double"&gt;2.51282427943528&lt;/D&gt;&lt;D xsi:type="xsd:double"&gt;2.45174401498606&lt;/D&gt;&lt;D xsi:type="xsd:double"&gt;2.62144752606373&lt;/D&gt;&lt;D xsi:type="xsd:double"&gt;2.73026580882485&lt;/D&gt;&lt;D xsi:type="xsd:double"&gt;2.65399723034603&lt;/D&gt;&lt;D xsi:type="xsd:double"&gt;2.59923314073628&lt;/D&gt;&lt;D xsi:type="xsd:double"&gt;2.64601579665314&lt;/D&gt;&lt;D xsi:type="xsd:double"&gt;2.52627791107383&lt;/D&gt;&lt;D xsi:type="xsd:double"&gt;2.42737578055174&lt;/D&gt;&lt;D xsi:type="xsd:double"&gt;2.34477758480987&lt;/D&gt;&lt;D xsi:type="xsd:double"&gt;2.4246432047522&lt;/D&gt;&lt;D xsi:type="xsd:double"&gt;2.45171444809328&lt;/D&gt;&lt;D xsi:type="xsd:double"&gt;2.39904127362361&lt;/D&gt;&lt;D xsi:type="xsd:double"&gt;2.24477656468991&lt;/D&gt;&lt;D xsi:type="xsd:double"&gt;2.15819790513306&lt;/D&gt;&lt;D xsi:type="xsd:double"&gt;2.3056104709213&lt;/D&gt;&lt;D xsi:type="xsd:double"&gt;2.2455777944861&lt;/D&gt;&lt;D xsi:type="xsd:double"&gt;2.48377732661779&lt;/D&gt;&lt;D xsi:type="xsd:double"&gt;2.45480257494028&lt;/D&gt;&lt;D xsi:type="xsd:double"&gt;2.44817319197847&lt;/D&gt;&lt;D xsi:type="xsd:double"&gt;2.42652457716125&lt;/D&gt;&lt;D xsi:type="xsd:double"&gt;2.48774184933002&lt;/D&gt;&lt;D xsi:type="xsd:double"&gt;2.43414026709788&lt;/D&gt;&lt;D xsi:type="xsd:double"&gt;2.48874387503843&lt;/D&gt;&lt;D xsi:type="xsd:double"&gt;2.49986228621769&lt;/D&gt;&lt;D xsi:type="xsd:double"&gt;2.54000183225974&lt;/D&gt;&lt;D xsi:type="xsd:double"&gt;2.55925319937675&lt;/D&gt;&lt;D xsi:type="xsd:double"&gt;2.59318614094459&lt;/D&gt;&lt;D xsi:type="xsd:double"&gt;2.54683824099853&lt;/D&gt;&lt;D xsi:type="xsd:double"&gt;2.63838657607522&lt;/D&gt;&lt;D xsi:type="xsd:double"&gt;2.59976843939333&lt;/D&gt;&lt;D xsi:type="xsd:double"&gt;2.51214813977289&lt;/D&gt;&lt;D xsi:type="xsd:double"&gt;2.46698623207253&lt;/D&gt;&lt;D xsi:type="xsd:double"&gt;2.61100335504216&lt;/D&gt;&lt;D xsi:type="xsd:double"&gt;2.6812356426141&lt;/D&gt;&lt;D xsi:type="xsd:double"&gt;2.96315544659044&lt;/D&gt;&lt;D xsi:type="xsd:double"&gt;2.98785101520814&lt;/D&gt;&lt;D xsi:type="xsd:double"&gt;3.0730432077457&lt;/D&gt;&lt;D xsi:type="xsd:double"&gt;3.12904549808804&lt;/D&gt;&lt;D xsi:type="xsd:double"&gt;3.02161956225716&lt;/D&gt;&lt;D xsi:type="xsd:double"&gt;3.09240089233836&lt;/D&gt;&lt;D xsi:type="xsd:double"&gt;3.02702901536499&lt;/D&gt;&lt;D xsi:type="xsd:double"&gt;2.82786900229236&lt;/D&gt;&lt;D xsi:type="xsd:double"&gt;2.82365298773689&lt;/D&gt;&lt;D xsi:type="xsd:double"&gt;2.86750405546036&lt;/D&gt;&lt;D xsi:type="xsd:double"&gt;2.84158810897646&lt;/D&gt;&lt;D xsi:type="xsd:double"&gt;2.84712902168398&lt;/D&gt;&lt;D xsi:type="xsd:double"&gt;3.04210864206093&lt;/D&gt;&lt;D xsi:type="xsd:double"&gt;2.83541822986589&lt;/D&gt;&lt;D xsi:type="xsd:double"&gt;2.72190175386289&lt;/D&gt;&lt;D xsi:type="xsd:double"&gt;2.79135432447967&lt;/D&gt;&lt;D xsi:type="xsd:double"&gt;2.77700934356662&lt;/D&gt;&lt;D xsi:type="xsd:double"&gt;2.84513998251025&lt;/D&gt;&lt;D xsi:type="xsd:double"&gt;2.85175528518019&lt;/D&gt;&lt;D xsi:type="xsd:double"&gt;2.83332678852113&lt;/D&gt;&lt;D xsi:type="xsd:double"&gt;2.71633545382664&lt;/D&gt;&lt;D xsi:type="xsd:double"&gt;2.90995925062908&lt;/D&gt;&lt;D xsi:type="xsd:double"&gt;3.70148951206828&lt;/D&gt;&lt;D xsi:type="xsd:double"&gt;3.78033775036386&lt;/D&gt;&lt;D xsi:type="xsd:double"&gt;3.89965258221067&lt;/D&gt;&lt;D xsi:type="xsd:double"&gt;3.25783780427778&lt;/D&gt;&lt;D xsi:type="xsd:double"&gt;2.85312746630289&lt;/D&gt;&lt;D xsi:type="xsd:double"&gt;2.76192647450554&lt;/D&gt;&lt;D xsi:type="xsd:double"&gt;2.80931641392298&lt;/D&gt;&lt;D xsi:type="xsd:double"&gt;2.81554182798618&lt;/D&gt;&lt;D xsi:type="xsd:double"&gt;2.56606546358066&lt;/D&gt;&lt;D xsi:type="xsd:double"&gt;2.28648324737188&lt;/D&gt;&lt;D xsi:type="xsd:double"&gt;2.21490918371543&lt;/D&gt;&lt;D xsi:type="xsd:double"&gt;2.43560489560419&lt;/D&gt;&lt;D xsi:type="xsd:double"&gt;2.51942011302654&lt;/D&gt;&lt;D xsi:type="xsd:double"&gt;2.72750900446651&lt;/D&gt;&lt;D xsi:type="xsd:double"&gt;2.80489331252411&lt;/D&gt;&lt;D xsi:type="xsd:double"&gt;2.81500858837163&lt;/D&gt;&lt;D xsi:type="xsd:double"&gt;3.11249179737521&lt;/D&gt;&lt;D xsi:type="xsd:double"&gt;3.0412600383485&lt;/D&gt;&lt;D xsi:type="xsd:double"&gt;3.07853395176762&lt;/D&gt;&lt;D xsi:type="xsd:double"&gt;2.85039019919078&lt;/D&gt;&lt;D xsi:type="xsd:double"&gt;3.00414662942278&lt;/D&gt;&lt;D xsi:type="xsd:double"&gt;3.15722783961866&lt;/D&gt;&lt;D xsi:type="xsd:double"&gt;3.11855056417672&lt;/D&gt;&lt;D xsi:type="xsd:double"&gt;3.15088213344961&lt;/D&gt;&lt;D xsi:type="xsd:double"&gt;3.19112527309212&lt;/D&gt;&lt;D xsi:type="xsd:double"&gt;3.36954860733204&lt;/D&gt;&lt;D xsi:type="xsd:double"&gt;3.58581919344516&lt;/D&gt;&lt;D xsi:type="xsd:double"&gt;3.53180993394792&lt;/D&gt;&lt;D xsi:type="xsd:double"&gt;3.75618866752286&lt;/D&gt;&lt;D xsi:type="xsd:double"&gt;3.61590269540191&lt;/D&gt;&lt;D xsi:type="xsd:double"&gt;3.54764922200037&lt;/D&gt;&lt;D xsi:type="xsd:double"&gt;3.90225412061347&lt;/D&gt;&lt;D xsi:type="xsd:double"&gt;3.9147362325895&lt;/D&gt;&lt;D xsi:type="xsd:double"&gt;4.02121446667648&lt;/D&gt;&lt;D xsi:type="xsd:double"&gt;4.29776476012899&lt;/D&gt;&lt;D xsi:type="xsd:double"&gt;4.1414542327056&lt;/D&gt;&lt;D xsi:type="xsd:double"&gt;4.41921571988252&lt;/D&gt;&lt;D xsi:type="xsd:double"&gt;4.34577549</t>
        </r>
      </text>
    </comment>
    <comment ref="A2" authorId="0" shapeId="0" xr:uid="{59294AED-3382-42C2-9695-8ABD6DA7995E}">
      <text>
        <r>
          <rPr>
            <b/>
            <sz val="9"/>
            <color indexed="81"/>
            <rFont val="Tahoma"/>
            <charset val="1"/>
          </rPr>
          <t>202049&lt;/D&gt;&lt;D xsi:type="xsd:double"&gt;4.60656388096905&lt;/D&gt;&lt;D xsi:type="xsd:double"&gt;4.29205632305423&lt;/D&gt;&lt;D xsi:type="xsd:double"&gt;4.16727995754216&lt;/D&gt;&lt;D xsi:type="xsd:double"&gt;4.12189044653567&lt;/D&gt;&lt;D xsi:type="xsd:double"&gt;4.12768420599467&lt;/D&gt;&lt;D xsi:type="xsd:double"&gt;4.1835145932066&lt;/D&gt;&lt;D xsi:type="xsd:double"&gt;4.24905446570216&lt;/D&gt;&lt;D xsi:type="xsd:double"&gt;4.16463215025983&lt;/D&gt;&lt;D xsi:type="xsd:double"&gt;4.01973898508872&lt;/D&gt;&lt;D xsi:type="xsd:double"&gt;4.08980300106646&lt;/D&gt;&lt;D xsi:type="xsd:double"&gt;4.07197618581503&lt;/D&gt;&lt;/FQL&gt;&lt;FQL&gt;&lt;Q&gt;EWW^FMA_PE(NTMA,-10AY,0,AM,"PORTAGG","MEANR")&lt;/Q&gt;&lt;R&gt;121&lt;/R&gt;&lt;C&gt;1&lt;/C&gt;&lt;D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xsi:type="xsd:double"&gt;16.4168232592063&lt;/D&gt;&lt;D xsi:type="xsd:double"&gt;16.9871603931493&lt;/D&gt;&lt;D xsi:type="xsd:double"&gt;18.067635057245&lt;/D&gt;&lt;D xsi:type="xsd:double"&gt;19.5203985564185&lt;/D&gt;&lt;D xsi:type="xsd:double"&gt;19.5606323235829&lt;/D&gt;&lt;D xsi:type="xsd:double"&gt;18.1040850852312&lt;/D&gt;&lt;D xsi:type="xsd:double"&gt;18.4491069274755&lt;/D&gt;&lt;D xsi:type="xsd:double"&gt;18.9663880056276&lt;/D&gt;&lt;D xsi:type="xsd:double"&gt;17.3760874982732&lt;/D&gt;&lt;D xsi:type="xsd:double"&gt;17.9407766140363&lt;/D&gt;&lt;D xsi:type="xsd:double"&gt;16.6902879830985&lt;/D&gt;&lt;D xsi:type="xsd:double"&gt;16.6020833787986&lt;/D&gt;&lt;D xsi:type="xsd:double"&gt;16.1299522916406&lt;/D&gt;&lt;D xsi:type="xsd:double"&gt;16.5298576183377&lt;/D&gt;&lt;D xsi:type="xsd:double"&gt;16.3686748028274&lt;/D&gt;&lt;D xsi:type="xsd:double"&gt;16.8083670147445&lt;/D&gt;&lt;D xsi:type="xsd:double"&gt;16.6546638099653&lt;/D&gt;&lt;D xsi:type="xsd:double"&gt;16.5795694588291&lt;/D&gt;&lt;D xsi:type="xsd:double"&gt;17.1188168479523&lt;/D&gt;&lt;D xsi:type="xsd:double"&gt;17.2029743129655&lt;/D&gt;&lt;D xsi:type="xsd:double"&gt;16.8413419361109&lt;/D&gt;&lt;D xsi:type="xsd:double"&gt;16.3806985132717&lt;/D&gt;&lt;D xsi:type="xsd:double"&gt;15.6623523948327&lt;/D&gt;&lt;D xsi:type="xsd:double"&gt;15.7092116117517&lt;/D&gt;&lt;D xsi:type="xsd:double"&gt;15.8364382547891&lt;/D&gt;&lt;D xsi:type="xsd:double"&gt;15.5741452926348&lt;/D&gt;&lt;D xsi:type="xsd:double"&gt;15.5132947546591&lt;/D&gt;&lt;D xsi:type="xsd:double"&gt;15.7553504837776&lt;/D&gt;&lt;D xsi:type="xsd:double"&gt;14.8511128902784&lt;/D&gt;&lt;D xsi:type="xsd:double"&gt;14.8336070171226&lt;/D&gt;&lt;D xsi:type="xsd:double"&gt;15.2962673778055&lt;/D&gt;&lt;D xsi:type="xsd:double"&gt;15.1739952528294&lt;/D&gt;&lt;D xsi:type="xsd:double"&gt;15.1784482987076&lt;/D&gt;&lt;D xsi:type="xsd:double"&gt;14.3728784463364&lt;/D&gt;&lt;D xsi:type="xsd:double"&gt;12.6605024775505&lt;/D&gt;&lt;D xsi:type="xsd:double"&gt;12.4013279465262&lt;/D&gt;&lt;D xsi:type="xsd:double"&gt;13.0546838075126&lt;/D&gt;&lt;D xsi:type="xsd:double"&gt;12.8196261670895&lt;/D&gt;&lt;D xsi:type="xsd:double"&gt;12.5472025675722&lt;/D&gt;&lt;D xsi:type="xsd:double"&gt;13.4555432612126&lt;/D&gt;&lt;D xsi:type="xsd:double"&gt;13.0683691748181&lt;/D&gt;&lt;D xsi:type="xsd:double"&gt;12.9231764536576&lt;/D&gt;&lt;D xsi:type="xsd:double"&gt;12.894043820952&lt;/D&gt;&lt;D xsi:type="xsd:double"&gt;11.9400368990336&lt;/D&gt;&lt;D xsi:type="xsd:double"&gt;13.4203648004817&lt;/D&gt;&lt;D xsi:type="xsd:double"&gt;13.5900805319479&lt;/D&gt;&lt;D xsi:type="xsd:double"&gt;13.619088161856&lt;/D&gt;&lt;D xsi:type="xsd:double"&gt;14.0018047827623&lt;/D&gt;&lt;D xsi:type="xsd:double"&gt;14.1410135789042&lt;/D&gt;&lt;D xsi:type="xsd:double"&gt;14.4431380369799&lt;/D&gt;&lt;D xsi:type="xsd:double"&gt;11.8994944398608&lt;/D&gt;&lt;D xsi:type="xsd:double"&gt;11.3502770768495&lt;/D&gt;&lt;D xsi:type="xsd:double"&gt;14.4495089686195&lt;/D&gt;&lt;D xsi:type="xsd:double"&gt;16.557802689066&lt;/D&gt;&lt;D xsi:type="xsd:double"&gt;16.0599547033776&lt;/D&gt;&lt;D xsi:type="xsd:double"&gt;17.7073672923958&lt;/D&gt;&lt;D xsi:type="xsd:double"&gt;15.6401309028013&lt;/D&gt;&lt;D xsi:type="xsd:double"&gt;15.0229708174494&lt;/D&gt;&lt;D xsi:type="xsd:double"&gt;15.3152776928938&lt;/D&gt;&lt;D xsi:type="xsd:double"&gt;15.3068134396635&lt;/D&gt;&lt;D xsi:type="xsd:double"&gt;15.3081813782471&lt;/D&gt;&lt;D xsi:type="xsd:double"&gt;14.3740362919667&lt;/D&gt;&lt;D xsi:type="xsd:double"&gt;14.9580901525356&lt;/D&gt;&lt;D xsi:type="xsd:double"&gt;15.122961680346&lt;/D&gt;&lt;D xsi:type="xsd:double"&gt;14.8050694433243&lt;/D&gt;&lt;D xsi:type="xsd:double"&gt;15.3324984934656&lt;/D&gt;&lt;D xsi:type="xsd:double"&gt;14.4155899105908&lt;/D&gt;&lt;D xsi:type="xsd:double"&gt;14.4253206567086&lt;/D&gt;&lt;D xsi:type="xsd:double"&gt;14.1848766682914&lt;/D&gt;&lt;D xsi:type="xsd:double"&gt;13.9152673384532&lt;/D&gt;&lt;D xsi:type="xsd:double"&gt;13.6522489001571&lt;/D&gt;&lt;D xsi:type="xsd:double"&gt;13.3786098171108&lt;/D&gt;&lt;D xsi:type="xsd:double"&gt;14.0002531489385&lt;/D&gt;&lt;D xsi:type="xsd:double"&gt;13.4832199147132&lt;/D&gt;&lt;D xsi:type="xsd:double"&gt;13.4940503671028&lt;/D&gt;&lt;D xsi:type="xsd:double"&gt;13.8259773207486&lt;/D&gt;&lt;D xsi:type="xsd:double"&gt;12.3821503502107&lt;/D&gt;&lt;D xsi:type="xsd:double"&gt;11.6533435972933&lt;/D&gt;&lt;D xsi:type="xsd:double"&gt;11.3475918913296&lt;/D&gt;&lt;D xsi:type="xsd:double"&gt;11.9574609628419&lt;/D&gt;&lt;D xsi:type="xsd:double"&gt;11.2621692391965&lt;/D&gt;&lt;D xsi:type="xsd:double"&gt;11.3353812011793&lt;/D&gt;&lt;D xsi:type="xsd:double"&gt;12.7158269597256&lt;/D&gt;&lt;D xsi:type="xsd:double"&gt;12.1076758630844&lt;/D&gt;&lt;D xsi:type="xsd:double"&gt;12.8791840747966&lt;/D&gt;&lt;D xsi:type="xsd:double"&gt;12.6084298585893&lt;/D&gt;&lt;D xsi:type="xsd:double"&gt;12.4941781803045&lt;/D&gt;&lt;D xsi:type="xsd:double"&gt;12.6333837620398&lt;/D&gt;&lt;D xsi:type="xsd:double"&gt;12.3507257184444&lt;/D&gt;&lt;D xsi:type="xsd:double"&gt;12.1041332753147&lt;/D&gt;&lt;D xsi:type="xsd:double"&gt;11.7682144088142&lt;/D&gt;&lt;D xsi:type="xsd:double"&gt;11.7890245233016&lt;/D&gt;&lt;D xsi:type="xsd:double"&gt;11.5272134113903&lt;/D&gt;&lt;D xsi:type="xsd:double"&gt;11.0282133130148&lt;/D&gt;&lt;D xsi:type="xsd:double"&gt;11.8866964960576&lt;/D&gt;&lt;D xsi:type="xsd:double"&gt;12.9394201107978&lt;/D&gt;&lt;D xsi:type="xsd:double"&gt;12.5007265896736&lt;/D&gt;&lt;D xsi:type="xsd:double"&gt;12.9934162627801&lt;/D&gt;&lt;D xsi:type="xsd:double"&gt;12.3190283722558&lt;/D&gt;&lt;/FQL&gt;&lt;FQL&gt;&lt;Q&gt;MCHI^FMA_PE(LTMA,-10AY,0,AM,"PORTAGG","MEANR")&lt;/Q&gt;&lt;R&gt;121&lt;/R&gt;&lt;C&gt;1&lt;/C&gt;&lt;D xsi:type="xsd:double"&gt;9.19277861274629&lt;/D&gt;&lt;D xsi:type="xsd:double"&gt;9.31047032175789&lt;/D&gt;&lt;D xsi:type="xsd:double"&gt;9.21744818226181&lt;/D&gt;&lt;D xsi:type="xsd:double"&gt;9.35218983080319&lt;/D&gt;&lt;D xsi:type="xsd:double"&gt;9.43357630635385&lt;/D&gt;&lt;D xsi:type="xsd:double"&gt;9.71533142087142&lt;/D&gt;&lt;D xsi:type="xsd:double"&gt;9.70446357713076&lt;/D&gt;&lt;D xsi:type="xsd:double"&gt;9.20337914266309&lt;/D&gt;&lt;D xsi:type="xsd:double"&gt;9.63599234112523&lt;/D&gt;&lt;D xsi:type="xsd:double"&gt;9.74923165044468&lt;/D&gt;&lt;D xsi:type="xsd:double"&gt;10.424657395005&lt;/D&gt;&lt;D xsi:type="xsd:double"&gt;10.6770037947935&lt;/D&gt;&lt;D xsi:type="xsd:double"&gt;10.767097093531&lt;/D&gt;&lt;D xsi:type="xsd:double"&gt;11.3645423292829&lt;/D&gt;&lt;D xsi:type="xsd:double"&gt;11.4282746854634&lt;/D&gt;&lt;D xsi:type="xsd:double"&gt;11.4648994424259&lt;/D&gt;&lt;D xsi:type="xsd:double"&gt;10.7246007540273&lt;/D&gt;&lt;D xsi:type="xsd:double"&gt;10.5209645957984&lt;/D&gt;&lt;D xsi:type="xsd:double"&gt;9.80653906781495&lt;/D&gt;&lt;D xsi:type="xsd:double"&gt;10.1447296114445&lt;/D&gt;&lt;D xsi:type="xsd:double"&gt;10.1207151532743&lt;/D&gt;&lt;D xsi:type="xsd:double"&gt;9.55919388842376&lt;/D&gt;&lt;D xsi:type="xsd:double"&gt;9.67734134779772&lt;/D&gt;&lt;D xsi:type="xsd:double"&gt;8.88895106541258&lt;/D&gt;&lt;D xsi:type="xsd:double"&gt;9.42110127847282&lt;/D&gt;&lt;D xsi:type="xsd:double"&gt;9.72361250367311&lt;/D&gt;&lt;D xsi:type="xsd:double"&gt;9.50641809349905&lt;/D&gt;&lt;D xsi:type="xsd:double"&gt;10.1946298065781&lt;/D&gt;&lt;D xsi:type="xsd:double"&gt;10.8260969892175&lt;/D&gt;&lt;D xsi:type="xsd:double"&gt;11.6285740448091&lt;/D&gt;&lt;D xsi:type="xsd:double"&gt;12.2534230724026&lt;/D&gt;&lt;D xsi:type="xsd:double"&gt;12.7170695384082&lt;/D&gt;&lt;D xsi:type="xsd:double"&gt;12.5517619067707&lt;/D&gt;&lt;D xsi:type="xsd:double"&gt;13.1131051967979&lt;/D&gt;&lt;D xsi:type="xsd:double"&gt;13.6055268016578&lt;/D&gt;&lt;D xsi:type="xsd:double"&gt;14.0806745083328&lt;/D&gt;&lt;D xsi:type="xsd:double"&gt;14.036142747003&lt;/D&gt;&lt;D xsi:type="xsd:double"&gt;13.8458772631525&lt;/D&gt;&lt;D xsi:type="xsd:double"&gt;14.0210789977721&lt;/D&gt;&lt;D xsi:type="xsd:double"&gt;14.07646928722&lt;/D&gt;&lt;D xsi:type="xsd:double"&gt;14.3037271061468&lt;/D&gt;&lt;D xsi:type="xsd:double"&gt;14.5173371551247&lt;/D&gt;&lt;D xsi:type="xsd:double"&gt;14.7089045844849&lt;/D&gt;&lt;D xsi:type="xsd:double"&gt;15.1395349072996&lt;/D&gt;&lt;D xsi:type="xsd:double"&gt;15.4111506325051&lt;/D&gt;&lt;D xsi:type="xsd:double"&gt;15.1458925830263&lt;/D&gt;&lt;D xsi:type="xsd:double"&gt;16.2357375370667&lt;/D&gt;&lt;D xsi:type="xsd:double"&gt;15.3101997509441&lt;/D&gt;&lt;D xsi:type="xsd:double"&gt;15.3436071394532&lt;/D&gt;&lt;D xsi:type="xsd:double"&gt;14.9452050749564&lt;/D&gt;&lt;D xsi:type="xsd:double"&gt;14.9051901661451&lt;/D&gt;&lt;D xsi:type="xsd:double"&gt;14.6862322789041&lt;/D&gt;&lt;D xsi:type="xsd:double"&gt;14.1725207142022&lt;/D&gt;&lt;D xsi:type="xsd:double"&gt;13.6266768469918&lt;/D&gt;&lt;D xsi:type="xsd:double"&gt;13.1725821062905&lt;/D&gt;&lt;D xsi:type="xsd:double"&gt;12.3891802374179&lt;/D&gt;&lt;D xsi:type="xsd:double"&gt;12.0971058074494&lt;/D&gt;&lt;D xsi:type="xsd:double"&gt;12.0438449424264&lt;/D&gt;&lt;D xsi:type="xsd:double"&gt;11.5732503016246&lt;/D&gt;&lt;D xsi:type="xsd:double"&gt;12.7531494889251&lt;/D&gt;&lt;D xsi:type="xsd:double"&gt;12.8268901304909&lt;/D&gt;&lt;D xsi:type="xsd:double"&gt;12.9562707737553&lt;/D&gt;&lt;D xsi:type="xsd:double"&gt;12.6386174440595&lt;/D&gt;&lt;D xsi:type="xsd:double"&gt;12.4274137149822&lt;/D&gt;&lt;D xsi:type="xsd:double"&gt;12.5800257211556&lt;/D&gt;&lt;D xsi:type="xsd:double"&gt;12.1096306515176&lt;/D&gt;&lt;D xsi:type="xsd:double"&gt;12.7656287375329&lt;/D&gt;&lt;D xsi:type="xsd:double"&gt;12.4197541294764&lt;/D&gt;&lt;D xsi:type="xsd:double"&gt;12.3716209398608&lt;/D&gt;&lt;D xsi:type="xsd:double"&gt;13.2842793577006&lt;/D&gt;&lt;D xsi:type="xsd:double"&gt;14.109061902845&lt;/D&gt;&lt;D xsi:type="xsd:double"&gt;13.8078783303972&lt;/D&gt;&lt;D xsi:type="xsd:double"&gt;12.9010913837501&lt;/D&gt;&lt;D xsi:type="xsd:double"&gt;13.0850726112033&lt;/D&gt;&lt;D xsi:type="xsd:double"&gt;13.249108192295&lt;/D&gt;&lt;D xsi:type="xsd:double"&gt;13.869636712439&lt;/D&gt;&lt;D xsi:type="xsd:double"&gt;15.0633183826673&lt;/D&gt;&lt;D xsi:type="xsd:double"&gt;15.1803437820025&lt;/D&gt;&lt;D xsi:type="xsd:double"&gt;15.8097919968745&lt;/D&gt;&lt;D xsi:type="xsd:double"&gt;16.7751374996824&lt;/D&gt;&lt;D xsi:type="xsd:double"&gt;17.2330119320125&lt;/D&gt;&lt;D xsi:type="xsd:double"&gt;17.4843005501224&lt;/D&gt;&lt;D xsi:type="xsd:double"&gt;19.8975782521858&lt;/D&gt;&lt;D xsi:type="xsd:double"&gt;21.983464490677&lt;/D&gt;&lt;D xsi:type="xsd:double"&gt;19.6577862352028&lt;/D&gt;&lt;D xsi:type="xsd:double"&gt;19.2381984737976&lt;/D&gt;&lt;D xsi:type="xsd:double"&gt;18.6247464000449&lt;/D&gt;&lt;D xsi:type="xsd:double"&gt;18.8109138559055&lt;/D&gt;&lt;D xsi:type="xsd:double"&gt;18.1869094683021&lt;/D&gt;&lt;D xsi:type="xsd:double"&gt;17.1255186825889&lt;/D&gt;&lt;D xsi:type="xsd:double"&gt;16.5800620293816&lt;/D&gt;&lt;D xsi:type="xsd:double"&gt;16.0914888126124&lt;/D&gt;&lt;D xsi:type="xsd:double"&gt;15.8271680387898&lt;/D&gt;&lt;D xsi:type="xsd:double"&gt;14.586055872284&lt;/D&gt;&lt;D xsi:type="xsd:double"&gt;14.277941347493&lt;/D&gt;&lt;D xsi:type="xsd:double"&gt;13.9114439597793&lt;/D&gt;&lt;D xsi:type="xsd:double"&gt;12.552906302384&lt;/D&gt;&lt;D xsi:type="xsd:double"&gt;12.6722827131261&lt;/D&gt;&lt;D xsi:type="xsd:double"&gt;12.4402093699969&lt;/D&gt;&lt;D xsi:type="xsd:double"&gt;12.8597586592383&lt;/D&gt;&lt;D xsi:type="xsd:double"&gt;12.7955259798605&lt;/D&gt;&lt;D xsi:type="xsd:double"&gt;12.4287216194823&lt;/D&gt;&lt;D xsi:type="xsd:double"&gt;12.244997928965&lt;/D&gt;&lt;D xsi:type="xsd:double"&gt;10.9908647623977&lt;/D&gt;&lt;D xsi:type="xsd:double"&gt;11.2990780262787&lt;/D&gt;&lt;D xsi:type="xsd:double"&gt;12.4330631932565&lt;/D&gt;&lt;D xsi:type="xsd:double"&gt;13.625183754586&lt;/D&gt;&lt;D xsi:type="xsd:double"&gt;13.1815270676516&lt;/D&gt;&lt;D xsi:type="xsd:double"&gt;12.2464123327898&lt;/D&gt;&lt;D xsi:type="xsd:double"&gt;12.2711574207266&lt;/D&gt;&lt;D xsi:type="xsd:double"&gt;12.0023067401761&lt;/D&gt;&lt;D xsi:type="xsd:double"&gt;11.9672614761542&lt;/D&gt;&lt;D xsi:type="xsd:double"&gt;11.9441018388617&lt;/D&gt;&lt;D xsi:type="xsd:double"&gt;11.8263701482677&lt;/D&gt;&lt;D xsi:type="xsd:double"&gt;11.6887929107756&lt;/D&gt;&lt;D xsi:type="xsd:double"&gt;11.4338924749575&lt;/D&gt;&lt;D xsi:type="xsd:double"&gt;11.2935832972362&lt;/D&gt;&lt;D xsi:type="xsd:double"&gt;10.5942658483974&lt;/D&gt;&lt;D xsi:type="xsd:double"&gt;10.4538435504438&lt;/D&gt;&lt;D xsi:type="xsd:double"&gt;10.1519474146564&lt;/D&gt;&lt;D xsi:type="xsd:double"&gt;10.5018002897154&lt;/D&gt;&lt;/FQL&gt;&lt;FQL&gt;&lt;Q&gt;DDR3512M-FDS^MAX(FG_PRICE(0,-5AY))&lt;/Q&gt;&lt;R&gt;1&lt;/R&gt;&lt;C&gt;1&lt;/C&gt;&lt;D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xsi:type="xsd:double"&gt;4.929&lt;/D&gt;&lt;/FQL&gt;&lt;FQL&gt;&lt;Q&gt;FC0000SA^FG_PRICE(0)&lt;/Q&gt;&lt;R&gt;1&lt;/R&gt;&lt;C&gt;1&lt;/C&gt;&lt;D xsi:type="xsd:double"&gt;53.004597&lt;/D&gt;&lt;/FQL&gt;&lt;FQL&gt;&lt;Q&gt;SET-BKK^FG_PRICE(0)&lt;/Q&gt;&lt;R&gt;1&lt;/R&gt;&lt;C&gt;1&lt;/C&gt;&lt;D xsi:type="xsd:double"&gt;1394.93&lt;/D&gt;&lt;/FQL&gt;&lt;FQL&gt;&lt;Q&gt;DUMMY^ECON_EXPR_DATA('FDS_ECON[NTCPMIMFGSA@EME]',,,M)&lt;/Q&gt;&lt;R&gt;1&lt;/R&gt;&lt;C&gt;1&lt;/C&gt;&lt;D xsi:type="xsd:double"&gt;51.4475&lt;/D&gt;&lt;/FQL&gt;&lt;FQL&gt;&lt;Q&gt;EWM^FMA_ROE(NTMA,-20AY,NOW,FY,"PORTAGG","MEANR")&lt;/Q&gt;&lt;R&gt;20&lt;/R&gt;&lt;C&gt;1&lt;/C&gt;&lt;D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xsi:type="xsd:double"&gt;2.2&lt;/D&gt;&lt;/FQL&gt;&lt;FQL&gt;&lt;Q&gt;USDVND^FG_PRICE_CHANGE(0,-1AY)&lt;/Q&gt;&lt;R&gt;1&lt;/R&gt;&lt;C&gt;1&lt;/C&gt;&lt;D xsi:type="xsd:double"&gt;4.727578&lt;/D&gt;&lt;/FQL&gt;&lt;FQL&gt;&lt;Q&gt;DUMMY^ECON_EXPR_DATA('FDS_ECON[PMIDMMANHE]',,,M)&lt;/Q&gt;&lt;R&gt;1&lt;/R&gt;&lt;C&gt;1&lt;/C&gt;&lt;D xsi:type="xsd:double"&gt;49.253857&lt;/D&gt;&lt;/FQL&gt;&lt;FQL&gt;&lt;Q&gt;EPU^FMA_ROE(NTMA,-20AY,NOW,FY,"PORTAGG","MEANR")&lt;/Q&gt;&lt;R&gt;20&lt;/R&gt;&lt;C&gt;1&lt;/C&gt;&lt;D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xsi:type="xsd:string"&gt;@NA&lt;/D&gt;&lt;D xsi:type="xsd:string"&gt;@NA&lt;/D&gt;&lt;D xsi:type="xsd:double"&gt;6.63&lt;/D&gt;&lt;D xsi:type="xsd:double"&gt;7.4903&lt;/D&gt;&lt;D xsi:type="xsd:string"&gt;@NA&lt;/D&gt;&lt;D xsi:type="xsd:string"&gt;@NA&lt;/D&gt;&lt;D xsi:type="xsd:string"&gt;@NA&lt;/D&gt;&lt;D xsi:type="xsd:double"&gt;6.4688&lt;/D&gt;&lt;D xsi:type="xsd:double"&gt;7.3388&lt;/D&gt;&lt;D xsi:type="xsd:double"&gt;7.2&lt;/D&gt;&lt;/FQL&gt;&lt;FQL&gt;&lt;Q&gt;TRYGR10Y-FDS^FG_YIELD(-10AY,0,Y,,"YTM")&lt;/Q&gt;&lt;R&gt;10&lt;/R&gt;&lt;C&gt;1&lt;/C&gt;&lt;D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xsi:type="xsd:double"&gt;1.65&lt;/D&gt;&lt;/FQL&gt;&lt;FQL&gt;&lt;Q&gt;CAGDPY@MY^EE_ACTUAL_ANNUAL(MED,0)&lt;/Q&gt;&lt;R&gt;1&lt;/R&gt;&lt;C&gt;1&lt;/C&gt;&lt;D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xsi:type="xsd:double"&gt;24700&lt;/D&gt;&lt;/FQL&gt;&lt;FQL&gt;&lt;Q&gt;KSA^FMA_ROE(NTMA,-20AY,NOW,FY,"PORTAGG","MEANR")&lt;/Q&gt;&lt;R&gt;20&lt;/R&gt;&lt;C&gt;1&lt;/C&gt;&lt;D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xsi:type="xsd:double"&gt;10.1460102201105&lt;/D&gt;&lt;D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xsi:type="xsd:double"&gt;0.703&lt;/D&gt;&lt;/FQL&gt;&lt;FQL&gt;&lt;Q&gt;W-FDS^FG_PRICE_CHANGE(0,-6AM)&lt;/Q&gt;&lt;R&gt;1&lt;/R&gt;&lt;C&gt;1&lt;/C&gt;&lt;D xsi:type="xsd:double"&gt;-8.45814977973568&lt;/D&gt;&lt;/FQL&gt;&lt;FQL&gt;&lt;Q&gt;COPP-FDS^FG_PRICE_CHANGE(0,-6AM)&lt;/Q&gt;&lt;R&gt;1&lt;/R&gt;&lt;C&gt;1&lt;/C&gt;&lt;D xsi:type="xsd:double"&gt;6.72835426305354&lt;/D&gt;&lt;/FQL&gt;&lt;FQL&gt;&lt;Q&gt;CAGDPY@IN^EE_ACTUAL_ANNUAL(MED,+1)&lt;/Q&gt;&lt;R&gt;1&lt;/R&gt;&lt;C&gt;1&lt;/C&gt;&lt;D xsi:type="xsd:double"&gt;-1.5&lt;/D&gt;&lt;/FQL&gt;&lt;FQL&gt;&lt;Q&gt;CAGDPY@PE^EE_ACTUAL_ANNUAL(MED,+1)&lt;/Q&gt;&lt;R&gt;1&lt;/R&gt;&lt;C&gt;1&lt;/C&gt;&lt;D xsi:type="xsd:double"&gt;-0.8&lt;/D&gt;&lt;/FQL&gt;&lt;FQL&gt;&lt;Q&gt;CC_TH^FG_COMPANY_NAME&lt;/Q&gt;&lt;R&gt;1&lt;/R&gt;&lt;C&gt;1&lt;/C&gt;&lt;D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xsi:type="xsd:double"&gt;36.3147882965046&lt;/D&gt;&lt;D xsi:type="xsd:double"&gt;33.7058784937619&lt;/D&gt;&lt;D xsi:type="xsd:double"&gt;47.0200163276941&lt;/D&gt;&lt;D xsi:type="xsd:double"&gt;46.0469770059164&lt;/D&gt;&lt;D xsi:type="xsd:double"&gt;54.6834646415869&lt;/D&gt;&lt;/FQL&gt;&lt;FQL&gt;&lt;Q&gt;VNM^P_PRICE_RETURNS_PR('52W',2,-10AY,0,AM)&lt;/Q&gt;&lt;R&gt;121&lt;/R&gt;&lt;C&gt;1&lt;/C&gt;&lt;D xsi:type="xsd:double"&gt;11.115253&lt;/D&gt;&lt;D xsi:type="xsd:double"&gt;10.42651&lt;/D&gt;&lt;D xsi:type="xsd:double"&gt;0.8258939&lt;/D&gt;&lt;D xsi:type="xsd:double"&gt;4.8440337&lt;/D&gt;&lt;D xsi:type="xsd:double"&gt;15.959894&lt;/D&gt;&lt;D xsi:type="xsd:double"&gt;21.58382&lt;/D&gt;&lt;D xsi:type="xsd:double"&gt;30.887245&lt;/D&gt;&lt;D xsi:type="xsd:double"&gt;17.611622&lt;/D&gt;&lt;D xsi:type="xsd:double"&gt;14.335799&lt;/D&gt;&lt;D xsi:type="xsd:double"&gt;6.056428&lt;/D&gt;&lt;D xsi:type="xsd:double"&gt;-2.1839738&lt;/D&gt;&lt;D xsi:type="xsd:double"&gt;-12.173325&lt;/D&gt;&lt;D xsi:type="xsd:double"&gt;-14.244479&lt;/D&gt;&lt;D xsi:type="xsd:double"&gt;-15.41335&lt;/D&gt;&lt;D xsi:type="xsd:double"&gt;-10.811937&lt;/D&gt;&lt;D xsi:type="xsd:double"&gt;-9.901685&lt;/D&gt;&lt;D xsi:type="xsd:double"&gt;-5.581379&lt;/D&gt;&lt;D xsi:type="xsd:double"&gt;-19.640755&lt;/D&gt;&lt;D xsi:type="xsd:double"&gt;-30.102032&lt;/D&gt;&lt;D xsi:type="xsd:double"&gt;-17.574024&lt;/D&gt;&lt;D xsi:type="xsd:double"&gt;-20.392822&lt;/D&gt;&lt;D xsi:type="xsd:double"&gt;-22.445744&lt;/D&gt;&lt;D xsi:type="xsd:double"&gt;-24.077398&lt;/D&gt;&lt;D xsi:type="xsd:double"&gt;-29.499275&lt;/D&gt;&lt;D xsi:type="xsd:double"&gt;-19.488222&lt;/D&gt;&lt;D xsi:type="xsd:double"&gt;-15.845436&lt;/D&gt;&lt;D xsi:type="xsd:double"&gt;-14.0113535&lt;/D&gt;&lt;D xsi:type="xsd:double"&gt;-16.433352&lt;/D&gt;&lt;D xsi:type="xsd:double"&gt;-18.81352&lt;/D&gt;&lt;D xsi:type="xsd:double"&gt;-10.626918&lt;/D&gt;&lt;D xsi:type="xsd:double"&gt;-4.196602&lt;/D&gt;&lt;D xsi:type="xsd:double"&gt;-10.558599&lt;/D&gt;&lt;D xsi:type="xsd:double"&gt;-13.3178&lt;/D&gt;&lt;D xsi:type="xsd:double"&gt;-8.017522&lt;/D&gt;&lt;D xsi:type="xsd:double"&gt;1.7103672&lt;/D&gt;&lt;D xsi:type="xsd:double"&gt;8.014261&lt;/D&gt;&lt;D xsi:type="xsd:double"&gt;-3.1650484&lt;/D&gt;&lt;D xsi:type="xsd:double"&gt;1.0605931&lt;/D&gt;&lt;D xsi:type="xsd:double"&gt;0.38090944&lt;/D&gt;&lt;D xsi:type="xsd:double"&gt;2.1826744&lt;/D&gt;&lt;D xsi:type="xsd:double"&gt;-0.5464852&lt;/D&gt;&lt;D xsi:type="xsd:double"&gt;-2.6260197&lt;/D&gt;&lt;D xsi:type="xsd:double"&gt;6.390357&lt;/D&gt;&lt;D xsi:type="xsd:double"&gt;6.068146&lt;/D&gt;&lt;D xsi:type="xsd:double"&gt;23.166656&lt;/D&gt;&lt;D xsi:type="xsd:double"&gt;31.884098&lt;/D&gt;&lt;D xsi:type="xsd:double"&gt;42.749275&lt;/D&gt;&lt;D xsi:type="xsd:double"&gt;34.222557&lt;/D&gt;&lt;D xsi:type="xsd:double"&gt;43.210613&lt;/D&gt;&lt;D xsi:type="xsd:double"&gt;41.032265&lt;/D&gt;&lt;D xsi:type="xsd:double"&gt;31.185759&lt;/D&gt;&lt;D xsi:type="xsd:double"&gt;17.967403&lt;/D&gt;&lt;D xsi:type="xsd:double"&gt;7.283783&lt;/D&gt;&lt;D xsi:type="xsd:double"&gt;16.536856&lt;/D&gt;&lt;D xsi:type="xsd:double"&gt;12.7776985&lt;/D&gt;&lt;D xsi:type="xsd:double"&gt;3.839445&lt;/D&gt;&lt;D xsi:type="xsd:double"&gt;-6.6749153&lt;/D&gt;&lt;D xsi:type="xsd:double"&gt;-6.528348&lt;/D&gt;&lt;D xsi:type="xsd:double"&gt;-19.611078&lt;/D&gt;&lt;D xsi:type="xsd:double"&gt;-11.372882&lt;/D&gt;&lt;D xsi:type="xsd:double"&gt;-10.0500345&lt;/D&gt;&lt;D xsi:type="xsd:double"&gt;-12.258363&lt;/D&gt;&lt;D xsi:type="xsd:double"&gt;-8.904499&lt;/D&gt;&lt;D xsi:type="xsd:double"&gt;-3.5105586&lt;/D&gt;&lt;D xsi:type="xsd:double"&gt;6.521392&lt;/D&gt;&lt;D xsi:type="xsd:double"&gt;-7.163948&lt;/D&gt;&lt;D xsi:type="xsd:double"&gt;-4.828209&lt;/D&gt;&lt;D xsi:type="xsd:double"&gt;3.7869334&lt;/D&gt;&lt;D xsi:type="xsd:double"&gt;9.089518&lt;/D&gt;&lt;D xsi:type="xsd:double"&gt;2.861786&lt;/D&gt;&lt;D xsi:type="xsd:double"&gt;6.3232303&lt;/D&gt;&lt;D xsi:type="xsd:double"&gt;-5.9480133&lt;/D&gt;&lt;D xsi:type="xsd:double"&gt;-34.19391&lt;/D&gt;&lt;D xsi:type="xsd:double"&gt;-29.264671&lt;/D&gt;&lt;D xsi:type="xsd:double"&gt;-20.739264&lt;/D&gt;&lt;D xsi:type="xsd:double"&gt;-14.789253&lt;/D&gt;&lt;D xsi:type="xsd:double"&gt;-11.807114&lt;/D&gt;&lt;D xsi:type="xsd:double"&gt;-2.8048456&lt;/D&gt;&lt;D xsi:type="xsd:double"&gt;-3.8117826&lt;/D&gt;&lt;D xsi:type="xsd:double"&gt;-4.501563&lt;/D&gt;&lt;D xsi:type="xsd:double"&gt;-4.0942907&lt;/D&gt;&lt;D xsi:type="xsd:double"&gt;6.1514497&lt;/D&gt;&lt;D xsi:type="xsd:double"&gt;15.600157&lt;/D&gt;&lt;D xsi:type="xsd:double"&gt;18.202019&lt;/D&gt;&lt;D xsi:type="xsd:double"&gt;60.991455&lt;/D&gt;&lt;D xsi:type="xsd:double"&gt;58.28414&lt;/D&gt;&lt;D xsi:type="xsd:double"&gt;47.51022&lt;/D&gt;&lt;D xsi:type="xsd:double"&gt;47.374058&lt;/D&gt;&lt;D xsi:type="xsd:double"&gt;34.423256&lt;/D&gt;&lt;D xsi:type="xsd:double"&gt;35.804485&lt;/D&gt;&lt;D xsi:type="xsd:double"&gt;31.07828&lt;/D&gt;&lt;D xsi:type="xsd:double"&gt;29.426432&lt;/D&gt;&lt;D xsi:type="xsd:double"&gt;33.823277&lt;/D&gt;&lt;D xsi:type="xsd:double"&gt;22.57259&lt;/D&gt;&lt;D xsi:type="xsd:double"&gt;12.669206&lt;/D&gt;&lt;D xsi:type="xsd:double"&gt;8.257044&lt;/D&gt;&lt;D xsi:type="xsd:double"&gt;2.8745055&lt;/D&gt;&lt;D xsi:type="xsd:double"&gt;-1.9842625&lt;/D&gt;&lt;D xsi:type="xsd:double"&gt;-17.442167&lt;/D&gt;&lt;D xsi:type="xsd:double"&gt;-25.047958&lt;/D&gt;&lt;D xsi:type="xsd:double"&gt;-25.133663&lt;/D&gt;&lt;D xsi:type="xsd:double"&gt;-20.462496&lt;/D&gt;&lt;D xsi:type="xsd:double"&gt;-24.790012&lt;/D&gt;&lt;D xsi:type="xsd:double"&gt;-37.129593&lt;/D&gt;&lt;D xsi:type="xsd:double"&gt;-46.9109&lt;/D&gt;&lt;D xsi:type="xsd:double"&gt;-38.40763&lt;/D&gt;&lt;D xsi:type="xsd:double"&gt;-39.183258&lt;/D&gt;&lt;D xsi:type="xsd:double"&gt;-38.447876&lt;/D&gt;&lt;D xsi:type="xsd:double"&gt;-35.60964&lt;/D&gt;&lt;D xsi:type="xsd:double"&gt;-34.2316&lt;/D&gt;&lt;D xsi:type="xsd:double"&gt;-17.491419&lt;/D&gt;&lt;D xsi:type="xsd:double"&gt;-11.200296&lt;/D&gt;&lt;D xsi:type="xsd:double"&gt;-1.1020601&lt;/D&gt;&lt;D xsi:type="xsd:double"&gt;-0.22024512&lt;/D&gt;&lt;D xsi:type="xsd:double"&gt;2.8514981&lt;/D&gt;&lt;D xsi:type="xsd:double"&gt;10.452676&lt;/D&gt;&lt;D xsi:type="xsd:double"&gt;23.359943&lt;/D&gt;&lt;D xsi:type="xsd:double"&gt;5.874753&lt;/D&gt;&lt;D xsi:type="xsd:double"&gt;7.123077&lt;/D&gt;&lt;D xsi:type="xsd:double"&gt;16.135597&lt;/D&gt;&lt;D xsi:type="xsd:double"&gt;23.10425&lt;/D&gt;&lt;/FQL&gt;&lt;FQL&gt;&lt;Q&gt;EPHE^P_PRICE_RETURNS_PR('52W',2,-10AY,0,AM)&lt;/Q&gt;&lt;R&gt;121&lt;/R&gt;&lt;C&gt;1&lt;/C&gt;&lt;D xsi:type="xsd:double"&gt;-15.679634&lt;/D&gt;&lt;D xsi:type="xsd:double"&gt;-12.114364&lt;/D&gt;&lt;D xsi:type="xsd:double"&gt;-12.639541&lt;/D&gt;&lt;D xsi:type="xsd:double"&gt;5.24441&lt;/D&gt;&lt;D xsi:type="xsd:double"&gt;5.0354958&lt;/D&gt;&lt;D xsi:type="xsd:double"&gt;8.324075&lt;/D&gt;&lt;D xsi:type="xsd:double"&gt;17.837513&lt;/D&gt;&lt;D xsi:type="xsd:double"&gt;4.2286158&lt;/D&gt;&lt;D xsi:type="xsd:double"&gt;13.575851&lt;/D&gt;&lt;D xsi:type="xsd:double"&gt;26.05139&lt;/D&gt;&lt;D xsi:type="xsd:double"&gt;28.87231&lt;/D&gt;&lt;D xsi:type="xsd:double"&gt;31.442822&lt;/D&gt;&lt;D xsi:type="xsd:double"&gt;24.027275&lt;/D&gt;&lt;D xsi:type="xsd:double"&gt;20.776987&lt;/D&gt;&lt;D xsi:type="xsd:double"&gt;11.758971&lt;/D&gt;&lt;D xsi:type="xsd:double"&gt;5.595219&lt;/D&gt;&lt;D xsi:type="xsd:double"&gt;5.161786&lt;/D&gt;&lt;D xsi:type="xsd:double"&gt;-2.9036582&lt;/D&gt;&lt;D xsi:type="xsd:double"&gt;-8.560437&lt;/D&gt;&lt;D xsi:type="xsd:double"&gt;-1.8071234&lt;/D&gt;&lt;D xsi:type="xsd:double"&gt;-11.664939&lt;/D&gt;&lt;D xsi:type="xsd:double"&gt;-11.783737&lt;/D&gt;&lt;D xsi:type="xsd:double"&gt;-21.908205&lt;/D&gt;&lt;D xsi:type="xsd:double"&gt;-20.975489&lt;/D&gt;&lt;D xsi:type="xsd:double"&gt;-13.644916&lt;/D&gt;&lt;D xsi:type="xsd:double"&gt;-11.262428&lt;/D&gt;&lt;D xsi:type="xsd:double"&gt;-8.26627&lt;/D&gt;&lt;D xsi:type="xsd:double"&gt;-1.7301023&lt;/D&gt;&lt;D xsi:type="xsd:double"&gt;4.229617&lt;/D&gt;&lt;D xsi:type="xsd:double"&gt;7.07134&lt;/D&gt;&lt;D xsi:type="xsd:double"&gt;6.049466&lt;/D&gt;&lt;D xsi:type="xsd:double"&gt;0.09801388&lt;/D&gt;&lt;D xsi:type="xsd:double"&gt;-1.7708957&lt;/D&gt;&lt;D xsi:type="xsd:double"&gt;-2.4963558&lt;/D&gt;&lt;D xsi:type="xsd:double"&gt;12.847746&lt;/D&gt;&lt;D xsi:type="xsd:double"&gt;5.353868&lt;/D&gt;&lt;D xsi:type="xsd:double"&gt;-3.1762838&lt;/D&gt;&lt;D xsi:type="xsd:double"&gt;-2.7320325&lt;/D&gt;&lt;D xsi:type="xsd:double"&gt;0.39803982&lt;/D&gt;&lt;D xsi:type="xsd:double"&gt;0.13606548&lt;/D&gt;&lt;D xsi:type="xsd:double"&gt;-8.447033&lt;/D&gt;&lt;D xsi:type="xsd:double"&gt;-10.213417&lt;/D&gt;&lt;D xsi:type="xsd:double"&gt;0.30333996&lt;/D&gt;&lt;D xsi:type="xsd:double"&gt;7.4868917&lt;/D&gt;&lt;D xsi:type="xsd:double"&gt;13.1888275&lt;/D&gt;&lt;D xsi:type="xsd:double"&gt;18.21376&lt;/D&gt;&lt;D xsi:type="xsd:double"&gt;15.021515&lt;/D&gt;&lt;D xsi:type="xsd:double"&gt;9.654343&lt;/D&gt;&lt;D xsi:type="xsd:double"&gt;5.5902123&lt;/D&gt;&lt;D xsi:type="xsd:double"&gt;-4.772621&lt;/D&gt;&lt;D xsi:type="xsd:double"&gt;-7.526106&lt;/D&gt;&lt;D xsi:type="xsd:double"&gt;-15.090984&lt;/D&gt;&lt;D xsi:type="xsd:double"&gt;-14.537966&lt;/D&gt;&lt;D xsi:type="xsd:double"&gt;-10.594881&lt;/D&gt;&lt;D xsi:type="xsd:double"&gt;-15.491337&lt;/D&gt;&lt;D xsi:type="xsd:double"&gt;-22.473782&lt;/D&gt;&lt;D xsi:type="xsd:double"&gt;-20.999563&lt;/D&gt;&lt;D xsi:type="xsd:double"&gt;-15.32579&lt;/D&gt;&lt;D xsi:type="xsd:double"&gt;-11.939645&lt;/D&gt;&lt;D xsi:type="xsd:double"&gt;-7.703972&lt;/D&gt;&lt;D xsi:type="xsd:double"&gt;-6.373453&lt;/D&gt;&lt;D xsi:type="xsd:double"&gt;0.43395758&lt;/D&gt;&lt;D xsi:type="xsd:double"&gt;-1.327914&lt;/D&gt;&lt;D xsi:type="xsd:double"&gt;9.460009&lt;/D&gt;&lt;D xsi:type="xsd:double"&gt;18.673658&lt;/D&gt;&lt;D xsi:type="xsd:double"&gt;5.3482413&lt;/D&gt;&lt;D xsi:type="xsd:double"&gt;11.642254&lt;/D&gt;&lt;D xsi:type="xsd:double"&gt;19.875336&lt;/D&gt;&lt;D xsi:type="xsd:double"&gt;22.351706&lt;/D&gt;&lt;D xsi:type="xsd:double"&gt;9.0289&lt;/D&gt;&lt;D xsi:type="xsd:double"&gt;-1.190126&lt;/D&gt;&lt;D xsi:type="xsd:double"&gt;-5.2402377&lt;/D&gt;&lt;D xsi:type="xsd:double"&gt;-26.003426&lt;/D&gt;&lt;D xsi:type="xsd:double"&gt;-28.314156&lt;/D&gt;&lt;D xsi:type="xsd:double"&gt;-24.915195&lt;/D&gt;&lt;D xsi:type="xsd:double"&gt;-20.98028&lt;/D&gt;&lt;D xsi:type="xsd:double"&gt;-23.803026&lt;/D&gt;&lt;D xsi:type="xsd:double"&gt;-16.584324&lt;/D&gt;&lt;D xsi:type="xsd:double"&gt;-21.847015&lt;/D&gt;&lt;D xsi:type="xsd:double"&gt;-22.383673&lt;/D&gt;&lt;D xsi:type="xsd:double"&gt;-9.195227&lt;/D&gt;&lt;D xsi:type="xsd:double"&gt;-3.4851313&lt;/D&gt;&lt;D xsi:type="xsd:double"&gt;-1.8770814&lt;/D&gt;&lt;D xsi:type="xsd:double"&gt;-2.8407335&lt;/D&gt;&lt;D xsi:type="xsd:double"&gt;36.99753&lt;/D&gt;&lt;D xsi:type="xsd:double"&gt;20.116783&lt;/D&gt;&lt;D xsi:type="xsd:double"&gt;17.232275&lt;/D&gt;&lt;D xsi:type="xsd:double"&gt;16.014708&lt;/D&gt;&lt;D xsi:type="xsd:double"&gt;9.862328&lt;/D&gt;&lt;D xsi:type="xsd:double"&gt;4.7550797&lt;/D&gt;&lt;D xsi:type="xsd:double"&gt;15.973103&lt;/D&gt;&lt;D xsi:type="xsd:double"&gt;22.385098&lt;/D&gt;&lt;D xsi:type="xsd:double"&gt;7.1141243&lt;/D&gt;&lt;D xsi:type="xsd:double"&gt;-1.4790535&lt;/D&gt;&lt;D xsi:type="xsd:double"&gt;-2.975911&lt;/D&gt;&lt;D xsi:type="xsd:double"&gt;3.2567263&lt;/D&gt;&lt;D xsi:type="xsd:double"&gt;-1.7127156&lt;/D&gt;&lt;D xsi:type="xsd:double"&gt;2.3888826&lt;/D&gt;&lt;D xsi:type="xsd:double"&gt;-1.1480391&lt;/D&gt;&lt;D xsi:type="xsd:double"&gt;-13.563657&lt;/D&gt;&lt;D xsi:type="xsd:double"&gt;-16.342752&lt;/D&gt;&lt;D xsi:type="xsd:double"&gt;-2.3682415&lt;/D&gt;&lt;D xsi:type="xsd:double"&gt;-15.227384&lt;/D&gt;&lt;D xsi:type="xsd:double"&gt;-29.196918&lt;/D&gt;&lt;D xsi:type="xsd:double"&gt;-24.141289&lt;/D&gt;&lt;D xsi:type="xsd:double"&gt;-17.027605&lt;/D&gt;&lt;D xsi:type="xsd:double"&gt;-8.799171&lt;/D&gt;&lt;D xsi:type="xsd:double"&gt;-11.667686&lt;/D&gt;&lt;D xsi:type="xsd:double"&gt;-8.8754835&lt;/D&gt;&lt;D xsi:type="xsd:double"&gt;-10.789418&lt;/D&gt;&lt;D xsi:type="xsd:double"&gt;-4.8898754&lt;/D&gt;&lt;D xsi:type="xsd:double"&gt;-3.880936&lt;/D&gt;&lt;D xsi:type="xsd:double"&gt;11.294675&lt;/D&gt;&lt;D xsi:type="xsd:double"&gt;-7.5200977&lt;/D&gt;&lt;D xsi:type="xsd:double"&gt;-3.085333&lt;/D&gt;&lt;D xsi:type="xsd:double"&gt;10.597348&lt;/D&gt;&lt;D xsi:type="xsd:double"&gt;0.41782856&lt;/D&gt;&lt;D xsi:type="xsd:double"&gt;-1.3988554&lt;/D&gt;&lt;D xsi:type="xsd:double"&gt;-3.5935402&lt;/D&gt;&lt;D xsi:type="xsd:double"&gt;-0.3599465&lt;/D&gt;&lt;D xsi:type="xsd:double"&gt;9.141981&lt;/D&gt;&lt;/FQL&gt;&lt;FQL&gt;&lt;Q&gt;EWY^FG_TOTAL_RETURNC(-10AY,0,AM)&lt;/Q&gt;&lt;R&gt;121&lt;/R&gt;&lt;C&gt;1&lt;/C&gt;&lt;D xsi:type="xsd:double"&gt;-3.4579277&lt;/D&gt;&lt;D xsi:type="xsd:double"&gt;8.374548&lt;/D&gt;&lt;D xsi:type="xsd:double"&gt;1.6052842&lt;/D&gt;&lt;D xsi:type="xsd:double"&gt;-0.44919848&lt;/D&gt;&lt;D xsi:type="xsd:double"&gt;0.12447834&lt;/D&gt;&lt;D xsi:type="xsd:double"&gt;3.3566475&lt;/D&gt;&lt;D xsi:type="xsd:double"&gt;-4.1948614&lt;/D&gt;&lt;D xsi:type="xsd:double"&gt;-10.295046&lt;/D&gt;&lt;D xsi:type="xsd:double"&gt;-0.9797096&lt;/D&gt;&lt;D xsi:type="xsd:double"&gt;-3.0388653&lt;/D&gt;&lt;D xsi:type="xsd:double"&gt;3.671658&lt;/D&gt;&lt;D xsi:type="xsd:double"&gt;-0.3379643&lt;/D&gt;&lt;D xsi:type="xsd:double"&gt;-2.2130966&lt;/D&gt;&lt;D xsi:type="xsd:double"&gt;10.348606&lt;/D&gt;&lt;D xsi:type="xsd:double"&gt;-0.21501184&lt;/D&gt;&lt;D xsi:type="xsd:double"&gt;-8.155149&lt;/D&gt;&lt;D xsi:type="xsd:double"&gt;-3.9884508&lt;/D&gt;&lt;D xsi:type="xsd:double"&gt;-7.5375977&lt;/D&gt;&lt;D xsi:type="xsd:double"&gt;-2.073592&lt;/D&gt;&lt;D xsi:type="xsd:double"&gt;10.234583&lt;/D&gt;&lt;D xsi:type="xsd:double"&gt;-3.4651577&lt;/D&gt;&lt;D xsi:type="xsd:double"&gt;-2.204442&lt;/D&gt;&lt;D xsi:type="xsd:double"&gt;-3.0188322&lt;/D&gt;&lt;D xsi:type="xsd:double"&gt;-2.1478236&lt;/D&gt;&lt;D xsi:type="xsd:double"&gt;8.112764&lt;/D&gt;&lt;D xsi:type="xsd:double"&gt;5.374193&lt;/D&gt;&lt;D xsi:type="xsd:double"&gt;-6.3468037&lt;/D&gt;&lt;D xsi:type="xsd:double"&gt;1.4723659&lt;/D&gt;&lt;D xsi:type="xsd:double"&gt;8.28861&lt;/D&gt;&lt;D xsi:type="xsd:double"&gt;5.01101&lt;/D&gt;&lt;D xsi:type="xsd:double"&gt;-4.0202737&lt;/D&gt;&lt;D xsi:type="xsd:double"&gt;0.8195281&lt;/D&gt;&lt;D xsi:type="xsd:double"&gt;-5.473262</t>
        </r>
      </text>
    </comment>
    <comment ref="A3" authorId="0" shapeId="0" xr:uid="{D01D4879-831E-476B-B5B8-E38A2A4B1FD1}">
      <text>
        <r>
          <rPr>
            <b/>
            <sz val="9"/>
            <color indexed="81"/>
            <rFont val="Tahoma"/>
            <charset val="1"/>
          </rPr>
          <t xml:space="preserve">&lt;/D&gt;&lt;D xsi:type="xsd:double"&gt;3.3059478&lt;/D&gt;&lt;D xsi:type="xsd:double"&gt;6.1335564&lt;/D&gt;&lt;D xsi:type="xsd:double"&gt;2.5577664&lt;/D&gt;&lt;D xsi:type="xsd:double"&gt;2.0811796&lt;/D&gt;&lt;D xsi:type="xsd:double"&gt;0.96040964&lt;/D&gt;&lt;D xsi:type="xsd:double"&gt;9.946596&lt;/D&gt;&lt;D xsi:type="xsd:double"&gt;4.022467&lt;/D&gt;&lt;D xsi:type="xsd:double"&gt;2.77251&lt;/D&gt;&lt;D xsi:type="xsd:double"&gt;-4.4441223&lt;/D&gt;&lt;D xsi:type="xsd:double"&gt;1.5007377&lt;/D&gt;&lt;D xsi:type="xsd:double"&gt;6.6315293&lt;/D&gt;&lt;D xsi:type="xsd:double"&gt;2.0730376&lt;/D&gt;&lt;D xsi:type="xsd:double"&gt;0.96839666&lt;/D&gt;&lt;D xsi:type="xsd:double"&gt;6.8697214&lt;/D&gt;&lt;D xsi:type="xsd:double"&gt;-5.160469&lt;/D&gt;&lt;D xsi:type="xsd:double"&gt;3.4244776&lt;/D&gt;&lt;D xsi:type="xsd:double"&gt;-2.7090788&lt;/D&gt;&lt;D xsi:type="xsd:double"&gt;0.21523237&lt;/D&gt;&lt;D xsi:type="xsd:double"&gt;-3.718114&lt;/D&gt;&lt;D xsi:type="xsd:double"&gt;-7.7094736&lt;/D&gt;&lt;D xsi:type="xsd:double"&gt;-2.2054374&lt;/D&gt;&lt;D xsi:type="xsd:double"&gt;2.9039264&lt;/D&gt;&lt;D xsi:type="xsd:double"&gt;-6.7847548&lt;/D&gt;&lt;D xsi:type="xsd:double"&gt;-4.7987103&lt;/D&gt;&lt;D xsi:type="xsd:double"&gt;-0.67658424&lt;/D&gt;&lt;D xsi:type="xsd:double"&gt;2.129066&lt;/D&gt;&lt;D xsi:type="xsd:double"&gt;7.402396&lt;/D&gt;&lt;D xsi:type="xsd:double"&gt;-4.248625&lt;/D&gt;&lt;D xsi:type="xsd:double"&gt;5.0945044&lt;/D&gt;&lt;D xsi:type="xsd:double"&gt;-11.696636&lt;/D&gt;&lt;D xsi:type="xsd:double"&gt;0.31875372&lt;/D&gt;&lt;D xsi:type="xsd:double"&gt;1.6946197&lt;/D&gt;&lt;D xsi:type="xsd:double"&gt;-11.161256&lt;/D&gt;&lt;D xsi:type="xsd:double"&gt;13.384128&lt;/D&gt;&lt;D xsi:type="xsd:double"&gt;-0.9477854&lt;/D&gt;&lt;D xsi:type="xsd:double"&gt;4.975641&lt;/D&gt;&lt;D xsi:type="xsd:double"&gt;1.3921142&lt;/D&gt;&lt;D xsi:type="xsd:double"&gt;6.677079&lt;/D&gt;&lt;D xsi:type="xsd:double"&gt;-2.8021276&lt;/D&gt;&lt;D xsi:type="xsd:double"&gt;-19.906586&lt;/D&gt;&lt;D xsi:type="xsd:double"&gt;0.26141405&lt;/D&gt;&lt;D xsi:type="xsd:double"&gt;2.0056129&lt;/D&gt;&lt;D xsi:type="xsd:double"&gt;13.016117&lt;/D&gt;&lt;D xsi:type="xsd:double"&gt;2.7313828&lt;/D&gt;&lt;D xsi:type="xsd:double"&gt;11.532604&lt;/D&gt;&lt;D xsi:type="xsd:double"&gt;-0.030374527&lt;/D&gt;&lt;D xsi:type="xsd:double"&gt;1.5947819&lt;/D&gt;&lt;D xsi:type="xsd:double"&gt;9.941697&lt;/D&gt;&lt;D xsi:type="xsd:double"&gt;11.477113&lt;/D&gt;&lt;D xsi:type="xsd:double"&gt;17.098963&lt;/D&gt;&lt;D xsi:type="xsd:double"&gt;-1.2177229&lt;/D&gt;&lt;D xsi:type="xsd:double"&gt;-6.4505816&lt;/D&gt;&lt;D xsi:type="xsd:double"&gt;5.929804&lt;/D&gt;&lt;D xsi:type="xsd:double"&gt;-2.9168904&lt;/D&gt;&lt;D xsi:type="xsd:double"&gt;2.6952386&lt;/D&gt;&lt;D xsi:type="xsd:double"&gt;-1.8177927&lt;/D&gt;&lt;D xsi:type="xsd:double"&gt;-5.400962&lt;/D&gt;&lt;D xsi:type="xsd:double"&gt;-2.3045719&lt;/D&gt;&lt;D xsi:type="xsd:double"&gt;-5.749166&lt;/D&gt;&lt;D xsi:type="xsd:double"&gt;0.2641201&lt;/D&gt;&lt;D xsi:type="xsd:double"&gt;-0.4628837&lt;/D&gt;&lt;D xsi:type="xsd:double"&gt;-0.51493645&lt;/D&gt;&lt;D xsi:type="xsd:double"&gt;-6.5217376&lt;/D&gt;&lt;D xsi:type="xsd:double"&gt;-7.5027647&lt;/D&gt;&lt;D xsi:type="xsd:double"&gt;2.858436&lt;/D&gt;&lt;D xsi:type="xsd:double"&gt;-4.7141075&lt;/D&gt;&lt;D xsi:type="xsd:double"&gt;-6.9170833&lt;/D&gt;&lt;D xsi:type="xsd:double"&gt;-8.2021&lt;/D&gt;&lt;D xsi:type="xsd:double"&gt;11.132956&lt;/D&gt;&lt;D xsi:type="xsd:double"&gt;-11.400545&lt;/D&gt;&lt;D xsi:type="xsd:double"&gt;-11.778582&lt;/D&gt;&lt;D xsi:type="xsd:double"&gt;22.546804&lt;/D&gt;&lt;D xsi:type="xsd:double"&gt;-1.4528453&lt;/D&gt;&lt;D xsi:type="xsd:double"&gt;7.6021433&lt;/D&gt;&lt;D xsi:type="xsd:double"&gt;0.28836727&lt;/D&gt;&lt;D xsi:type="xsd:double"&gt;-6.9648504&lt;/D&gt;&lt;D xsi:type="xsd:double"&gt;8.774031&lt;/D&gt;&lt;D xsi:type="xsd:double"&gt;-6.440407&lt;/D&gt;&lt;D xsi:type="xsd:double"&gt;12.839544&lt;/D&gt;&lt;D xsi:type="xsd:double"&gt;0.44857264&lt;/D&gt;&lt;D xsi:type="xsd:double"&gt;-6.8770466&lt;/D&gt;&lt;D xsi:type="xsd:double"&gt;0.44757128&lt;/D&gt;&lt;D xsi:type="xsd:double"&gt;-6.4926805&lt;/D&gt;&lt;D xsi:type="xsd:double"&gt;5.32676&lt;/D&gt;&lt;D xsi:type="xsd:double"&gt;4.459524&lt;/D&gt;&lt;D xsi:type="xsd:double"&gt;-2.606362&lt;/D&gt;&lt;D xsi:type="xsd:double"&gt;4.090607&lt;/D&gt;&lt;D xsi:type="xsd:double"&gt;4.9788713&lt;/D&gt;&lt;/FQL&gt;&lt;FQL&gt;&lt;Q&gt;QAT^FMA_DIV_YLD(NTMA,-10AY,0,AM,"PORTAGG","MEANR")&lt;/Q&gt;&lt;R&gt;121&lt;/R&gt;&lt;C&gt;1&lt;/C&gt;&lt;D xsi:type="xsd:string"&gt;@NA&lt;/D&gt;&lt;D xsi:type="xsd:string"&gt;@NA&lt;/D&gt;&lt;D xsi:type="xsd:string"&gt;@NA&lt;/D&gt;&lt;D xsi:type="xsd:double"&gt;3.94143974203303&lt;/D&gt;&lt;D xsi:type="xsd:double"&gt;3.99108241098755&lt;/D&gt;&lt;D xsi:type="xsd:double"&gt;3.95198047843085&lt;/D&gt;&lt;D xsi:type="xsd:double"&gt;3.96493730500454&lt;/D&gt;&lt;D xsi:type="xsd:double"&gt;4.10282703164165&lt;/D&gt;&lt;D xsi:type="xsd:double"&gt;4.04015573858667&lt;/D&gt;&lt;D xsi:type="xsd:double"&gt;4.64683935598619&lt;/D&gt;&lt;D xsi:type="xsd:double"&gt;4.73839013742717&lt;/D&gt;&lt;D xsi:type="xsd:double"&gt;4.12145885331825&lt;/D&gt;&lt;D xsi:type="xsd:double"&gt;4.30989037462588&lt;/D&gt;&lt;D xsi:type="xsd:double"&gt;4.63524400872218&lt;/D&gt;&lt;D xsi:type="xsd:double"&gt;4.4544420676245&lt;/D&gt;&lt;D xsi:type="xsd:double"&gt;4.67417106619338&lt;/D&gt;&lt;D xsi:type="xsd:double"&gt;4.67605908108325&lt;/D&gt;&lt;D xsi:type="xsd:double"&gt;4.73252893335704&lt;/D&gt;&lt;D xsi:type="xsd:double"&gt;4.91312050003577&lt;/D&gt;&lt;D xsi:type="xsd:double"&gt;4.83889913225814&lt;/D&gt;&lt;D xsi:type="xsd:double"&gt;5.20341893910424&lt;/D&gt;&lt;D xsi:type="xsd:double"&gt;5.82863827077735&lt;/D&gt;&lt;D xsi:type="xsd:double"&gt;6.0791227405237&lt;/D&gt;&lt;D xsi:type="xsd:double"&gt;5.58673225376874&lt;/D&gt;&lt;D xsi:type="xsd:double"&gt;4.27710402768189&lt;/D&gt;&lt;D xsi:type="xsd:double"&gt;4.24406519739124&lt;/D&gt;&lt;D xsi:type="xsd:double"&gt;4.32844727746677&lt;/D&gt;&lt;D xsi:type="xsd:double"&gt;4.28499817401948&lt;/D&gt;&lt;D xsi:type="xsd:double"&gt;4.06170700522114&lt;/D&gt;&lt;D xsi:type="xsd:double"&gt;3.80029362800013&lt;/D&gt;&lt;D xsi:type="xsd:double"&gt;3.89544503369506&lt;/D&gt;&lt;D xsi:type="xsd:double"&gt;3.97615697320165&lt;/D&gt;&lt;D xsi:type="xsd:double"&gt;4.1498897870195&lt;/D&gt;&lt;D xsi:type="xsd:double"&gt;3.91035574033461&lt;/D&gt;&lt;D xsi:type="xsd:double"&gt;3.74294542291117&lt;/D&gt;&lt;D xsi:type="xsd:double"&gt;3.77932404318173&lt;/D&gt;&lt;D xsi:type="xsd:double"&gt;3.94679629127313&lt;/D&gt;&lt;D xsi:type="xsd:double"&gt;3.84376686409609&lt;/D&gt;&lt;D xsi:type="xsd:double"&gt;3.88327770583891&lt;/D&gt;&lt;D xsi:type="xsd:double"&gt;4.34434561993584&lt;/D&gt;&lt;D xsi:type="xsd:double"&gt;4.20582409469313&lt;/D&gt;&lt;D xsi:type="xsd:double"&gt;4.21822918296584&lt;/D&gt;&lt;D xsi:type="xsd:double"&gt;4.71201230710005&lt;/D&gt;&lt;D xsi:type="xsd:double"&gt;4.66124103883022&lt;/D&gt;&lt;D xsi:type="xsd:double"&gt;4.6148718772981&lt;/D&gt;&lt;D xsi:type="xsd:double"&gt;4.46028272367255&lt;/D&gt;&lt;D xsi:type="xsd:double"&gt;4.01987436423977&lt;/D&gt;&lt;D xsi:type="xsd:double"&gt;4.52400251936745&lt;/D&gt;&lt;D xsi:type="xsd:double"&gt;4.87384335866794&lt;/D&gt;&lt;D xsi:type="xsd:double"&gt;4.79327844220205&lt;/D&gt;&lt;D xsi:type="xsd:double"&gt;4.77066447269241&lt;/D&gt;&lt;D xsi:type="xsd:double"&gt;4.82557121217034&lt;/D&gt;&lt;D xsi:type="xsd:double"&gt;4.72430150081675&lt;/D&gt;&lt;D xsi:type="xsd:double"&gt;4.51098213176131&lt;/D&gt;&lt;D xsi:type="xsd:double"&gt;4.22860358064569&lt;/D&gt;&lt;D xsi:type="xsd:double"&gt;4.34643410447886&lt;/D&gt;&lt;D xsi:type="xsd:double"&gt;4.39377023800907&lt;/D&gt;&lt;D xsi:type="xsd:double"&gt;4.51770781615583&lt;/D&gt;&lt;D xsi:type="xsd:double"&gt;4.39231282588472&lt;/D&gt;&lt;D xsi:type="xsd:double"&gt;4.69534813184249&lt;/D&gt;&lt;D xsi:type="xsd:double"&gt;4.67047148721801&lt;/D&gt;&lt;D xsi:type="xsd:double"&gt;4.3442461432923&lt;/D&gt;&lt;D xsi:type="xsd:double"&gt;4.49676164240907&lt;/D&gt;&lt;D xsi:type="xsd:double"&gt;4.12895356946972&lt;/D&gt;&lt;D xsi:type="xsd:double"&gt;4.12130777250396&lt;/D&gt;&lt;D xsi:type="xsd:double"&gt;4.47575968732072&lt;/D&gt;&lt;D xsi:type="xsd:double"&gt;4.13116500267095&lt;/D&gt;&lt;D xsi:type="xsd:double"&gt;4.11537714696952&lt;/D&gt;&lt;D xsi:type="xsd:double"&gt;4.08626719603656&lt;/D&gt;&lt;D xsi:type="xsd:double"&gt;4.08390478332868&lt;/D&gt;&lt;D xsi:type="xsd:double"&gt;3.9496438048922&lt;/D&gt;&lt;D xsi:type="xsd:double"&gt;4.4149890429091&lt;/D&gt;&lt;D xsi:type="xsd:double"&gt;4.91136408638166&lt;/D&gt;&lt;D xsi:type="xsd:double"&gt;4.31020815000081&lt;/D&gt;&lt;D xsi:type="xsd:double"&gt;4.22231777924859&lt;/D&gt;&lt;D xsi:type="xsd:double"&gt;3.93776958115015&lt;/D&gt;&lt;D xsi:type="xsd:double"&gt;3.79587744022563&lt;/D&gt;&lt;D xsi:type="xsd:double"&gt;3.65404124093543&lt;/D&gt;&lt;D xsi:type="xsd:double"&gt;3.5094325353126&lt;/D&gt;&lt;D xsi:type="xsd:double"&gt;3.51232337741073&lt;/D&gt;&lt;D xsi:type="xsd:double"&gt;3.67110760707628&lt;/D&gt;&lt;D xsi:type="xsd:double"&gt;3.61221670617466&lt;/D&gt;&lt;D xsi:type="xsd:double"&gt;3.73529668982014&lt;/D&gt;&lt;D xsi:type="xsd:double"&gt;3.69865950403446&lt;/D&gt;&lt;D xsi:type="xsd:double"&gt;3.89094351748863&lt;/D&gt;&lt;D xsi:type="xsd:double"&gt;3.74208556595954&lt;/D&gt;&lt;D xsi:type="xsd:double"&gt;3.76319425440413&lt;/D&gt;&lt;D xsi:type="xsd:double"&gt;3.8164162534392&lt;/D&gt;&lt;D xsi:type="xsd:double"&gt;3.86768156426967&lt;/D&gt;&lt;D xsi:type="xsd:double"&gt;3.89192893802028&lt;/D&gt;&lt;D xsi:type="xsd:double"&gt;4.08447883002663&lt;/D&gt;&lt;D xsi:type="xsd:double"&gt;3.8283776142013&lt;/D&gt;&lt;D xsi:type="xsd:double"&gt;3.7760299458673&lt;/D&gt;&lt;D xsi:type="xsd:double"&gt;3.96327798729856&lt;/D&gt;&lt;D xsi:type="xsd:double"&gt;3.87394235540587&lt;/D&gt;&lt;D xsi:type="xsd:double"&gt;3.88284395881628&lt;/D&gt;&lt;D xsi:type="xsd:double"&gt;3.70255105397816&lt;/D&gt;&lt;D xsi:type="xsd:double"&gt;3.65043921026572&lt;/D&gt;&lt;D xsi:type="xsd:double"&gt;3.98064422052076&lt;/D&gt;&lt;D xsi:type="xsd:double"&gt;4.36963355122074&lt;/D&gt;&lt;D xsi:type="xsd:double"&gt;4.39886710109417&lt;/D&gt;&lt;D xsi:type="xsd:double"&gt;3.7699087688683&lt;/D&gt;&lt;D xsi:type="xsd:double"&gt;3.93432547207864&lt;/D&gt;&lt;D xsi:type="xsd:double"&gt;3.98589106043412&lt;/D&gt;&lt;D xsi:type="xsd:double"&gt;4.04173838056961&lt;/D&gt;&lt;D xsi:type="xsd:double"&gt;4.62929363267991&lt;/D&gt;&lt;D xsi:type="xsd:double"&gt;4.69412678085577&lt;/D&gt;&lt;D xsi:type="xsd:double"&gt;4.78564211521189&lt;/D&gt;&lt;D xsi:type="xsd:double"&gt;4.94646633650125&lt;/D&gt;&lt;D xsi:type="xsd:double"&gt;4.97426807297086&lt;/D&gt;&lt;D xsi:type="xsd:double"&gt;4.56518862094974&lt;/D&gt;&lt;D xsi:type="xsd:double"&gt;4.64961569845918&lt;/D&gt;&lt;D xsi:type="xsd:double"&gt;4.74695634714036&lt;/D&gt;&lt;D xsi:type="xsd:double"&gt;4.49267153645827&lt;/D&gt;&lt;D xsi:type="xsd:double"&gt;4.69258962769225&lt;/D&gt;&lt;D xsi:type="xsd:double"&gt;4.77179831946605&lt;/D&gt;&lt;D xsi:type="xsd:double"&gt;4.91287432983318&lt;/D&gt;&lt;D xsi:type="xsd:double"&gt;5.01499812336248&lt;/D&gt;&lt;D xsi:type="xsd:double"&gt;4.77241989319436&lt;/D&gt;&lt;D xsi:type="xsd:double"&gt;4.78803315068786&lt;/D&gt;&lt;D xsi:type="xsd:double"&gt;4.82878253264332&lt;/D&gt;&lt;/FQL&gt;&lt;FQL&gt;&lt;Q&gt;ECH^JULIAN(FMA_DIV_YLD(NTMA,-10AY,0,AM,"PORTAGG","MEANR").DATES)&lt;/Q&gt;&lt;R&gt;121&lt;/R&gt;&lt;C&gt;1&lt;/C&gt;&lt;D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xsi:type="xsd:long"&gt;45364&lt;/D&gt;&lt;/FQL&gt;&lt;FQL&gt;&lt;Q&gt;EPU^FMA_PE(NTMA,-10AY,0,AM,"PORTAGG","MEANR")&lt;/Q&gt;&lt;R&gt;121&lt;/R&gt;&lt;C&gt;1&lt;/C&gt;&lt;D xsi:type="xsd:double"&gt;11.1340388548397&lt;/D&gt;&lt;D xsi:type="xsd:double"&gt;11.7811613208988&lt;/D&gt;&lt;D xsi:type="xsd:double"&gt;12.3085007107338&lt;/D&gt;&lt;D xsi:type="xsd:double"&gt;13.6673261391633&lt;/D&gt;&lt;D xsi:type="xsd:double"&gt;14.644157723437&lt;/D&gt;&lt;D xsi:type="xsd:double"&gt;14.1444110692173&lt;/D&gt;&lt;D xsi:type="xsd:double"&gt;13.5044769701258&lt;/D&gt;&lt;D xsi:type="xsd:double"&gt;12.0815265953511&lt;/D&gt;&lt;D xsi:type="xsd:double"&gt;12.0472672022998&lt;/D&gt;&lt;D xsi:type="xsd:double"&gt;12.1601624679698&lt;/D&gt;&lt;D xsi:type="xsd:double"&gt;11.4728836683543&lt;/D&gt;&lt;D xsi:type="xsd:double"&gt;13.4359273578305&lt;/D&gt;&lt;D xsi:type="xsd:double"&gt;12.4175163314223&lt;/D&gt;&lt;D xsi:type="xsd:double"&gt;13.1309702211002&lt;/D&gt;&lt;D xsi:type="xsd:double"&gt;13.6766101072723&lt;/D&gt;&lt;D xsi:type="xsd:double"&gt;13.9270073740004&lt;/D&gt;&lt;D xsi:type="xsd:double"&gt;12.9879045953054&lt;/D&gt;&lt;D xsi:type="xsd:double"&gt;11.7438627369396&lt;/D&gt;&lt;D xsi:type="xsd:double"&gt;11.1931087113268&lt;/D&gt;&lt;D xsi:type="xsd:double"&gt;12.125921233956&lt;/D&gt;&lt;D xsi:type="xsd:double"&gt;7.7886467560923&lt;/D&gt;&lt;D xsi:type="xsd:double"&gt;7.31495112775734&lt;/D&gt;&lt;D xsi:type="xsd:double"&gt;11.1371067944533&lt;/D&gt;&lt;D xsi:type="xsd:double"&gt;13.7536641994313&lt;/D&gt;&lt;D xsi:type="xsd:double"&gt;14.7972212809325&lt;/D&gt;&lt;D xsi:type="xsd:double"&gt;15.1656472498987&lt;/D&gt;&lt;D xsi:type="xsd:double"&gt;15.2030761444689&lt;/D&gt;&lt;D xsi:type="xsd:double"&gt;13.9151124498972&lt;/D&gt;&lt;D xsi:type="xsd:double"&gt;14.5686505110911&lt;/D&gt;&lt;D xsi:type="xsd:double"&gt;14.5877483216097&lt;/D&gt;&lt;D xsi:type="xsd:double"&gt;13.6616659923113&lt;/D&gt;&lt;D xsi:type="xsd:double"&gt;12.0845557197738&lt;/D&gt;&lt;D xsi:type="xsd:double"&gt;11.6703169130393&lt;/D&gt;&lt;D xsi:type="xsd:double"&gt;11.40426921785&lt;/D&gt;&lt;D xsi:type="xsd:double"&gt;12.1474103665228&lt;/D&gt;&lt;D xsi:type="xsd:double"&gt;13.5752773219112&lt;/D&gt;&lt;D xsi:type="xsd:double"&gt;12.7962456461354&lt;/D&gt;&lt;D xsi:type="xsd:double"&gt;12.0730429282066&lt;/D&gt;&lt;D xsi:type="xsd:double"&gt;12.0069001331464&lt;/D&gt;&lt;D xsi:type="xsd:double"&gt;11.8822869636684&lt;/D&gt;&lt;D xsi:type="xsd:double"&gt;12.2570392213441&lt;/D&gt;&lt;D xsi:type="xsd:double"&gt;12.739820496284&lt;/D&gt;&lt;D xsi:type="xsd:double"&gt;13.0562473496064&lt;/D&gt;&lt;D xsi:type="xsd:double"&gt;13.253149676717&lt;/D&gt;&lt;D xsi:type="xsd:double"&gt;12.8577820228856&lt;/D&gt;&lt;D xsi:type="xsd:double"&gt;11.9238731583563&lt;/D&gt;&lt;D xsi:type="xsd:double"&gt;14.0259735028596&lt;/D&gt;&lt;D xsi:type="xsd:double"&gt;13.3655284135716&lt;/D&gt;&lt;D xsi:type="xsd:double"&gt;13.5501261405459&lt;/D&gt;&lt;D xsi:type="xsd:double"&gt;13.8418089628649&lt;/D&gt;&lt;D xsi:type="xsd:double"&gt;13.5813185444245&lt;/D&gt;&lt;D xsi:type="xsd:double"&gt;14.0767426490036&lt;/D&gt;&lt;D xsi:type="xsd:double"&gt;13.1586006554334&lt;/D&gt;&lt;D xsi:type="xsd:double"&gt;13.834699214682&lt;/D&gt;&lt;D xsi:type="xsd:double"&gt;12.6086455948526&lt;/D&gt;&lt;D xsi:type="xsd:double"&gt;13.1218107139205&lt;/D&gt;&lt;D xsi:type="xsd:double"&gt;13.0207339515557&lt;/D&gt;&lt;D xsi:type="xsd:double"&gt;13.135596356772&lt;/D&gt;&lt;D xsi:type="xsd:double"&gt;13.8531289364848&lt;/D&gt;&lt;D xsi:type="xsd:double"&gt;15.6795598048999&lt;/D&gt;&lt;D xsi:type="xsd:double"&gt;15.5185014795609&lt;/D&gt;&lt;D xsi:type="xsd:double"&gt;15.343752470848&lt;/D&gt;&lt;D xsi:type="xsd:double"&gt;13.2808781627888&lt;/D&gt;&lt;D xsi:type="xsd:double"&gt;13.2834591448977&lt;/D&gt;&lt;D xsi:type="xsd:double"&gt;13.8210840083633&lt;/D&gt;&lt;D xsi:type="xsd:double"&gt;13.9249156551792&lt;/D&gt;&lt;D xsi:type="xsd:double"&gt;14.0571852692611&lt;/D&gt;&lt;D xsi:type="xsd:double"&gt;13.723801441546&lt;/D&gt;&lt;D xsi:type="xsd:double"&gt;13.6551573098&lt;/D&gt;&lt;D xsi:type="xsd:double"&gt;14.1035287698929&lt;/D&gt;&lt;D xsi:type="xsd:double"&gt;14.4969061473859&lt;/D&gt;&lt;D xsi:type="xsd:double"&gt;14.390594213956&lt;/D&gt;&lt;D xsi:type="xsd:double"&gt;11.2928758649343&lt;/D&gt;&lt;D xsi:type="xsd:double"&gt;11.4710067258226&lt;/D&gt;&lt;D xsi:type="xsd:double"&gt;14.1565475178668&lt;/D&gt;&lt;D xsi:type="xsd:double"&gt;17.8946370041667&lt;/D&gt;&lt;D xsi:type="xsd:double"&gt;19.7125865217103&lt;/D&gt;&lt;D xsi:type="xsd:double"&gt;20.5144855668726&lt;/D&gt;&lt;D xsi:type="xsd:double"&gt;21.3218829691629&lt;/D&gt;&lt;D xsi:type="xsd:double"&gt;18.7274368896007&lt;/D&gt;&lt;D xsi:type="xsd:double"&gt;17.5671063206723&lt;/D&gt;&lt;D xsi:type="xsd:double"&gt;15.5441304871884&lt;/D&gt;&lt;D xsi:type="xsd:double"&gt;14.626539143201&lt;/D&gt;&lt;D xsi:type="xsd:double"&gt;15.284789142488&lt;/D&gt;&lt;D xsi:type="xsd:double"&gt;14.7045843409396&lt;/D&gt;&lt;D xsi:type="xsd:double"&gt;11.9495562083254&lt;/D&gt;&lt;D xsi:type="xsd:double"&gt;11.9925800341375&lt;/D&gt;&lt;D xsi:type="xsd:double"&gt;9.32137313454351&lt;/D&gt;&lt;D xsi:type="xsd:double"&gt;9.39591153705801&lt;/D&gt;&lt;D xsi:type="xsd:double"&gt;8.5197419801993&lt;/D&gt;&lt;D xsi:type="xsd:double"&gt;8.97379961289258&lt;/D&gt;&lt;D xsi:type="xsd:double"&gt;9.75621562059787&lt;/D&gt;&lt;D xsi:type="xsd:double"&gt;10.1047944141813&lt;/D&gt;&lt;D xsi:type="xsd:double"&gt;9.64991996923275&lt;/D&gt;&lt;D xsi:type="xsd:double"&gt;11.3799514595765&lt;/D&gt;&lt;D xsi:type="xsd:double"&gt;10.9193881943013&lt;/D&gt;&lt;D xsi:type="xsd:double"&gt;11.2515669873101&lt;/D&gt;&lt;D xsi:type="xsd:double"&gt;10.087973359124&lt;/D&gt;&lt;D xsi:type="xsd:double"&gt;7.84022538575122&lt;/D&gt;&lt;D xsi:type="xsd:double"&gt;7.63464262889899&lt;/D&gt;&lt;D xsi:type="xsd:double"&gt;6.71496848211673&lt;/D&gt;&lt;D xsi:type="xsd:double"&gt;7.79292180523835&lt;/D&gt;&lt;D xsi:type="xsd:double"&gt;7.75742157939058&lt;/D&gt;&lt;D xsi:type="xsd:double"&gt;8.25766494397258&lt;/D&gt;&lt;D xsi:type="xsd:double"&gt;9.88235860793572&lt;/D&gt;&lt;D xsi:type="xsd:double"&gt;9.28715727604694&lt;/D&gt;&lt;D xsi:type="xsd:double"&gt;10.6193714890123&lt;/D&gt;&lt;D xsi:type="xsd:double"&gt;9.7171012504241&lt;/D&gt;&lt;D xsi:type="xsd:double"&gt;9.58195371277568&lt;/D&gt;&lt;D xsi:type="xsd:double"&gt;10.0451241128744&lt;/D&gt;&lt;D xsi:type="xsd:double"&gt;9.68675723139355&lt;/D&gt;&lt;D xsi:type="xsd:double"&gt;10.0032353634116&lt;/D&gt;&lt;D xsi:type="xsd:double"&gt;10.3968544679387&lt;/D&gt;&lt;D xsi:type="xsd:double"&gt;10.6850295161283&lt;/D&gt;&lt;D xsi:type="xsd:double"&gt;10.1273284730554&lt;/D&gt;&lt;D xsi:type="xsd:double"&gt;9.40095674846664&lt;/D&gt;&lt;D xsi:type="xsd:double"&gt;9.7951421570645&lt;/D&gt;&lt;D xsi:type="xsd:double"&gt;11.2827485014038&lt;/D&gt;&lt;D xsi:type="xsd:double"&gt;11.4569459054213&lt;/D&gt;&lt;D xsi:type="xsd:double"&gt;11.4801077729169&lt;/D&gt;&lt;D xsi:type="xsd:double"&gt;12.2626556902301&lt;/D&gt;&lt;/FQL&gt;&lt;FQL&gt;&lt;Q&gt;EZA^FMA_PE(LTMA,-10AY,0,AM,"PORTAGG","MEANR")&lt;/Q&gt;&lt;R&gt;121&lt;/R&gt;&lt;C&gt;1&lt;/C&gt;&lt;D xsi:type="xsd:double"&gt;15.705393622386&lt;/D&gt;&lt;D xsi:type="xsd:double"&gt;15.6201302077645&lt;/D&gt;&lt;D xsi:type="xsd:double"&gt;15.6954837717576&lt;/D&gt;&lt;D xsi:type="xsd:double"&gt;15.8192955505512&lt;/D&gt;&lt;D xsi:type="xsd:double"&gt;16.0020992091557&lt;/D&gt;&lt;D xsi:type="xsd:double"&gt;16.3034311942042&lt;/D&gt;&lt;D xsi:type="xsd:double"&gt;16.3908533153015&lt;/D&gt;&lt;D xsi:type="xsd:double"&gt;15.886308340544&lt;/D&gt;&lt;D xsi:type="xsd:double"&gt;17.0143588206501&lt;/D&gt;&lt;D xsi:type="xsd:double"&gt;15.8798745785001&lt;/D&gt;&lt;D xsi:type="xsd:double"&gt;16.8168135639135&lt;/D&gt;&lt;D xsi:type="xsd:double"&gt;18.4769607179044&lt;/D&gt;&lt;D xsi:type="xsd:double"&gt;18.3312699334837&lt;/D&gt;&lt;D xsi:type="xsd:double"&gt;18.5536141135688&lt;/D&gt;&lt;D xsi:type="xsd:double"&gt;18.3934810983629&lt;/D&gt;&lt;D xsi:type="xsd:double"&gt;17.9748799175406&lt;/D&gt;&lt;D xsi:type="xsd:double"&gt;17.95403645499&lt;/D&gt;&lt;D xsi:type="xsd:double"&gt;17.322836005805&lt;/D&gt;&lt;D xsi:type="xsd:double"&gt;16.9655391376494&lt;/D&gt;&lt;D xsi:type="xsd:double"&gt;17.6347014058902&lt;/D&gt;&lt;D xsi:type="xsd:double"&gt;17.0351869564272&lt;/D&gt;&lt;D xsi:type="xsd:double"&gt;15.6265896013659&lt;/D&gt;&lt;D xsi:type="xsd:double"&gt;15.1204006562304&lt;/D&gt;&lt;D xsi:type="xsd:double"&gt;15.6245780224226&lt;/D&gt;&lt;D xsi:type="xsd:double"&gt;15.9382578718079&lt;/D&gt;&lt;D xsi:type="xsd:double"&gt;16.0789869080696&lt;/D&gt;&lt;D xsi:type="xsd:double"&gt;15.6581590476905&lt;/D&gt;&lt;D xsi:type="xsd:double"&gt;15.6669313222584&lt;/D&gt;&lt;D xsi:type="xsd:double"&gt;16.1296803574843&lt;/D&gt;&lt;D xsi:type="xsd:double"&gt;16.9963795685535&lt;/D&gt;&lt;D xsi:type="xsd:double"&gt;16.637919561273&lt;/D&gt;&lt;D xsi:type="xsd:double"&gt;16.4451065594403&lt;/D&gt;&lt;D xsi:type="xsd:double"&gt;15.6703918496092&lt;/D&gt;&lt;D xsi:type="xsd:double"&gt;16.6632648043877&lt;/D&gt;&lt;D xsi:type="xsd:double"&gt;17.5670004694888&lt;/D&gt;&lt;D xsi:type="xsd:double"&gt;17.9648944836542&lt;/D&gt;&lt;D xsi:type="xsd:double"&gt;18.4210018942772&lt;/D&gt;&lt;D xsi:type="xsd:double"&gt;18.3542630305518&lt;/D&gt;&lt;D xsi:type="xsd:double"&gt;18.3071475060839&lt;/D&gt;&lt;D xsi:type="xsd:double"&gt;17.6424511426831&lt;/D&gt;&lt;D xsi:type="xsd:double"&gt;17.8815597935066&lt;/D&gt;&lt;D xsi:type="xsd:double"&gt;18.0455158866594&lt;/D&gt;&lt;D xsi:type="xsd:double"&gt;17.9295907307421&lt;/D&gt;&lt;D xsi:type="xsd:double"&gt;18.3048798983255&lt;/D&gt;&lt;D xsi:type="xsd:double"&gt;18.3413897772181&lt;/D&gt;&lt;D xsi:type="xsd:double"&gt;17.5718765028407&lt;/D&gt;&lt;D xsi:type="xsd:double"&gt;18.332445979567&lt;/D&gt;&lt;D xsi:type="xsd:double"&gt;17.8836571160528&lt;/D&gt;&lt;D xsi:type="xsd:double"&gt;18.0480654352051&lt;/D&gt;&lt;D xsi:type="xsd:double"&gt;17.8153726129323&lt;/D&gt;&lt;D xsi:type="xsd:double"&gt;17.7141137305268&lt;/D&gt;&lt;D xsi:type="xsd:double"&gt;17.2523688413766&lt;/D&gt;&lt;D xsi:type="xsd:double"&gt;16.7189862034536&lt;/D&gt;&lt;D xsi:type="xsd:double"&gt;16.3487589069829&lt;/D&gt;&lt;D xsi:type="xsd:double"&gt;15.8584421180676&lt;/D&gt;&lt;D xsi:type="xsd:double"&gt;14.9311602064292&lt;/D&gt;&lt;D xsi:type="xsd:double"&gt;14.4406517322805&lt;/D&gt;&lt;D xsi:type="xsd:double"&gt;14.6448532502815&lt;/D&gt;&lt;D xsi:type="xsd:double"&gt;15.1982538402476&lt;/D&gt;&lt;D xsi:type="xsd:double"&gt;15.0119342412511&lt;/D&gt;&lt;D xsi:type="xsd:double"&gt;15.2887788075919&lt;/D&gt;&lt;D xsi:type="xsd:double"&gt;15.3260264682638&lt;/D&gt;&lt;D xsi:type="xsd:double"&gt;15.1210414014902&lt;/D&gt;&lt;D xsi:type="xsd:double"&gt;14.9879161165611&lt;/D&gt;&lt;D xsi:type="xsd:double"&gt;14.8246362861308&lt;/D&gt;&lt;D xsi:type="xsd:double"&gt;13.9917072668395&lt;/D&gt;&lt;D xsi:type="xsd:double"&gt;14.0286454680342&lt;/D&gt;&lt;D xsi:type="xsd:double"&gt;13.6467623559386&lt;/D&gt;&lt;D xsi:type="xsd:double"&gt;13.7381146264143&lt;/D&gt;&lt;D xsi:type="xsd:double"&gt;14.2412030600801&lt;/D&gt;&lt;D xsi:type="xsd:double"&gt;14.5246396806828&lt;/D&gt;&lt;D xsi:type="xsd:double"&gt;14.4690122004525&lt;/D&gt;&lt;D xsi:type="xsd:double"&gt;12.2984931146383&lt;/D&gt;&lt;D xsi:type="xsd:double"&gt;12.2663799762642&lt;/D&gt;&lt;D xsi:type="xsd:double"&gt;12.3671655178831&lt;/D&gt;&lt;D xsi:type="xsd:double"&gt;12.9086202290455&lt;/D&gt;&lt;D xsi:type="xsd:double"&gt;13.4006900570765&lt;/D&gt;&lt;D xsi:type="xsd:double"&gt;13.4833823127675&lt;/D&gt;&lt;D xsi:type="xsd:double"&gt;13.5271792535367&lt;/D&gt;&lt;D xsi:type="xsd:double"&gt;13.3596570103376&lt;/D&gt;&lt;D xsi:type="xsd:double"&gt;13.8044763003723&lt;/D&gt;&lt;D xsi:type="xsd:double"&gt;13.7240344318042&lt;/D&gt;&lt;D xsi:type="xsd:double"&gt;13.8992511806377&lt;/D&gt;&lt;D xsi:type="xsd:double"&gt;14.63275198999&lt;/D&gt;&lt;D xsi:type="xsd:double"&gt;13.5737421822886&lt;/D&gt;&lt;D xsi:type="xsd:double"&gt;13.0937638238206&lt;/D&gt;&lt;D xsi:type="xsd:double"&gt;12.6147279643108&lt;/D&gt;&lt;D xsi:type="xsd:double"&gt;12.4067400385967&lt;/D&gt;&lt;D xsi:type="xsd:double"&gt;11.8787078910801&lt;/D&gt;&lt;D xsi:type="xsd:double"&gt;11.5799094213508&lt;/D&gt;&lt;D xsi:type="xsd:double"&gt;10.8799946767158&lt;/D&gt;&lt;D xsi:type="xsd:double"&gt;10.8858266436775&lt;/D&gt;&lt;D xsi:type="xsd:double"&gt;10.6530237477187&lt;/D&gt;&lt;D xsi:type="xsd:double"&gt;10.3148671583572&lt;/D&gt;&lt;D xsi:type="xsd:double"&gt;10.7724890167641&lt;/D&gt;&lt;D xsi:type="xsd:double"&gt;11.0467707942255&lt;/D&gt;&lt;D xsi:type="xsd:double"&gt;11.0799464989298&lt;/D&gt;&lt;D xsi:type="xsd:double"&gt;10.8882809382589&lt;/D&gt;&lt;D xsi:type="xsd:double"&gt;10.5625473192414&lt;/D&gt;&lt;D xsi:type="xsd:double"&gt;10.1183578773754&lt;/D&gt;&lt;D xsi:type="xsd:double"&gt;10.0214031291853&lt;/D&gt;&lt;D xsi:type="xsd:double"&gt;10.461435036391&lt;/D&gt;&lt;D xsi:type="xsd:double"&gt;9.85955139779729&lt;/D&gt;&lt;D xsi:type="xsd:double"&gt;9.38710200008004&lt;/D&gt;&lt;D xsi:type="xsd:double"&gt;10.2481259558&lt;/D&gt;&lt;D xsi:type="xsd:double"&gt;10.2616633996701&lt;/D&gt;&lt;D xsi:type="xsd:double"&gt;11.0568462922138&lt;/D&gt;&lt;D xsi:type="xsd:double"&gt;10.6230328797658&lt;/D&gt;&lt;D xsi:type="xsd:double"&gt;10.2006306828446&lt;/D&gt;&lt;D xsi:type="xsd:double"&gt;10.2366138385858&lt;/D&gt;&lt;D xsi:type="xsd:double"&gt;10.1023128990818&lt;/D&gt;&lt;D xsi:type="xsd:double"&gt;10.1881262380281&lt;/D&gt;&lt;D xsi:type="xsd:double"&gt;10.5760728133247&lt;/D&gt;&lt;D xsi:type="xsd:double"&gt;10.5333311767578&lt;/D&gt;&lt;D xsi:type="xsd:double"&gt;10.6144209535498&lt;/D&gt;&lt;D xsi:type="xsd:double"&gt;10.6848658073928&lt;/D&gt;&lt;D xsi:type="xsd:double"&gt;10.9756561402445&lt;/D&gt;&lt;D xsi:type="xsd:double"&gt;11.5124336138916&lt;/D&gt;&lt;D xsi:type="xsd:double"&gt;11.2448827508429&lt;/D&gt;&lt;D xsi:type="xsd:double"&gt;10.8126700024077&lt;/D&gt;&lt;D xsi:type="xsd:double"&gt;10.7126214077158&lt;/D&gt;&lt;/FQL&gt;&lt;FQL&gt;&lt;Q&gt;DDR3512M-FDS^FG_PRICE_CHANGE(0,-6AM)&lt;/Q&gt;&lt;R&gt;1&lt;/R&gt;&lt;C&gt;1&lt;/C&gt;&lt;D xsi:type="xsd:double"&gt;-0.39237407545607&lt;/D&gt;&lt;/FQL&gt;&lt;FQL&gt;&lt;Q&gt;PASP-FDS^FG_PRICE_CHANGE(0,-6AM)&lt;/Q&gt;&lt;R&gt;1&lt;/R&gt;&lt;C&gt;1&lt;/C&gt;&lt;D xsi:type="xsd:double"&gt;-14.3307086614173&lt;/D&gt;&lt;/FQL&gt;&lt;FQL&gt;&lt;Q&gt;PLATI-FDS^FG_PRICE_CHANGE(0,-6AM)&lt;/Q&gt;&lt;R&gt;1&lt;/R&gt;&lt;C&gt;1&lt;/C&gt;&lt;D xsi:type="xsd:double"&gt;3.1868131868132&lt;/D&gt;&lt;/FQL&gt;&lt;FQL&gt;&lt;Q&gt;VNM^FMA_ROE(NTMA,-20AY,NOW,FY,"PORTAGG","MEANR")&lt;/Q&gt;&lt;R&gt;20&lt;/R&gt;&lt;C&gt;1&lt;/C&gt;&lt;D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xsi:type="xsd:double"&gt;9.59945410192868&lt;/D&gt;&lt;D xsi:type="xsd:double"&gt;10.6731246353468&lt;/D&gt;&lt;D xsi:type="xsd:double"&gt;11.9407094450334&lt;/D&gt;&lt;/FQL&gt;&lt;FQL&gt;&lt;Q&gt;TRYZA10Y-FDS^JULIAN(FG_YIELD(-10AY,0,CY,,"YTM").DATES)&lt;/Q&gt;&lt;R&gt;10&lt;/R&gt;&lt;C&gt;1&lt;/C&gt;&lt;D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xsi:type="xsd:double"&gt;-2&lt;/D&gt;&lt;/FQL&gt;&lt;FQL&gt;&lt;Q&gt;CAGDPY@PE^EE_ACTUAL_ANNUAL(MED,0)&lt;/Q&gt;&lt;R&gt;1&lt;/R&gt;&lt;C&gt;1&lt;/C&gt;&lt;D xsi:type="xsd:double"&gt;0.625680870863723&lt;/D&gt;&lt;/FQL&gt;&lt;FQL&gt;&lt;Q&gt;CC_QA^FG_COMPANY_NAME&lt;/Q&gt;&lt;R&gt;1&lt;/R&gt;&lt;C&gt;1&lt;/C&gt;&lt;D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xsi:type="xsd:double"&gt;0.0431013308420281&lt;/D&gt;&lt;/FQL&gt;&lt;FQL&gt;&lt;Q&gt;USDAED^STD(FG_PRICE_CHANGE(0,-3AY,M))&lt;/Q&gt;&lt;R&gt;1&lt;/R&gt;&lt;C&gt;1&lt;/C&gt;&lt;D xsi:type="xsd:double"&gt;0.00755049151830457&lt;/D&gt;&lt;/FQL&gt;&lt;FQL&gt;&lt;Q&gt;USDTHB^STD(FG_PRICE_CHANGE(0,-3AY,M))&lt;/Q&gt;&lt;R&gt;1&lt;/R&gt;&lt;C&gt;1&lt;/C&gt;&lt;D xsi:type="xsd:double"&gt;3.03013931688486&lt;/D&gt;&lt;/FQL&gt;&lt;FQL&gt;&lt;Q&gt;USDCNH^STD(FG_PRICE_CHANGE(0,-3AY,M))&lt;/Q&gt;&lt;R&gt;1&lt;/R&gt;&lt;C&gt;1&lt;/C&gt;&lt;D xsi:type="xsd:double"&gt;1.80825820871516&lt;/D&gt;&lt;/FQL&gt;&lt;FQL&gt;&lt;Q&gt;USDEUR^STD(FG_PRICE_CHANGE(0,-3AY,M))&lt;/Q&gt;&lt;R&gt;1&lt;/R&gt;&lt;C&gt;1&lt;/C&gt;&lt;D xsi:type="xsd:double"&gt;2.27878581990319&lt;/D&gt;&lt;/FQL&gt;&lt;FQL&gt;&lt;Q&gt;USDBRL^STD(FG_PRICE_CHANGE(0,-3AY,M))&lt;/Q&gt;&lt;R&gt;1&lt;/R&gt;&lt;C&gt;1&lt;/C&gt;&lt;D xsi:type="xsd:double"&gt;3.6612663929306&lt;/D&gt;&lt;/FQL&gt;&lt;FQL&gt;&lt;Q&gt;USDMXN^STD(FG_PRICE_CHANGE(0,-3AY,M))&lt;/Q&gt;&lt;R&gt;1&lt;/R&gt;&lt;C&gt;1&lt;/C&gt;&lt;D xsi:type="xsd:double"&gt;2.27165253049269&lt;/D&gt;&lt;/FQL&gt;&lt;FQL&gt;&lt;Q&gt;UAE^FMA_ROE(NTMA,-20AY,NOW,FY,"PORTAGG","MEANR")&lt;/Q&gt;&lt;R&gt;20&lt;/R&gt;&lt;C&gt;1&lt;/C&gt;&lt;D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xsi:type="xsd:double"&gt;12.9338493780006&lt;/D&gt;&lt;D xsi:type="xsd:double"&gt;13.2251182283574&lt;/D&gt;&lt;/FQL&gt;&lt;FQL&gt;&lt;Q&gt;EIDO^FMA_ROE(NTMA,-20AY,NOW,FY,"PORTAGG","MEANR")&lt;/Q&gt;&lt;R&gt;20&lt;/R&gt;&lt;C&gt;1&lt;/C&gt;&lt;D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xsi:type="xsd:double"&gt;14.0234111178572&lt;/D&gt;&lt;/FQL&gt;&lt;FQL&gt;&lt;Q&gt;TRYUS10Y-FDS^FG_YIELD(-10AY,0,Y,,"YTM")&lt;/Q&gt;&lt;R&gt;10&lt;/R&gt;&lt;C&gt;1&lt;/C&gt;&lt;D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xsi:type="xsd:double"&gt;5.3314&lt;/D&gt;&lt;/FQL&gt;&lt;FQL&gt;&lt;Q&gt;CAGDPY@SA^EE_ACTUAL_ANNUAL(MED,+1)&lt;/Q&gt;&lt;R&gt;1&lt;/R&gt;&lt;C&gt;1&lt;/C&gt;&lt;D xsi:type="xsd:double"&gt;4.8&lt;/D&gt;&lt;/FQL&gt;&lt;FQL&gt;&lt;Q&gt;CAGDPY@GR^EE_ACTUAL_ANNUAL(MED,+1)&lt;/Q&gt;&lt;R&gt;1&lt;/R&gt;&lt;C&gt;1&lt;/C&gt;&lt;D xsi:type="xsd:double"&gt;-6.5&lt;/D&gt;&lt;/FQL&gt;&lt;FQL&gt;&lt;Q&gt;CAGDPY@PL^EE_ACTUAL_ANNUAL(MED,+1)&lt;/Q&gt;&lt;R&gt;1&lt;/R&gt;&lt;C&gt;1&lt;/C&gt;&lt;D xsi:type="xsd:double"&gt;0.9&lt;/D&gt;&lt;/FQL&gt;&lt;FQL&gt;&lt;Q&gt;USDSAR^STD(FG_PRICE_CHANGE(0,-1AY,AM))&lt;/Q&gt;&lt;R&gt;1&lt;/R&gt;&lt;C&gt;1&lt;/C&gt;&lt;D xsi:type="xsd:double"&gt;0.0401984919252217&lt;/D&gt;&lt;/FQL&gt;&lt;FQL&gt;&lt;Q&gt;USDAED^STD(FG_PRICE_CHANGE(0,-1AY,AM))&lt;/Q&gt;&lt;R&gt;1&lt;/R&gt;&lt;C&gt;1&lt;/C&gt;&lt;D xsi:type="xsd:double"&gt;0.00929123967395631&lt;/D&gt;&lt;/FQL&gt;&lt;FQL&gt;&lt;Q&gt;USDTHB^STD(FG_PRICE_CHANGE(0,-1AY,AM))&lt;/Q&gt;&lt;R&gt;1&lt;/R&gt;&lt;C&gt;1&lt;/C&gt;&lt;D xsi:type="xsd:double"&gt;1.69583561162788&lt;/D&gt;&lt;/FQL&gt;&lt;FQL&gt;&lt;Q&gt;USDCNH^STD(FG_PRICE_CHANGE(0,-1AY,AM))&lt;/Q&gt;&lt;R&gt;1&lt;/R&gt;&lt;C&gt;1&lt;/C&gt;&lt;D xsi:type="xsd:double"&gt;1.19976622007357&lt;/D&gt;&lt;/FQL&gt;&lt;FQL&gt;&lt;Q&gt;USDEUR^STD(FG_PRICE_CHANGE(0,-1AY,AM))&lt;/Q&gt;&lt;R&gt;1&lt;/R&gt;&lt;C&gt;1&lt;/C&gt;&lt;D xsi:type="xsd:double"&gt;2.16792121696743&lt;/D&gt;&lt;/FQL&gt;&lt;FQL&gt;&lt;Q&gt;USDBRL^STD(FG_PRICE_CHANGE(0,-1AY,AM))&lt;/Q&gt;&lt;R&gt;1&lt;/R&gt;&lt;C&gt;1&lt;/C&gt;&lt;D xsi:type="xsd:double"&gt;2.74088222411396&lt;/D&gt;&lt;/FQL&gt;&lt;FQL&gt;&lt;Q&gt;USDMXN^STD(FG_PRICE_CHANGE(0,-1AY,AM))&lt;/Q&gt;&lt;R&gt;1&lt;/R&gt;&lt;C&gt;1&lt;/C&gt;&lt;D xsi:type="xsd:double"&gt;2.46371175626129&lt;/D&gt;&lt;/FQL&gt;&lt;FQL&gt;&lt;Q&gt;USDMYR^STD(FG_PRICE_CHANGE(0,-1AY,AM))&lt;/Q&gt;&lt;R&gt;1&lt;/R&gt;&lt;C&gt;1&lt;/C&gt;&lt;D xsi:type="xsd:double"&gt;2.0024020060057&lt;/D&gt;&lt;/FQL&gt;&lt;FQL&gt;&lt;Q&gt;USDPLN^STD(FG_PRICE_CHANGE(0,-1AY,AM))&lt;/Q&gt;&lt;R&gt;1&lt;/R&gt;&lt;C&gt;1&lt;/C&gt;&lt;D xsi:type="xsd:double"&gt;3.27151507857909&lt;/D&gt;&lt;/FQL&gt;&lt;FQL&gt;&lt;Q&gt;USDIDR^STD(FG_PRICE_CHANGE(0,-1AY,AM))&lt;/Q&gt;&lt;R&gt;1&lt;/R&gt;&lt;C&gt;1&lt;/C&gt;&lt;D xsi:type="xsd:double"&gt;1.70263029074906&lt;/D&gt;&lt;/FQL&gt;&lt;FQL&gt;&lt;Q&gt;FC0000ZA^FMA_EPS(NTMA,-20AY,0,CY,,"PORTAGG","MEANR")&lt;/Q&gt;&lt;R&gt;20&lt;/R&gt;&lt;C&gt;1&lt;/C&gt;&lt;D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xsi:type="xsd:double"&gt;31.8033411235607&lt;/D&gt;&lt;D xsi:type="xsd:double"&gt;34.3219020154309&lt;/D&gt;&lt;D xsi:type="xsd:double"&gt;36.7799117259767&lt;/D&gt;&lt;D xsi:type="xsd:double"&gt;38.5431317680411&lt;/D&gt;&lt;D xsi:type="xsd:double"&gt;33.8852084537244&lt;/D&gt;&lt;/FQL&gt;&lt;FQL&gt;&lt;Q&gt;TUR^P_PRICE_RETURNS_PR('52W',2,-10AY,0,AM)&lt;/Q&gt;&lt;R&gt;121&lt;/R&gt;&lt;C&gt;1&lt;/C&gt;&lt;D xsi:type="xsd:double"&gt;-36.074223&lt;/D&gt;&lt;D xsi:type="xsd:double"&gt;-25.554455&lt;/D&gt;&lt;D xsi:type="xsd:double"&gt;-26.090622&lt;/D&gt;&lt;D </t>
        </r>
      </text>
    </comment>
    <comment ref="A4" authorId="0" shapeId="0" xr:uid="{7BE55AAE-4BBE-495A-90AF-CB6C685268DF}">
      <text>
        <r>
          <rPr>
            <b/>
            <sz val="9"/>
            <color indexed="81"/>
            <rFont val="Tahoma"/>
            <charset val="1"/>
          </rPr>
          <t>xsi:type="xsd:double"&gt;-9.544438&lt;/D&gt;&lt;D xsi:type="xsd:double"&gt;2.5316358&lt;/D&gt;&lt;D xsi:type="xsd:double"&gt;-6.3758907&lt;/D&gt;&lt;D xsi:type="xsd:double"&gt;-0.65842867&lt;/D&gt;&lt;D xsi:type="xsd:double"&gt;-14.598876&lt;/D&gt;&lt;D xsi:type="xsd:double"&gt;0.4218936&lt;/D&gt;&lt;D xsi:type="xsd:double"&gt;1.1095762&lt;/D&gt;&lt;D xsi:type="xsd:double"&gt;23.264063&lt;/D&gt;&lt;D xsi:type="xsd:double"&gt;19.671785&lt;/D&gt;&lt;D xsi:type="xsd:double"&gt;3.7468314&lt;/D&gt;&lt;D xsi:type="xsd:double"&gt;-10.80051&lt;/D&gt;&lt;D xsi:type="xsd:double"&gt;-7.295549&lt;/D&gt;&lt;D xsi:type="xsd:double"&gt;-19.992996&lt;/D&gt;&lt;D xsi:type="xsd:double"&gt;-16.771751&lt;/D&gt;&lt;D xsi:type="xsd:double"&gt;-23.737812&lt;/D&gt;&lt;D xsi:type="xsd:double"&gt;-32.11952&lt;/D&gt;&lt;D xsi:type="xsd:double"&gt;-16.217274&lt;/D&gt;&lt;D xsi:type="xsd:double"&gt;-19.271088&lt;/D&gt;&lt;D xsi:type="xsd:double"&gt;-33.000214&lt;/D&gt;&lt;D xsi:type="xsd:double"&gt;-36.556618&lt;/D&gt;&lt;D xsi:type="xsd:double"&gt;-29.033237&lt;/D&gt;&lt;D xsi:type="xsd:double"&gt;-1.4461279&lt;/D&gt;&lt;D xsi:type="xsd:double"&gt;0.79898834&lt;/D&gt;&lt;D xsi:type="xsd:double"&gt;-18.801218&lt;/D&gt;&lt;D xsi:type="xsd:double"&gt;-10.737312&lt;/D&gt;&lt;D xsi:type="xsd:double"&gt;-6.2927303&lt;/D&gt;&lt;D xsi:type="xsd:double"&gt;-3.4097493&lt;/D&gt;&lt;D xsi:type="xsd:double"&gt;10.086929&lt;/D&gt;&lt;D xsi:type="xsd:double"&gt;-6.1787367&lt;/D&gt;&lt;D xsi:type="xsd:double"&gt;-19.3303&lt;/D&gt;&lt;D xsi:type="xsd:double"&gt;-7.61866&lt;/D&gt;&lt;D xsi:type="xsd:double"&gt;-4.4052243&lt;/D&gt;&lt;D xsi:type="xsd:double"&gt;0.7011533&lt;/D&gt;&lt;D xsi:type="xsd:double"&gt;-13.894743&lt;/D&gt;&lt;D xsi:type="xsd:double"&gt;-17.764694&lt;/D&gt;&lt;D xsi:type="xsd:double"&gt;2.1202207&lt;/D&gt;&lt;D xsi:type="xsd:double"&gt;11.153257&lt;/D&gt;&lt;D xsi:type="xsd:double"&gt;4.421127&lt;/D&gt;&lt;D xsi:type="xsd:double"&gt;17.164755&lt;/D&gt;&lt;D xsi:type="xsd:double"&gt;25.217665&lt;/D&gt;&lt;D xsi:type="xsd:double"&gt;16.23274&lt;/D&gt;&lt;D xsi:type="xsd:double"&gt;25.593685&lt;/D&gt;&lt;D xsi:type="xsd:double"&gt;30.629276&lt;/D&gt;&lt;D xsi:type="xsd:double"&gt;43.681885&lt;/D&gt;&lt;D xsi:type="xsd:double"&gt;26.525414&lt;/D&gt;&lt;D xsi:type="xsd:double"&gt;28.112804&lt;/D&gt;&lt;D xsi:type="xsd:double"&gt;9.68976&lt;/D&gt;&lt;D xsi:type="xsd:double"&gt;-10.899716&lt;/D&gt;&lt;D xsi:type="xsd:double"&gt;-28.634792&lt;/D&gt;&lt;D xsi:type="xsd:double"&gt;-35.36986&lt;/D&gt;&lt;D xsi:type="xsd:double"&gt;-51.19609&lt;/D&gt;&lt;D xsi:type="xsd:double"&gt;-50.025646&lt;/D&gt;&lt;D xsi:type="xsd:double"&gt;-42.013824&lt;/D&gt;&lt;D xsi:type="xsd:double"&gt;-37.30313&lt;/D&gt;&lt;D xsi:type="xsd:double"&gt;-37.63464&lt;/D&gt;&lt;D xsi:type="xsd:double"&gt;-42.75644&lt;/D&gt;&lt;D xsi:type="xsd:double"&gt;-33.989918&lt;/D&gt;&lt;D xsi:type="xsd:double"&gt;-36.33191&lt;/D&gt;&lt;D xsi:type="xsd:double"&gt;-36.227776&lt;/D&gt;&lt;D xsi:type="xsd:double"&gt;-35.424465&lt;/D&gt;&lt;D xsi:type="xsd:double"&gt;-20.800453&lt;/D&gt;&lt;D xsi:type="xsd:double"&gt;-4.8522053&lt;/D&gt;&lt;D xsi:type="xsd:double"&gt;20.258844&lt;/D&gt;&lt;D xsi:type="xsd:double"&gt;20.970058&lt;/D&gt;&lt;D xsi:type="xsd:double"&gt;0.65968037&lt;/D&gt;&lt;D xsi:type="xsd:double"&gt;8.154165&lt;/D&gt;&lt;D xsi:type="xsd:double"&gt;13.573527&lt;/D&gt;&lt;D xsi:type="xsd:double"&gt;23.523867&lt;/D&gt;&lt;D xsi:type="xsd:double"&gt;3.0992985&lt;/D&gt;&lt;D xsi:type="xsd:double"&gt;-17.069191&lt;/D&gt;&lt;D xsi:type="xsd:double"&gt;-11.468458&lt;/D&gt;&lt;D xsi:type="xsd:double"&gt;-2.002865&lt;/D&gt;&lt;D xsi:type="xsd:double"&gt;-0.056636333&lt;/D&gt;&lt;D xsi:type="xsd:double"&gt;-2.1605074&lt;/D&gt;&lt;D xsi:type="xsd:double"&gt;-17.213266&lt;/D&gt;&lt;D xsi:type="xsd:double"&gt;-20.97842&lt;/D&gt;&lt;D xsi:type="xsd:double"&gt;-11.241251&lt;/D&gt;&lt;D xsi:type="xsd:double"&gt;-11.615401&lt;/D&gt;&lt;D xsi:type="xsd:double"&gt;-10.741782&lt;/D&gt;&lt;D xsi:type="xsd:double"&gt;-2.0471036&lt;/D&gt;&lt;D xsi:type="xsd:double"&gt;5.895591&lt;/D&gt;&lt;D xsi:type="xsd:double"&gt;33.753014&lt;/D&gt;&lt;D xsi:type="xsd:double"&gt;17.351269&lt;/D&gt;&lt;D xsi:type="xsd:double"&gt;16.753578&lt;/D&gt;&lt;D xsi:type="xsd:double"&gt;7.0170164&lt;/D&gt;&lt;D xsi:type="xsd:double"&gt;-6.1527133&lt;/D&gt;&lt;D xsi:type="xsd:double"&gt;16.16844&lt;/D&gt;&lt;D xsi:type="xsd:double"&gt;16.671335&lt;/D&gt;&lt;D xsi:type="xsd:double"&gt;6.6155553&lt;/D&gt;&lt;D xsi:type="xsd:double"&gt;3.1726956&lt;/D&gt;&lt;D xsi:type="xsd:double"&gt;-10.874939&lt;/D&gt;&lt;D xsi:type="xsd:double"&gt;-24.272902&lt;/D&gt;&lt;D xsi:type="xsd:double"&gt;-29.734308&lt;/D&gt;&lt;D xsi:type="xsd:double"&gt;-29.661947&lt;/D&gt;&lt;D xsi:type="xsd:double"&gt;0.6042838&lt;/D&gt;&lt;D xsi:type="xsd:double"&gt;-4.338312&lt;/D&gt;&lt;D xsi:type="xsd:double"&gt;-14.313823&lt;/D&gt;&lt;D xsi:type="xsd:double"&gt;-13.321429&lt;/D&gt;&lt;D xsi:type="xsd:double"&gt;-4.470527&lt;/D&gt;&lt;D xsi:type="xsd:double"&gt;11.559176&lt;/D&gt;&lt;D xsi:type="xsd:double"&gt;24.456882&lt;/D&gt;&lt;D xsi:type="xsd:double"&gt;41.629074&lt;/D&gt;&lt;D xsi:type="xsd:double"&gt;73.31405&lt;/D&gt;&lt;D xsi:type="xsd:double"&gt;68.813385&lt;/D&gt;&lt;D xsi:type="xsd:double"&gt;66.5071&lt;/D&gt;&lt;D xsi:type="xsd:double"&gt;94.736824&lt;/D&gt;&lt;D xsi:type="xsd:double"&gt;53.617825&lt;/D&gt;&lt;D xsi:type="xsd:double"&gt;58.44877&lt;/D&gt;&lt;D xsi:type="xsd:double"&gt;56.74132&lt;/D&gt;&lt;D xsi:type="xsd:double"&gt;82.09773&lt;/D&gt;&lt;D xsi:type="xsd:double"&gt;78.91969&lt;/D&gt;&lt;D xsi:type="xsd:double"&gt;60.995438&lt;/D&gt;&lt;D xsi:type="xsd:double"&gt;56.611336&lt;/D&gt;&lt;D xsi:type="xsd:double"&gt;16.588688&lt;/D&gt;&lt;D xsi:type="xsd:double"&gt;4.081011&lt;/D&gt;&lt;D xsi:type="xsd:double"&gt;5.475223&lt;/D&gt;&lt;D xsi:type="xsd:double"&gt;22.832024&lt;/D&gt;&lt;D xsi:type="xsd:double"&gt;3.7215352&lt;/D&gt;&lt;/FQL&gt;&lt;FQL&gt;&lt;Q&gt;ECH^P_PRICE_RETURNS_PR('52W',2,-10AY,0,AM)&lt;/Q&gt;&lt;R&gt;121&lt;/R&gt;&lt;C&gt;1&lt;/C&gt;&lt;D xsi:type="xsd:double"&gt;-34.863842&lt;/D&gt;&lt;D xsi:type="xsd:double"&gt;-24.82&lt;/D&gt;&lt;D xsi:type="xsd:double"&gt;-22.137987&lt;/D&gt;&lt;D xsi:type="xsd:double"&gt;-16.644955&lt;/D&gt;&lt;D xsi:type="xsd:double"&gt;-5.3252993&lt;/D&gt;&lt;D xsi:type="xsd:double"&gt;-10.264188&lt;/D&gt;&lt;D xsi:type="xsd:double"&gt;-13.185531&lt;/D&gt;&lt;D xsi:type="xsd:double"&gt;-18.068272&lt;/D&gt;&lt;D xsi:type="xsd:double"&gt;-12.160277&lt;/D&gt;&lt;D xsi:type="xsd:double"&gt;-13.351482&lt;/D&gt;&lt;D xsi:type="xsd:double"&gt;-14.791214&lt;/D&gt;&lt;D xsi:type="xsd:double"&gt;-4.3183684&lt;/D&gt;&lt;D xsi:type="xsd:double"&gt;-7.273853&lt;/D&gt;&lt;D xsi:type="xsd:double"&gt;-9.454018&lt;/D&gt;&lt;D xsi:type="xsd:double"&gt;-6.0014606&lt;/D&gt;&lt;D xsi:type="xsd:double"&gt;-12.130732&lt;/D&gt;&lt;D xsi:type="xsd:double"&gt;-17.016161&lt;/D&gt;&lt;D xsi:type="xsd:double"&gt;-20.263863&lt;/D&gt;&lt;D xsi:type="xsd:double"&gt;-19.16949&lt;/D&gt;&lt;D xsi:type="xsd:double"&gt;-14.501322&lt;/D&gt;&lt;D xsi:type="xsd:double"&gt;-19.379162&lt;/D&gt;&lt;D xsi:type="xsd:double"&gt;-19.423939&lt;/D&gt;&lt;D xsi:type="xsd:double"&gt;-18.457138&lt;/D&gt;&lt;D xsi:type="xsd:double"&gt;-17.592358&lt;/D&gt;&lt;D xsi:type="xsd:double"&gt;-5.0879836&lt;/D&gt;&lt;D xsi:type="xsd:double"&gt;-9.526378&lt;/D&gt;&lt;D xsi:type="xsd:double"&gt;-16.27345&lt;/D&gt;&lt;D xsi:type="xsd:double"&gt;-9.624636&lt;/D&gt;&lt;D xsi:type="xsd:double"&gt;2.5247931&lt;/D&gt;&lt;D xsi:type="xsd:double"&gt;13.194979&lt;/D&gt;&lt;D xsi:type="xsd:double"&gt;7.529962&lt;/D&gt;&lt;D xsi:type="xsd:double"&gt;8.713234&lt;/D&gt;&lt;D xsi:type="xsd:double"&gt;12.60537&lt;/D&gt;&lt;D xsi:type="xsd:double"&gt;27.140785&lt;/D&gt;&lt;D xsi:type="xsd:double"&gt;30.777668&lt;/D&gt;&lt;D xsi:type="xsd:double"&gt;28.262102&lt;/D&gt;&lt;D xsi:type="xsd:double"&gt;17.232143&lt;/D&gt;&lt;D xsi:type="xsd:double"&gt;24.771477&lt;/D&gt;&lt;D xsi:type="xsd:double"&gt;20.456291&lt;/D&gt;&lt;D xsi:type="xsd:double"&gt;26.228369&lt;/D&gt;&lt;D xsi:type="xsd:double"&gt;18.602455&lt;/D&gt;&lt;D xsi:type="xsd:double"&gt;18.733524&lt;/D&gt;&lt;D xsi:type="xsd:double"&gt;36.187016&lt;/D&gt;&lt;D xsi:type="xsd:double"&gt;39.741302&lt;/D&gt;&lt;D xsi:type="xsd:double"&gt;33.973873&lt;/D&gt;&lt;D xsi:type="xsd:double"&gt;23.283493&lt;/D&gt;&lt;D xsi:type="xsd:double"&gt;45.744167&lt;/D&gt;&lt;D xsi:type="xsd:double"&gt;32.956898&lt;/D&gt;&lt;D xsi:type="xsd:double"&gt;34.00011&lt;/D&gt;&lt;D xsi:type="xsd:double"&gt;23.298418&lt;/D&gt;&lt;D xsi:type="xsd:double"&gt;24.678982&lt;/D&gt;&lt;D xsi:type="xsd:double"&gt;15.331554&lt;/D&gt;&lt;D xsi:type="xsd:double"&gt;6.764579&lt;/D&gt;&lt;D xsi:type="xsd:double"&gt;0.19187927&lt;/D&gt;&lt;D xsi:type="xsd:double"&gt;-6.642932&lt;/D&gt;&lt;D xsi:type="xsd:double"&gt;-13.474459&lt;/D&gt;&lt;D xsi:type="xsd:double"&gt;-9.907013&lt;/D&gt;&lt;D xsi:type="xsd:double"&gt;-6.238425&lt;/D&gt;&lt;D xsi:type="xsd:double"&gt;-16.917974&lt;/D&gt;&lt;D xsi:type="xsd:double"&gt;-14.122004&lt;/D&gt;&lt;D xsi:type="xsd:double"&gt;-15.792924&lt;/D&gt;&lt;D xsi:type="xsd:double"&gt;-16.610146&lt;/D&gt;&lt;D xsi:type="xsd:double"&gt;-21.94742&lt;/D&gt;&lt;D xsi:type="xsd:double"&gt;-18.261707&lt;/D&gt;&lt;D xsi:type="xsd:double"&gt;-10.395712&lt;/D&gt;&lt;D xsi:type="xsd:double"&gt;-17.439865&lt;/D&gt;&lt;D xsi:type="xsd:double"&gt;-11.565036&lt;/D&gt;&lt;D xsi:type="xsd:double"&gt;-8.399653&lt;/D&gt;&lt;D xsi:type="xsd:double"&gt;-28.33972&lt;/D&gt;&lt;D xsi:type="xsd:double"&gt;-19.551928&lt;/D&gt;&lt;D xsi:type="xsd:double"&gt;-22.130007&lt;/D&gt;&lt;D xsi:type="xsd:double"&gt;-29.738785&lt;/D&gt;&lt;D xsi:type="xsd:double"&gt;-45.998234&lt;/D&gt;&lt;D xsi:type="xsd:double"&gt;-44.150715&lt;/D&gt;&lt;D xsi:type="xsd:double"&gt;-39.751305&lt;/D&gt;&lt;D xsi:type="xsd:double"&gt;-32.531254&lt;/D&gt;&lt;D xsi:type="xsd:double"&gt;-30.285824&lt;/D&gt;&lt;D xsi:type="xsd:double"&gt;-25.74823&lt;/D&gt;&lt;D xsi:type="xsd:double"&gt;-32.444633&lt;/D&gt;&lt;D xsi:type="xsd:double"&gt;-37.55089&lt;/D&gt;&lt;D xsi:type="xsd:double"&gt;-10.323697&lt;/D&gt;&lt;D xsi:type="xsd:double"&gt;-14.211189&lt;/D&gt;&lt;D xsi:type="xsd:double"&gt;-1.9620776&lt;/D&gt;&lt;D xsi:type="xsd:double"&gt;5.1065803&lt;/D&gt;&lt;D xsi:type="xsd:double"&gt;53.698277&lt;/D&gt;&lt;D xsi:type="xsd:double"&gt;45.747303&lt;/D&gt;&lt;D xsi:type="xsd:double"&gt;40.39316&lt;/D&gt;&lt;D xsi:type="xsd:double"&gt;16.839684&lt;/D&gt;&lt;D xsi:type="xsd:double"&gt;0.5342245&lt;/D&gt;&lt;D xsi:type="xsd:double"&gt;8.225048&lt;/D&gt;&lt;D xsi:type="xsd:double"&gt;11.113441&lt;/D&gt;&lt;D xsi:type="xsd:double"&gt;2.3574233&lt;/D&gt;&lt;D xsi:type="xsd:double"&gt;5.205846&lt;/D&gt;&lt;D xsi:type="xsd:double"&gt;-14.257347&lt;/D&gt;&lt;D xsi:type="xsd:double"&gt;-19.111282&lt;/D&gt;&lt;D xsi:type="xsd:double"&gt;-15.726018&lt;/D&gt;&lt;D xsi:type="xsd:double"&gt;-19.938051&lt;/D&gt;&lt;D xsi:type="xsd:double"&gt;-15.796405&lt;/D&gt;&lt;D xsi:type="xsd:double"&gt;-12.17407&lt;/D&gt;&lt;D xsi:type="xsd:double"&gt;-4.8888445&lt;/D&gt;&lt;D xsi:type="xsd:double"&gt;-12.788475&lt;/D&gt;&lt;D xsi:type="xsd:double"&gt;9.115732&lt;/D&gt;&lt;D xsi:type="xsd:double"&gt;8.75882&lt;/D&gt;&lt;D xsi:type="xsd:double"&gt;5.159807&lt;/D&gt;&lt;D xsi:type="xsd:double"&gt;7.312572&lt;/D&gt;&lt;D xsi:type="xsd:double"&gt;20.514275&lt;/D&gt;&lt;D xsi:type="xsd:double"&gt;16.248154&lt;/D&gt;&lt;D xsi:type="xsd:double"&gt;20.67548&lt;/D&gt;&lt;D xsi:type="xsd:double"&gt;17.250263&lt;/D&gt;&lt;D xsi:type="xsd:double"&gt;12.091673&lt;/D&gt;&lt;D xsi:type="xsd:double"&gt;28.55134&lt;/D&gt;&lt;D xsi:type="xsd:double"&gt;16.45075&lt;/D&gt;&lt;D xsi:type="xsd:double"&gt;47.845795&lt;/D&gt;&lt;D xsi:type="xsd:double"&gt;10.542965&lt;/D&gt;&lt;D xsi:type="xsd:double"&gt;3.9816618&lt;/D&gt;&lt;D xsi:type="xsd:double"&gt;10.980738&lt;/D&gt;&lt;D xsi:type="xsd:double"&gt;1.2450695&lt;/D&gt;&lt;D xsi:type="xsd:double"&gt;13.653315&lt;/D&gt;&lt;D xsi:type="xsd:double"&gt;-0.7864833&lt;/D&gt;&lt;D xsi:type="xsd:double"&gt;-10.711897&lt;/D&gt;&lt;D xsi:type="xsd:double"&gt;-0.5166352&lt;/D&gt;&lt;/FQL&gt;&lt;FQL&gt;&lt;Q&gt;TUR^FMA_ROE(NTMA,-20AY,NOW,FY,"PORTAGG","MEANR")&lt;/Q&gt;&lt;R&gt;20&lt;/R&gt;&lt;C&gt;1&lt;/C&gt;&lt;D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xsi:type="xsd:double"&gt;14.9602850761367&lt;/D&gt;&lt;D xsi:type="xsd:double"&gt;12.998128179313&lt;/D&gt;&lt;D xsi:type="xsd:double"&gt;18.7994603339493&lt;/D&gt;&lt;D xsi:type="xsd:double"&gt;24.2938213733918&lt;/D&gt;&lt;D xsi:type="xsd:double"&gt;26.0567977573337&lt;/D&gt;&lt;/FQL&gt;&lt;FQL&gt;&lt;Q&gt;ECH^FMA_ROE(NTMA,-20AY,NOW,FY,"PORTAGG","MEANR")&lt;/Q&gt;&lt;R&gt;20&lt;/R&gt;&lt;C&gt;1&lt;/C&gt;&lt;D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xsi:type="xsd:double"&gt;13.7800684317394&lt;/D&gt;&lt;/FQL&gt;&lt;FQL&gt;&lt;Q&gt;TRYFR10Y-FDS^FG_YIELD(-10AY,0,Y,,"YTM")&lt;/Q&gt;&lt;R&gt;10&lt;/R&gt;&lt;C&gt;1&lt;/C&gt;&lt;D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xsi:type="xsd:double"&gt;4.15&lt;/D&gt;&lt;/FQL&gt;&lt;FQL&gt;&lt;Q&gt;CAGDPY@GR^EE_ACTUAL_ANNUAL(MED,0)&lt;/Q&gt;&lt;R&gt;1&lt;/R&gt;&lt;C&gt;1&lt;/C&gt;&lt;D xsi:type="xsd:double"&gt;-6.4144387239393&lt;/D&gt;&lt;/FQL&gt;&lt;FQL&gt;&lt;Q&gt;CAGDPY@PL^EE_ACTUAL_ANNUAL(MED,0)&lt;/Q&gt;&lt;R&gt;1&lt;/R&gt;&lt;C&gt;1&lt;/C&gt;&lt;D xsi:type="xsd:double"&gt;1.60702813566805&lt;/D&gt;&lt;/FQL&gt;&lt;FQL&gt;&lt;Q&gt;CC_IN^FG_COMPANY_NAME&lt;/Q&gt;&lt;R&gt;1&lt;/R&gt;&lt;C&gt;1&lt;/C&gt;&lt;D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xsi:type="xsd:double"&gt;-0.008004904&lt;/D&gt;&lt;/FQL&gt;&lt;FQL&gt;&lt;Q&gt;USDAED^FG_PRICE_CHANGE(0,-6AM)&lt;/Q&gt;&lt;R&gt;1&lt;/R&gt;&lt;C&gt;1&lt;/C&gt;&lt;D xsi:type="xsd:double"&gt;-0.0122487545&lt;/D&gt;&lt;/FQL&gt;&lt;FQL&gt;&lt;Q&gt;USDTHB^FG_PRICE_CHANGE(0,-6AM)&lt;/Q&gt;&lt;R&gt;1&lt;/R&gt;&lt;C&gt;1&lt;/C&gt;&lt;D xsi:type="xsd:double"&gt;-0.48889518&lt;/D&gt;&lt;/FQL&gt;&lt;FQL&gt;&lt;Q&gt;USDCNH^FG_PRICE_CHANGE(0,-6AM)&lt;/Q&gt;&lt;R&gt;1&lt;/R&gt;&lt;C&gt;1&lt;/C&gt;&lt;D xsi:type="xsd:double"&gt;-1.2170672&lt;/D&gt;&lt;/FQL&gt;&lt;FQL&gt;&lt;Q&gt;USDEUR^FG_PRICE_CHANGE(0,-6AM)&lt;/Q&gt;&lt;R&gt;1&lt;/R&gt;&lt;C&gt;1&lt;/C&gt;&lt;D xsi:type="xsd:double"&gt;-2.0435393&lt;/D&gt;&lt;/FQL&gt;&lt;FQL&gt;&lt;Q&gt;USDBRL^FG_PRICE_CHANGE(0,-6AM)&lt;/Q&gt;&lt;R&gt;1&lt;/R&gt;&lt;C&gt;1&lt;/C&gt;&lt;D xsi:type="xsd:double"&gt;2.219236&lt;/D&gt;&lt;/FQL&gt;&lt;FQL&gt;&lt;Q&gt;USDMXN^FG_PRICE_CHANGE(0,-6AM)&lt;/Q&gt;&lt;R&gt;1&lt;/R&gt;&lt;C&gt;1&lt;/C&gt;&lt;D xsi:type="xsd:double"&gt;-2.5835693&lt;/D&gt;&lt;/FQL&gt;&lt;FQL&gt;&lt;Q&gt;USDMYR^FG_PRICE_CHANGE(0,-6AM)&lt;/Q&gt;&lt;R&gt;1&lt;/R&gt;&lt;C&gt;1&lt;/C&gt;&lt;D xsi:type="xsd:double"&gt;0.08542538&lt;/D&gt;&lt;/FQL&gt;&lt;FQL&gt;&lt;Q&gt;USDPLN^FG_PRICE_CHANGE(0,-6AM)&lt;/Q&gt;&lt;R&gt;1&lt;/R&gt;&lt;C&gt;1&lt;/C&gt;&lt;D xsi:type="xsd:double"&gt;-9.350407&lt;/D&gt;&lt;/FQL&gt;&lt;FQL&gt;&lt;Q&gt;USDIDR^FG_PRICE_CHANGE(0,-6AM)&lt;/Q&gt;&lt;R&gt;1&lt;/R&gt;&lt;C&gt;1&lt;/C&gt;&lt;D xsi:type="xsd:double"&gt;1.4653206&lt;/D&gt;&lt;/FQL&gt;&lt;FQL&gt;&lt;Q&gt;SET-BKK^FMA_ROE(NTMA,-20AY,NOW,FY,"PORTAGG","MEANR")&lt;/Q&gt;&lt;R&gt;20&lt;/R&gt;&lt;C&gt;1&lt;/C&gt;&lt;D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xsi:type="xsd:double"&gt;8.38849749979866&lt;/D&gt;&lt;D xsi:type="xsd:double"&gt;9.94747027340135&lt;/D&gt;&lt;D xsi:type="xsd:double"&gt;10.1243577100024&lt;/D&gt;&lt;D xsi:type="xsd:double"&gt;9.34892363531398&lt;/D&gt;&lt;/FQL&gt;&lt;FQL&gt;&lt;Q&gt;CNYA^FMA_ROE(NTMA,-20AY,NOW,FY,"PORTAGG","MEANR")&lt;/Q&gt;&lt;R&gt;20&lt;/R&gt;&lt;C&gt;1&lt;/C&gt;&lt;D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xsi:type="xsd:double"&gt;13.4756717155871&lt;/D&gt;&lt;D xsi:type="xsd:double"&gt;12.9923016393566&lt;/D&gt;&lt;D xsi:type="xsd:double"&gt;13.7666448363476&lt;/D&gt;&lt;D xsi:type="xsd:double"&gt;13.371191955749&lt;/D&gt;&lt;D xsi:type="xsd:double"&gt;12.0220612954833&lt;/D&gt;&lt;/FQL&gt;&lt;FQL&gt;&lt;Q&gt;TRY10Y-FDS^FG_YIELD(-10AY,0,Y,,"YTM")&lt;/Q&gt;&lt;R&gt;10&lt;/R&gt;&lt;C&gt;1&lt;/C&gt;&lt;D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xsi:type="xsd:double"&gt;2.574&lt;/D&gt;&lt;/FQL&gt;&lt;FQL&gt;&lt;Q&gt;CAGDPY@VN^EE_ACTUAL_ANNUAL(MED,+1)&lt;/Q&gt;&lt;R&gt;0&lt;/R&gt;&lt;C&gt;0&lt;/C&gt;&lt;/FQL&gt;&lt;FQL&gt;&lt;Q&gt;CAGDPY@AE^EE_ACTUAL_ANNUAL(MED,0)&lt;/Q&gt;&lt;R&gt;1&lt;/R&gt;&lt;C&gt;1&lt;/C&gt;&lt;D xsi:type="xsd:double"&gt;12.7&lt;/D&gt;&lt;/FQL&gt;&lt;FQL&gt;&lt;Q&gt;CAGDPY@BR^EE_ACTUAL_ANNUAL(MED,0)&lt;/Q&gt;&lt;R&gt;1&lt;/R&gt;&lt;C&gt;1&lt;/C&gt;&lt;D xsi:type="xsd:double"&gt;-1.31178086403119&lt;/D&gt;&lt;/FQL&gt;&lt;FQL&gt;&lt;Q&gt;CAGDPY@ID^EE_ACTUAL_ANNUAL(MED,0)&lt;/Q&gt;&lt;R&gt;1&lt;/R&gt;&lt;C&gt;1&lt;/C&gt;&lt;D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xsi:type="xsd:double"&gt;3.7503&lt;/D&gt;&lt;/FQL&gt;&lt;FQL&gt;&lt;Q&gt;USDAED^FG_PRICE(0)&lt;/Q&gt;&lt;R&gt;1&lt;/R&gt;&lt;C&gt;1&lt;/C&gt;&lt;D xsi:type="xsd:double"&gt;3.6726&lt;/D&gt;&lt;/FQL&gt;&lt;FQL&gt;&lt;Q&gt;USDTHB^FG_PRICE(0)&lt;/Q&gt;&lt;R&gt;1&lt;/R&gt;&lt;C&gt;1&lt;/C&gt;&lt;D xsi:type="xsd:double"&gt;35.62&lt;/D&gt;&lt;/FQL&gt;&lt;FQL&gt;&lt;Q&gt;USDCNH^FG_PRICE(0)&lt;/Q&gt;&lt;R&gt;1&lt;/R&gt;&lt;C&gt;1&lt;/C&gt;&lt;D xsi:type="xsd:double"&gt;7.19935&lt;/D&gt;&lt;/FQL&gt;&lt;FQL&gt;&lt;Q&gt;USDEUR^FG_PRICE(0)&lt;/Q&gt;&lt;R&gt;1&lt;/R&gt;&lt;C&gt;1&lt;/C&gt;&lt;D xsi:type="xsd:double"&gt;0.9184423&lt;/D&gt;&lt;/FQL&gt;&lt;FQL&gt;&lt;Q&gt;USDBRL^FG_PRICE(0)&lt;/Q&gt;&lt;R&gt;1&lt;/R&gt;&lt;C&gt;1&lt;/C&gt;&lt;D xsi:type="xsd:double"&gt;4.98145&lt;/D&gt;&lt;/FQL&gt;&lt;FQL&gt;&lt;Q&gt;USDMXN^FG_PRICE(0)&lt;/Q&gt;&lt;R&gt;1&lt;/R&gt;&lt;C&gt;1&lt;/C&gt;&lt;D xsi:type="xsd:double"&gt;16.685&lt;/D&gt;&lt;/FQL&gt;&lt;FQL&gt;&lt;Q&gt;USDMYR^FG_PRICE(0)&lt;/Q&gt;&lt;R&gt;1&lt;/R&gt;&lt;C&gt;1&lt;/C&gt;&lt;D xsi:type="xsd:double"&gt;4.686&lt;/D&gt;&lt;/FQL&gt;&lt;FQL&gt;&lt;Q&gt;USDPLN^FG_PRICE(0)&lt;/Q&gt;&lt;R&gt;1&lt;/R&gt;&lt;C&gt;1&lt;/C&gt;&lt;D xsi:type="xsd:double"&gt;3.93945&lt;/D&gt;&lt;/FQL&gt;&lt;FQL&gt;&lt;Q&gt;USDIDR^FG_PRICE(0)&lt;/Q&gt;&lt;R&gt;1&lt;/R&gt;&lt;C&gt;1&lt;/C&gt;&lt;D xsi:type="xsd:double"&gt;15580&lt;/D&gt;&lt;/FQL&gt;&lt;FQL&gt;&lt;Q&gt;FC0000MY^FMA_EPS(NTMA,-20AY,0,CY,,"PORTAGG","MEANR")&lt;/Q&gt;&lt;R&gt;20&lt;/R&gt;&lt;C&gt;1&lt;/C&gt;&lt;D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xsi:type="xsd:double"&gt;15.6987954764523&lt;/D&gt;&lt;D xsi:type="xsd:double"&gt;16.3882261582609&lt;/D&gt;&lt;D xsi:type="xsd:double"&gt;16.010960211197&lt;/D&gt;&lt;D xsi:type="xsd:double"&gt;16.7075627041747&lt;/D&gt;&lt;D xsi:type="xsd:double"&gt;16.7744907423&lt;/D&gt;&lt;/FQL&gt;&lt;FQL&gt;&lt;Q&gt;GREK^P_PRICE_RETURNS_PR('52W',2,-10AY,0,AM)&lt;/Q&gt;&lt;R&gt;121&lt;/R&gt;&lt;C&gt;1&lt;/C&gt;&lt;D xsi:type="xsd:double"&gt;42.533134&lt;/D&gt;&lt;D xsi:type="xsd:double"&gt;34.73232&lt;/D&gt;&lt;D xsi:type="xsd:double"&gt;8.065128&lt;/D&gt;&lt;D xsi:type="xsd:double"&gt;42.50574&lt;/D&gt;&lt;D xsi:type="xsd:double"&gt;45.706593&lt;/D&gt;&lt;D xsi:type="xsd:double"&gt;15.329563&lt;/D&gt;&lt;D xsi:type="xsd:double"&gt;9.884548&lt;/D&gt;&lt;D xsi:type="xsd:double"&gt;-22.649742&lt;/D&gt;&lt;D xsi:type="xsd:double"&gt;-28.499348&lt;/D&gt;&lt;D xsi:type="xsd:double"&gt;-38.98073&lt;/D&gt;&lt;D xsi:type="xsd:double"&gt;-45.185204&lt;/D&gt;&lt;D xsi:type="xsd:double"&gt;-41.837513&lt;/D&gt;&lt;D xsi:type="xsd:double"&gt;-55.816505&lt;/D&gt;&lt;D xsi:type="xsd:double"&gt;-52.13496&lt;/D&gt;&lt;D xsi:type="xsd:double"&gt;-40.8952&lt;/D&gt;&lt;D xsi:type="xsd:double"&gt;-50.14141&lt;/D&gt;&lt;D xsi:type="xsd:double"&gt;-54.921978&lt;/D&gt;&lt;D xsi:type="xsd:double"&gt;-51.235&lt;/D&gt;&lt;D xsi:type="xsd:double"&gt;-49.92253&lt;/D&gt;&lt;D xsi:type="xsd:double"&gt;-39.11917&lt;/D&gt;&lt;D xsi:type="xsd:double"&gt;-38.651974&lt;/D&gt;&lt;D xsi:type="xsd:double"&gt;-41.03079&lt;/D&gt;&lt;D xsi:type="xsd:double"&gt;-41.761406&lt;/D&gt;&lt;D xsi:type="xsd:double"&gt;-54.217033&lt;/D&gt;&lt;D xsi:type="xsd:double"&gt;-29.87054&lt;/D&gt;&lt;D xsi:type="xsd:double"&gt;-31.578869&lt;/D&gt;&lt;D xsi:type="xsd:double"&gt;-31.623793&lt;/D&gt;&lt;D xsi:type="xsd:double"&gt;-35.09578&lt;/D&gt;&lt;D xsi:type="xsd:double"&gt;-24.038898&lt;/D&gt;&lt;D xsi:type="xsd:double"&gt;-27.409142&lt;/D&gt;&lt;D xsi:type="xsd:double"&gt;-30.077045&lt;/D&gt;&lt;D xsi:type="xsd:double"&gt;-26.153738&lt;/D&gt;&lt;D xsi:type="xsd:double"&gt;-20.7331&lt;/D&gt;&lt;D xsi:type="xsd:double"&gt;-2.9243827&lt;/D&gt;&lt;D xsi:type="xsd:double"&gt;11.850775&lt;/D&gt;&lt;D xsi:type="xsd:double"&gt;33.4703&lt;/D&gt;&lt;D xsi:type="xsd:double"&gt;7.0858955&lt;/D&gt;&lt;D xsi:type="xsd:double"&gt;14.204538&lt;/D&gt;&lt;D xsi:type="xsd:double"&gt;14.420855&lt;/D&gt;&lt;D xsi:type="xsd:double"&gt;31.862164&lt;/D&gt;&lt;D xsi:type="xsd:double"&gt;49.006046&lt;/D&gt;&lt;D xsi:type="xsd:double"&gt;45.078434&lt;/D&gt;&lt;D xsi:type="xsd:double"&gt;43.63681&lt;/D&gt;&lt;D xsi:type="xsd:double"&gt;31.957458&lt;/D&gt;&lt;D xsi:type="xsd:double"&gt;25.866758&lt;/D&gt;&lt;D xsi:type="xsd:double"&gt;30.049217&lt;/D&gt;&lt;D xsi:type="xsd:double"&gt;36.642277&lt;/D&gt;&lt;D xsi:type="xsd:double"&gt;43.554127&lt;/D&gt;&lt;D xsi:type="xsd:double"&gt;36.14162&lt;/D&gt;&lt;D xsi:type="xsd:double"&gt;27.324152&lt;/D&gt;&lt;D xsi:type="xsd:double"&gt;7.588017&lt;/D&gt;&lt;D xsi:type="xsd:double"&gt;-1.527375&lt;/D&gt;&lt;D xsi:type="xsd:double"&gt;-11.262411&lt;/D&gt;&lt;D xsi:type="xsd:double"&gt;-15.440565&lt;/D&gt;&lt;D xsi:type="xsd:double"&gt;-15.574628&lt;/D&gt;&lt;D xsi:type="xsd:double"&gt;-17.37302&lt;/D&gt;&lt;D xsi:type="xsd:double"&gt;-12.864322&lt;/D&gt;&lt;D xsi:type="xsd:double"&gt;-22.09549&lt;/D&gt;&lt;D xsi:type="xsd:double"&gt;-32.104183&lt;/D&gt;&lt;D xsi:type="xsd:double"&gt;-29.957115&lt;/D&gt;&lt;D xsi:type="xsd:double"&gt;-20.360136&lt;/D&gt;&lt;D xsi:type="xsd:double"&gt;-11.921072&lt;/D&gt;&lt;D xsi:type="xsd:double"&gt;-18.50738&lt;/D&gt;&lt;D xsi:type="xsd:double"&gt;1.2518883&lt;/D&gt;&lt;D xsi:type="xsd:double"&gt;5.815065&lt;/D&gt;&lt;D xsi:type="xsd:double"&gt;0.9945154&lt;/D&gt;&lt;D xsi:type="xsd:double"&gt;17.824532&lt;/D&gt;&lt;D xsi:type="xsd:double"&gt;28.294134&lt;/D&gt;&lt;D xsi:type="xsd:double"&gt;33.165527&lt;/D&gt;&lt;D xsi:type="xsd:double"&gt;33.44257&lt;/D&gt;&lt;D xsi:type="xsd:double"&gt;41.144707&lt;/D&gt;&lt;D xsi:type="xsd:double"&gt;29.651474&lt;/D&gt;&lt;D xsi:type="xsd:double"&gt;-24.079388&lt;/D&gt;&lt;D xsi:type="xsd:double"&gt;-26.788532&lt;/D&gt;&lt;D xsi:type="xsd:double"&gt;-25.7509&lt;/D&gt;&lt;D xsi:type="xsd:double"&gt;-27.399742&lt;/D&gt;&lt;D xsi:type="xsd:double"&gt;-28.786594&lt;/D&gt;&lt;D xsi:type="xsd:double"&gt;-16.148884&lt;/D&gt;&lt;D xsi:type="xsd:double"&gt;-21.115667&lt;/D&gt;&lt;D xsi:type="xsd:double"&gt;-27.843178&lt;/D&gt;&lt;D xsi:type="xsd:double"&gt;-26.70704&lt;/D&gt;&lt;D xsi:type="xsd:double"&gt;-12.277097&lt;/D&gt;&lt;D xsi:type="xsd:double"&gt;-14.108306&lt;/D&gt;&lt;D xsi:type="xsd:double"&gt;-11.51601&lt;/D&gt;&lt;D xsi:type="xsd:double"&gt;76.98014&lt;/D&gt;&lt;D xsi:type="xsd:double"&gt;56.319748&lt;/D&gt;&lt;D xsi:type="xsd:double"&gt;72.056564&lt;/D&gt;&lt;D xsi:type="xsd:double"&gt;56.471027&lt;/D&gt;&lt;D xsi:type="xsd:double"&gt;41.84773&lt;/D&gt;&lt;D xsi:type="xsd:double"&gt;38.998127&lt;/D&gt;&lt;D xsi:type="xsd:double"&gt;35.33995&lt;/D&gt;&lt;D xsi:type="xsd:double"&gt;42.239044&lt;/D&gt;&lt;D xsi:type="xsd:double"&gt;41.567505&lt;/D&gt;&lt;D xsi:type="xsd:double"&gt;6.364286&lt;/D&gt;&lt;D xsi:type="xsd:double"&gt;16.121483&lt;/D&gt;&lt;D xsi:type="xsd:double"&gt;22.428345&lt;/D&gt;&lt;D xsi:type="xsd:double"&gt;-5.748832&lt;/D&gt;&lt;D xsi:type="xsd:double"&gt;-0.73221326&lt;/D&gt;&lt;D xsi:type="xsd:double"&gt;-10.991896&lt;/D&gt;&lt;D xsi:type="xsd:double"&gt;-19.740837&lt;/D&gt;&lt;D xsi:type="xsd:double"&gt;-17.377346&lt;/D&gt;&lt;D xsi:type="xsd:double"&gt;-7.7579856&lt;/D&gt;&lt;D xsi:type="xsd:double"&gt;-16.87929&lt;/D&gt;&lt;D xsi:type="xsd:double"&gt;-18.30107&lt;/D&gt;&lt;D xsi:type="xsd:double"&gt;-5.7613134&lt;/D&gt;&lt;D xsi:type="xsd:double"&gt;4.7629952&lt;/D&gt;&lt;D xsi:type="xsd:double"&gt;2.9680133&lt;/D&gt;&lt;D xsi:type="xsd:double"&gt;14.019453&lt;/D&gt;&lt;D xsi:type="xsd:double"&gt;30.969833&lt;/D&gt;&lt;D xsi:type="xsd:double"&gt;21.829832&lt;/D&gt;&lt;D xsi:type="xsd:double"&gt;33.82281&lt;/D&gt;&lt;D xsi:type="xsd:double"&gt;59.411167&lt;/D&gt;&lt;D xsi:type="xsd:double"&gt;82.34154&lt;/D&gt;&lt;D xsi:type="xsd:double"&gt;53.605877&lt;/D&gt;&lt;D xsi:type="xsd:double"&gt;53.507744&lt;/D&gt;&lt;D xsi:type="xsd:double"&gt;46.96363&lt;/D&gt;&lt;D xsi:type="xsd:double"&gt;45.893433&lt;/D&gt;&lt;D xsi:type="xsd:double"&gt;44.549526&lt;/D&gt;&lt;D xsi:type="xsd:double"&gt;40.605556&lt;/D&gt;&lt;D xsi:type="xsd:double"&gt;27.406824&lt;/D&gt;&lt;D xsi:type="xsd:double"&gt;32.190536&lt;/D&gt;&lt;/FQL&gt;&lt;FQL&gt;&lt;Q&gt;UAE^FG_TOTAL_RETURNC(-10AY,0,AM)&lt;/Q&gt;&lt;R&gt;121&lt;/R&gt;&lt;C&gt;1&lt;/C&gt;&lt;D xsi:type="xsd:string"&gt;@NA&lt;/D&gt;&lt;D xsi:type="xsd:string"&gt;@NA&lt;/D&gt;&lt;D xsi:type="xsd:string"&gt;@NA&lt;/D&gt;&lt;D xsi:type="xsd:double"&gt;-4.1988077&lt;/D&gt;&lt;D xsi:type="xsd:double"&gt;-6.674713&lt;/D&gt;&lt;D xsi:type="xsd:double"&gt;3.2313704&lt;/D&gt;&lt;D xsi:type="xsd:double"&gt;2.2120237&lt;/D&gt;&lt;D xsi:type="xsd:double"&gt;-7.513273&lt;/D&gt;&lt;D xsi:type="xsd:double"&gt;1.3686538&lt;/D&gt;&lt;D xsi:type="xsd:double"&gt;-19.207317&lt;/D&gt;&lt;D xsi:type="xsd:double"&gt;6.217611&lt;/D&gt;&lt;D xsi:type="xsd:double"&gt;2.649355&lt;/D&gt;&lt;D xsi:type="xsd:double"&gt;-5.9716644&lt;/D&gt;&lt;D xsi:type="xsd:double"&gt;6.771517&lt;/D&gt;&lt;D xsi:type="xsd:double"&gt;4.9233556&lt;/D&gt;&lt;D xsi:type="xsd:double"&gt;-1.6949356&lt;/D&gt;&lt;D xsi:type="xsd:double"&gt;1.6072273&lt;/D&gt;&lt;D xsi:type="xsd:double"&gt;-2.7187288&lt;/D&gt;&lt;D xsi:type="xsd:double"&gt;-10.924792&lt;/D&gt;&lt;D xsi:type="xsd:double"&gt;5.8773518&lt;/D&gt;&lt;D xsi:type="xsd:double"&gt;-15.841884&lt;/D&gt;&lt;D xsi:type="xsd:double"&gt;-5.057621&lt;/D&gt;&lt;D xsi:type="xsd:double"&gt;-2.244532&lt;/D&gt;&lt;D xsi:type="xsd:double"&gt;2.2160769&lt;/D&gt;&lt;D xsi:type="xsd:double"&gt;12.195122&lt;/D&gt;&lt;D xsi:type="xsd:double"&gt;6.5217376&lt;/D&gt;&lt;D xsi:type="xsd:double"&gt;-7.0861697&lt;/D&gt;&lt;D xsi:type="xsd:double"&gt;2.5625348&lt;/D&gt;&lt;D xsi:type="xsd:double"&gt;6.929028&lt;/D&gt;&lt;D xsi:type="xsd:double"&gt;0.40415525&lt;/D&gt;&lt;D xsi:type="xsd:double"&gt;-3.8527906&lt;/D&gt;&lt;D xsi:type="xsd:double"&gt;-1.8540621&lt;/D&gt;&lt;D xsi:type="xsd:double"&gt;-6.5204144&lt;/D&gt;&lt;D xsi:type="xsd:double"&gt;11.14732&lt;/D&gt;&lt;D xsi:type="xsd:double"&gt;3.3607244&lt;/D&gt;&lt;D xsi:type="xsd:double"&gt;-0.67220926&lt;/D&gt;&lt;D xsi:type="xsd:double"&gt;-3.7668705&lt;/D&gt;&lt;D xsi:type="xsd:double"&gt;1.6199231&lt;/D&gt;&lt;D xsi:type="xsd:double"&gt;2.1238804&lt;/D&gt;&lt;D xsi:type="xsd:double"&gt;1.3576031&lt;/D&gt;&lt;D xsi:type="xsd:double"&gt;3.1706572&lt;/D&gt;&lt;D xsi:type="xsd:double"&gt;-0.56753755&lt;/D&gt;&lt;D xsi:type="xsd:double"&gt;1.5411019&lt;/D&gt;&lt;D xsi:type="xsd:double"&gt;0.84878206&lt;/D&gt;&lt;D xsi:type="xsd:double"&gt;-5.44005&lt;/D&gt;&lt;D xsi:type="xsd:double"&gt;-2.2104323&lt;/D&gt;&lt;D xsi:type="xsd:double"&gt;8.068716&lt;/D&gt;&lt;D xsi:type="xsd:double"&gt;-3.422588&lt;/D&gt;&lt;D xsi:type="xsd:double"&gt;-3.0981958&lt;/D&gt;&lt;D xsi:type="xsd:double"&gt;-0.5204797&lt;/D&gt;&lt;D xsi:type="xsd:double"&gt;-3.7371874&lt;/D&gt;&lt;D xsi:type="xsd:double"&gt;5.385089&lt;/D&gt;&lt;D xsi:type="xsd:double"&gt;-3.9854646&lt;/D&gt;&lt;D xsi:type="xsd:double"&gt;-0.12919307&lt;/D&gt;&lt;D xsi:type="xsd:double"&gt;0.90556145&lt;/D&gt;&lt;D xsi:type="xsd:double"&gt;-3.5897434&lt;/D&gt;&lt;D xsi:type="xsd:double"&gt;0.78125&lt;/D&gt;&lt;D xsi:type="xsd:double"&gt;-7.570511&lt;/D&gt;&lt;D xsi:type="xsd:double"&gt;0.6030083&lt;/D&gt;&lt;D xsi:type="xsd:double"&gt;-1.8544972&lt;/D&gt;&lt;D xsi:type="xsd:double"&gt;3.5610437&lt;/D&gt;&lt;D xsi:type="xsd:double"&gt;4.8421025&lt;/D&gt;&lt;D xsi:type="xsd:double"&gt;-5.5555525&lt;/D&gt;&lt;D xsi:type="xsd:double"&gt;-3.8270712&lt;/D&gt;&lt;D xsi:type="xsd:double"&gt;2.1710515&lt;/D&gt;&lt;D xsi:type="xsd:double"&gt;1.6442418&lt;/D&gt;&lt;D xsi:type="xsd:double"&gt;4.411757&lt;/D&gt;&lt;D xsi:type="xsd:double"&gt;-1.0690153&lt;/D&gt;&lt;D xsi:type="xsd:double"&gt;-1.6955853&lt;/D&gt;&lt;D xsi:type="xsd:double"&gt;-0.724113&lt;/D&gt;&lt;D xsi:type="xsd:double"&gt;-2.3340583&lt;/D&gt;&lt;D xsi:type="xsd:double"&gt;-4.7050056&lt;/D&gt;&lt;D xsi:type="xsd:double"&gt;-26.410658&lt;/D&gt;&lt;D xsi:type="xsd:double"&gt;8.94568&lt;/D&gt;&lt;D xsi:type="xsd:double"&gt;-3.079176&lt;/D&gt;&lt;D xsi:type="xsd:double"&gt;6.5052986&lt;/D&gt;&lt;D xsi:type="xsd:double"&gt;0.88903904&lt;/D&gt;&lt;D xsi:type="xsd:double"&gt;5.297029&lt;/D&gt;&lt;D xsi:type="xsd:double"&gt;2.4917722&lt;/D&gt;&lt;D xsi:type="xsd:double"&gt;-1.4678895&lt;/D&gt;&lt;D xsi:type="xsd:double"&gt;2.2346377&lt;/D&gt;&lt;D xsi:type="xsd:double"&gt;11.362672&lt;/D&gt;&lt;D xsi:type="xsd:double"&gt;5.237305&lt;/D&gt;&lt;D xsi:type="xsd:double"&gt;1.9828916&lt;/D&gt;&lt;D xsi:type="xsd:double"&gt;0.87685585&lt;/D&gt;&lt;D xsi:type="xsd:double"&gt;1.1715889&lt;/D&gt;&lt;D xsi:type="xsd:double"&gt;3.2499075&lt;/D&gt;&lt;D xsi:type="xsd:double"&gt;8.678495&lt;/D&gt;&lt;D xsi:type="xsd:double"&gt;-3.4458995&lt;/D&gt;&lt;D xsi:type="xsd:double"&gt;3.085649&lt;/D&gt;&lt;D xsi:type="xsd:double"&gt;3.8615704&lt;/D&gt;&lt;D xsi:type="xsd:double"&gt;-2.1146655&lt;/D&gt;&lt;D xsi:type="xsd:double"&gt;9.788322&lt;/D&gt;&lt;D xsi:type="xsd:double"&gt;8.707178&lt;/D&gt;&lt;D xsi:type="xsd:double"&gt;-4.848284&lt;/D&gt;&lt;D xsi:type="xsd:double"&gt;3.6376834&lt;/D&gt;&lt;D xsi:type="xsd:double"&gt;6.470585&lt;/D&gt;&lt;D xsi:type="xsd:double"&gt;4.2607784&lt;/D&gt;&lt;D xsi:type="xsd:double"&gt;-8.325922&lt;/D&gt;&lt;D xsi:type="xsd:double"&gt;-4.5899334&lt;/D&gt;&lt;D xsi:type="xsd:double"&gt;-5.700117&lt;/D&gt;&lt;D xsi:type="xsd:double"&gt;11.695135&lt;/D&gt;&lt;D xsi:type="xsd:double"&gt;-6.411767&lt;/D&gt;&lt;D xsi:type="xsd:double"&gt;-5.0282836&lt;/D&gt;&lt;D xsi:type="xsd:double"&gt;6.287229&lt;/D&gt;&lt;D xsi:type="xsd:double"&gt;-7.5196924&lt;/D&gt;&lt;D xsi:type="xsd:double"&gt;1.248312&lt;/D&gt;&lt;D xsi:type="xsd:double"&gt;0.066649914&lt;/D&gt;&lt;D xsi:type="xsd:double"&gt;-6.7599115&lt;/D&gt;&lt;D xsi:type="xsd:double"&gt;4.571426&lt;/D&gt;&lt;D xsi:type="xsd:double"&gt;1.0928988&lt;/D&gt;&lt;D xsi:type="xsd:double"&gt;-0.12410879&lt;/D&gt;&lt;D xsi:type="xsd:double"&gt;4.586518&lt;/D&gt;&lt;D xsi:type="xsd:double"&gt;0.9966731&lt;/D&gt;&lt;D xsi:type="xsd:double"&gt;0.06579161&lt;/D&gt;&lt;D xsi:type="xsd:double"&gt;-6.1143994&lt;/D&gt;&lt;D xsi:type="xsd:double"&gt;3.5014033&lt;/D&gt;&lt;D xsi:type="xsd:double"&gt;-0.87956786&lt;/D&gt;&lt;D xsi:type="xsd:double"&gt;4.50058&lt;/D&gt;&lt;D xsi:type="xsd:double"&gt;-2.82709&lt;/D&gt;&lt;D xsi:type="xsd:double"&gt;-1.3531804&lt;/D&gt;&lt;/FQL&gt;&lt;FQL&gt;&lt;Q&gt;EIDO^FG_TOTAL_RETURNC(-10AY,0,AM)&lt;/Q&gt;&lt;R&gt;121&lt;/R&gt;&lt;C&gt;1&lt;/C&gt;&lt;D xsi:type="xsd:double"&gt;10.913396&lt;/D&gt;&lt;D xsi:type="xsd:double"&gt;-0.7843137&lt;/D&gt;&lt;D xsi:type="xsd:double"&gt;4.563427&lt;/D&gt;&lt;D xsi:type="xsd:double"&gt;-6.49485&lt;/D&gt;&lt;D xsi:type="xsd:double"&gt;5.746615&lt;/D&gt;&lt;D xsi:type="xsd:double"&gt;2.283907&lt;/D&gt;&lt;D xsi:type="xsd:double"&gt;-4.534525&lt;/D&gt;&lt;D xsi:type="xsd:double"&gt;-6.4051867&lt;/D&gt;&lt;D xsi:type="xsd:double"&gt;4.613602&lt;/D&gt;&lt;D xsi:type="xsd:double"&gt;-2.6460826&lt;/D&gt;&lt;D xsi:type="xsd:double"&gt;-0.047034025&lt;/D&gt;&lt;D xsi:type="xsd:double"&gt;4.999995&lt;/D&gt;&lt;D xsi:type="xsd:double"&gt;-4.870123&lt;/D&gt;&lt;D xsi:type="xsd:double"&gt;3.7163377&lt;/D&gt;&lt;D xsi:type="xsd:double"&gt;-4.643512&lt;/D&gt;&lt;D xsi:type="xsd:double"&gt;-9.5092&lt;/D&gt;&lt;D xsi:type="xsd:double"&gt;1.4459848&lt;/D&gt;&lt;D xsi:type="xsd:double"&gt;-11.68006&lt;/D&gt;&lt;D xsi:type="xsd:double"&gt;-9.918552&lt;/D&gt;&lt;D xsi:type="xsd:double"&gt;10.478735&lt;/D&gt;&lt;D xsi:type="xsd:double"&gt;-3.5146832&lt;/D&gt;&lt;D xsi:type="xsd:double"&gt;-2.4950087&lt;/D&gt;&lt;D xsi:type="xsd:double"&gt;6.496763&lt;/D&gt;&lt;D xsi:type="xsd:double"&gt;8.858931&lt;/D&gt;&lt;D xsi:type="xsd:double"&gt;5.6612015&lt;/D&gt;&lt;D xsi:type="xsd:double"&gt;-2.134788&lt;/D&gt;&lt;D xsi:type="xsd:double"&gt;-5.004275&lt;/D&gt;&lt;D xsi:type="xsd:double"&gt;2.296269&lt;/D&gt;&lt;D xsi:type="xsd:double"&gt;12.069332&lt;/D&gt;&lt;D xsi:type="xsd:double"&gt;4.4065&lt;/D&gt;&lt;D xsi:type="xsd:double"&gt;-7.110262&lt;/D&gt;&lt;D xsi:type="xsd:double"&gt;7.2861195&lt;/D&gt;&lt;D xsi:type="xsd:double"&gt;-11.064476&lt;/D&gt;&lt;D xsi:type="xsd:double"&gt;2.0592093&lt;/D&gt;&lt;D xsi:type="xsd:double"&gt;3.098297&lt;/D&gt;&lt;D xsi:type="xsd:double"&gt;1.9591808&lt;/D&gt;&lt;D xsi:type="xsd:double"&gt;-0.88070035&lt;/D&gt;&lt;D xsi:type="xsd:double"&gt;5.0484657&lt;/D&gt;&lt;D xsi:type="xsd:double"&gt;2.614379&lt;/D&gt;&lt;D xsi:type="xsd:double"&gt;2.3978949&lt;/D&gt;&lt;D xsi:type="xsd:double"&gt;1.260984&lt;/D&gt;&lt;D xsi:type="xsd:double"&gt;-1.9019783&lt;/D&gt;&lt;D xsi:type="xsd:double"&gt;-0.41014552&lt;/D&gt;&lt;D xsi:type="xsd:double"&gt;1.0857344&lt;/D&gt;&lt;D xsi:type="xsd:double"&gt;-1.8148124&lt;/D&gt;&lt;D xsi:type="xsd:double"&gt;3.3195019&lt;/D&gt;&lt;D xsi:type="xsd:double"&gt;6.834471&lt;/D&gt;&lt;D xsi:type="xsd:double"&gt;1.4368773&lt;/D&gt;&lt;D xsi:type="xsd:double"&gt;-6.037098&lt;/D&gt;&lt;D xsi:type="xsd:double"&gt;-1.9382656&lt;/D&gt;&lt;D xsi:type="xsd:double"&gt;-7.8330874&lt;/D&gt;&lt;D xsi:type="xsd:double"&gt;0.43685436&lt;/D&gt;&lt;D xsi:type="xsd:double"&gt;-5.135006&lt;/D&gt;&lt;D xsi:type="xsd:double"&gt;-3.8641155&lt;/D&gt;&lt;D xsi:type="xsd:double"&gt;0.7508874&lt;/D&gt;&lt;D xsi:type="xsd:double"&gt;-5.918461&lt;/D&gt;&lt;D xsi:type="xsd:double"&gt;8.7604885&lt;/D&gt;&lt;D xsi:type="xsd:double"&gt;6.383884&lt;/D&gt;&lt;D xsi:type="xsd:double"&gt;6.2039495&lt;/D&gt;&lt;D xsi:type="xsd:double"&gt;-1.2538016&lt;/D&gt;&lt;D xsi:type="xsd:double"&gt;-3.0011594&lt;/D&gt;&lt;D xsi:type="xsd:double"&gt;2.4196744&lt;/D&gt;&lt;D xsi:type="xsd:double"&gt;-8.055771&lt;/D&gt;&lt;D xsi:type="xsd:double"&gt;5.6444883&lt;/D&gt;&lt;D xsi:type="xsd:double"&gt;6.617546&lt;/D&gt;&lt;D xsi:type="xsd:double"&gt;-7.414442&lt;/D&gt;&lt;D xsi:type="xsd:double"&gt;5.7084203&lt;/D&gt;&lt;D xsi:type="xsd:double"&gt;-5.5944085&lt;/D&gt;&lt;D xsi:type="xsd:double"&gt;0.78189373&lt;/D&gt;&lt;D xsi:type="xsd:double"&gt;2.368319&lt;/D&gt;&lt;D xsi:type="xsd:double"&gt;5.3764224&lt;/D&gt;&lt;D xsi:type="xsd:double"&gt;-8.646191&lt;/D&gt;&lt;D xsi:type="xsd:double"&gt;-25.031137&lt;/D&gt;&lt;D xsi:type="xsd:double"&gt;-12.126244&lt;/D&gt;&lt;D xsi:type="xsd:double"&gt;0.56711435&lt;/D&gt;&lt;D xsi:type="xsd:double"&gt;15.789473&lt;/D&gt;&lt;D xsi:type="xsd:double"&gt;5.4207563&lt;/D&gt;&lt;D xsi:type="xsd:double"&gt;0.7257581&lt;/D&gt;&lt;D xsi:type="xsd:double"&gt;-4.7349453&lt;/D&gt;&lt;D xsi:type="xsd:double"&gt;0.32414198&lt;/D&gt;&lt;D xsi:type="xsd:double"&gt;15.024233&lt;/D&gt;&lt;D xsi:type="xsd:double"&gt;8.9500065&lt;/D&gt;&lt;D xsi:type="xsd:double"&gt;7.8354955&lt;/D&gt;&lt;D xsi:type="xsd:double"&gt;-4.01445&lt;/D&gt;&lt;D xsi:type="xsd:double"&gt;-3.638643&lt;/D&gt;&lt;D xsi:type="xsd:double"&gt;-6.1197996&lt;/D&gt;&lt;D xsi:type="xsd:double"&gt;0.6934881&lt;/D&gt;&lt;D xsi:type="xsd:double"&gt;1.4203191&lt;/D&gt;&lt;D xsi:type="xsd:double"&gt;-9.020508&lt;/D&gt;&lt;D xsi:type="xsd:double"&gt;3.9559364&lt;/D&gt;&lt;D xsi:type="xsd:double"&gt;4.1425824&lt;/D&gt;&lt;D xsi:type="xsd:double"&gt;13.737273&lt;/D&gt;&lt;D xsi:type="xsd:double"&gt;-2.6433468&lt;/D&gt;&lt;D xsi:type="xsd:double"&gt;-3.2055497&lt;/D&gt;&lt;D xsi:type="xsd:double"&gt;2.8248549&lt;/D&gt;&lt;D xsi:type="xsd:double"&gt;0.38038492&lt;/D&gt;&lt;D xsi:type="xsd:double"&gt;3.8315773&lt;/D&gt;&lt;D xsi:type="xsd:double"&gt;-1.0543406&lt;/D&gt;&lt;D xsi:type="xsd:double"&gt;-4.5901594&lt;/D&gt;&lt;D xsi:type="xsd:double"&gt;-0.46266317&lt;/D&gt;&lt;D xsi:type="xsd:double"&gt;-5.9956255&lt;/D&gt;&lt;D xsi:type="xsd:double"&gt;12.849164&lt;/D&gt;&lt;D xsi:type="xsd:double"&gt;1.7739296&lt;/D&gt;&lt;D xsi:type="xsd:double"&gt;-8.552903&lt;/D&gt;&lt;D xsi:type="xsd:double"&gt;3.5904288&lt;/D&gt;&lt;D xsi:type="xsd:double"&gt;-1.3676047&lt;/D&gt;&lt;D xsi:type="xsd:double"&gt;-2.1910608&lt;/D&gt;&lt;D xsi:type="xsd:double"&gt;5.33154&lt;/D&gt;&lt;D xsi:type="xsd:double"&gt;-6.5929413&lt;/D&gt;&lt;D xsi:type="xsd:double"&gt;10.154831&lt;/D&gt;&lt;D xsi:type="xsd:double"&gt;-2.6043892&lt;/D&gt;&lt;D xsi:type="xsd:double"&gt;1.6401172&lt;/D&gt;&lt;D xsi:type="xsd:double"&gt;0.63939095&lt;/D&gt;&lt;D xsi:type="xsd:double"&gt;-2.4989426&lt;/D&gt;&lt;D xsi:type="xsd:double"&gt;-1.2163341&lt;/D&gt;&lt;D xsi:type="xsd:double"&gt;-4.4415116&lt;/D&gt;&lt;D xsi:type="xsd:double"&gt;-0.7363081&lt;/D&gt;&lt;D xsi:type="xsd:double"&gt;2.271676&lt;/D&gt;&lt;D xsi:type="xsd:double"&gt;3.4588695&lt;/D&gt;&lt;D xsi:type="xsd:double"&gt;0.2650261&lt;/D&gt;&lt;D xsi:type="xsd:double"&gt;1.101327&lt;/D&gt;&lt;/FQL&gt;&lt;FQL&gt;&lt;Q&gt;EWW^FMA_DIV_YLD(NTMA,-10AY,0,AM,"PORTAGG","MEANR")&lt;/Q&gt;&lt;R&gt;121&lt;/R&gt;&lt;C&gt;1&lt;/C&gt;&lt;D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</t>
        </r>
      </text>
    </comment>
    <comment ref="A5" authorId="0" shapeId="0" xr:uid="{3617FD75-67C5-48AC-9F2C-BA1A3B662EFB}">
      <text>
        <r>
          <rPr>
            <b/>
            <sz val="9"/>
            <color indexed="81"/>
            <rFont val="Tahoma"/>
            <charset val="1"/>
          </rPr>
          <t>NA&lt;/D&gt;&lt;D xsi:type="xsd:double"&gt;2.1800865168081&lt;/D&gt;&lt;D xsi:type="xsd:double"&gt;2.17216508970875&lt;/D&gt;&lt;D xsi:type="xsd:double"&gt;2.11227385482614&lt;/D&gt;&lt;D xsi:type="xsd:double"&gt;2.04787651120166&lt;/D&gt;&lt;D xsi:type="xsd:double"&gt;2.08761627041335&lt;/D&gt;&lt;D xsi:type="xsd:double"&gt;2.16321410384774&lt;/D&gt;&lt;D xsi:type="xsd:double"&gt;2.07037160318268&lt;/D&gt;&lt;D xsi:type="xsd:double"&gt;2.01269919321066&lt;/D&gt;&lt;D xsi:type="xsd:double"&gt;2.13537425167844&lt;/D&gt;&lt;D xsi:type="xsd:double"&gt;2.09529591331297&lt;/D&gt;&lt;D xsi:type="xsd:double"&gt;2.2891897475866&lt;/D&gt;&lt;D xsi:type="xsd:double"&gt;2.32576393482951&lt;/D&gt;&lt;D xsi:type="xsd:double"&gt;2.37921063886803&lt;/D&gt;&lt;D xsi:type="xsd:double"&gt;2.36058921507444&lt;/D&gt;&lt;D xsi:type="xsd:double"&gt;2.46200107687187&lt;/D&gt;&lt;D xsi:type="xsd:double"&gt;2.39160630382268&lt;/D&gt;&lt;D xsi:type="xsd:double"&gt;2.42040231940838&lt;/D&gt;&lt;D xsi:type="xsd:double"&gt;2.46599823646183&lt;/D&gt;&lt;D xsi:type="xsd:double"&gt;2.38015194007871&lt;/D&gt;&lt;D xsi:type="xsd:double"&gt;2.36735832881289&lt;/D&gt;&lt;D xsi:type="xsd:double"&gt;2.47323662865491&lt;/D&gt;&lt;D xsi:type="xsd:double"&gt;2.47324139836795&lt;/D&gt;&lt;D xsi:type="xsd:double"&gt;2.56737275217308&lt;/D&gt;&lt;D xsi:type="xsd:double"&gt;2.52420799260963&lt;/D&gt;&lt;D xsi:type="xsd:double"&gt;2.50060829980277&lt;/D&gt;&lt;D xsi:type="xsd:double"&gt;2.59478355763088&lt;/D&gt;&lt;D xsi:type="xsd:double"&gt;2.57310566735269&lt;/D&gt;&lt;D xsi:type="xsd:double"&gt;2.59143943627369&lt;/D&gt;&lt;D xsi:type="xsd:double"&gt;2.88780235368261&lt;/D&gt;&lt;D xsi:type="xsd:double"&gt;2.85777231052029&lt;/D&gt;&lt;D xsi:type="xsd:double"&gt;2.73667939955696&lt;/D&gt;&lt;D xsi:type="xsd:double"&gt;2.76303652304662&lt;/D&gt;&lt;D xsi:type="xsd:double"&gt;2.75412792647965&lt;/D&gt;&lt;D xsi:type="xsd:double"&gt;2.90238950445167&lt;/D&gt;&lt;D xsi:type="xsd:double"&gt;3.42798277864144&lt;/D&gt;&lt;D xsi:type="xsd:double"&gt;3.46995198441177&lt;/D&gt;&lt;D xsi:type="xsd:double"&gt;3.29157158239539&lt;/D&gt;&lt;D xsi:type="xsd:double"&gt;3.37698847745192&lt;/D&gt;&lt;D xsi:type="xsd:double"&gt;3.50886688470639&lt;/D&gt;&lt;D xsi:type="xsd:double"&gt;3.32578481047205&lt;/D&gt;&lt;D xsi:type="xsd:double"&gt;3.49686815456441&lt;/D&gt;&lt;D xsi:type="xsd:double"&gt;3.54712752247688&lt;/D&gt;&lt;D xsi:type="xsd:double"&gt;3.59252282048766&lt;/D&gt;&lt;D xsi:type="xsd:double"&gt;4.01747818169226&lt;/D&gt;&lt;D xsi:type="xsd:double"&gt;3.62168878610078&lt;/D&gt;&lt;D xsi:type="xsd:double"&gt;3.52381218411962&lt;/D&gt;&lt;D xsi:type="xsd:double"&gt;3.55381975617385&lt;/D&gt;&lt;D xsi:type="xsd:double"&gt;3.47456273648378&lt;/D&gt;&lt;D xsi:type="xsd:double"&gt;3.45265895444068&lt;/D&gt;&lt;D xsi:type="xsd:double"&gt;3.3253642162433&lt;/D&gt;&lt;D xsi:type="xsd:double"&gt;3.96650559695324&lt;/D&gt;&lt;D xsi:type="xsd:double"&gt;4.30139824620144&lt;/D&gt;&lt;D xsi:type="xsd:double"&gt;3.57633783722879&lt;/D&gt;&lt;D xsi:type="xsd:double"&gt;3.08946109959865&lt;/D&gt;&lt;D xsi:type="xsd:double"&gt;3.20979177578487&lt;/D&gt;&lt;D xsi:type="xsd:double"&gt;2.94600229938725&lt;/D&gt;&lt;D xsi:type="xsd:double"&gt;3.21669806543134&lt;/D&gt;&lt;D xsi:type="xsd:double"&gt;3.35253421400417&lt;/D&gt;&lt;D xsi:type="xsd:double"&gt;3.30395349566235&lt;/D&gt;&lt;D xsi:type="xsd:double"&gt;3.44780569311906&lt;/D&gt;&lt;D xsi:type="xsd:double"&gt;3.37010979502711&lt;/D&gt;&lt;D xsi:type="xsd:double"&gt;3.48138195437324&lt;/D&gt;&lt;D xsi:type="xsd:double"&gt;3.34934707309795&lt;/D&gt;&lt;D xsi:type="xsd:double"&gt;3.22348840585368&lt;/D&gt;&lt;D xsi:type="xsd:double"&gt;3.14159421316579&lt;/D&gt;&lt;D xsi:type="xsd:double"&gt;3.10461930725957&lt;/D&gt;&lt;D xsi:type="xsd:double"&gt;3.16750784575911&lt;/D&gt;&lt;D xsi:type="xsd:double"&gt;3.15025745888915&lt;/D&gt;&lt;D xsi:type="xsd:double"&gt;3.12335836984284&lt;/D&gt;&lt;D xsi:type="xsd:double"&gt;3.32072580641508&lt;/D&gt;&lt;D xsi:type="xsd:double"&gt;3.48347797468741&lt;/D&gt;&lt;D xsi:type="xsd:double"&gt;3.49268616143161&lt;/D&gt;&lt;D xsi:type="xsd:double"&gt;3.38725189118075&lt;/D&gt;&lt;D xsi:type="xsd:double"&gt;3.6424506768058&lt;/D&gt;&lt;D xsi:type="xsd:double"&gt;3.63567410388044&lt;/D&gt;&lt;D xsi:type="xsd:double"&gt;3.52425221076254&lt;/D&gt;&lt;D xsi:type="xsd:double"&gt;3.82496177222142&lt;/D&gt;&lt;D xsi:type="xsd:double"&gt;4.11733094494983&lt;/D&gt;&lt;D xsi:type="xsd:double"&gt;4.12027656742476&lt;/D&gt;&lt;D xsi:type="xsd:double"&gt;3.93502749658173&lt;/D&gt;&lt;D xsi:type="xsd:double"&gt;4.12230949190738&lt;/D&gt;&lt;D xsi:type="xsd:double"&gt;4.1894886916569&lt;/D&gt;&lt;D xsi:type="xsd:double"&gt;3.65426508375427&lt;/D&gt;&lt;D xsi:type="xsd:double"&gt;3.84563916279662&lt;/D&gt;&lt;D xsi:type="xsd:double"&gt;3.62588266300382&lt;/D&gt;&lt;D xsi:type="xsd:double"&gt;3.63077596237093&lt;/D&gt;&lt;D xsi:type="xsd:double"&gt;3.79758063904997&lt;/D&gt;&lt;D xsi:type="xsd:double"&gt;3.66648011290507&lt;/D&gt;&lt;D xsi:type="xsd:double"&gt;3.58262949111639&lt;/D&gt;&lt;D xsi:type="xsd:double"&gt;3.65663154394495&lt;/D&gt;&lt;D xsi:type="xsd:double"&gt;3.89081157488502&lt;/D&gt;&lt;D xsi:type="xsd:double"&gt;3.9806582007763&lt;/D&gt;&lt;D xsi:type="xsd:double"&gt;4.1246110984037&lt;/D&gt;&lt;D xsi:type="xsd:double"&gt;4.37118434814817&lt;/D&gt;&lt;D xsi:type="xsd:double"&gt;4.09190347748023&lt;/D&gt;&lt;D xsi:type="xsd:double"&gt;3.78758220177453&lt;/D&gt;&lt;D xsi:type="xsd:double"&gt;3.89631864604842&lt;/D&gt;&lt;D xsi:type="xsd:double"&gt;3.72273156283275&lt;/D&gt;&lt;D xsi:type="xsd:double"&gt;4.13755101306713&lt;/D&gt;&lt;/FQL&gt;&lt;FQL&gt;&lt;Q&gt;QAT^FMA_ROE(NTMA,-20AY,NOW,FY,"PORTAGG","MEANR")&lt;/Q&gt;&lt;R&gt;20&lt;/R&gt;&lt;C&gt;1&lt;/C&gt;&lt;D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xsi:type="xsd:double"&gt;6.0028777&lt;/D&gt;&lt;/FQL&gt;&lt;FQL&gt;&lt;Q&gt;CAGDPY@MX^EE_ACTUAL_ANNUAL(MED,0)&lt;/Q&gt;&lt;R&gt;1&lt;/R&gt;&lt;C&gt;1&lt;/C&gt;&lt;D xsi:type="xsd:double"&gt;-0.475&lt;/D&gt;&lt;/FQL&gt;&lt;FQL&gt;&lt;Q&gt;CC_TW^FG_COMPANY_NAME&lt;/Q&gt;&lt;R&gt;1&lt;/R&gt;&lt;C&gt;1&lt;/C&gt;&lt;D xsi:type="xsd:string"&gt;Taiwan, China&lt;/D&gt;&lt;/FQL&gt;&lt;FQL&gt;&lt;Q&gt;USDQAR^FG_PRICE_CHANGE(0,-1AY)&lt;/Q&gt;&lt;R&gt;1&lt;/R&gt;&lt;C&gt;1&lt;/C&gt;&lt;D xsi:type="xsd:double"&gt;-0.020593405&lt;/D&gt;&lt;/FQL&gt;&lt;FQL&gt;&lt;Q&gt;USDZAR^STD(FG_PRICE_CHANGE(0,-3AY,M))&lt;/Q&gt;&lt;R&gt;1&lt;/R&gt;&lt;C&gt;1&lt;/C&gt;&lt;D xsi:type="xsd:double"&gt;4.05007439075682&lt;/D&gt;&lt;/FQL&gt;&lt;FQL&gt;&lt;Q&gt;USDIDR^FG_PRICE_CHANGE(0,-1AM)&lt;/Q&gt;&lt;R&gt;1&lt;/R&gt;&lt;C&gt;1&lt;/C&gt;&lt;D xsi:type="xsd:double"&gt;-0.092983246&lt;/D&gt;&lt;/FQL&gt;&lt;FQL&gt;&lt;Q&gt;QAT^P_PRICE_RETURNS_PR('52W',2,-10AY,0,AM)&lt;/Q&gt;&lt;R&gt;121&lt;/R&gt;&lt;C&gt;1&lt;/C&gt;&lt;D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xsi:type="xsd:double"&gt;-4.5538244&lt;/D&gt;&lt;D xsi:type="xsd:double"&gt;-7.6449394&lt;/D&gt;&lt;D xsi:type="xsd:double"&gt;-6.4428926&lt;/D&gt;&lt;D xsi:type="xsd:double"&gt;-12.925476&lt;/D&gt;&lt;D xsi:type="xsd:double"&gt;-14.384472&lt;/D&gt;&lt;D xsi:type="xsd:double"&gt;-11.983479&lt;/D&gt;&lt;D xsi:type="xsd:double"&gt;-20.3237&lt;/D&gt;&lt;D xsi:type="xsd:double"&gt;-16.622824&lt;/D&gt;&lt;D xsi:type="xsd:double"&gt;-23.811363&lt;/D&gt;&lt;D xsi:type="xsd:double"&gt;-24.929165&lt;/D&gt;&lt;D xsi:type="xsd:double"&gt;-14.624929&lt;/D&gt;&lt;D xsi:type="xsd:double"&gt;-13.158762&lt;/D&gt;&lt;D xsi:type="xsd:double"&gt;-19.255632&lt;/D&gt;&lt;D xsi:type="xsd:double"&gt;-17.55768&lt;/D&gt;&lt;D xsi:type="xsd:double"&gt;-12.556023&lt;/D&gt;&lt;D xsi:type="xsd:double"&gt;-4.7095537&lt;/D&gt;&lt;D xsi:type="xsd:double"&gt;-8.932853&lt;/D&gt;&lt;D xsi:type="xsd:double"&gt;-7.2928905&lt;/D&gt;&lt;D xsi:type="xsd:double"&gt;-6.368989&lt;/D&gt;&lt;D xsi:type="xsd:double"&gt;8.254564&lt;/D&gt;&lt;D xsi:type="xsd:double"&gt;19.945358&lt;/D&gt;&lt;D xsi:type="xsd:double"&gt;17.025995&lt;/D&gt;&lt;D xsi:type="xsd:double"&gt;1.8949151&lt;/D&gt;&lt;D xsi:type="xsd:double"&gt;4.6308756&lt;/D&gt;&lt;D xsi:type="xsd:double"&gt;3.784299&lt;/D&gt;&lt;D xsi:type="xsd:double"&gt;-0.8213997&lt;/D&gt;&lt;D xsi:type="xsd:double"&gt;-5.1827135&lt;/D&gt;&lt;D xsi:type="xsd:double"&gt;-11.067367&lt;/D&gt;&lt;D xsi:type="xsd:double"&gt;-13.978153&lt;/D&gt;&lt;D xsi:type="xsd:double"&gt;-15.870208&lt;/D&gt;&lt;D xsi:type="xsd:double"&gt;-19.793236&lt;/D&gt;&lt;D xsi:type="xsd:double"&gt;-14.512068&lt;/D&gt;&lt;D xsi:type="xsd:double"&gt;-9.150112&lt;/D&gt;&lt;D xsi:type="xsd:double"&gt;-14.040375&lt;/D&gt;&lt;D xsi:type="xsd:double"&gt;-11.425388&lt;/D&gt;&lt;D xsi:type="xsd:double"&gt;-11.261135&lt;/D&gt;&lt;D xsi:type="xsd:double"&gt;-8.036226&lt;/D&gt;&lt;D xsi:type="xsd:double"&gt;3.0342102&lt;/D&gt;&lt;D xsi:type="xsd:double"&gt;-0.642854&lt;/D&gt;&lt;D xsi:type="xsd:double"&gt;6.5018654&lt;/D&gt;&lt;D xsi:type="xsd:double"&gt;19.238413&lt;/D&gt;&lt;D xsi:type="xsd:double"&gt;18.372452&lt;/D&gt;&lt;D xsi:type="xsd:double"&gt;40.308525&lt;/D&gt;&lt;D xsi:type="xsd:double"&gt;31.024551&lt;/D&gt;&lt;D xsi:type="xsd:double"&gt;18.772327&lt;/D&gt;&lt;D xsi:type="xsd:double"&gt;14.560736&lt;/D&gt;&lt;D xsi:type="xsd:double"&gt;14.735567&lt;/D&gt;&lt;D xsi:type="xsd:double"&gt;16.766666&lt;/D&gt;&lt;D xsi:type="xsd:double"&gt;9.849489&lt;/D&gt;&lt;D xsi:type="xsd:double"&gt;14.401126&lt;/D&gt;&lt;D xsi:type="xsd:double"&gt;12.290632&lt;/D&gt;&lt;D xsi:type="xsd:double"&gt;-3.0208468&lt;/D&gt;&lt;D xsi:type="xsd:double"&gt;4.0958643&lt;/D&gt;&lt;D xsi:type="xsd:double"&gt;5.6146502&lt;/D&gt;&lt;D xsi:type="xsd:double"&gt;0.21656752&lt;/D&gt;&lt;D xsi:type="xsd:double"&gt;-4.330641&lt;/D&gt;&lt;D xsi:type="xsd:double"&gt;-3.2096982&lt;/D&gt;&lt;D xsi:type="xsd:double"&gt;-0.67082644&lt;/D&gt;&lt;D xsi:type="xsd:double"&gt;-18.112707&lt;/D&gt;&lt;D xsi:type="xsd:double"&gt;-12.081713&lt;/D&gt;&lt;D xsi:type="xsd:double"&gt;-6.7781267&lt;/D&gt;&lt;D xsi:type="xsd:double"&gt;-10.187298&lt;/D&gt;&lt;D xsi:type="xsd:double"&gt;-2.9692113&lt;/D&gt;&lt;D xsi:type="xsd:double"&gt;9.037125&lt;/D&gt;&lt;D xsi:type="xsd:double"&gt;0.75018406&lt;/D&gt;&lt;D xsi:type="xsd:double"&gt;3.552258&lt;/D&gt;&lt;D xsi:type="xsd:double"&gt;4.667604&lt;/D&gt;&lt;D xsi:type="xsd:double"&gt;6.8107963&lt;/D&gt;&lt;D xsi:type="xsd:double"&gt;8.4697485&lt;/D&gt;&lt;D xsi:type="xsd:double"&gt;12.088955&lt;/D&gt;&lt;D xsi:type="xsd:double"&gt;41.211735&lt;/D&gt;&lt;D xsi:type="xsd:double"&gt;24.052547&lt;/D&gt;&lt;D xsi:type="xsd:double"&gt;28.49567&lt;/D&gt;&lt;D xsi:type="xsd:double"&gt;25.294315&lt;/D&gt;&lt;D xsi:type="xsd:double"&gt;14.818394&lt;/D&gt;&lt;D xsi:type="xsd:double"&gt;14.952099&lt;/D&gt;&lt;D xsi:type="xsd:double"&gt;14.681315&lt;/D&gt;&lt;D xsi:type="xsd:double"&gt;18.126476&lt;/D&gt;&lt;D xsi:type="xsd:double"&gt;21.542322&lt;/D&gt;&lt;D xsi:type="xsd:double"&gt;13.599407&lt;/D&gt;&lt;D xsi:type="xsd:double"&gt;14.178014&lt;/D&gt;&lt;D xsi:type="xsd:double"&gt;23.247349&lt;/D&gt;&lt;D xsi:type="xsd:double"&gt;30.705238&lt;/D&gt;&lt;D xsi:type="xsd:double"&gt;32.686604&lt;/D&gt;&lt;D xsi:type="xsd:double"&gt;23.86105&lt;/D&gt;&lt;D xsi:type="xsd:double"&gt;16.729605&lt;/D&gt;&lt;D xsi:type="xsd:double"&gt;9.063458&lt;/D&gt;&lt;D xsi:type="xsd:double"&gt;23.952866&lt;/D&gt;&lt;D xsi:type="xsd:double"&gt;16.134584&lt;/D&gt;&lt;D xsi:type="xsd:double"&gt;7.765496&lt;/D&gt;&lt;D xsi:type="xsd:double"&gt;4.829073&lt;/D&gt;&lt;D xsi:type="xsd:double"&gt;-3.9710462&lt;/D&gt;&lt;D xsi:type="xsd:double"&gt;-7.2205124&lt;/D&gt;&lt;D xsi:type="xsd:double"&gt;-17.317402&lt;/D&gt;&lt;D xsi:type="xsd:double"&gt;-20.942867&lt;/D&gt;&lt;D xsi:type="xsd:double"&gt;-23.746777&lt;/D&gt;&lt;D xsi:type="xsd:double"&gt;-14.540075999999999&lt;/D&gt;&lt;D xsi:type="xsd:double"&gt;-11.401075&lt;/D&gt;&lt;D xsi:type="xsd:double"&gt;-6.2957706&lt;/D&gt;&lt;D xsi:type="xsd:double"&gt;-16.36514&lt;/D&gt;&lt;D xsi:type="xsd:double"&gt;-16.281635&lt;/D&gt;&lt;D xsi:type="xsd:double"&gt;-17.991453&lt;/D&gt;&lt;D xsi:type="xsd:double"&gt;-15.657557&lt;/D&gt;&lt;D xsi:type="xsd:double"&gt;-5.646187&lt;/D&gt;&lt;D xsi:type="xsd:double"&gt;-1.3353705&lt;/D&gt;&lt;D xsi:type="xsd:double"&gt;1.778543&lt;/D&gt;&lt;D xsi:type="xsd:double"&gt;4.2167068&lt;/D&gt;&lt;/FQL&gt;&lt;FQL&gt;&lt;Q&gt;UAE^FMA_PE(LTMA,-10AY,0,AM,"PORTAGG","MEANR")&lt;/Q&gt;&lt;R&gt;121&lt;/R&gt;&lt;C&gt;1&lt;/C&gt;&lt;D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xsi:type="xsd:double"&gt;12.2060936148386&lt;/D&gt;&lt;D xsi:type="xsd:double"&gt;12.7421974482564&lt;/D&gt;&lt;D xsi:type="xsd:double"&gt;13.0195215302235&lt;/D&gt;&lt;D xsi:type="xsd:double"&gt;13.1927507351925&lt;/D&gt;&lt;D xsi:type="xsd:double"&gt;13.7187592220672&lt;/D&gt;&lt;D xsi:type="xsd:double"&gt;13.470590577656&lt;/D&gt;&lt;D xsi:type="xsd:double"&gt;13.5649862407143&lt;/D&gt;&lt;D xsi:type="xsd:double"&gt;13.26297200995&lt;/D&gt;&lt;D xsi:type="xsd:double"&gt;13.1471415383858&lt;/D&gt;&lt;D xsi:type="xsd:double"&gt;13.7543599209515&lt;/D&gt;&lt;D xsi:type="xsd:double"&gt;12.3369098598145&lt;/D&gt;&lt;D xsi:type="xsd:double"&gt;11.0580725255088&lt;/D&gt;&lt;D xsi:type="xsd:double"&gt;12.2174348621877&lt;/D&gt;&lt;D xsi:type="xsd:double"&gt;12.0583959859233&lt;/D&gt;&lt;D xsi:type="xsd:double"&gt;13.0698997004361&lt;/D&gt;&lt;D xsi:type="xsd:double"&gt;13.3128142497544&lt;/D&gt;&lt;D xsi:type="xsd:double"&gt;13.2441455188145&lt;/D&gt;&lt;D xsi:type="xsd:double"&gt;13.1409414977848&lt;/D&gt;&lt;D xsi:type="xsd:double"&gt;13.5882062374599&lt;/D&gt;&lt;D xsi:type="xsd:double"&gt;13.5115498794573&lt;/D&gt;&lt;D xsi:type="xsd:double"&gt;13.3902839237153&lt;/D&gt;&lt;D xsi:type="xsd:double"&gt;13.5621685608179&lt;/D&gt;&lt;D xsi:type="xsd:double"&gt;12.3756673417996&lt;/D&gt;&lt;D xsi:type="xsd:double"&gt;12.8229594359417&lt;/D&gt;&lt;D xsi:type="xsd:double"&gt;13.4743003618392&lt;/D&gt;&lt;D xsi:type="xsd:double"&gt;13.468907304609&lt;/D&gt;&lt;D xsi:type="xsd:double"&gt;13.349565172985&lt;/D&gt;&lt;D xsi:type="xsd:double"&gt;13.3266114317899&lt;/D&gt;&lt;D xsi:type="xsd:double"&gt;13.2973974627674&lt;/D&gt;&lt;D xsi:type="xsd:double"&gt;12.9247460333957&lt;/D&gt;&lt;D xsi:type="xsd:double"&gt;12.9965339423324&lt;/D&gt;&lt;D xsi:type="xsd:double"&gt;12.9851389726755&lt;/D&gt;&lt;D xsi:type="xsd:double"&gt;12.4168790408547&lt;/D&gt;&lt;D xsi:type="xsd:double"&gt;12.3599050290478&lt;/D&gt;&lt;D xsi:type="xsd:double"&gt;11.7481819224735&lt;/D&gt;&lt;D xsi:type="xsd:double"&gt;11.5742686710893&lt;/D&gt;&lt;D xsi:type="xsd:double"&gt;12.2457234607723&lt;/D&gt;&lt;D xsi:type="xsd:double"&gt;12.3522765524563&lt;/D&gt;&lt;D xsi:type="xsd:double"&gt;12.3472762451974&lt;/D&gt;&lt;D xsi:type="xsd:double"&gt;12.4335824520444&lt;/D&gt;&lt;D xsi:type="xsd:double"&gt;11.9767225732206&lt;/D&gt;&lt;D xsi:type="xsd:double"&gt;12.1534755625325&lt;/D&gt;&lt;D xsi:type="xsd:double"&gt;12.0831115367591&lt;/D&gt;&lt;D xsi:type="xsd:double"&gt;12.0923259633942&lt;/D&gt;&lt;D xsi:type="xsd:double"&gt;12.9446838736589&lt;/D&gt;&lt;D xsi:type="xsd:double"&gt;12.6442149652715&lt;/D&gt;&lt;D xsi:type="xsd:double"&gt;12.9496337586369&lt;/D&gt;&lt;D xsi:type="xsd:double"&gt;12.2098435550627&lt;/D&gt;&lt;D xsi:type="xsd:double"&gt;11.9642124901666&lt;/D&gt;&lt;D xsi:type="xsd:double"&gt;11.6857967558272&lt;/D&gt;&lt;D xsi:type="xsd:double"&gt;12.7412678877012&lt;/D&gt;&lt;D xsi:type="xsd:double"&gt;12.7272619436116&lt;/D&gt;&lt;D xsi:type="xsd:double"&gt;12.432951470249&lt;/D&gt;&lt;D xsi:type="xsd:double"&gt;12.751024303854&lt;/D&gt;&lt;D xsi:type="xsd:double"&gt;13.36721997739&lt;/D&gt;&lt;D xsi:type="xsd:double"&gt;13.7511321913086&lt;/D&gt;&lt;D xsi:type="xsd:double"&gt;14.4835428871437&lt;/D&gt;&lt;D xsi:type="xsd:double"&gt;14.2839707056444&lt;/D&gt;&lt;D xsi:type="xsd:double"&gt;14.5640756992059&lt;/D&gt;&lt;D xsi:type="xsd:double"&gt;15.9250740604985&lt;/D&gt;&lt;D xsi:type="xsd:double"&gt;16.0148232039303&lt;/D&gt;&lt;D xsi:type="xsd:double"&gt;15.0822936187957&lt;/D&gt;&lt;D xsi:type="xsd:double"&gt;14.1406711538311&lt;/D&gt;&lt;D xsi:type="xsd:double"&gt;14.7638159752999&lt;/D&gt;&lt;D xsi:type="xsd:double"&gt;15.7984973111663&lt;/D&gt;&lt;D xsi:type="xsd:double"&gt;17.204136491999&lt;/D&gt;&lt;D xsi:type="xsd:double"&gt;17.9683864158761&lt;/D&gt;&lt;D xsi:type="xsd:double"&gt;16.0060105984265&lt;/D&gt;&lt;D xsi:type="xsd:double"&gt;16.4177148126433&lt;/D&gt;&lt;D xsi:type="xsd:double"&gt;16.1190673442855&lt;/D&gt;&lt;D xsi:type="xsd:double"&gt;25.3056719143111&lt;/D&gt;&lt;D xsi:type="xsd:double"&gt;24.5390879667186&lt;/D&gt;&lt;D xsi:type="xsd:double"&gt;25.349159312788&lt;/D&gt;&lt;D xsi:type="xsd:double"&gt;23.7017722684143&lt;/D&gt;&lt;D xsi:type="xsd:double"&gt;27.0448839781818&lt;/D&gt;&lt;D xsi:type="xsd:double"&gt;25.5644596079959&lt;/D&gt;&lt;D xsi:type="xsd:double"&gt;24.2392571115729&lt;/D&gt;&lt;D xsi:type="xsd:double"&gt;23.7744249613936&lt;/D&gt;&lt;D xsi:type="xsd:double"&gt;22.3382983368265&lt;/D&gt;&lt;D xsi:type="xsd:double"&gt;21.2860647038582&lt;/D&gt;&lt;D xsi:type="xsd:double"&gt;20.058334091912&lt;/D&gt;&lt;D xsi:type="xsd:double"&gt;19.1872813384728&lt;/D&gt;&lt;D xsi:type="xsd:double"&gt;18.9131093890607&lt;/D&gt;&lt;D xsi:type="xsd:double"&gt;18.0945835687382&lt;/D&gt;&lt;D xsi:type="xsd:double"&gt;16.5488785659226&lt;/D&gt;&lt;D xsi:type="xsd:double"&gt;16.8795399024677&lt;/D&gt;&lt;D xsi:type="xsd:double"&gt;17.2920980453906&lt;/D&gt;&lt;D xsi:type="xsd:double"&gt;17.4083407139677&lt;/D&gt;&lt;D xsi:type="xsd:double"&gt;16.7261414929179&lt;/D&gt;&lt;D xsi:type="xsd:double"&gt;16.1830208583206&lt;/D&gt;&lt;D xsi:type="xsd:double"&gt;15.3988103389046&lt;/D&gt;&lt;D xsi:type="xsd:double"&gt;15.7429201278504&lt;/D&gt;&lt;D xsi:type="xsd:double"&gt;15.0912015872765&lt;/D&gt;&lt;D xsi:type="xsd:double"&gt;14.2039675998015&lt;/D&gt;&lt;D xsi:type="xsd:double"&gt;14.3228966041843&lt;/D&gt;&lt;D xsi:type="xsd:double"&gt;12.8837553459121&lt;/D&gt;&lt;D xsi:type="xsd:double"&gt;12.4726516567784&lt;/D&gt;&lt;D xsi:type="xsd:double"&gt;12.7092217104149&lt;/D&gt;&lt;D xsi:type="xsd:double"&gt;12.1224368750278&lt;/D&gt;&lt;D xsi:type="xsd:double"&gt;12.0927043204954&lt;/D&gt;&lt;D xsi:type="xsd:double"&gt;11.9744280243045&lt;/D&gt;&lt;D xsi:type="xsd:double"&gt;11.7345861288193&lt;/D&gt;&lt;D xsi:type="xsd:double"&gt;11.7919317382141&lt;/D&gt;&lt;D xsi:type="xsd:double"&gt;11.5913288270894&lt;/D&gt;&lt;D xsi:type="xsd:double"&gt;11.1427212763039&lt;/D&gt;&lt;D xsi:type="xsd:double"&gt;10.6703740000942&lt;/D&gt;&lt;D xsi:type="xsd:double"&gt;10.346617934498&lt;/D&gt;&lt;D xsi:type="xsd:double"&gt;9.98330028143882&lt;/D&gt;&lt;D xsi:type="xsd:double"&gt;10.3715043412293&lt;/D&gt;&lt;D xsi:type="xsd:double"&gt;9.55245405410446&lt;/D&gt;&lt;D xsi:type="xsd:double"&gt;9.42074610950214&lt;/D&gt;&lt;/FQL&gt;&lt;FQL&gt;&lt;Q&gt;ECH^JULIAN(FMA_DIV_YLD(LTMA,-10AY,0,AM,"PORTAGG","MEANR").DATES)&lt;/Q&gt;&lt;R&gt;121&lt;/R&gt;&lt;C&gt;1&lt;/C&gt;&lt;D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xsi:type="xsd:long"&gt;45364&lt;/D&gt;&lt;/FQL&gt;&lt;FQL&gt;&lt;Q&gt;PASP-FDS^FG_PRICE_CHANGE(0,-3AM)&lt;/Q&gt;&lt;R&gt;1&lt;/R&gt;&lt;C&gt;1&lt;/C&gt;&lt;D xsi:type="xsd:double"&gt;5.12077294685991&lt;/D&gt;&lt;/FQL&gt;&lt;FQL&gt;&lt;Q&gt;PLATI-FDS^FG_PRICE(0)&lt;/Q&gt;&lt;R&gt;1&lt;/R&gt;&lt;C&gt;1&lt;/C&gt;&lt;D xsi:type="xsd:double"&gt;939&lt;/D&gt;&lt;/FQL&gt;&lt;FQL&gt;&lt;Q&gt;TIOS-FDS^FG_PRICE_CHANGE(0,-3AM)&lt;/Q&gt;&lt;R&gt;1&lt;/R&gt;&lt;C&gt;1&lt;/C&gt;&lt;D xsi:type="xsd:double"&gt;-17.955923679929&lt;/D&gt;&lt;/FQL&gt;&lt;FQL&gt;&lt;Q&gt;FC0000GR^FG_PRICE(0)&lt;/Q&gt;&lt;R&gt;1&lt;/R&gt;&lt;C&gt;1&lt;/C&gt;&lt;D xsi:type="xsd:double"&gt;9.666257&lt;/D&gt;&lt;/FQL&gt;&lt;FQL&gt;&lt;Q&gt;FC0000PL^FG_PRICE(0)&lt;/Q&gt;&lt;R&gt;1&lt;/R&gt;&lt;C&gt;1&lt;/C&gt;&lt;D xsi:type="xsd:double"&gt;212.91728&lt;/D&gt;&lt;/FQL&gt;&lt;FQL&gt;&lt;Q&gt;KSA^FG_PRICE_MAVG(0,,,,200)&lt;/Q&gt;&lt;R&gt;1&lt;/R&gt;&lt;C&gt;1&lt;/C&gt;&lt;D xsi:type="xsd:double"&gt;41.0181&lt;/D&gt;&lt;/FQL&gt;&lt;FQL&gt;&lt;Q&gt;SET-BKK^FG_PRICE_MAVG(0,,,,60)&lt;/Q&gt;&lt;R&gt;1&lt;/R&gt;&lt;C&gt;1&lt;/C&gt;&lt;D xsi:type="xsd:double"&gt;1391.333&lt;/D&gt;&lt;/FQL&gt;&lt;FQL&gt;&lt;Q&gt;GREK^FG_PRICE_MAVG(0,,,,30)&lt;/Q&gt;&lt;R&gt;1&lt;/R&gt;&lt;C&gt;1&lt;/C&gt;&lt;D xsi:type="xsd:double"&gt;40.196&lt;/D&gt;&lt;/FQL&gt;&lt;FQL&gt;&lt;Q&gt;EWW^FG_PRICE(0)&lt;/Q&gt;&lt;R&gt;1&lt;/R&gt;&lt;C&gt;1&lt;/C&gt;&lt;D xsi:type="xsd:double"&gt;67.27&lt;/D&gt;&lt;/FQL&gt;&lt;FQL&gt;&lt;Q&gt;EPHE^FG_PRICE_MAVG(0,,,,200)&lt;/Q&gt;&lt;R&gt;1&lt;/R&gt;&lt;C&gt;1&lt;/C&gt;&lt;D xsi:type="xsd:double"&gt;25.668972&lt;/D&gt;&lt;/FQL&gt;&lt;FQL&gt;&lt;Q&gt;SPY^P_PRICE(0)/P_PRICE_HIGH_PR(0,,,USD,,,"PRICE","INTRA","52W")&lt;/Q&gt;&lt;R&gt;1&lt;/R&gt;&lt;C&gt;1&lt;/C&gt;&lt;D xsi:type="xsd:double"&gt;0.9936898&lt;/D&gt;&lt;/FQL&gt;&lt;FQL&gt;&lt;Q&gt;VGK^FG_TOTAL_RETURNC(0,-6AM)&lt;/Q&gt;&lt;R&gt;1&lt;/R&gt;&lt;C&gt;1&lt;/C&gt;&lt;D xsi:type="xsd:double"&gt;12.6433735&lt;/D&gt;&lt;/FQL&gt;&lt;FQL&gt;&lt;Q&gt;TUR^FG_TOTAL_RETURNC(0,-3AM)&lt;/Q&gt;&lt;R&gt;1&lt;/R&gt;&lt;C&gt;1&lt;/C&gt;&lt;D xsi:type="xsd:double"&gt;3.2033205&lt;/D&gt;&lt;/FQL&gt;&lt;FQL&gt;&lt;Q&gt;GREK^P_PRICE(0)/P_PRICE_LOW_PR(0,,,USD,,,"PRICE","INTRA","52W")-1&lt;/Q&gt;&lt;R&gt;1&lt;/R&gt;&lt;C&gt;1&lt;/C&gt;&lt;D xsi:type="xsd:double"&gt;0.40278268&lt;/D&gt;&lt;/FQL&gt;&lt;FQL&gt;&lt;Q&gt;EWW^P_PRICE(0)/P_PRICE_HIGH_PR(0,,,USD,,,"PRICE","INTRA","52W")&lt;/Q&gt;&lt;R&gt;1&lt;/R&gt;&lt;C&gt;1&lt;/C&gt;&lt;D xsi:type="xsd:double"&gt;0.96485937&lt;/D&gt;&lt;/FQL&gt;&lt;FQL&gt;&lt;Q&gt;EPOL^FG_TOTAL_RETURNC(0,-6AM)&lt;/Q&gt;&lt;R&gt;1&lt;/R&gt;&lt;C&gt;1&lt;/C&gt;&lt;D xsi:type="xsd:double"&gt;36.921753&lt;/D&gt;&lt;/FQL&gt;&lt;FQL&gt;&lt;Q&gt;CNYA^FG_TOTAL_RETURNC(0,-3AM)&lt;/Q&gt;&lt;R&gt;1&lt;/R&gt;&lt;C&gt;1&lt;/C&gt;&lt;D xsi:type="xsd:double"&gt;3.2464862&lt;/D&gt;&lt;/FQL&gt;&lt;FQL&gt;&lt;Q&gt;KSA^PERCENT_CHANGE(FMA_EPS(+1,0,,,,"PORTAGG","MEAN"),FMA_EPS(+1,-1AM,,,,"PORTAGG","MEAN"))&lt;/Q&gt;&lt;R&gt;1&lt;/R&gt;&lt;C&gt;1&lt;/C&gt;&lt;D xsi:type="xsd:double"&gt;2.09922989151461&lt;/D&gt;&lt;/FQL&gt;&lt;FQL&gt;&lt;Q&gt;EWW^PERCENT_CHANGE(FMA_EPS(+1,0,,,,"PORTAGG","MEAN"),FMA_EPS(+1,-3AM,,,,"PORTAGG","MEAN"))&lt;/Q&gt;&lt;R&gt;1&lt;/R&gt;&lt;C&gt;1&lt;/C&gt;&lt;D xsi:type="xsd:double"&gt;-1.33497790636445&lt;/D&gt;&lt;/FQL&gt;&lt;FQL&gt;&lt;Q&gt;EPHE^FMA_PCT_ABOVE_MAVG(200,0,,,,"PORTAGG")&lt;/Q&gt;&lt;R&gt;1&lt;/R&gt;&lt;C&gt;1&lt;/C&gt;&lt;D xsi:type="xsd:double"&gt;60&lt;/D&gt;&lt;/FQL&gt;&lt;FQL&gt;&lt;Q&gt;URTH^FMA_COS_DOWN("EPS","1M",+1,NOW,,,"PORTAGG","MEANR")&lt;/Q&gt;&lt;R&gt;1&lt;/R&gt;&lt;C&gt;1&lt;/C&gt;&lt;D xsi:type="xsd:double"&gt;632&lt;/D&gt;&lt;/FQL&gt;&lt;FQL&gt;&lt;Q&gt;TUR^SIZE(FG_CONSTITUENTS)&lt;/Q&gt;&lt;R&gt;1&lt;/R&gt;&lt;C&gt;1&lt;/C&gt;&lt;D xsi:type="xsd:long"&gt;98&lt;/D&gt;&lt;/FQL&gt;&lt;FQL&gt;&lt;Q&gt;GREK^FMA_COS_UP("EPS","1M",+1,NOW,,,"PORTAGG","MEANR")&lt;/Q&gt;&lt;R&gt;1&lt;/R&gt;&lt;C&gt;1&lt;/C&gt;&lt;D xsi:type="xsd:double"&gt;7&lt;/D&gt;&lt;/FQL&gt;&lt;FQL&gt;&lt;Q&gt;EWM^FMA_COS_DOWN("EPS","1M",+1,NOW,,,"PORTAGG","MEANR")&lt;/Q&gt;&lt;R&gt;1&lt;/R&gt;&lt;C&gt;1&lt;/C&gt;&lt;D xsi:type="xsd:double"&gt;20&lt;/D&gt;&lt;/FQL&gt;&lt;FQL&gt;&lt;Q&gt;CNYA^SIZE(FG_CONSTITUENTS)&lt;/Q&gt;&lt;R&gt;1&lt;/R&gt;&lt;C&gt;1&lt;/C&gt;&lt;D xsi:type="xsd:long"&gt;519&lt;/D&gt;&lt;/FQL&gt;&lt;FQL&gt;&lt;Q&gt;EWM^FMA_RBICS_REV_CURRENT(30, LOC, "PORTAGG")&lt;/Q&gt;&lt;R&gt;1&lt;/R&gt;&lt;C&gt;1&lt;/C&gt;&lt;D xsi:type="xsd:double"&gt;41.739834751553&lt;/D&gt;&lt;/FQL&gt;&lt;FQL&gt;&lt;Q&gt;EWZ^FG_ROE(0)&lt;/Q&gt;&lt;R&gt;1&lt;/R&gt;&lt;C&gt;1&lt;/C&gt;&lt;D xsi:type="xsd:double"&gt;19.5118956615056&lt;/D&gt;&lt;/FQL&gt;&lt;FQL&gt;&lt;Q&gt;TRYCN10Y-FDS^FG_YIELD_NAME&lt;/Q&gt;&lt;R&gt;1&lt;/R&gt;&lt;C&gt;1&lt;/C&gt;&lt;D xsi:type="xsd:string"&gt;Treasury - China Benchmark Bond 10Y&lt;/D&gt;&lt;/FQL&gt;&lt;FQL&gt;&lt;Q&gt;REFSAREPO-FDS^PROPER_NAME(0,,,"SECURITY","NAME")&lt;/Q&gt;&lt;R&gt;1&lt;/R&gt;&lt;C&gt;1&lt;/C&gt;&lt;D xsi:type="xsd:string"&gt;Saudi Arabia Repo Rate&lt;/D&gt;&lt;/FQL&gt;&lt;FQL&gt;&lt;Q&gt;REFCNRMB-FDS^FG_YIELD(NOW,,,0)&lt;/Q&gt;&lt;R&gt;1&lt;/R&gt;&lt;C&gt;1&lt;/C&gt;&lt;D xsi:type="xsd:double"&gt;3.45&lt;/D&gt;&lt;/FQL&gt;&lt;FQL&gt;&lt;Q&gt;REFMXTON-FDS^(SUBARRAY(NOT_NA(NO_REPEAT_F(FG_YIELD(NOW,-10AY,D))),0,1)-SUBARRAY(NOT_NA(NO_REPEAT_F(FG_YIELD(NOW,-10AY,D))),1,1))*100&lt;/Q&gt;&lt;R&gt;1&lt;/R&gt;&lt;C&gt;1&lt;/C&gt;&lt;D xsi:type="xsd:double"&gt;25&lt;/D&gt;&lt;/FQL&gt;&lt;FQL&gt;&lt;Q&gt;REFPHRREPO-FDS^PROPER_NAME(0,,,"SECURITY","NAME")&lt;/Q&gt;&lt;R&gt;1&lt;/R&gt;&lt;C&gt;1&lt;/C&gt;&lt;D xsi:type="xsd:string"&gt;Philippines Reverse Repo Rate - Overnight&lt;/D&gt;&lt;/FQL&gt;&lt;FQL&gt;&lt;Q&gt;TRYMX10Y-FDS^PCTCHG(FG_YIELD(0,,,,"YTM"),FG_YIELD(-1AM,,,,"YTM"))&lt;/Q&gt;&lt;R&gt;1&lt;/R&gt;&lt;C&gt;1&lt;/C&gt;&lt;D xsi:type="xsd:double"&gt;0.18067501&lt;/D&gt;&lt;/FQL&gt;&lt;FQL&gt;&lt;Q&gt;TRYUS10Y-FDS^FG_YIELD(0,,,,"YTM")&lt;/Q&gt;&lt;R&gt;1&lt;/R&gt;&lt;C&gt;1&lt;/C&gt;&lt;D xsi:type="xsd:double"&gt;4.2952&lt;/D&gt;&lt;/FQL&gt;&lt;FQL&gt;&lt;Q&gt;USDQAR^FG_PRICE(0)&lt;/Q&gt;&lt;R&gt;1&lt;/R&gt;&lt;C&gt;1&lt;/C&gt;&lt;D xsi:type="xsd:double"&gt;3.641&lt;/D&gt;&lt;/FQL&gt;&lt;FQL&gt;&lt;Q&gt;USDMXN^FG_PRICE_CHANGE(0,-1AM)&lt;/Q&gt;&lt;R&gt;1&lt;/R&gt;&lt;C&gt;1&lt;/C&gt;&lt;D xsi:type="xsd:double"&gt;-2.4554253&lt;/D&gt;&lt;/FQL&gt;&lt;FQL&gt;&lt;Q&gt;USDPEN^FG_PRICE_CHANGE(0,-6AM)&lt;/Q&gt;&lt;R&gt;1&lt;/R&gt;&lt;C&gt;1&lt;/C&gt;&lt;D xsi:type="xsd:double"&gt;-1.0166645&lt;/D&gt;&lt;/FQL&gt;&lt;FQL&gt;&lt;Q&gt;FC0000AE^FMA_EPS(NTMA,-20AY,0,CY,,"PORTAGG","MEANR")&lt;/Q&gt;&lt;R&gt;20&lt;/R&gt;&lt;C&gt;1&lt;/C&gt;&lt;D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xsi:type="xsd:double"&gt;7.02066550129133&lt;/D&gt;&lt;D xsi:type="xsd:double"&gt;5.12773396532515&lt;/D&gt;&lt;D xsi:type="xsd:double"&gt;7.54796836303461&lt;/D&gt;&lt;D xsi:type="xsd:double"&gt;11.3918613611305&lt;/D&gt;&lt;D xsi:type="xsd:double"&gt;11.0543542614851&lt;/D&gt;&lt;/FQL&gt;&lt;FQL&gt;&lt;Q&gt;QAT^FG_TOTAL_RETURNC(-10AY,0,AM)&lt;/Q&gt;&lt;R&gt;121&lt;/R&gt;&lt;C&gt;1&lt;/C&gt;&lt;D xsi:type="xsd:string"&gt;@NA&lt;/D&gt;&lt;D xsi:type="xsd:string"&gt;@NA&lt;/D&gt;&lt;D xsi:type="xsd:string"&gt;@NA&lt;/D&gt;&lt;D xsi:type="xsd:double"&gt;0.6669283&lt;/D&gt;&lt;D xsi:type="xsd:double"&gt;-2.2213578&lt;/D&gt;&lt;D xsi:type="xsd:double"&gt;4.145074&lt;/D&gt;&lt;D xsi:type="xsd:double"&gt;0.38269758&lt;/D&gt;&lt;D xsi:type="xsd:double"&gt;-2.2112072&lt;/D&gt;&lt;D xsi:type="xsd:double"&gt;1.501751&lt;/D&gt;&lt;D xsi:type="xsd:double"&gt;-14.346737&lt;/D&gt;&lt;D xsi:type="xsd:double"&gt;3.2735467&lt;/D&gt;&lt;D xsi:type="xsd:double"&gt;8.163261&lt;/D&gt;&lt;D xsi:type="xsd:double"&gt;-4.781479&lt;/D&gt;&lt;D xsi:type="xsd:double"&gt;-1.0272026&lt;/D&gt;&lt;D xsi:type="xsd:double"&gt;3.6376119&lt;/D&gt;&lt;D xsi:type="xsd:double"&gt;-5.094862&lt;/D&gt;&lt;D xsi:type="xsd:double"&gt;1.6621709&lt;/D&gt;&lt;D xsi:type="xsd:double"&gt;-3.0711412&lt;/D&gt;&lt;D xsi:type="xsd:double"&gt;-1.2992918&lt;/D&gt;&lt;D xsi:type="xsd:double"&gt;0.53117275&lt;/D&gt;&lt;D xsi:type="xsd:double"&gt;-8.522856&lt;/D&gt;&lt;D xsi:type="xsd:double"&gt;-9.969866&lt;/D&gt;&lt;D xsi:type="xsd:double"&gt;-5.630398&lt;/D&gt;&lt;D xsi:type="xsd:double"&gt;4.052055&lt;/D&gt;&lt;D xsi:type="xsd:double"&gt;10.915291&lt;/D&gt;&lt;D xsi:type="xsd:double"&gt;0.6724715&lt;/D&gt;&lt;D xsi:type="xsd:double"&gt;-4.0287733&lt;/D&gt;&lt;D xsi:type="xsd:double"&gt;-2.7050495&lt;/D&gt;&lt;D xsi:type="xsd:double"&gt;7.829869&lt;/D&gt;&lt;D xsi:type="xsd:double"&gt;5.5060387&lt;/D&gt;&lt;D xsi:type="xsd:double"&gt;-5.5661144&lt;/D&gt;&lt;D xsi:type="xsd:double"&gt;2.3415685&lt;/D&gt;&lt;D xsi:type="xsd:double"&gt;-7.611209&lt;/D&gt;&lt;D xsi:type="xsd:double"&gt;4.0912867&lt;/D&gt;&lt;D xsi:type="xsd:double"&gt;5.8288813&lt;/D&gt;&lt;D xsi:type="xsd:double"&gt;0.303185&lt;/D&gt;&lt;D xsi:type="xsd:double"&gt;-3.4256935&lt;/D&gt;&lt;D xsi:type="xsd:double"&gt;2.8429866&lt;/D&gt;&lt;D xsi:type="xsd:double"&gt;-3.8802922&lt;/D&gt;&lt;D xsi:type="xsd:double"&gt;-7.440633&lt;/D&gt;&lt;D xsi:type="xsd:double"&gt;3.0881166&lt;/D&gt;&lt;D xsi:type="xsd:double"&gt;-1.0419965&lt;/D&gt;&lt;D xsi:type="xsd:double"&gt;-8.656949&lt;/D&gt;&lt;D xsi:type="xsd:double"&gt;-0.75874925&lt;/D&gt;&lt;D xsi:type="xsd:double"&gt;-11.16556&lt;/D&gt;&lt;D xsi:type="xsd:double"&gt;10.945129&lt;/D&gt;&lt;D xsi:type="xsd:double"&gt;12.8076315&lt;/D&gt;&lt;D xsi:type="xsd:double"&gt;-5.3828&lt;/D&gt;&lt;D xsi:type="xsd:double"&gt;-0.4878044&lt;/D&gt;&lt;D xsi:type="xsd:double"&gt;3.0336976&lt;/D&gt;&lt;D xsi:type="xsd:double"&gt;-0.38715005&lt;/D&gt;&lt;D xsi:type="xsd:double"&gt;3.7014961&lt;/D&gt;&lt;D xsi:type="xsd:double"&gt;0.49587488&lt;/D&gt;&lt;D xsi:type="xsd:double"&gt;4.926944&lt;/D&gt;&lt;D xsi:type="xsd:double"&gt;2.2667646&lt;/D&gt;&lt;D xsi:type="xsd:double"&gt;-1.6741037&lt;/D&gt;&lt;D xsi:type="xsd:double"&gt;5.505109&lt;/D&gt;&lt;D xsi:type="xsd:double"&gt;3.6040902&lt;/D&gt;&lt;D xsi:type="xsd:double"&gt;2.2588968&lt;/D&gt;&lt;D xsi:type="xsd:double"&gt;-8.737862&lt;/D&gt;&lt;D xsi:type="xsd:double"&gt;-0.33595562&lt;/D&gt;&lt;D xsi:type="xsd:double"&gt;5.44945&lt;/D&gt;&lt;D xsi:type="xsd:double"&gt;-6.814069&lt;/D&gt;&lt;D xsi:type="xsd:double"&gt;7.998395&lt;/D&gt;&lt;D xsi:type="xsd:double"&gt;-1.1808932&lt;/D&gt;&lt;D xsi:type="xsd:double"&gt;-9.542948&lt;/D&gt;&lt;D xsi:type="xsd:double"&gt;10.797548&lt;/D&gt;&lt;D xsi:type="xsd:double"&gt;-1.1633456&lt;/D&gt;&lt;D xsi:type="xsd:double"&gt;0.112617016&lt;/D&gt;&lt;D xsi:type="xsd:double"&gt;-0.22384524&lt;/D&gt;&lt;D xsi:type="xsd:double"&gt;2.5518775&lt;/D&gt;&lt;D xsi:type="xsd:double"&gt;-6.3439965&lt;/D&gt;&lt;D xsi:type="xsd:double"&gt;-17.60584&lt;/D&gt;&lt;D xsi:type="xsd:double"&gt;12.89866&lt;/D&gt;&lt;D xsi:type="xsd:double"&gt;-1.1927187&lt;/D&gt;&lt;D xsi:type="xsd:double"&gt;2.160108&lt;/D&gt;&lt;D xsi:type="xsd:double"&gt;8.734835&lt;/D&gt;&lt;D xsi:type="xsd:double"&gt;1.6499758&lt;/D&gt;&lt;D xsi:type="xsd:double"&gt;2.3768067&lt;/D&gt;&lt;D xsi:type="xsd:double"&gt;1.5855074&lt;/D&gt;&lt;D xsi:type="xsd:double"&gt;-0.11148453&lt;/D&gt;&lt;D xsi:type="xsd:double"&gt;3.1467676&lt;/D&gt;&lt;D xsi:type="xsd:double"&gt;4.1446924&lt;/D&gt;&lt;D xsi:type="xsd:double"&gt;-2.5974035&lt;/D&gt;&lt;D xsi:type="xsd:double"&gt;-1.2714624&lt;/D&gt;&lt;D xsi:type="xsd:double"&gt;3.6107063&lt;/D&gt;&lt;D xsi:type="xsd:double"&gt;2.3461938&lt;/D&gt;&lt;D xsi:type="xsd:double"&gt;-0.38511753&lt;/D&gt;&lt;D xsi:type="xsd:double"&gt;-0.35654902&lt;/D&gt;&lt;D xsi:type="xsd:double"&gt;1.6002059&lt;/D&gt;&lt;D xsi:type="xsd:double"&gt;2.3046732&lt;/D&gt;&lt;D xsi:type="xsd:double"&gt;4.6372533&lt;/D&gt;&lt;D xsi:type="xsd:double"&gt;2.6049256&lt;/D&gt;&lt;D xsi:type="xsd:double"&gt;-3.4323215&lt;/D&gt;&lt;D xsi:type="xsd:double"&gt;4.675138&lt;/D&gt;&lt;D xsi:type="xsd:double"&gt;5.1394224&lt;/D&gt;&lt;D xsi:type="xsd:double"&gt;4.702747&lt;/D&gt;&lt;D xsi:type="xsd:double"&gt;5.1813483&lt;/D&gt;&lt;D xsi:type="xsd:double"&gt;-5.2886844&lt;/D&gt;&lt;D xsi:type="xsd:double"&gt;-5.3004503&lt;/D&gt;&lt;D xsi:type="xsd:double"&gt;-6.900561&lt;/D&gt;&lt;D xsi:type="xsd:double"&gt;16.09683&lt;/D&gt;&lt;D xsi:type="xsd:double"&gt;-4.6650887&lt;/D&gt;&lt;D xsi:type="xsd:double"&gt;-2.9032886&lt;/D&gt;&lt;D xsi:type="xsd:double"&gt;-0.19088387&lt;/D&gt;&lt;D xsi:type="xsd:double"&gt;-11.538911&lt;/D&gt;&lt;D xsi:type="xsd:double"&gt;0.95288754&lt;/D&gt;&lt;D xsi:type="xsd:double"&gt;-6.135291&lt;/D&gt;&lt;D xsi:type="xsd:double"&gt;0.11173487&lt;/D&gt;&lt;D xsi:type="xsd:double"&gt;1.4508963&lt;/D&gt;&lt;D xsi:type="xsd:double"&gt;5.830586&lt;/D&gt;&lt;D xsi:type="xsd:double"&gt;-1.528871&lt;/D&gt;&lt;D xsi:type="xsd:double"&gt;-1.5359223&lt;/D&gt;&lt;D xsi:type="xsd:double"&gt;3.621173&lt;/D&gt;&lt;D xsi:type="xsd:double"&gt;-4.569894&lt;/D&gt;&lt;D xsi:type="xsd:double"&gt;-3.8309872&lt;/D&gt;&lt;D xsi:type="xsd:double"&gt;1.5231371&lt;/D&gt;&lt;D xsi:type="xsd:double"&gt;-1.0386646&lt;/D&gt;&lt;D xsi:type="xsd:double"&gt;4.9562693&lt;/D&gt;&lt;D xsi:type="xsd:double"&gt;-2.6111066&lt;/D&gt;&lt;D xsi:type="xsd:double"&gt;2.5099754&lt;/D&gt;&lt;/FQL&gt;&lt;FQL&gt;&lt;Q&gt;MCHI^FMA_DIV_YLD(NTMA,-10AY,0,AM,"PORTAGG","MEANR")&lt;/Q&gt;&lt;R&gt;121&lt;/R&gt;&lt;C&gt;1&lt;/C&gt;&lt;D xsi:type="xsd:double"&gt;3.98883004708661&lt;/D&gt;&lt;D xsi:type="xsd:double"&gt;3.67617350433006&lt;/D&gt;&lt;D xsi:type="xsd:double"&gt;3.78303707843552&lt;/D&gt;&lt;D xsi:type="xsd:double"&gt;3.64753670770342&lt;/D&gt;&lt;D xsi:type="xsd:double"&gt;3.62780782444194&lt;/D&gt;&lt;D xsi:type="xsd:double"&gt;3.484741912865&lt;/D&gt;&lt;D xsi:type="xsd:double"&gt;3.52251079821063&lt;/D&gt;&lt;D xsi:type="xsd:double"&gt;3.80338907694602&lt;/D&gt;&lt;D xsi:type="xsd:double"&gt;3.6151344375327&lt;/D&gt;&lt;D xsi:type="xsd:double"&gt;3.52228076969911&lt;/D&gt;&lt;D xsi:type="xsd:double"&gt;3.25923764522901&lt;/D&gt;&lt;D xsi:type="xsd:double"&gt;3.11642304364207&lt;/D&gt;&lt;D xsi:type="xsd:double"&gt;3.18082055930112&lt;/D&gt;&lt;D xsi:type="xsd:double"&gt;2.5624368626356&lt;/D&gt;&lt;D xsi:type="xsd:double"&gt;2.60862494067447&lt;/D&gt;&lt;D xsi:type="xsd:double"&gt;2.66242804439867&lt;/D&gt;&lt;D xsi:type="xsd:double"&gt;3.08679842136818&lt;/D&gt;&lt;D xsi:type="xsd:double"&gt;3.19310299037334&lt;/D&gt;&lt;D xsi:type="xsd:double"&gt;3.48233673892023&lt;/D&gt;&lt;D xsi:type="xsd:double"&gt;3.25780223011027&lt;/D&gt;&lt;D xsi:type="xsd:double"&gt;3.22532564184625&lt;/D&gt;&lt;D xsi:type="xsd:double"&gt;3.37464725869615&lt;/D&gt;&lt;D xsi:type="xsd:double"&gt;3.20644017345417&lt;/D&gt;&lt;D xsi:type="xsd:double"&gt;3.47644487757892&lt;/D&gt;&lt;D xsi:type="xsd:double"&gt;3.06224651100387&lt;/D&gt;&lt;D xsi:type="xsd:double"&gt;2.81193665676069&lt;/D&gt;&lt;D xsi:type="xsd:double"&gt;3.09980989192608&lt;/D&gt;&lt;D xsi:type="xsd:double"&gt;2.66412897351325&lt;/D&gt;&lt;D xsi:type="xsd:double"&gt;2.48308581209926&lt;/D&gt;&lt;D xsi:type="xsd:double"&gt;2.34339260823528&lt;/D&gt;&lt;D xsi:type="xsd:double"&gt;2.28402301447513&lt;/D&gt;&lt;D xsi:type="xsd:double"&gt;2.28394896684378&lt;/D&gt;&lt;D xsi:type="xsd:double"&gt;2.40252395610926&lt;/D&gt;&lt;D xsi:type="xsd:double"&gt;2.36605696246806&lt;/D&gt;&lt;D xsi:type="xsd:double"&gt;2.33550618755486&lt;/D&gt;&lt;D xsi:type="xsd:double"&gt;2.25606318839385&lt;/D&gt;&lt;D xsi:type="xsd:double"&gt;2.23881502092829&lt;/D&gt;&lt;D xsi:type="xsd:double"&gt;2.290371955352&lt;/D&gt;&lt;D xsi:type="xsd:double"&gt;2.22089940140297&lt;/D&gt;&lt;D xsi:type="xsd:double"&gt;2.17587384102616&lt;/D&gt;&lt;D xsi:type="xsd:double"&gt;2.13770379353573&lt;/D&gt;&lt;D xsi:type="xsd:double"&gt;2.15815633374484&lt;/D&gt;&lt;D xsi:type="xsd:double"&gt;2.11415637350057&lt;/D&gt;&lt;D xsi:type="xsd:double"&gt;2.06407831417834&lt;/D&gt;&lt;D xsi:type="xsd:double"&gt;2.02814381949957&lt;/D&gt;&lt;D xsi:type="xsd:double"&gt;2.09270146911783&lt;/D&gt;&lt;D xsi:type="xsd:double"&gt;1.97408539656461&lt;/D&gt;&lt;D xsi:type="xsd:double"&gt;2.11876357236489&lt;/D&gt;&lt;D xsi:type="xsd:double"&gt;2.07624531378173&lt;/D&gt;&lt;D xsi:type="xsd:double"&gt;2.29252650851017&lt;/D&gt;&lt;D xsi:type="xsd:double"&gt;2.21955025927294&lt;/D&gt;&lt;D xsi:type="xsd:double"&gt;2.26472192956185&lt;/D&gt;&lt;D xsi:type="xsd:double"&gt;2.41735084865551&lt;/D&gt;&lt;D xsi:type="xsd:double"&gt;2.54288222077128&lt;/D&gt;&lt;D xsi:type="xsd:double"&gt;2.64929019207485&lt;/D&gt;&lt;D xsi:type="xsd:double"&gt;2.82996235230493&lt;/D&gt;&lt;D xsi:type="xsd:double"&gt;2.82637020329804&lt;/D&gt;&lt;</t>
        </r>
      </text>
    </comment>
    <comment ref="A6" authorId="0" shapeId="0" xr:uid="{4B832762-B424-4813-AA06-21D1ED8F76D0}">
      <text>
        <r>
          <rPr>
            <b/>
            <sz val="9"/>
            <color indexed="81"/>
            <rFont val="Tahoma"/>
            <charset val="1"/>
          </rPr>
          <t>D xsi:type="xsd:double"&gt;2.73894717936275&lt;/D&gt;&lt;D xsi:type="xsd:double"&gt;2.78595401757959&lt;/D&gt;&lt;D xsi:type="xsd:double"&gt;2.52249447816222&lt;/D&gt;&lt;D xsi:type="xsd:double"&gt;2.45765341870469&lt;/D&gt;&lt;D xsi:type="xsd:double"&gt;2.32960569299857&lt;/D&gt;&lt;D xsi:type="xsd:double"&gt;2.50752691075783&lt;/D&gt;&lt;D xsi:type="xsd:double"&gt;2.60077132724781&lt;/D&gt;&lt;D xsi:type="xsd:double"&gt;2.50717563136051&lt;/D&gt;&lt;D xsi:type="xsd:double"&gt;2.67191911261738&lt;/D&gt;&lt;D xsi:type="xsd:double"&gt;2.43089168516129&lt;/D&gt;&lt;D xsi:type="xsd:double"&gt;2.51467483290685&lt;/D&gt;&lt;D xsi:type="xsd:double"&gt;2.50835372920226&lt;/D&gt;&lt;D xsi:type="xsd:double"&gt;2.32336374167318&lt;/D&gt;&lt;D xsi:type="xsd:double"&gt;2.19976243346242&lt;/D&gt;&lt;D xsi:type="xsd:double"&gt;2.23133340458105&lt;/D&gt;&lt;D xsi:type="xsd:double"&gt;2.43104215483547&lt;/D&gt;&lt;D xsi:type="xsd:double"&gt;2.23956509045784&lt;/D&gt;&lt;D xsi:type="xsd:double"&gt;2.18060645570908&lt;/D&gt;&lt;D xsi:type="xsd:double"&gt;1.97491922549018&lt;/D&gt;&lt;D xsi:type="xsd:double"&gt;1.77209058108287&lt;/D&gt;&lt;D xsi:type="xsd:double"&gt;1.80995581003233&lt;/D&gt;&lt;D xsi:type="xsd:double"&gt;1.76973393873453&lt;/D&gt;&lt;D xsi:type="xsd:double"&gt;1.70511766966959&lt;/D&gt;&lt;D xsi:type="xsd:double"&gt;1.69852139673963&lt;/D&gt;&lt;D xsi:type="xsd:double"&gt;1.71832981875979&lt;/D&gt;&lt;D xsi:type="xsd:double"&gt;1.48761577565625&lt;/D&gt;&lt;D xsi:type="xsd:double"&gt;1.31769057755562&lt;/D&gt;&lt;D xsi:type="xsd:double"&gt;1.48833106209971&lt;/D&gt;&lt;D xsi:type="xsd:double"&gt;1.60366201121653&lt;/D&gt;&lt;D xsi:type="xsd:double"&gt;1.73122016130114&lt;/D&gt;&lt;D xsi:type="xsd:double"&gt;1.62163942244899&lt;/D&gt;&lt;D xsi:type="xsd:double"&gt;1.68515946674902&lt;/D&gt;&lt;D xsi:type="xsd:double"&gt;1.86844917588814&lt;/D&gt;&lt;D xsi:type="xsd:double"&gt;1.89886092401529&lt;/D&gt;&lt;D xsi:type="xsd:double"&gt;1.94002718568553&lt;/D&gt;&lt;D xsi:type="xsd:double"&gt;1.93290496353968&lt;/D&gt;&lt;D xsi:type="xsd:double"&gt;2.11381095217906&lt;/D&gt;&lt;D xsi:type="xsd:double"&gt;2.12923435215765&lt;/D&gt;&lt;D xsi:type="xsd:double"&gt;2.19810407823903&lt;/D&gt;&lt;D xsi:type="xsd:double"&gt;2.95243727861662&lt;/D&gt;&lt;D xsi:type="xsd:double"&gt;2.59497526753603&lt;/D&gt;&lt;D xsi:type="xsd:double"&gt;2.65479898623682&lt;/D&gt;&lt;D xsi:type="xsd:double"&gt;2.43763667558563&lt;/D&gt;&lt;D xsi:type="xsd:double"&gt;2.46941015233907&lt;/D&gt;&lt;D xsi:type="xsd:double"&gt;2.5491563753127&lt;/D&gt;&lt;D xsi:type="xsd:double"&gt;2.57743899431808&lt;/D&gt;&lt;D xsi:type="xsd:double"&gt;2.92893829573465&lt;/D&gt;&lt;D xsi:type="xsd:double"&gt;2.76744566253919&lt;/D&gt;&lt;D xsi:type="xsd:double"&gt;2.43770296435697&lt;/D&gt;&lt;D xsi:type="xsd:double"&gt;2.22768023953091&lt;/D&gt;&lt;D xsi:type="xsd:double"&gt;2.29389137004758&lt;/D&gt;&lt;D xsi:type="xsd:double"&gt;2.52122027625488&lt;/D&gt;&lt;D xsi:type="xsd:double"&gt;2.45203891465862&lt;/D&gt;&lt;D xsi:type="xsd:double"&gt;2.56858000705118&lt;/D&gt;&lt;D xsi:type="xsd:double"&gt;2.47032872476821&lt;/D&gt;&lt;D xsi:type="xsd:double"&gt;2.45009070281992&lt;/D&gt;&lt;D xsi:type="xsd:double"&gt;2.45523696610398&lt;/D&gt;&lt;D xsi:type="xsd:double"&gt;2.50829152507603&lt;/D&gt;&lt;D xsi:type="xsd:double"&gt;2.56468109100711&lt;/D&gt;&lt;D xsi:type="xsd:double"&gt;2.60122134036828&lt;/D&gt;&lt;D xsi:type="xsd:double"&gt;2.75296476669442&lt;/D&gt;&lt;D xsi:type="xsd:double"&gt;2.79896049832991&lt;/D&gt;&lt;D xsi:type="xsd:double"&gt;2.97347504007329&lt;/D&gt;&lt;D xsi:type="xsd:double"&gt;2.83444853934661&lt;/D&gt;&lt;/FQL&gt;&lt;FQL&gt;&lt;Q&gt;QAT^FMA_PE(NTMA,-10AY,0,AM,"PORTAGG","MEANR")&lt;/Q&gt;&lt;R&gt;121&lt;/R&gt;&lt;C&gt;1&lt;/C&gt;&lt;D xsi:type="xsd:string"&gt;@NA&lt;/D&gt;&lt;D xsi:type="xsd:string"&gt;@NA&lt;/D&gt;&lt;D xsi:type="xsd:string"&gt;@NA&lt;/D&gt;&lt;D xsi:type="xsd:double"&gt;15.7784890421407&lt;/D&gt;&lt;D xsi:type="xsd:double"&gt;15.6013430936648&lt;/D&gt;&lt;D xsi:type="xsd:double"&gt;15.9097690198561&lt;/D&gt;&lt;D xsi:type="xsd:double"&gt;15.8099939088822&lt;/D&gt;&lt;D xsi:type="xsd:double"&gt;15.2381208292088&lt;/D&gt;&lt;D xsi:type="xsd:double"&gt;15.0898572315843&lt;/D&gt;&lt;D xsi:type="xsd:double"&gt;12.9295834463674&lt;/D&gt;&lt;D xsi:type="xsd:double"&gt;12.8485838429153&lt;/D&gt;&lt;D xsi:type="xsd:double"&gt;14.0631887232072&lt;/D&gt;&lt;D xsi:type="xsd:double"&gt;13.5247147359348&lt;/D&gt;&lt;D xsi:type="xsd:double"&gt;13.0795543149273&lt;/D&gt;&lt;D xsi:type="xsd:double"&gt;13.8340050601105&lt;/D&gt;&lt;D xsi:type="xsd:double"&gt;13.1182487625105&lt;/D&gt;&lt;D xsi:type="xsd:double"&gt;13.1890963071012&lt;/D&gt;&lt;D xsi:type="xsd:double"&gt;13.1645435587468&lt;/D&gt;&lt;D xsi:type="xsd:double"&gt;12.8228024789561&lt;/D&gt;&lt;D xsi:type="xsd:double"&gt;12.8369032986924&lt;/D&gt;&lt;D xsi:type="xsd:double"&gt;11.8680489698312&lt;/D&gt;&lt;D xsi:type="xsd:double"&gt;10.6491207693453&lt;/D&gt;&lt;D xsi:type="xsd:double"&gt;10.213276851193&lt;/D&gt;&lt;D xsi:type="xsd:double"&gt;11.0176893045224&lt;/D&gt;&lt;D xsi:type="xsd:double"&gt;12.1294260906913&lt;/D&gt;&lt;D xsi:type="xsd:double"&gt;12.1120279958638&lt;/D&gt;&lt;D xsi:type="xsd:double"&gt;11.7673603000057&lt;/D&gt;&lt;D xsi:type="xsd:double"&gt;11.6686796947348&lt;/D&gt;&lt;D xsi:type="xsd:double"&gt;12.4214674431982&lt;/D&gt;&lt;D xsi:type="xsd:double"&gt;13.0946907970708&lt;/D&gt;&lt;D xsi:type="xsd:double"&gt;12.8755185509239&lt;/D&gt;&lt;D xsi:type="xsd:double"&gt;12.7817233117288&lt;/D&gt;&lt;D xsi:type="xsd:double"&gt;12.2169400854017&lt;/D&gt;&lt;D xsi:type="xsd:double"&gt;13.111101322807&lt;/D&gt;&lt;D xsi:type="xsd:double"&gt;13.6157654480041&lt;/D&gt;&lt;D xsi:type="xsd:double"&gt;13.2643602766323&lt;/D&gt;&lt;D xsi:type="xsd:double"&gt;12.6895658930347&lt;/D&gt;&lt;D xsi:type="xsd:double"&gt;13.1020496288886&lt;/D&gt;&lt;D xsi:type="xsd:double"&gt;13.0903639335419&lt;/D&gt;&lt;D xsi:type="xsd:double"&gt;12.190584295517&lt;/D&gt;&lt;D xsi:type="xsd:double"&gt;12.3243589510694&lt;/D&gt;&lt;D xsi:type="xsd:double"&gt;12.2314464583441&lt;/D&gt;&lt;D xsi:type="xsd:double"&gt;11.0265503262377&lt;/D&gt;&lt;D xsi:type="xsd:double"&gt;10.8684098024653&lt;/D&gt;&lt;D xsi:type="xsd:double"&gt;10.8668952345098&lt;/D&gt;&lt;D xsi:type="xsd:double"&gt;11.4709183457052&lt;/D&gt;&lt;D xsi:type="xsd:double"&gt;12.2786909143358&lt;/D&gt;&lt;D xsi:type="xsd:double"&gt;11.698129709343&lt;/D&gt;&lt;D xsi:type="xsd:double"&gt;11.2029011366722&lt;/D&gt;&lt;D xsi:type="xsd:double"&gt;11.3673432590023&lt;/D&gt;&lt;D xsi:type="xsd:double"&gt;11.276417995783&lt;/D&gt;&lt;D xsi:type="xsd:double"&gt;11.3881863017569&lt;/D&gt;&lt;D xsi:type="xsd:double"&gt;11.4044289935257&lt;/D&gt;&lt;D xsi:type="xsd:double"&gt;12.1457184986182&lt;/D&gt;&lt;D xsi:type="xsd:double"&gt;12.81333632479&lt;/D&gt;&lt;D xsi:type="xsd:double"&gt;12.3996687355839&lt;/D&gt;&lt;D xsi:type="xsd:double"&gt;12.6775888699759&lt;/D&gt;&lt;D xsi:type="xsd:double"&gt;13.0651369859864&lt;/D&gt;&lt;D xsi:type="xsd:double"&gt;13.3396504538343&lt;/D&gt;&lt;D xsi:type="xsd:double"&gt;12.3969011744174&lt;/D&gt;&lt;D xsi:type="xsd:double"&gt;12.4000282018327&lt;/D&gt;&lt;D xsi:type="xsd:double"&gt;12.8857704275563&lt;/D&gt;&lt;D xsi:type="xsd:double"&gt;12.2148774458388&lt;/D&gt;&lt;D xsi:type="xsd:double"&gt;13.163902694753&lt;/D&gt;&lt;D xsi:type="xsd:double"&gt;13.342512339606&lt;/D&gt;&lt;D xsi:type="xsd:double"&gt;12.2586257373919&lt;/D&gt;&lt;D xsi:type="xsd:double"&gt;13.4044387059296&lt;/D&gt;&lt;D xsi:type="xsd:double"&gt;13.6101059346204&lt;/D&gt;&lt;D xsi:type="xsd:double"&gt;13.3520908926479&lt;/D&gt;&lt;D xsi:type="xsd:double"&gt;13.4362877585066&lt;/D&gt;&lt;D xsi:type="xsd:double"&gt;14.100090953352&lt;/D&gt;&lt;D xsi:type="xsd:double"&gt;13.0419750104075&lt;/D&gt;&lt;D xsi:type="xsd:double"&gt;11.0710074533714&lt;/D&gt;&lt;D xsi:type="xsd:double"&gt;12.5590708909899&lt;/D&gt;&lt;D xsi:type="xsd:double"&gt;13.4667562370431&lt;/D&gt;&lt;D xsi:type="xsd:double"&gt;14.596936062959&lt;/D&gt;&lt;D xsi:type="xsd:double"&gt;15.0325636532608&lt;/D&gt;&lt;D xsi:type="xsd:double"&gt;15.3925124432864&lt;/D&gt;&lt;D xsi:type="xsd:double"&gt;15.0545312186864&lt;/D&gt;&lt;D xsi:type="xsd:double"&gt;15.6273181359149&lt;/D&gt;&lt;D xsi:type="xsd:double"&gt;15.2421959037621&lt;/D&gt;&lt;D xsi:type="xsd:double"&gt;14.552819520542&lt;/D&gt;&lt;D xsi:type="xsd:double"&gt;14.5410819253212&lt;/D&gt;&lt;D xsi:type="xsd:double"&gt;13.8511881242193&lt;/D&gt;&lt;D xsi:type="xsd:double"&gt;13.3870224456442&lt;/D&gt;&lt;D xsi:type="xsd:double"&gt;13.9290504118991&lt;/D&gt;&lt;D xsi:type="xsd:double"&gt;14.0063343074385&lt;/D&gt;&lt;D xsi:type="xsd:double"&gt;13.5878574769125&lt;/D&gt;&lt;D xsi:type="xsd:double"&gt;13.1336983063226&lt;/D&gt;&lt;D xsi:type="xsd:double"&gt;13.329915036937&lt;/D&gt;&lt;D xsi:type="xsd:double"&gt;13.25014748578&lt;/D&gt;&lt;D xsi:type="xsd:double"&gt;13.4405003840206&lt;/D&gt;&lt;D xsi:type="xsd:double"&gt;13.6391507806645&lt;/D&gt;&lt;D xsi:type="xsd:double"&gt;13.2236745020462&lt;/D&gt;&lt;D xsi:type="xsd:double"&gt;13.6509780359312&lt;/D&gt;&lt;D xsi:type="xsd:double"&gt;13.6525120601041&lt;/D&gt;&lt;D xsi:type="xsd:double"&gt;14.2463734147004&lt;/D&gt;&lt;D xsi:type="xsd:double"&gt;14.2789235779855&lt;/D&gt;&lt;D xsi:type="xsd:double"&gt;13.303569585987&lt;/D&gt;&lt;D xsi:type="xsd:double"&gt;12.269849228912&lt;/D&gt;&lt;D xsi:type="xsd:double"&gt;11.9776288866104&lt;/D&gt;&lt;D xsi:type="xsd:double"&gt;13.9590183919693&lt;/D&gt;&lt;D xsi:type="xsd:double"&gt;12.9580620136723&lt;/D&gt;&lt;D xsi:type="xsd:double"&gt;12.5977385117108&lt;/D&gt;&lt;D xsi:type="xsd:double"&gt;13.0666664720545&lt;/D&gt;&lt;D xsi:type="xsd:double"&gt;11.5754202173304&lt;/D&gt;&lt;D xsi:type="xsd:double"&gt;11.4428859766123&lt;/D&gt;&lt;D xsi:type="xsd:double"&gt;11.0001024496863&lt;/D&gt;&lt;D xsi:type="xsd:double"&gt;10.7134545114831&lt;/D&gt;&lt;D xsi:type="xsd:double"&gt;10.7719187919866&lt;/D&gt;&lt;D xsi:type="xsd:double"&gt;11.5116272672371&lt;/D&gt;&lt;D xsi:type="xsd:double"&gt;11.2432448665932&lt;/D&gt;&lt;D xsi:type="xsd:double"&gt;11.1127683229307&lt;/D&gt;&lt;D xsi:type="xsd:double"&gt;11.5897322610684&lt;/D&gt;&lt;D xsi:type="xsd:double"&gt;10.9301598857136&lt;/D&gt;&lt;D xsi:type="xsd:double"&gt;10.6963850172472&lt;/D&gt;&lt;D xsi:type="xsd:double"&gt;10.5323381292997&lt;/D&gt;&lt;D xsi:type="xsd:double"&gt;10.2953514450205&lt;/D&gt;&lt;D xsi:type="xsd:double"&gt;10.8396274262509&lt;/D&gt;&lt;D xsi:type="xsd:double"&gt;10.4181406999633&lt;/D&gt;&lt;D xsi:type="xsd:double"&gt;10.4825756242714&lt;/D&gt;&lt;/FQL&gt;&lt;FQL&gt;&lt;Q&gt;BRENT-FDS^FG_PRICE_CHANGE(0,-1AY)&lt;/Q&gt;&lt;R&gt;1&lt;/R&gt;&lt;C&gt;1&lt;/C&gt;&lt;D xsi:type="xsd:double"&gt;8.66978863435008&lt;/D&gt;&lt;/FQL&gt;&lt;FQL&gt;&lt;Q&gt;FC0000TR^FG_PRICE(0)&lt;/Q&gt;&lt;R&gt;1&lt;/R&gt;&lt;C&gt;1&lt;/C&gt;&lt;D xsi:type="xsd:double"&gt;227.9572&lt;/D&gt;&lt;/FQL&gt;&lt;FQL&gt;&lt;Q&gt;FC0000MX^FG_PRICE(0)&lt;/Q&gt;&lt;R&gt;1&lt;/R&gt;&lt;C&gt;1&lt;/C&gt;&lt;D xsi:type="xsd:double"&gt;531.4194&lt;/D&gt;&lt;/FQL&gt;&lt;FQL&gt;&lt;Q&gt;KSA^FMA_PCT_ABOVE_MAVG(200,0,,,,"PORTAGG")&lt;/Q&gt;&lt;R&gt;1&lt;/R&gt;&lt;C&gt;1&lt;/C&gt;&lt;D xsi:type="xsd:double"&gt;68.9075630252101&lt;/D&gt;&lt;/FQL&gt;&lt;FQL&gt;&lt;Q&gt;MCHI^PERCENT_CHANGE(FMA_EPS(+1,0,,,,"PORTAGG","MEAN"),FMA_EPS(+1,-1AM,,,,"PORTAGG","MEAN"))&lt;/Q&gt;&lt;R&gt;1&lt;/R&gt;&lt;C&gt;1&lt;/C&gt;&lt;D xsi:type="xsd:double"&gt;-0.710782295369666&lt;/D&gt;&lt;/FQL&gt;&lt;FQL&gt;&lt;Q&gt;REFIDRREPO-FDS^(SUBARRAY(NOT_NA(NO_REPEAT_F(FG_YIELD(NOW,-10AY,D))),0,1)-SUBARRAY(NOT_NA(NO_REPEAT_F(FG_YIELD(NOW,-10AY,D))),1,1))*100&lt;/Q&gt;&lt;R&gt;1&lt;/R&gt;&lt;C&gt;1&lt;/C&gt;&lt;D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xsi:type="xsd:double"&gt;-8.191458&lt;/D&gt;&lt;/FQL&gt;&lt;FQL&gt;&lt;Q&gt;EIDO^FMA_EVAL_EBIT(LTMA,NOW,NOW,M,"PORTAGG","MEANR")&lt;/Q&gt;&lt;R&gt;1&lt;/R&gt;&lt;C&gt;1&lt;/C&gt;&lt;D xsi:type="xsd:double"&gt;9.59566167846553&lt;/D&gt;&lt;/FQL&gt;&lt;FQL&gt;&lt;Q&gt;CNYA^FMA_DIV_YLD(NTMA,NOW,NOW,M,"PORTAGG","MEANR")&lt;/Q&gt;&lt;R&gt;1&lt;/R&gt;&lt;C&gt;1&lt;/C&gt;&lt;D xsi:type="xsd:double"&gt;2.69782104158445&lt;/D&gt;&lt;/FQL&gt;&lt;FQL&gt;&lt;Q&gt;SPY^FG_TOTAL_RETURNC(0,-6AM)&lt;/Q&gt;&lt;R&gt;1&lt;/R&gt;&lt;C&gt;1&lt;/C&gt;&lt;D xsi:type="xsd:double"&gt;15.216184&lt;/D&gt;&lt;/FQL&gt;&lt;FQL&gt;&lt;Q&gt;VGK^FG_TOTAL_RETURNC(0,-3AM)&lt;/Q&gt;&lt;R&gt;1&lt;/R&gt;&lt;C&gt;1&lt;/C&gt;&lt;D xsi:type="xsd:double"&gt;5.320728&lt;/D&gt;&lt;/FQL&gt;&lt;FQL&gt;&lt;Q&gt;SET-BKK^P_PRICE(0)/P_PRICE_LOW_PR(0,,,USD,,,"PRICE","INTRA","52W")-1&lt;/Q&gt;&lt;R&gt;1&lt;/R&gt;&lt;C&gt;1&lt;/C&gt;&lt;D xsi:type="xsd:double"&gt;35.981953&lt;/D&gt;&lt;/FQL&gt;&lt;FQL&gt;&lt;Q&gt;GREK^P_PRICE(0)/P_PRICE_HIGH_PR(0,,,USD,,,"PRICE","INTRA","52W")&lt;/Q&gt;&lt;R&gt;1&lt;/R&gt;&lt;C&gt;1&lt;/C&gt;&lt;D xsi:type="xsd:double"&gt;0.97983485&lt;/D&gt;&lt;/FQL&gt;&lt;FQL&gt;&lt;Q&gt;EWW^FG_TOTAL_RETURNC(0,-6AM)&lt;/Q&gt;&lt;R&gt;1&lt;/R&gt;&lt;C&gt;1&lt;/C&gt;&lt;D xsi:type="xsd:double"&gt;13.336992&lt;/D&gt;&lt;/FQL&gt;&lt;FQL&gt;&lt;Q&gt;EPOL^FG_TOTAL_RETURNC(0,-3AM)&lt;/Q&gt;&lt;R&gt;1&lt;/R&gt;&lt;C&gt;1&lt;/C&gt;&lt;D xsi:type="xsd:double"&gt;5.0127745&lt;/D&gt;&lt;/FQL&gt;&lt;FQL&gt;&lt;Q&gt;SPY^PERCENT_CHANGE(FMA_EPS(+1,0,,,,"PORTAGG","MEAN"),FMA_EPS(+1,-3AM,,,,"PORTAGG","MEAN"))&lt;/Q&gt;&lt;R&gt;1&lt;/R&gt;&lt;C&gt;1&lt;/C&gt;&lt;D xsi:type="xsd:double"&gt;-0.510625980101564&lt;/D&gt;&lt;/FQL&gt;&lt;FQL&gt;&lt;Q&gt;MCHI^FMA_PCT_ABOVE_MAVG(200,0,,,,"PORTAGG")&lt;/Q&gt;&lt;R&gt;1&lt;/R&gt;&lt;C&gt;1&lt;/C&gt;&lt;D xsi:type="xsd:double"&gt;42.2727272727273&lt;/D&gt;&lt;/FQL&gt;&lt;FQL&gt;&lt;Q&gt;VNM^FMA_EVAL_EBIT(LTMA,NOW,NOW,M,"PORTAGG","MEANR")&lt;/Q&gt;&lt;R&gt;1&lt;/R&gt;&lt;C&gt;1&lt;/C&gt;&lt;D xsi:type="xsd:double"&gt;20.0446545207236&lt;/D&gt;&lt;/FQL&gt;&lt;FQL&gt;&lt;Q&gt;GREK^FG_FCF_YIELD_NTM(0)&lt;/Q&gt;&lt;R&gt;0&lt;/R&gt;&lt;C&gt;0&lt;/C&gt;&lt;/FQL&gt;&lt;FQL&gt;&lt;Q&gt;EWT^FMA_EVAL_EBITDA(NTMA,0,,,"PORTAGG","MEANR")&lt;/Q&gt;&lt;R&gt;1&lt;/R&gt;&lt;C&gt;1&lt;/C&gt;&lt;D xsi:type="xsd:double"&gt;10.1594035761756&lt;/D&gt;&lt;/FQL&gt;&lt;FQL&gt;&lt;Q&gt;EPU^FMA_PE(NTMA,0,,,"PORTAGG","MEANR")&lt;/Q&gt;&lt;R&gt;1&lt;/R&gt;&lt;C&gt;1&lt;/C&gt;&lt;D xsi:type="xsd:double"&gt;12.2626556902301&lt;/D&gt;&lt;/FQL&gt;&lt;FQL&gt;&lt;Q&gt;CNYA^FMA_PE(NTMA,0,,,"PORTAGG","MEANR")&lt;/Q&gt;&lt;R&gt;1&lt;/R&gt;&lt;C&gt;1&lt;/C&gt;&lt;D xsi:type="xsd:double"&gt;11.7066303882655&lt;/D&gt;&lt;/FQL&gt;&lt;FQL&gt;&lt;Q&gt;EWT^FG_COMPANY_NAME&lt;/Q&gt;&lt;R&gt;1&lt;/R&gt;&lt;C&gt;1&lt;/C&gt;&lt;D xsi:type="xsd:string"&gt;iShares MSCI Taiwan ETF&lt;/D&gt;&lt;/FQL&gt;&lt;FQL&gt;&lt;Q&gt;SET-BKK^FMA_PE(LTMA,-10AY,0,AM,"PORTAGG","MEANR")&lt;/Q&gt;&lt;R&gt;121&lt;/R&gt;&lt;C&gt;1&lt;/C&gt;&lt;D xsi:type="xsd:double"&gt;18.6948639585117&lt;/D&gt;&lt;D xsi:type="xsd:double"&gt;18.3668411150082&lt;/D&gt;&lt;D xsi:type="xsd:double"&gt;18.0760941056204&lt;/D&gt;&lt;D xsi:type="xsd:double"&gt;17.7944897557262&lt;/D&gt;&lt;D xsi:type="xsd:double"&gt;17.8528903012393&lt;/D&gt;&lt;D xsi:type="xsd:double"&gt;17.549408947902&lt;/D&gt;&lt;D xsi:type="xsd:double"&gt;19.2037552145908&lt;/D&gt;&lt;D xsi:type="xsd:double"&gt;18.8730393669956&lt;/D&gt;&lt;D xsi:type="xsd:double"&gt;19.6714145935558&lt;/D&gt;&lt;D xsi:type="xsd:double"&gt;19.2811699165371&lt;/D&gt;&lt;D xsi:type="xsd:double"&gt;19.5735627887884&lt;/D&gt;&lt;D xsi:type="xsd:double"&gt;22.7534217983063&lt;/D&gt;&lt;D xsi:type="xsd:double"&gt;23.2990891317377&lt;/D&gt;&lt;D xsi:type="xsd:double"&gt;22.6397296296378&lt;/D&gt;&lt;D xsi:type="xsd:double"&gt;22.0507109064419&lt;/D&gt;&lt;D xsi:type="xsd:double"&gt;21.4209569265571&lt;/D&gt;&lt;D xsi:type="xsd:double"&gt;20.8049904991828&lt;/D&gt;&lt;D xsi:type="xsd:double"&gt;19.7850470700912&lt;/D&gt;&lt;D xsi:type="xsd:double"&gt;18.9453730257804&lt;/D&gt;&lt;D xsi:type="xsd:double"&gt;18.6785051477931&lt;/D&gt;&lt;D xsi:type="xsd:double"&gt;16.4389837248691&lt;/D&gt;&lt;D xsi:type="xsd:double"&gt;14.375095418507&lt;/D&gt;&lt;D xsi:type="xsd:double"&gt;14.0100936496815&lt;/D&gt;&lt;D xsi:type="xsd:double"&gt;15.6622928561776&lt;/D&gt;&lt;D xsi:type="xsd:double"&gt;16.6526418255704&lt;/D&gt;&lt;D xsi:type="xsd:double"&gt;16.4429498807039&lt;/D&gt;&lt;D xsi:type="xsd:double"&gt;16.2886829761174&lt;/D&gt;&lt;D xsi:type="xsd:double"&gt;16.3753952933237&lt;/D&gt;&lt;D xsi:type="xsd:double"&gt;16.6356362167791&lt;/D&gt;&lt;D xsi:type="xsd:double"&gt;16.8126172436834&lt;/D&gt;&lt;D xsi:type="xsd:double"&gt;15.9953365173505&lt;/D&gt;&lt;D xsi:type="xsd:double"&gt;15.9645244206547&lt;/D&gt;&lt;D xsi:type="xsd:double"&gt;15.708800938861&lt;/D&gt;&lt;D xsi:type="xsd:double"&gt;16.1034096863179&lt;/D&gt;&lt;D xsi:type="xsd:double"&gt;16.5927435552979&lt;/D&gt;&lt;D xsi:type="xsd:double"&gt;16.4796020806059&lt;/D&gt;&lt;D xsi:type="xsd:double"&gt;16.2763890165279&lt;/D&gt;&lt;D xsi:type="xsd:double"&gt;16.3012463566416&lt;/D&gt;&lt;D xsi:type="xsd:double"&gt;16.040569475432&lt;/D&gt;&lt;D xsi:type="xsd:double"&gt;16.0721178483869&lt;/D&gt;&lt;D xsi:type="xsd:double"&gt;15.9517094297254&lt;/D&gt;&lt;D xsi:type="xsd:double"&gt;15.9292314494995&lt;/D&gt;&lt;D xsi:type="xsd:double"&gt;16.4856041156486&lt;/D&gt;&lt;D xsi:type="xsd:double"&gt;16.8330552875108&lt;/D&gt;&lt;D xsi:type="xsd:double"&gt;17.1149911430423&lt;/D&gt;&lt;D xsi:type="xsd:double"&gt;17.3672439733506&lt;/D&gt;&lt;D xsi:type="xsd:double"&gt;18.3818558183904&lt;/D&gt;&lt;D xsi:type="xsd:double"&gt;17.8817440742293&lt;/D&gt;&lt;D xsi:type="xsd:double"&gt;17.6740504727037&lt;/D&gt;&lt;D xsi:type="xsd:double"&gt;17.3552635589799&lt;/D&gt;&lt;D xsi:type="xsd:double"&gt;17.1428112618496&lt;/D&gt;&lt;D xsi:type="xsd:double"&gt;16.9082364445681&lt;/D&gt;&lt;D xsi:type="xsd:double"&gt;16.3852748592559&lt;/D&gt;&lt;D xsi:type="xsd:double"&gt;16.2712532796407&lt;/D&gt;&lt;D xsi:type="xsd:double"&gt;16.3331794681043&lt;/D&gt;&lt;D xsi:type="xsd:double"&gt;15.9301851196892&lt;/D&gt;&lt;D xsi:type="xsd:double"&gt;15.3890203618616&lt;/D&gt;&lt;D xsi:type="xsd:double"&gt;14.8151687910768&lt;/D&gt;&lt;D xsi:type="xsd:double"&gt;14.6076022317983&lt;/D&gt;&lt;D xsi:type="xsd:double"&gt;15.6512767134967&lt;/D&gt;&lt;D xsi:type="xsd:double"&gt;16.1844053491019&lt;/D&gt;&lt;D xsi:type="xsd:double"&gt;16.145818027051&lt;/D&gt;&lt;D xsi:type="xsd:double"&gt;15.9975120382092&lt;/D&gt;&lt;D xsi:type="xsd:double"&gt;16.2055932816753&lt;/D&gt;&lt;D xsi:type="xsd:double"&gt;16.5280355400416&lt;/D&gt;&lt;D xsi:type="xsd:double"&gt;16.1406233314837&lt;/D&gt;&lt;D xsi:type="xsd:double"&gt;16.5660258072846&lt;/D&gt;&lt;D xsi:type="xsd:double"&gt;16.6736829526228&lt;/D&gt;&lt;D xsi:type="xsd:double"&gt;17.0904323729858&lt;/D&gt;&lt;D xsi:type="xsd:double"&gt;17.0185995990268&lt;/D&gt;&lt;D xsi:type="xsd:double"&gt;17.0755098209197&lt;/D&gt;&lt;D xsi:type="xsd:double"&gt;16.6235538512701&lt;/D&gt;&lt;D xsi:type="xsd:double"&gt;14.4973255473084&lt;/D&gt;&lt;D xsi:type="xsd:double"&gt;15.1946509411883&lt;/D&gt;&lt;D xsi:type="xsd:double"&gt;16.4534307279999&lt;/D&gt;&lt;D xsi:type="xsd:double"&gt;17.9708034468257&lt;/D&gt;&lt;D xsi:type="xsd:double"&gt;18.6901865019591&lt;/D&gt;&lt;D xsi:type="xsd:double"&gt;20.0196658994639&lt;/D&gt;&lt;D xsi:type="xsd:double"&gt;20.5983101431568&lt;/D&gt;&lt;D xsi:type="xsd:double"&gt;21.8886735549299&lt;/D&gt;&lt;D xsi:type="xsd:double"&gt;22.471012202536&lt;/D&gt;&lt;D xsi:type="xsd:double"&gt;25.6279741881937&lt;/D&gt;&lt;D xsi:type="xsd:double"&gt;28.7138567457342&lt;/D&gt;&lt;D xsi:type="xsd:double"&gt;27.2091515795737&lt;/D&gt;&lt;D xsi:type="xsd:double"&gt;27.510185688805&lt;/D&gt;&lt;D xsi:type="xsd:double"&gt;26.5716900367682&lt;/D&gt;&lt;D xsi:type="xsd:double"&gt;25.5339367576532&lt;/D&gt;&lt;D xsi:type="xsd:double"&gt;24.6218159188601&lt;/D&gt;&lt;D xsi:type="xsd:double"&gt;23.3012823526414&lt;/D&gt;&lt;D xsi:type="xsd:double"&gt;22.0966196965819&lt;/D&gt;&lt;D xsi:type="xsd:double"&gt;21.9364283033676&lt;/D&gt;&lt;D xsi:type="xsd:double"&gt;21.1351835676369&lt;/D&gt;&lt;D xsi:type="xsd:double"&gt;20.394871609293&lt;/D&gt;&lt;D xsi:type="xsd:double"&gt;19.0276688771131&lt;/D&gt;&lt;D xsi:type="xsd:double"&gt;19.2134099616027&lt;/D&gt;&lt;D xsi:type="xsd:double"&gt;19.0997650140796&lt;/D&gt;&lt;D xsi:type="xsd:double"&gt;18.7682577404276&lt;/D&gt;&lt;D xsi:type="xsd:double"&gt;18.6039092769898&lt;/D&gt;&lt;D xsi:type="xsd:double"&gt;18.1024360360926&lt;/D&gt;&lt;D xsi:type="xsd:double"&gt;17.8042913116207&lt;/D&gt;&lt;D xsi:type="xsd:double"&gt;17.2886978472557&lt;/D&gt;&lt;D xsi:type="xsd:double"&gt;17.3074730547736&lt;/D&gt;&lt;D xsi:type="xsd:double"&gt;17.0470895493201&lt;/D&gt;&lt;D xsi:type="xsd:double"&gt;16.1027287622095&lt;/D&gt;&lt;D xsi:type="xsd:double"&gt;16.6993469866318&lt;/D&gt;&lt;D xsi:type="xsd:double"&gt;16.6375286590629&lt;/D&gt;&lt;D xsi:type="xsd:double"&gt;17.0864740763821&lt;/D&gt;&lt;D xsi:type="xsd:double"&gt;17.3130258744362&lt;/D&gt;&lt;D xsi:type="xsd:double"&gt;17.2178743071448&lt;/D&gt;&lt;D xsi:type="xsd:double"&gt;17.3094557230104&lt;/D&gt;&lt;D xsi:type="xsd:double"&gt;17.2130258420651&lt;/D&gt;&lt;D xsi:type="xsd:double"&gt;17.2885910387928&lt;/D&gt;&lt;D xsi:type="xsd:double"&gt;17.2443198176246&lt;/D&gt;&lt;D xsi:type="xsd:double"&gt;17.4202393634198&lt;/D&gt;&lt;D xsi:type="xsd:double"&gt;17.5464696354263&lt;/D&gt;&lt;D xsi:type="xsd:double"&gt;16.8366019196219&lt;/D&gt;&lt;D xsi:type="xsd:double"&gt;16.2370387695171&lt;/D&gt;&lt;D xsi:type="xsd:double"&gt;15.9979636835123&lt;/D&gt;&lt;D xsi:type="xsd:double"&gt;15.8807733936003&lt;/D&gt;&lt;D xsi:type="xsd:double"&gt;16.1534680780192&lt;/D&gt;&lt;D xsi:type="xsd:double"&gt;16.8627136301842&lt;/D&gt;&lt;/FQL&gt;&lt;FQL&gt;&lt;Q&gt;CPALM-FDS^FG_PRICE(0)/MAX(FG_PRICE(0,-1AY))&lt;/Q&gt;&lt;R&gt;1&lt;/R&gt;&lt;C&gt;1&lt;/C&gt;&lt;D xsi:type="xsd:double"&gt;1&lt;/D&gt;&lt;/FQL&gt;&lt;FQL&gt;&lt;Q&gt;TIOS-FDS^FG_PRICE_MAVG(0,,,,30)&lt;/Q&gt;&lt;R&gt;1&lt;/R&gt;&lt;C&gt;1&lt;/C&gt;&lt;D xsi:type="xsd:double"&gt;123.59534&lt;/D&gt;&lt;/FQL&gt;&lt;FQL&gt;&lt;Q&gt;FC0000TW^FG_PRICE(0)&lt;/Q&gt;&lt;R&gt;1&lt;/R&gt;&lt;C&gt;1&lt;/C&gt;&lt;D xsi:type="xsd:double"&gt;343.06744&lt;/D&gt;&lt;/FQL&gt;&lt;FQL&gt;&lt;Q&gt;FC0000PH^FG_PRICE(0)&lt;/Q&gt;&lt;R&gt;1&lt;/R&gt;&lt;C&gt;1&lt;/C&gt;&lt;D xsi:type="xsd:double"&gt;337.67328&lt;/D&gt;&lt;/FQL&gt;&lt;FQL&gt;&lt;Q&gt;KSA^FG_PRICE_MAVG(0,,,,30)&lt;/Q&gt;&lt;R&gt;1&lt;/R&gt;&lt;C&gt;1&lt;/C&gt;&lt;D xsi:type="xsd:double"&gt;44.005333&lt;/D&gt;&lt;/FQL&gt;&lt;FQL&gt;&lt;Q&gt;MCHI^FMA_ROE(NTMA,-20AY,NOW,FY,"PORTAGG","MEANR")&lt;/Q&gt;&lt;R&gt;20&lt;/R&gt;&lt;C&gt;1&lt;/C&gt;&lt;D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xsi:type="xsd:double"&gt;12.8854801395228&lt;/D&gt;&lt;D xsi:type="xsd:double"&gt;12.3573578879857&lt;/D&gt;&lt;D xsi:type="xsd:double"&gt;11.973905842199&lt;/D&gt;&lt;D xsi:type="xsd:double"&gt;11.5506323774735&lt;/D&gt;&lt;D xsi:type="xsd:double"&gt;11.5596215816121&lt;/D&gt;&lt;/FQL&gt;&lt;FQL&gt;&lt;Q&gt;CAGDPY@TW^EE_ACTUAL_ANNUAL(MED,+1)&lt;/Q&gt;&lt;R&gt;1&lt;/R&gt;&lt;C&gt;1&lt;/C&gt;&lt;D xsi:type="xsd:double"&gt;11.5&lt;/D&gt;&lt;/FQL&gt;&lt;FQL&gt;&lt;Q&gt;CC_MY^FG_COMPANY_NAME&lt;/Q&gt;&lt;R&gt;1&lt;/R&gt;&lt;C&gt;1&lt;/C&gt;&lt;D xsi:type="xsd:string"&gt;Malaysia&lt;/D&gt;&lt;/FQL&gt;&lt;FQL&gt;&lt;Q&gt;USDAED^FG_COMPANY_NAME&lt;/Q&gt;&lt;R&gt;1&lt;/R&gt;&lt;C&gt;1&lt;/C&gt;&lt;D xsi:type="xsd:string"&gt;UAE Dirham per U.S. Dollar&lt;/D&gt;&lt;/FQL&gt;&lt;FQL&gt;&lt;Q&gt;USDZAR^STD(FG_PRICE_CHANGE(0,-1AY,AM))&lt;/Q&gt;&lt;R&gt;1&lt;/R&gt;&lt;C&gt;1&lt;/C&gt;&lt;D xsi:type="xsd:double"&gt;3.28039794214666&lt;/D&gt;&lt;/FQL&gt;&lt;FQL&gt;&lt;Q&gt;USDIDR^FG_PRICE_CHANGE(0,-1AY)&lt;/Q&gt;&lt;R&gt;1&lt;/R&gt;&lt;C&gt;1&lt;/C&gt;&lt;D xsi:type="xsd:double"&gt;1.2674689&lt;/D&gt;&lt;/FQL&gt;&lt;FQL&gt;&lt;Q&gt;MCHI^P_PRICE_RETURNS_PR('52W',2,-10AY,0,AM)&lt;/Q&gt;&lt;R&gt;121&lt;/R&gt;&lt;C&gt;1&lt;/C&gt;&lt;D xsi:type="xsd:double"&gt;-5.8262167&lt;/D&gt;&lt;D xsi:type="xsd:double"&gt;6.4556003&lt;/D&gt;&lt;D xsi:type="xsd:double"&gt;-0.8150041&lt;/D&gt;&lt;D xsi:type="xsd:double"&gt;12.193192&lt;/D&gt;&lt;D xsi:type="xsd:double"&gt;18.021011&lt;/D&gt;&lt;D xsi:type="xsd:double"&gt;15.040958&lt;/D&gt;&lt;D xsi:type="xsd:double"&gt;10.096561&lt;/D&gt;&lt;D xsi:type="xsd:double"&gt;0.14001131&lt;/D&gt;&lt;D xsi:type="xsd:double"&gt;10.174667&lt;/D&gt;&lt;D xsi:type="xsd:double"&gt;2.6687741&lt;/D&gt;&lt;D xsi:type="xsd:double"&gt;13.133657&lt;/D&gt;&lt;D xsi:type="xsd:double"&gt;18.596184&lt;/D&gt;&lt;D xsi:type="xsd:double"&gt;22.950958&lt;/D&gt;&lt;D xsi:type="xsd:double"&gt;39.02545&lt;/D&gt;&lt;D xsi:type="xsd:double"&gt;38.787697&lt;/D&gt;&lt;D xsi:type="xsd:double"&gt;30.66802&lt;/D&gt;&lt;D xsi:type="xsd:double"&gt;11.650837&lt;/D&gt;&lt;D xsi:type="xsd:double"&gt;-0.40689707&lt;/D&gt;&lt;D xsi:type="xsd:double"&gt;-10.222912&lt;/D&gt;&lt;D xsi:type="xsd:double"&gt;1.824975&lt;/D&gt;&lt;D xsi:type="xsd:double"&gt;-3.9097667&lt;/D&gt;&lt;D xsi:type="xsd:double"&gt;-6.3699245&lt;/D&gt;&lt;D xsi:type="xsd:double"&gt;-20.354383&lt;/D&gt;&lt;D xsi:type="xsd:double"&gt;-27.705336&lt;/D&gt;&lt;D xsi:type="xsd:double"&gt;-16.87721&lt;/D&gt;&lt;D xsi:type="xsd:double"&gt;-27.489298&lt;/D&gt;&lt;D xsi:type="xsd:double"&gt;-33.098125&lt;/D&gt;&lt;D xsi:type="xsd:double"&gt;-29.660923&lt;/D&gt;&lt;D xsi:type="xsd:double"&gt;-14.552784&lt;/D&gt;&lt;D xsi:type="xsd:double"&gt;-3.6382735&lt;/D&gt;&lt;D xsi:type="xsd:double"&gt;9.259057&lt;/D&gt;&lt;D xsi:type="xsd:double"&gt;3.7186265&lt;/D&gt;&lt;D xsi:type="xsd:double"&gt;-1.3791025&lt;/D&gt;&lt;D xsi:type="xsd:double"&gt;3.7997127&lt;/D&gt;&lt;D xsi:type="xsd:double"&gt;20.583773&lt;/D&gt;&lt;D xsi:type="xsd:double"&gt;35.36682&lt;/D&gt;&lt;D xsi:type="xsd:double"&gt;20.851158&lt;/D&gt;&lt;D xsi:type="xsd:double"&gt;15.243685&lt;/D&gt;&lt;D xsi:type="xsd:double"&gt;33.226906&lt;/D&gt;&lt;D xsi:type="xsd:double"&gt;35.119354&lt;/D&gt;&lt;D xsi:type="xsd:double"&gt;33.181107&lt;/D&gt;&lt;D xsi:type="xsd:double"&gt;29.249048&lt;/D&gt;&lt;D xsi:type="xsd:double"&gt;34.463943&lt;/D&gt;&lt;D xsi:type="xsd:double"&gt;40.067123&lt;/D&gt;&lt;D xsi:type="xsd:double"&gt;51.184784&lt;/D&gt;&lt;D xsi:type="xsd:double"&gt;48.269188&lt;/D&gt;&lt;D xsi:type="xsd:double"&gt;58.506714&lt;/D&gt;&lt;D xsi:type="xsd:double"&gt;45.862316&lt;/D&gt;&lt;D xsi:type="xsd:double"&gt;48.479416&lt;/D&gt;&lt;D xsi:type="xsd:double"&gt;37.99006&lt;/D&gt;&lt;D xsi:type="xsd:double"&gt;36.43427&lt;/D&gt;&lt;D xsi:type="xsd:double"&gt;31.69186&lt;/D&gt;&lt;D xsi:type="xsd:double"&gt;15.460098&lt;/D&gt;&lt;D xsi:type="xsd:double"&gt;3.5000324&lt;/D&gt;&lt;D xsi:type="xsd:double"&gt;-6.1819196&lt;/D&gt;&lt;D xsi:type="xsd:double"&gt;-14.279037&lt;/D&gt;&lt;D xsi:type="xsd:double"&gt;-15.783435&lt;/D&gt;&lt;D xsi:type="xsd:double"&gt;-13.961345&lt;/D&gt;&lt;D xsi:type="xsd:double"&gt;-23.029535&lt;/D&gt;&lt;D xsi:type="xsd:double"&gt;-13.968044&lt;/D&gt;&lt;D xsi:type="xsd:double"&gt;-13.670683&lt;/D&gt;&lt;D xsi:type="xsd:double"&gt;-4.527056&lt;/D&gt;&lt;D xsi:type="xsd:double"&gt;-15.18094&lt;/D&gt;&lt;D xsi:type="xsd:double"&gt;-19.385635&lt;/D&gt;&lt;D xsi:type="xsd:double"&gt;-7.472664&lt;/D&gt;&lt;D xsi:type="xsd:double"&gt;-9.869867&lt;/D&gt;&lt;D xsi:type="xsd:double"&gt;3.5427213&lt;/D&gt;&lt;D xsi:type="xsd:double"&gt;6.6591263&lt;/D&gt;&lt;D xsi:type="xsd:double"&gt;8.94599&lt;/D&gt;&lt;D xsi:type="xsd:double"&gt;11.989117&lt;/D&gt;&lt;D xsi:type="xsd:double"&gt;24.600327&lt;/D&gt;&lt;D xsi:type="xsd:double"&gt;11.18474&lt;/D&gt;&lt;D xsi:type="xsd:double"&gt;-3.6632717&lt;/D&gt;&lt;D xsi:type="xsd:double"&gt;-6.6997766&lt;/D&gt;&lt;D xsi:type="xsd:double"&gt;5.0504327&lt;/D&gt;&lt;D xsi:type="xsd:double"&gt;14.549136&lt;/D&gt;&lt;D xsi:type="xsd:double"&gt;25.317776&lt;/D&gt;&lt;D xsi:type="xsd:double"&gt;36.67523&lt;/D&gt;&lt;D xsi:type="xsd:double"&gt;24.969292&lt;/D&gt;&lt;D xsi:type="xsd:double"&gt;35.99633&lt;/D&gt;&lt;D xsi:type="xsd:double"&gt;37.81358&lt;/D&gt;&lt;D xsi:type="xsd:double"&gt;29.060507&lt;/D&gt;&lt;D xsi:type="xsd:double"&gt;29.551197&lt;/D&gt;&lt;D xsi:type="xsd:double"&gt;48.19549&lt;/D&gt;&lt;D xsi:type="xsd:double"&gt;54.53129&lt;/D&gt;&lt;D xsi:type="xsd:double"&gt;38.019646&lt;/D&gt;&lt;D xsi:type="xsd:double"&gt;30.092705&lt;/D&gt;&lt;D xsi:type="xsd:double"&gt;29.784561&lt;/D&gt;&lt;D xsi:type="xsd:double"&gt;8.400763&lt;/D&gt;&lt;D xsi:type="xsd:double"&gt;-0.5765438&lt;/D&gt;&lt;D xsi:type="xsd:double"&gt;-4.0619493&lt;/D&gt;&lt;D xsi:type="xsd:double"&gt;-9.319538&lt;/D&gt;&lt;D xsi:type="xsd:double"&gt;-10.512018&lt;/D&gt;&lt;D xsi:type="xsd:double"&gt;-17.501068&lt;/D&gt;&lt;D xsi:type="xsd:double"&gt;-25.094133&lt;/D&gt;&lt;D xsi:type="xsd:double"&gt;-35.325726&lt;/D&gt;&lt;D xsi:type="xsd:double"&gt;-45.585175&lt;/D&gt;&lt;D xsi:type="xsd:double"&gt;-35.339153&lt;/D&gt;&lt;D xsi:type="xsd:double"&gt;-36.387856&lt;/D&gt;&lt;D xsi:type="xsd:double"&gt;-34.509956&lt;/D&gt;&lt;D xsi:type="xsd:double"&gt;-32.773827&lt;/D&gt;&lt;D xsi:type="xsd:double"&gt;-29.246342&lt;/D&gt;&lt;D xsi:type="xsd:double"&gt;-31.332785&lt;/D&gt;&lt;D xsi:type="xsd:double"&gt;-41.888554&lt;/D&gt;&lt;D xsi:type="xsd:double"&gt;-38.119823&lt;/D&gt;&lt;D xsi:type="xsd:double"&gt;-23.08944&lt;/D&gt;&lt;D xsi:type="xsd:double"&gt;-12.977398&lt;/D&gt;&lt;D xsi:type="xsd:double"&gt;-14.441091&lt;/D&gt;&lt;D xsi:type="xsd:double"&gt;6.1522484&lt;/D&gt;&lt;D xsi:type="xsd:double"&gt;-4.5131626&lt;/D&gt;&lt;D xsi:type="xsd:double"&gt;1.5700817&lt;/D&gt;&lt;D xsi:type="xsd:double"&gt;-9.0635&lt;/D&gt;&lt;D xsi:type="xsd:double"&gt;-7.9339266&lt;/D&gt;&lt;D xsi:type="xsd:double"&gt;-6.71345&lt;/D&gt;&lt;D xsi:type="xsd:double"&gt;-4.0199337&lt;/D&gt;&lt;D xsi:type="xsd:double"&gt;9.338212&lt;/D&gt;&lt;D xsi:type="xsd:double"&gt;4.3723106&lt;/D&gt;&lt;D xsi:type="xsd:double"&gt;-13.70421&lt;/D&gt;&lt;D xsi:type="xsd:double"&gt;-24.291718&lt;/D&gt;&lt;D xsi:type="xsd:double"&gt;-23.813856&lt;/D&gt;&lt;D xsi:type="xsd:double"&gt;-12.261444&lt;/D&gt;&lt;/FQL&gt;&lt;FQL&gt;&lt;Q&gt;INDA^FMA_DIV_YLD(NTMA,-10AY,0,AM,"PORTAGG","MEANR")&lt;/Q&gt;&lt;R&gt;121&lt;/R&gt;&lt;C&gt;1&lt;/C&gt;&lt;D xsi:type="xsd:double"&gt;1.66838813568916&lt;/D&gt;&lt;D xsi:type="xsd:double"&gt;1.61106047771105&lt;/D&gt;&lt;D xsi:type="xsd:double"&gt;1.64604985064358&lt;/D&gt;&lt;D xsi:type="xsd:double"&gt;1.55865821005529&lt;/D&gt;&lt;D xsi:type="xsd:double"&gt;1.58866855889442&lt;/D&gt;&lt;D xsi:type="xsd:double"&gt;1.5878206462726&lt;/D&gt;&lt;D xsi:type="xsd:double"&gt;1.54372246134438&lt;/D&gt;&lt;D xsi:type="xsd:double"&gt;1.61554382495664&lt;/D&gt;&lt;D xsi:type="xsd:double"&gt;1.54308187711936&lt;/D&gt;&lt;D xsi:type="xsd:double"&gt;1.59612365071495&lt;/D&gt;&lt;D xsi:type="xsd:double"&gt;1.58337096968439&lt;/D&gt;&lt;D xsi:type="xsd:double"&gt;1.47844129967979&lt;/D&gt;&lt;D xsi:type="xsd:double"&gt;1.50730326624187&lt;/D&gt;&lt;D xsi:type="xsd:double"&gt;1.49352584514868&lt;/D&gt;&lt;D xsi:type="xsd:double"&gt;1.6674945336881&lt;/D&gt;&lt;D xsi:type="xsd:double"&gt;1.73424927328639&lt;/D&gt;&lt;D xsi:type="xsd:double"&gt;1.56549963684379&lt;/D&gt;&lt;D xsi:type="xsd:double"&gt;1.54615575220477&lt;/D&gt;&lt;D xsi:type="xsd:double"&gt;1.67987302724151&lt;/D&gt;&lt;D xsi:type="xsd:double"&gt;1.66271082989992&lt;/D&gt;&lt;D xsi:type="xsd:double"&gt;1.75245541621816&lt;/D&gt;&lt;D xsi:type="xsd:double"&gt;1.76351615861387&lt;/D&gt;&lt;D xsi:type="xsd:double"&gt;1.76142421765654&lt;/D&gt;&lt;D xsi:type="xsd:double"&gt;1.88295515939835&lt;/D&gt;&lt;D xsi:type="xsd:double"&gt;1.75176918528782&lt;/D&gt;&lt;D xsi:type="xsd:double"&gt;1.72462445462487&lt;/D&gt;&lt;D xsi:type="xsd:double"&gt;1.70719648384464&lt;/D&gt;&lt;D xsi:type="xsd:double"&gt;1.62540443534734&lt;/D&gt;&lt;D xsi:type="xsd:double"&gt;1.54499737809849&lt;/D&gt;&lt;D xsi:type="xsd:double"&gt;1.53183066659167&lt;/D&gt;&lt;D xsi:type="xsd:double"&gt;1.53291856125277&lt;/D&gt;&lt;D xsi:type="xsd:double"&gt;1.55965357511255&lt;/D&gt;&lt;D xsi:type="xsd:double"&gt;1.67546427184686&lt;/D&gt;&lt;D xsi:type="xsd:double"&gt;1.67175479941672&lt;/D&gt;&lt;D xsi:type="xsd:double"&gt;1.65598610414733&lt;/D&gt;&lt;D xsi:type="xsd:double"&gt;1.6046014366382&lt;/D&gt;&lt;D xsi:type="xsd:double"&gt;1.55875853639209&lt;/D&gt;&lt;D xsi:type="xsd:double"&gt;1.56669565535325&lt;/D&gt;&lt;D xsi:type="xsd:double"&gt;1.55411992462682&lt;/D&gt;&lt;D xsi:type="xsd:double"&gt;1.60780577713089&lt;/D&gt;&lt;D xsi:type="xsd:double"&gt;1.56499121677194&lt;/D&gt;&lt;D xsi:type="xsd:double"&gt;1.55986216265484&lt;/D&gt;&lt;D xsi:type="xsd:double"&gt;1.51525499656593&lt;/D&gt;&lt;D xsi:type="xsd:double"&gt;1.52580713078238&lt;/D&gt;&lt;D xsi:type="xsd:double"&gt;1.54365562249043&lt;/D&gt;&lt;D xsi:type="xsd:double"&gt;1.54393960028084&lt;/D&gt;&lt;D xsi:type="xsd:double"&gt;1.47869181648237&lt;/D&gt;&lt;D xsi:type="xsd:double"&gt;1.5530933710853&lt;/D&gt;&lt;D xsi:type="xsd:double"&gt;1.56640018505552&lt;/D&gt;&lt;D xsi:type="xsd:double"&gt;1.60201673651181&lt;/D&gt;&lt;D xsi:type="xsd:double"&gt;1.61584629435933&lt;/D&gt;&lt;D xsi:type="xsd:double"&gt;1.59051530088537&lt;/D&gt;&lt;D xsi:type="xsd:double"&gt;1.58457568734656&lt;/D&gt;&lt;D xsi:type="xsd:double"&gt;1.5130489052456&lt;/D&gt;&lt;D xsi:type="xsd:double"&gt;1.49708581666888&lt;/D&gt;&lt;D xsi:type="xsd:double"&gt;1.67856663462639&lt;/D&gt;&lt;D xsi:type="xsd:double"&gt;1.66077088284993&lt;/D&gt;&lt;D xsi:type="xsd:double"&gt;1.64254045898453&lt;/D&gt;&lt;D xsi:type="xsd:double"&gt;1.67151552328573&lt;/D&gt;&lt;D xsi:type="xsd:double"&gt;1.66212765078401&lt;/D&gt;&lt;D xsi:type="xsd:double"&gt;1.59315828325734&lt;/D&gt;&lt;D xsi:type="xsd:double"&gt;1.58872858716687&lt;/D&gt;&lt;D xsi:type="xsd:double"&gt;1.73565803198857&lt;/D&gt;&lt;D xsi:type="xsd:double"&gt;1.67874966546443&lt;/D&gt;&lt;D xsi:type="xsd:double"&gt;1.75935614882917&lt;/D&gt;&lt;D xsi:type="xsd:double"&gt;1.81450611136586&lt;/D&gt;&lt;D xsi:type="xsd:double"&gt;1.80122368872902&lt;/D&gt;&lt;D xsi:type="xsd:double"&gt;1.84423838386469&lt;/D&gt;&lt;D xsi:type="xsd:double"&gt;1.76494864822712&lt;/D&gt;&lt;D xsi:type="xsd:double"&gt;1.67233148368505&lt;/D&gt;&lt;D xsi:type="xsd:double"&gt;1.64115735645432&lt;/D&gt;&lt;D xsi:type="xsd:double"&gt;1.65321535442251&lt;/D&gt;&lt;D xsi:type="xsd:double"&gt;2.02862717382321&lt;/D&gt;&lt;D xsi:type="xsd:double"&gt;2.15154372948333&lt;/D&gt;&lt;D xsi:type="xsd:double"&gt;1.94898998429022&lt;/D&gt;&lt;D xsi:type="xsd:double"&gt;1.71367760799264&lt;/D&gt;&lt;D xsi:type="xsd:double"&gt;1.59992673364602&lt;/D&gt;&lt;D xsi:type="xsd:double"&gt;1.53142318211819&lt;/D&gt;&lt;D xsi:type="xsd:double"&gt;1.5266176913237&lt;/D&gt;&lt;D xsi:type="xsd:double"&gt;1.48406147922768&lt;/D&gt;&lt;D xsi:type="xsd:double"&gt;1.46745047720839&lt;/D&gt;&lt;D xsi:type="xsd:double"&gt;1.36136681460281&lt;/D&gt;&lt;D xsi:type="xsd:double"&gt;1.30085762502028&lt;/D&gt;&lt;D xsi:type="xsd:double"&gt;1.31783394319182&lt;/D&gt;&lt;D xsi:type="xsd:double"&gt;1.34179624568277&lt;/D&gt;&lt;D xsi:type="xsd:double"&gt;1.40115216440109&lt;/D&gt;&lt;D xsi:type="xsd:double"&gt;1.41918726701077&lt;/D&gt;&lt;D xsi:type="xsd:double"&gt;1.38157012015208&lt;/D&gt;&lt;D xsi:type="xsd:double"&gt;1.38937113551499&lt;/D&gt;&lt;D xsi:type="xsd:double"&gt;1.34775058220678&lt;/D&gt;&lt;D xsi:type="xsd:double"&gt;1.28188239519363&lt;/D&gt;&lt;D xsi:type="xsd:double"&gt;1.25343702756574&lt;/D&gt;&lt;D xsi:type="xsd:double"&gt;1.32289753710989&lt;/D&gt;&lt;D xsi:type="xsd:double"&gt;1.36317413598227&lt;/D&gt;&lt;D xsi:type="xsd:double"&gt;1.31059071133936&lt;/D&gt;&lt;D xsi:type="xsd:double"&gt;1.47969505208766&lt;/D&gt;&lt;D xsi:type="xsd:double"&gt;1.49493874652065&lt;/D&gt;&lt;D xsi:type="xsd:double"&gt;1.45303128199067&lt;/D&gt;&lt;D xsi:type="xsd:double"&gt;1.70772016132584&lt;/D&gt;&lt;D xsi:type="xsd:double"&gt;1.68442480666998&lt;/D&gt;&lt;D xsi:type="xsd:double"&gt;1.6589795264226&lt;/D&gt;&lt;D xsi:type="xsd:double"&gt;1.46697742758943&lt;/D&gt;&lt;D xsi:type="xsd:double"&gt;1.46493695048086&lt;/D&gt;&lt;D xsi:type="xsd:double"&gt;1.54345448085783&lt;/D&gt;&lt;D xsi:type="xsd:double"&gt;1.48389185905566&lt;/D&gt;&lt;D xsi:type="xsd:double"&gt;1.43864178065758&lt;/D&gt;&lt;D xsi:type="xsd:double"&gt;1.50759197748781&lt;/D&gt;&lt;D xsi:type="xsd:double"&gt;1.54081379861908&lt;/D&gt;&lt;D xsi:type="xsd:double"&gt;1.6354574673298&lt;/D&gt;&lt;D xsi:type="xsd:double"&gt;1.59370634208739&lt;/D&gt;&lt;D xsi:type="xsd:double"&gt;1.59031191926619&lt;/D&gt;&lt;D xsi:type="xsd:double"&gt;1.53501034952885&lt;/D&gt;&lt;D xsi:type="xsd:double"&gt;1.46382642128637&lt;/D&gt;&lt;D xsi:type="xsd:double"&gt;1.50449103234213&lt;/D&gt;&lt;D xsi:type="xsd:double"&gt;1.48855642959191&lt;/D&gt;&lt;D xsi:type="xsd:double"&gt;1.49166311392&lt;/D&gt;&lt;D xsi:type="xsd:double"&gt;1.52997186873219&lt;/D&gt;&lt;D xsi:type="xsd:double"&gt;1.40034142915598&lt;/D&gt;&lt;D xsi:type="xsd:double"&gt;1.36266910284762&lt;/D&gt;&lt;D xsi:type="xsd:double"&gt;1.36162400337251&lt;/D&gt;&lt;D xsi:type="xsd:double"&gt;1.37851381027639&lt;/D&gt;&lt;/FQL&gt;&lt;FQL&gt;&lt;Q&gt;TUR^FMA_PE(LTMA,-10AY,0,AM,"PORTAGG","MEANR")&lt;/Q&gt;&lt;R&gt;121&lt;/R&gt;&lt;C&gt;1&lt;/C&gt;&lt;D xsi:type="xsd:double"&gt;9.21247366145261&lt;/D&gt;&lt;D xsi:type="xsd:double"&gt;9.72861982126586&lt;/D&gt;&lt;D xsi:type="xsd:double"&gt;10.0431067721084&lt;/D&gt;&lt;D xsi:type="xsd:double"&gt;10.2857069627281&lt;/D&gt;&lt;D xsi:type="xsd:double"&gt;10.6106683594271&lt;/D&gt;&lt;D xsi:type="xsd:double"&gt;10.4016007093914&lt;/D&gt;&lt;D xsi:type="xsd:double"&gt;10.5131102491627&lt;/D&gt;&lt;D xsi:type="xsd:double"&gt;10.2970016285988&lt;/D&gt;&lt;D xsi:type="xsd:double"&gt;11.1571192368584&lt;/D&gt;&lt;D xsi:type="xsd:double"&gt;11.4186440851666&lt;/D&gt;&lt;D xsi:type="xsd:double"&gt;12.1111529736482&lt;/D&gt;&lt;D xsi:type="xsd:double"&gt;12.1991769848505&lt;/D&gt;&lt;D xsi:type="xsd:double"&gt;11.6918908357789&lt;/D&gt;&lt;D xsi:type="xsd:double"&gt;11.6949060281181&lt;/D&gt;&lt;D xsi:type="xsd:double"&gt;11.8845976209972&lt;/D&gt;&lt;D xsi:type="xsd:double"&gt;11.4541142481822&lt;/D&gt;&lt;D xsi:type="xsd:double"&gt;11.5398224375478&lt;/D&gt;&lt;D xsi:type="xsd:double"&gt;10.9639085565603&lt;/D&gt;&lt;D xsi:type="xsd:double"&gt;10.2796156021628&lt;/D&gt;&lt;D xsi:type="xsd:double"&gt;11.0243647049337&lt;/D&gt;&lt;D xsi:type="xsd:double"&gt;11.4291238460324&lt;/D&gt;&lt;D xsi:type="xsd:double"&gt;9.62699136526328&lt;/D&gt;&lt;D xsi:type="xsd:double"&gt;9.78118265204885&lt;/D&gt;&lt;D xsi:type="xsd:double"&gt;9.4397744237744&lt;/D&gt;&lt;D xsi:type="xsd:double"&gt;9.80816692958209&lt;/D&gt;&lt;D xsi:type="xsd:double"&gt;9.90202770317696&lt;/D&gt;&lt;D xsi:type="xsd:double"&gt;9.59807221830603&lt;/D&gt;&lt;D xsi:type="xsd:double"&gt;9.43003540671061&lt;/D&gt;&lt;D xsi:type="xsd:double"&gt;9.77081942241238&lt;/D&gt;&lt;D xsi:type="xsd:double"&gt;9.52088886345407&lt;/D&gt;&lt;D xsi:type="xsd:double"&gt;9.46601867868515&lt;/D&gt;&lt;D xsi:type="xsd:double"&gt;9.34906706712831&lt;/D&gt;&lt;D xsi:type="xsd:double"&gt;8.86151807847329&lt;/D&gt;&lt;D xsi:type="xsd:double"&gt;8.94284161666545&lt;/D&gt;&lt;D xsi:type="xsd:double"&gt;9.27721060183414&lt;/D&gt;&lt;D xsi:type="xsd:double"&gt;9.98631786109163&lt;/D&gt;&lt;D xsi:type="xsd:double"&gt;9.82842294003037&lt;/D&gt;&lt;D xsi:type="xsd:double"&gt;9.71741067696934&lt;/D&gt;&lt;D xsi:type="xsd:double"&gt;9.73560341395201&lt;/D&gt;&lt;D xsi:type="xsd:double"&gt;9.71314399813474&lt;/D&gt;&lt;D xsi:type="xsd:double"&gt;9.76059733396984&lt;/D&gt;&lt;D xsi:type="xsd:double"&gt;9.64680679008272&lt;/D&gt;&lt;D xsi:type="xsd:double"&gt;9.44089474899492&lt;/D&gt;&lt;D xsi:type="xsd:double"&gt;9.11554732308356&lt;/D&gt;&lt;D xsi:type="xsd:double"&gt;9.15983896632164&lt;/D&gt;&lt;D xsi:type="xsd:double"&gt;8.77031608078435&lt;/D&gt;&lt;D xsi:type="xsd:double"&gt;8.91886399465183&lt;/D&gt;&lt;D xsi:type="xsd:double"&gt;8.81280069976752&lt;/D&gt;&lt;D xsi:type="xsd:double"&gt;9.16177431005328&lt;/D&gt;&lt;D xsi:type="xsd:double"&gt;8.88410006033291&lt;/D&gt;&lt;D xsi:type="xsd:double"&gt;8.57975151590845&lt;/D&gt;&lt;D xsi:type="xsd:double"&gt;8.15493396432951&lt;/D&gt;&lt;D xsi:type="xsd:double"&gt;7.74161226784388&lt;/D&gt;&lt;D xsi:type="xsd:double"&gt;7.57313127525988&lt;/D&gt;&lt;D xsi:type="xsd:double"&gt;7.36972791037923&lt;/D&gt;&lt;D xsi:type="xsd:double"&gt;7.52113058960596&lt;/D&gt;&lt;D xsi:type="xsd:double"&gt;6.94259479233053&lt;/D&gt;&lt;D xsi:type="xsd:double"&gt;6.63717414495642&lt;/D&gt;&lt;D xsi:type="xsd:double"&gt;6.67990511418466&lt;/D&gt;&lt;D xsi:type="xsd:double"&gt;7.32408868659014&lt;/D&gt;&lt;D xsi:type="xsd:double"&gt;7.46030929381178&lt;/D&gt;&lt;D xsi:type="xsd:double"&gt;7.30165887339977&lt;/D&gt;&lt;D xsi:type="xsd:double"&gt;7.08240829875758&lt;/D&gt;&lt;D xsi:type="xsd:double"&gt;7.21503157509292&lt;/D&gt;&lt;D xsi:type="xsd:double"&gt;7.47599510756931&lt;/D&gt;&lt;D xsi:type="xsd:double"&gt;7.78392767046034&lt;/D&gt;&lt;D xsi:type="xsd:double"&gt;7.96413847597759&lt;/D&gt;&lt;D xsi:type="xsd:double"&gt;7.50518969106143&lt;/D&gt;&lt;D xsi:type="xsd:double"&gt;8.39035874973709&lt;/D&gt;&lt;D xsi:type="xsd:double"&gt;9.05274463028896&lt;/D&gt;&lt;D xsi:type="xsd:double"&gt;9.90157270562768&lt;/D&gt;&lt;D xsi:type="xsd:double"&gt;9.65047107082019&lt;/D&gt;&lt;D xsi:type="xsd:double"&gt;8.23294093889418&lt;/D&gt;&lt;D xsi:type="xsd:double"&gt;8.14800669641747&lt;/D&gt;&lt;D xsi:type="xsd:double"&gt;8.47135264885918&lt;/D&gt;&lt;D xsi:type="xsd:double"&gt;9.65250694545761&lt;/D&gt;&lt;D xsi:type="xsd:double"&gt;10.0899602812712&lt;/D&gt;&lt;D xsi:type="xsd:double"&gt;10.0376977695123&lt;/D&gt;&lt;D xsi:type="xsd:double"&gt;10.6592710262538&lt;/D&gt;&lt;D xsi:type="xsd:double"&gt;11.4491012357493&lt;/D&gt;&lt;D xsi:type="xsd:double"&gt;13.1536731267089&lt;/D&gt;&lt;D xsi:type="xsd:double"&gt;13.2645016448167&lt;/D&gt;&lt;D xsi:type="xsd:double"&gt;14.5317471550249&lt;/D&gt;&lt;D xsi:type="xsd:double"&gt;13.0475500870068&lt;/D&gt;&lt;D xsi:type="xsd:double"&gt;11.9949781790852&lt;/D&gt;&lt;D xsi:type="xsd:double"&gt;11.3020080145902&lt;/D&gt;&lt;D xsi:</t>
        </r>
      </text>
    </comment>
    <comment ref="A7" authorId="0" shapeId="0" xr:uid="{ECDDA441-0EB0-460F-A23E-54A7E72C60D9}">
      <text>
        <r>
          <rPr>
            <b/>
            <sz val="9"/>
            <color indexed="81"/>
            <rFont val="Tahoma"/>
            <charset val="1"/>
          </rPr>
          <t>type="xsd:double"&gt;10.802646629373&lt;/D&gt;&lt;D xsi:type="xsd:double"&gt;10.2516954877562&lt;/D&gt;&lt;D xsi:type="xsd:double"&gt;9.48814528196093&lt;/D&gt;&lt;D xsi:type="xsd:double"&gt;8.90862460965334&lt;/D&gt;&lt;D xsi:type="xsd:double"&gt;8.16304987145218&lt;/D&gt;&lt;D xsi:type="xsd:double"&gt;7.47377837243611&lt;/D&gt;&lt;D xsi:type="xsd:double"&gt;7.43396923209257&lt;/D&gt;&lt;D xsi:type="xsd:double"&gt;8.43596923872181&lt;/D&gt;&lt;D xsi:type="xsd:double"&gt;7.46334862838411&lt;/D&gt;&lt;D xsi:type="xsd:double"&gt;6.38940846968522&lt;/D&gt;&lt;D xsi:type="xsd:double"&gt;5.97750652969721&lt;/D&gt;&lt;D xsi:type="xsd:double"&gt;6.05379545410149&lt;/D&gt;&lt;D xsi:type="xsd:double"&gt;5.64811285923484&lt;/D&gt;&lt;D xsi:type="xsd:double"&gt;5.72974182860644&lt;/D&gt;&lt;D xsi:type="xsd:double"&gt;5.32922196123095&lt;/D&gt;&lt;D xsi:type="xsd:double"&gt;5.26390022178&lt;/D&gt;&lt;D xsi:type="xsd:double"&gt;5.25880847808617&lt;/D&gt;&lt;D xsi:type="xsd:double"&gt;5.08563883511697&lt;/D&gt;&lt;D xsi:type="xsd:double"&gt;5.32566581436093&lt;/D&gt;&lt;D xsi:type="xsd:double"&gt;5.17745299249804&lt;/D&gt;&lt;D xsi:type="xsd:double"&gt;5.05510286543309&lt;/D&gt;&lt;D xsi:type="xsd:double"&gt;4.37239145396154&lt;/D&gt;&lt;D xsi:type="xsd:double"&gt;5.00247458424297&lt;/D&gt;&lt;D xsi:type="xsd:double"&gt;5.00420869326829&lt;/D&gt;&lt;D xsi:type="xsd:double"&gt;4.90115934220668&lt;/D&gt;&lt;D xsi:type="xsd:double"&gt;5.10832294830713&lt;/D&gt;&lt;D xsi:type="xsd:double"&gt;5.70230223849257&lt;/D&gt;&lt;D xsi:type="xsd:double"&gt;6.44584349741846&lt;/D&gt;&lt;D xsi:type="xsd:double"&gt;6.69157540712428&lt;/D&gt;&lt;D xsi:type="xsd:double"&gt;6.71746892598912&lt;/D&gt;&lt;D xsi:type="xsd:double"&gt;5.84572388645803&lt;/D&gt;&lt;D xsi:type="xsd:double"&gt;5.87364159986045&lt;/D&gt;&lt;D xsi:type="xsd:double"&gt;6.10078744583011&lt;/D&gt;&lt;D xsi:type="xsd:double"&gt;6.6841926425149&lt;/D&gt;&lt;D xsi:type="xsd:double"&gt;6.53255679296386&lt;/D&gt;&lt;/FQL&gt;&lt;FQL&gt;&lt;Q&gt;DDR3512M-FDS^FG_PRICE(0)/MAX(FG_PRICE(0,-1AY))&lt;/Q&gt;&lt;R&gt;1&lt;/R&gt;&lt;C&gt;1&lt;/C&gt;&lt;D xsi:type="xsd:double"&gt;0.813886738668961&lt;/D&gt;&lt;/FQL&gt;&lt;FQL&gt;&lt;Q&gt;PASP-FDS^FG_PRICE_CHANGE(0,-1AM)&lt;/Q&gt;&lt;R&gt;1&lt;/R&gt;&lt;C&gt;1&lt;/C&gt;&lt;D xsi:type="xsd:double"&gt;19.5604395604396&lt;/D&gt;&lt;/FQL&gt;&lt;FQL&gt;&lt;Q&gt;CPALM-FDS^MAX(FG_PRICE(0,-5AY))&lt;/Q&gt;&lt;R&gt;1&lt;/R&gt;&lt;C&gt;1&lt;/C&gt;&lt;D xsi:type="xsd:double"&gt;8163&lt;/D&gt;&lt;/FQL&gt;&lt;FQL&gt;&lt;Q&gt;TIOS-FDS^FG_PRICE_CHANGE(0,-1AM)&lt;/Q&gt;&lt;R&gt;1&lt;/R&gt;&lt;C&gt;1&lt;/C&gt;&lt;D xsi:type="xsd:double"&gt;-14.0666150271108&lt;/D&gt;&lt;/FQL&gt;&lt;FQL&gt;&lt;Q&gt;KSA^FG_PRICE_MAVG(0,,,,60)&lt;/Q&gt;&lt;R&gt;1&lt;/R&gt;&lt;C&gt;1&lt;/C&gt;&lt;D xsi:type="xsd:double"&gt;43.231667&lt;/D&gt;&lt;/FQL&gt;&lt;FQL&gt;&lt;Q&gt;SET-BKK^FG_PRICE_MAVG(0,,,,30)&lt;/Q&gt;&lt;R&gt;1&lt;/R&gt;&lt;C&gt;1&lt;/C&gt;&lt;D xsi:type="xsd:double"&gt;1383.878&lt;/D&gt;&lt;/FQL&gt;&lt;FQL&gt;&lt;Q&gt;GREK^FG_PRICE(0)&lt;/Q&gt;&lt;R&gt;1&lt;/R&gt;&lt;C&gt;1&lt;/C&gt;&lt;D xsi:type="xsd:double"&gt;40.33&lt;/D&gt;&lt;/FQL&gt;&lt;FQL&gt;&lt;Q&gt;EWT^FG_PRICE_MAVG(0,,,,200)&lt;/Q&gt;&lt;R&gt;1&lt;/R&gt;&lt;C&gt;1&lt;/C&gt;&lt;D xsi:type="xsd:double"&gt;46.3257&lt;/D&gt;&lt;/FQL&gt;&lt;FQL&gt;&lt;Q&gt;EPHE^FG_PRICE_MAVG(0,,,,60)&lt;/Q&gt;&lt;R&gt;1&lt;/R&gt;&lt;C&gt;1&lt;/C&gt;&lt;D xsi:type="xsd:double"&gt;26.823767&lt;/D&gt;&lt;/FQL&gt;&lt;FQL&gt;&lt;Q&gt;EWW^PERCENT_CHANGE(FMA_EPS(+1,0,,,,"PORTAGG","MEAN"),FMA_EPS(+1,-1AM,,,,"PORTAGG","MEAN"))&lt;/Q&gt;&lt;R&gt;1&lt;/R&gt;&lt;C&gt;1&lt;/C&gt;&lt;D xsi:type="xsd:double"&gt;1.78408189657956&lt;/D&gt;&lt;/FQL&gt;&lt;FQL&gt;&lt;Q&gt;EIDO^PERCENT_CHANGE(FMA_EPS(+1,0,,,,"PORTAGG","MEAN"),FMA_EPS(+1,-3AM,,,,"PORTAGG","MEAN"))&lt;/Q&gt;&lt;R&gt;1&lt;/R&gt;&lt;C&gt;1&lt;/C&gt;&lt;D xsi:type="xsd:double"&gt;-3.17444905332896&lt;/D&gt;&lt;/FQL&gt;&lt;FQL&gt;&lt;Q&gt;URTH^FMA_COS_UP("EPS","1M",+1,NOW,,,"PORTAGG","MEANR")&lt;/Q&gt;&lt;R&gt;1&lt;/R&gt;&lt;C&gt;1&lt;/C&gt;&lt;D xsi:type="xsd:double"&gt;593&lt;/D&gt;&lt;/FQL&gt;&lt;FQL&gt;&lt;Q&gt;TUR^FMA_COS_DOWN("EPS","1M",+1,NOW,,,"PORTAGG","MEANR")&lt;/Q&gt;&lt;R&gt;1&lt;/R&gt;&lt;C&gt;1&lt;/C&gt;&lt;D xsi:type="xsd:double"&gt;18&lt;/D&gt;&lt;/FQL&gt;&lt;FQL&gt;&lt;Q&gt;EZA^SIZE(FG_CONSTITUENTS)&lt;/Q&gt;&lt;R&gt;1&lt;/R&gt;&lt;C&gt;1&lt;/C&gt;&lt;D xsi:type="xsd:long"&gt;33&lt;/D&gt;&lt;/FQL&gt;&lt;FQL&gt;&lt;Q&gt;EWM^FMA_COS_UP("EPS","1M",+1,NOW,,,"PORTAGG","MEANR")&lt;/Q&gt;&lt;R&gt;1&lt;/R&gt;&lt;C&gt;1&lt;/C&gt;&lt;D xsi:type="xsd:double"&gt;11&lt;/D&gt;&lt;/FQL&gt;&lt;FQL&gt;&lt;Q&gt;CNYA^FMA_COS_DOWN("EPS","1M",+1,NOW,,,"PORTAGG","MEANR")&lt;/Q&gt;&lt;R&gt;1&lt;/R&gt;&lt;C&gt;1&lt;/C&gt;&lt;D xsi:type="xsd:double"&gt;164&lt;/D&gt;&lt;/FQL&gt;&lt;FQL&gt;&lt;Q&gt;EPU^FMA_RBICS_REV_CURRENT(30, LOC, "PORTAGG")&lt;/Q&gt;&lt;R&gt;1&lt;/R&gt;&lt;C&gt;1&lt;/C&gt;&lt;D xsi:type="xsd:double"&gt;32.4825470100704&lt;/D&gt;&lt;/FQL&gt;&lt;FQL&gt;&lt;Q&gt;EWY^FG_ROE(0)&lt;/Q&gt;&lt;R&gt;1&lt;/R&gt;&lt;C&gt;1&lt;/C&gt;&lt;D xsi:type="xsd:double"&gt;5.32634835136052&lt;/D&gt;&lt;/FQL&gt;&lt;FQL&gt;&lt;Q&gt;TRYIN10Y-FDS^FG_YIELD_NAME&lt;/Q&gt;&lt;R&gt;1&lt;/R&gt;&lt;C&gt;1&lt;/C&gt;&lt;D xsi:type="xsd:string"&gt;India Benchmark Bond - 10 Year&lt;/D&gt;&lt;/FQL&gt;&lt;FQL&gt;&lt;Q&gt;REFVNDISC-FDS^(SUBARRAY(NOT_NA(NO_REPEAT_F(FG_YIELD(NOW,-10AY,D))),0,1)-SUBARRAY(NOT_NA(NO_REPEAT_F(FG_YIELD(NOW,-10AY,D))),1,1))*100&lt;/Q&gt;&lt;R&gt;1&lt;/R&gt;&lt;C&gt;1&lt;/C&gt;&lt;D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xsi:type="xsd:double"&gt;-50&lt;/D&gt;&lt;/FQL&gt;&lt;FQL&gt;&lt;Q&gt;REFCNRMB-FDS^PROPER_NAME(0,,,"SECURITY","NAME")&lt;/Q&gt;&lt;R&gt;1&lt;/R&gt;&lt;C&gt;1&lt;/C&gt;&lt;D xsi:type="xsd:string"&gt;China Loan Prime Rate (LPR) - 1 Year&lt;/D&gt;&lt;/FQL&gt;&lt;FQL&gt;&lt;Q&gt;REFMXTON-FDS^FG_YIELD(NOW,,,0)&lt;/Q&gt;&lt;R&gt;1&lt;/R&gt;&lt;C&gt;1&lt;/C&gt;&lt;D xsi:type="xsd:double"&gt;11.25&lt;/D&gt;&lt;/FQL&gt;&lt;FQL&gt;&lt;Q&gt;TRYTH10Y-FDS^PCTCHG(FG_YIELD(0,,,,"YTM"),FG_YIELD(-1AM,,,,"YTM"))&lt;/Q&gt;&lt;R&gt;1&lt;/R&gt;&lt;C&gt;1&lt;/C&gt;&lt;D xsi:type="xsd:double"&gt;-2.1943834&lt;/D&gt;&lt;/FQL&gt;&lt;FQL&gt;&lt;Q&gt;TRYTW10Y-FDS^PCTCHG(FG_YIELD(0,,,,"YTM"),FG_YIELD(-3AM,,,,"YTM"))&lt;/Q&gt;&lt;R&gt;1&lt;/R&gt;&lt;C&gt;1&lt;/C&gt;&lt;D xsi:type="xsd:double"&gt;-0.19819319&lt;/D&gt;&lt;/FQL&gt;&lt;FQL&gt;&lt;Q&gt;TRYUS10Y-FDS^FG_YIELD_NAME&lt;/Q&gt;&lt;R&gt;1&lt;/R&gt;&lt;C&gt;1&lt;/C&gt;&lt;D xsi:type="xsd:string"&gt;US Benchmark Bond - 10 Year&lt;/D&gt;&lt;/FQL&gt;&lt;FQL&gt;&lt;Q&gt;TRYGR10Y-FDS^FG_YIELD(0,,,,"YTM")&lt;/Q&gt;&lt;R&gt;1&lt;/R&gt;&lt;C&gt;1&lt;/C&gt;&lt;D xsi:type="xsd:double"&gt;3.331&lt;/D&gt;&lt;/FQL&gt;&lt;FQL&gt;&lt;Q&gt;TRYPL10Y-FDS^FG_YIELD_NAME&lt;/Q&gt;&lt;R&gt;1&lt;/R&gt;&lt;C&gt;1&lt;/C&gt;&lt;D xsi:type="xsd:string"&gt;Treasury - Poland Benchmark Bond 10Y&lt;/D&gt;&lt;/FQL&gt;&lt;FQL&gt;&lt;Q&gt;CC_GR^IMF_IFS_RCPI_Q(0)&lt;/Q&gt;&lt;R&gt;1&lt;/R&gt;&lt;C&gt;1&lt;/C&gt;&lt;D xsi:type="xsd:double"&gt;3.309465&lt;/D&gt;&lt;/FQL&gt;&lt;FQL&gt;&lt;Q&gt;VWO^FG_PE_NTM(0,,,90,0)&lt;/Q&gt;&lt;R&gt;1&lt;/R&gt;&lt;C&gt;1&lt;/C&gt;&lt;D xsi:type="xsd:double"&gt;11.8406596277676&lt;/D&gt;&lt;/FQL&gt;&lt;FQL&gt;&lt;Q&gt;TUR^FMA_DIV_YLD(NTMA,NOW,NOW,M,"PORTAGG","MEANR")&lt;/Q&gt;&lt;R&gt;1&lt;/R&gt;&lt;C&gt;1&lt;/C&gt;&lt;D xsi:type="xsd:double"&gt;4.18868628008185&lt;/D&gt;&lt;/FQL&gt;&lt;FQL&gt;&lt;Q&gt;QAT^JULIAN(FMA_DIV_YLD(NTMA,NOW,NOW,M,"PORTAGG","MEANR").DATES)&lt;/Q&gt;&lt;R&gt;1&lt;/R&gt;&lt;C&gt;1&lt;/C&gt;&lt;D xsi:type="xsd:long"&gt;45351&lt;/D&gt;&lt;/FQL&gt;&lt;FQL&gt;&lt;Q&gt;EWZ^FMA_PE(LTM,0,,,"PORTAGG","MEANR")&lt;/Q&gt;&lt;R&gt;1&lt;/R&gt;&lt;C&gt;1&lt;/C&gt;&lt;D xsi:type="xsd:double"&gt;7.68517110512843&lt;/D&gt;&lt;/FQL&gt;&lt;FQL&gt;&lt;Q&gt;CAGDPY@VN^EE_ACTUAL_ANNUAL(MED,0)&lt;/Q&gt;&lt;R&gt;0&lt;/R&gt;&lt;C&gt;0&lt;/C&gt;&lt;/FQL&gt;&lt;FQL&gt;&lt;Q&gt;USDCNH^FG_PRICE_CHANGE(0,-3AM)&lt;/Q&gt;&lt;R&gt;1&lt;/R&gt;&lt;C&gt;1&lt;/C&gt;&lt;D xsi:type="xsd:double"&gt;1.2303472&lt;/D&gt;&lt;/FQL&gt;&lt;FQL&gt;&lt;Q&gt;USDMXN^FG_PRICE_CHANGE(0,-1AY)&lt;/Q&gt;&lt;R&gt;1&lt;/R&gt;&lt;C&gt;1&lt;/C&gt;&lt;D xsi:type="xsd:double"&gt;-10.892153&lt;/D&gt;&lt;/FQL&gt;&lt;FQL&gt;&lt;Q&gt;USDPEN^FG_PRICE_CHANGE(0,-3AM)&lt;/Q&gt;&lt;R&gt;1&lt;/R&gt;&lt;C&gt;1&lt;/C&gt;&lt;D xsi:type="xsd:double"&gt;-2.8557062&lt;/D&gt;&lt;/FQL&gt;&lt;FQL&gt;&lt;Q&gt;FC0000TR^FMA_EPS(NTMA,-20AY,0,CY,,"PORTAGG","MEANR")&lt;/Q&gt;&lt;R&gt;20&lt;/R&gt;&lt;C&gt;1&lt;/C&gt;&lt;D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xsi:type="xsd:double"&gt;47.7168770163726&lt;/D&gt;&lt;/FQL&gt;&lt;FQL&gt;&lt;Q&gt;MCHI^FG_TOTAL_RETURNC(-10AY,0,AM)&lt;/Q&gt;&lt;R&gt;121&lt;/R&gt;&lt;C&gt;1&lt;/C&gt;&lt;D xsi:type="xsd:double"&gt;-6.605017&lt;/D&gt;&lt;D xsi:type="xsd:double"&gt;8.156538&lt;/D&gt;&lt;D xsi:type="xsd:double"&gt;-2.1795988&lt;/D&gt;&lt;D xsi:type="xsd:double"&gt;5.5481195&lt;/D&gt;&lt;D xsi:type="xsd:double"&gt;2.8537273&lt;/D&gt;&lt;D xsi:type="xsd:double"&gt;6.1718106&lt;/D&gt;&lt;D xsi:type="xsd:double"&gt;-0.84445477&lt;/D&gt;&lt;D xsi:type="xsd:double"&gt;-6.5557537&lt;/D&gt;&lt;D xsi:type="xsd:double"&gt;6.0618877&lt;/D&gt;&lt;D xsi:type="xsd:double"&gt;-3.796965&lt;/D&gt;&lt;D xsi:type="xsd:double"&gt;6.7148805&lt;/D&gt;&lt;D xsi:type="xsd:double"&gt;2.3968458&lt;/D&gt;&lt;D xsi:type="xsd:double"&gt;-2.264005&lt;/D&gt;&lt;D xsi:type="xsd:double"&gt;22.124063&lt;/D&gt;&lt;D xsi:type="xsd:double"&gt;-2.3468852&lt;/D&gt;&lt;D xsi:type="xsd:double"&gt;-1.8436193&lt;/D&gt;&lt;D xsi:type="xsd:double"&gt;-11.026012&lt;/D&gt;&lt;D xsi:type="xsd:double"&gt;-5.2942276&lt;/D&gt;&lt;D xsi:type="xsd:double"&gt;-10.617333&lt;/D&gt;&lt;D xsi:type="xsd:double"&gt;5.9842467&lt;/D&gt;&lt;D xsi:type="xsd:double"&gt;-1.9316494&lt;/D&gt;&lt;D xsi:type="xsd:double"&gt;-4.329002&lt;/D&gt;&lt;D xsi:type="xsd:double"&gt;-9.223902&lt;/D&gt;&lt;D xsi:type="xsd:double"&gt;-7.6067686&lt;/D&gt;&lt;D xsi:type="xsd:double"&gt;13.047051&lt;/D&gt;&lt;D xsi:type="xsd:double"&gt;6.5327764&lt;/D&gt;&lt;D xsi:type="xsd:double"&gt;-10.538268&lt;/D&gt;&lt;D xsi:type="xsd:double"&gt;3.9350033&lt;/D&gt;&lt;D xsi:type="xsd:double"&gt;8.084738&lt;/D&gt;&lt;D xsi:type="xsd:double"&gt;5.986798&lt;/D&gt;&lt;D xsi:type="xsd:double"&gt;2.1262884&lt;/D&gt;&lt;D xsi:type="xsd:double"&gt;0.60988665&lt;/D&gt;&lt;D xsi:type="xsd:double"&gt;-6.7516685&lt;/D&gt;&lt;D xsi:type="xsd:double"&gt;0.6949067&lt;/D&gt;&lt;D xsi:type="xsd:double"&gt;4.095137&lt;/D&gt;&lt;D xsi:type="xsd:double"&gt;5.074489&lt;/D&gt;&lt;D xsi:type="xsd:double"&gt;0.9247899&lt;/D&gt;&lt;D xsi:type="xsd:double"&gt;1.7511725&lt;/D&gt;&lt;D xsi:type="xsd:double"&gt;4.8829317&lt;/D&gt;&lt;D xsi:type="xsd:double"&gt;3.7779093&lt;/D&gt;&lt;D xsi:type="xsd:double"&gt;6.5342903&lt;/D&gt;&lt;D xsi:type="xsd:double"&gt;2.8576374&lt;/D&gt;&lt;D xsi:type="xsd:double"&gt;6.246841&lt;/D&gt;&lt;D xsi:type="xsd:double"&gt;4.3423057&lt;/D&gt;&lt;D xsi:type="xsd:double"&gt;1.0935664&lt;/D&gt;&lt;D xsi:type="xsd:double"&gt;-1.2469888&lt;/D&gt;&lt;D xsi:type="xsd:double"&gt;10.946142&lt;/D&gt;&lt;D xsi:type="xsd:double"&gt;-3.0143023&lt;/D&gt;&lt;D xsi:type="xsd:double"&gt;2.7356148&lt;/D&gt;&lt;D xsi:type="xsd:double"&gt;-5.4370584&lt;/D&gt;&lt;D xsi:type="xsd:double"&gt;3.7004232&lt;/D&gt;&lt;D xsi:type="xsd:double"&gt;0.17060041&lt;/D&gt;&lt;D xsi:type="xsd:double"&gt;-7.890791&lt;/D&gt;&lt;D xsi:type="xsd:double"&gt;-6.5015435&lt;/D&gt;&lt;D xsi:type="xsd:double"&gt;-3.6920607&lt;/D&gt;&lt;D xsi:type="xsd:double"&gt;-5.3292036&lt;/D&gt;&lt;D xsi:type="xsd:double"&gt;0.018167496&lt;/D&gt;&lt;D xsi:type="xsd:double"&gt;0.88961124&lt;/D&gt;&lt;D xsi:type="xsd:double"&gt;-0.74721575&lt;/D&gt;&lt;D xsi:type="xsd:double"&gt;8.403516&lt;/D&gt;&lt;D xsi:type="xsd:double"&gt;3.0906916&lt;/D&gt;&lt;D xsi:type="xsd:double"&gt;6.5366983&lt;/D&gt;&lt;D xsi:type="xsd:double"&gt;-9.564811&lt;/D&gt;&lt;D xsi:type="xsd:double"&gt;-4.795104&lt;/D&gt;&lt;D xsi:type="xsd:double"&gt;5.8845162&lt;/D&gt;&lt;D xsi:type="xsd:double"&gt;-9.064674&lt;/D&gt;&lt;D xsi:type="xsd:double"&gt;11.666977&lt;/D&gt;&lt;D xsi:type="xsd:double"&gt;-3.3767998&lt;/D&gt;&lt;D xsi:type="xsd:double"&gt;2.1626353&lt;/D&gt;&lt;D xsi:type="xsd:double"&gt;5.1820517&lt;/D&gt;&lt;D xsi:type="xsd:double"&gt;8.881831&lt;/D&gt;&lt;D xsi:type="xsd:double"&gt;-3.2681704&lt;/D&gt;&lt;D xsi:type="xsd:double"&gt;-10.120338&lt;/D&gt;&lt;D xsi:type="xsd:double"&gt;2.540338&lt;/D&gt;&lt;D xsi:type="xsd:double"&gt;1.8245697&lt;/D&gt;&lt;D xsi:type="xsd:double"&gt;4.833138&lt;/D&gt;&lt;D xsi:type="xsd:double"&gt;14.71175&lt;/D&gt;&lt;D xsi:type="xsd:double"&gt;-0.8232713&lt;/D&gt;&lt;D xsi:type="xsd:double"&gt;2.1029353&lt;/D&gt;&lt;D xsi:type="xsd:double"&gt;5.1490426&lt;/D&gt;&lt;D xsi:type="xsd:double"&gt;3.6855698&lt;/D&gt;&lt;D xsi:type="xsd:double"&gt;-1.6483665&lt;/D&gt;&lt;D xsi:type="xsd:double"&gt;9.295809&lt;/D&gt;&lt;D xsi:type="xsd:double"&gt;12.291729&lt;/D&gt;&lt;D xsi:type="xsd:double"&gt;-12.274324&lt;/D&gt;&lt;D xsi:type="xsd:double"&gt;-3.5836875&lt;/D&gt;&lt;D xsi:type="xsd:double"&gt;-4.023552&lt;/D&gt;&lt;D xsi:type="xsd:double"&gt;4.584825&lt;/D&gt;&lt;D xsi:type="xsd:double"&gt;-4.188609&lt;/D&gt;&lt;D xsi:type="xsd:double"&gt;-8.98633&lt;/D&gt;&lt;D xsi:type="xsd:double"&gt;-1.5308917&lt;/D&gt;&lt;D xsi:type="xsd:double"&gt;-0.6133199&lt;/D&gt;&lt;D xsi:type="xsd:double"&gt;1.4064312&lt;/D&gt;&lt;D xsi:type="xsd:double"&gt;-8.5109825&lt;/D&gt;&lt;D xsi:type="xsd:double"&gt;-0.7635951&lt;/D&gt;&lt;D xsi:type="xsd:double"&gt;-3.0464828&lt;/D&gt;&lt;D xsi:type="xsd:double"&gt;-26.190477&lt;/D&gt;&lt;D xsi:type="xsd:double"&gt;14.570988&lt;/D&gt;&lt;D xsi:type="xsd:double"&gt;-7.450676&lt;/D&gt;&lt;D xsi:type="xsd:double"&gt;9.848452&lt;/D&gt;&lt;D xsi:type="xsd:double"&gt;-1.6486645&lt;/D&gt;&lt;D xsi:type="xsd:double"&gt;-3.6994278&lt;/D&gt;&lt;D xsi:type="xsd:double"&gt;-4.9419823&lt;/D&gt;&lt;D xsi:type="xsd:double"&gt;-15.891391&lt;/D&gt;&lt;D xsi:type="xsd:double"&gt;7.982993&lt;/D&gt;&lt;D xsi:type="xsd:double"&gt;13.71125&lt;/D&gt;&lt;D xsi:type="xsd:double"&gt;11.43744&lt;/D&gt;&lt;D xsi:type="xsd:double"&gt;-3.9532304&lt;/D&gt;&lt;D xsi:type="xsd:double"&gt;-8.425122&lt;/D&gt;&lt;D xsi:type="xsd:double"&gt;3.059721&lt;/D&gt;&lt;D xsi:type="xsd:double"&gt;-5.364454&lt;/D&gt;&lt;D xsi:type="xsd:double"&gt;2.3075223&lt;/D&gt;&lt;D xsi:type="xsd:double"&gt;-0.4269898&lt;/D&gt;&lt;D xsi:type="xsd:double"&gt;-2.4228156&lt;/D&gt;&lt;D xsi:type="xsd:double"&gt;-2.1973193&lt;/D&gt;&lt;D xsi:type="xsd:double"&gt;-3.010559&lt;/D&gt;&lt;D xsi:type="xsd:double"&gt;1.8299818&lt;/D&gt;&lt;D xsi:type="xsd:double"&gt;-5.982703&lt;/D&gt;&lt;D xsi:type="xsd:double"&gt;-3.795129&lt;/D&gt;&lt;D xsi:type="xsd:double"&gt;-1.7792642&lt;/D&gt;&lt;D xsi:type="xsd:double"&gt;5.460751&lt;/D&gt;&lt;/FQL&gt;&lt;FQL&gt;&lt;Q&gt;MCHI^FMA_PE(NTMA,-10AY,0,AM,"PORTAGG","MEANR")&lt;/Q&gt;&lt;R&gt;121&lt;/R&gt;&lt;C&gt;1&lt;/C&gt;&lt;D xsi:type="xsd:double"&gt;8.02896768402934&lt;/D&gt;&lt;D xsi:type="xsd:double"&gt;8.73002837713311&lt;/D&gt;&lt;D xsi:type="xsd:double"&gt;8.51808543184506&lt;/D&gt;&lt;D xsi:type="xsd:double"&gt;8.85154865551953&lt;/D&gt;&lt;D xsi:type="xsd:double"&gt;8.93823792604311&lt;/D&gt;&lt;D xsi:type="xsd:double"&gt;9.29485141858772&lt;/D&gt;&lt;D xsi:type="xsd:double"&gt;9.15122957491429&lt;/D&gt;&lt;D xsi:type="xsd:double"&gt;8.43133447776541&lt;/D&gt;&lt;D xsi:type="xsd:double"&gt;8.93568437376669&lt;/D&gt;&lt;D xsi:type="xsd:double"&gt;9.08631439665512&lt;/D&gt;&lt;D xsi:type="xsd:double"&gt;9.74365599421504&lt;/D&gt;&lt;D xsi:type="xsd:double"&gt;10.1782912535411&lt;/D&gt;&lt;D xsi:type="xsd:double"&gt;9.92807250081178&lt;/D&gt;&lt;D xsi:type="xsd:double"&gt;12.0834616607412&lt;/D&gt;&lt;D xsi:type="xsd:double"&gt;11.7829384991447&lt;/D&gt;&lt;D xsi:type="xsd:double"&gt;11.518781463985&lt;/D&gt;&lt;D xsi:type="xsd:double"&gt;9.93487288485087&lt;/D&gt;&lt;D xsi:type="xsd:double"&gt;9.6152858252699&lt;/D&gt;&lt;D xsi:type="xsd:double"&gt;8.80020613881501&lt;/D&gt;&lt;D xsi:type="xsd:double"&gt;9.35438318817162&lt;/D&gt;&lt;D xsi:type="xsd:double"&gt;9.4600885266505&lt;/D&gt;&lt;D xsi:type="xsd:double"&gt;8.99975949274616&lt;/D&gt;&lt;D xsi:type="xsd:double"&gt;9.13780668926094&lt;/D&gt;&lt;D xsi:type="xsd:double"&gt;8.44687337170201&lt;/D&gt;&lt;D xsi:type="xsd:double"&gt;9.75172458927963&lt;/D&gt;&lt;D xsi:type="xsd:double"&gt;10.4648669143856&lt;/D&gt;&lt;D xsi:type="xsd:double"&gt;9.46744278450773&lt;/D&gt;&lt;D xsi:type="xsd:double"&gt;10.6246486657292&lt;/D&gt;&lt;D xsi:type="xsd:double"&gt;11.3688965404897&lt;/D&gt;&lt;D xsi:type="xsd:double"&gt;12.0710779395762&lt;/D&gt;&lt;D xsi:type="xsd:double"&gt;12.2358096352522&lt;/D&gt;&lt;D xsi:type="xsd:double"&gt;12.1936352815595&lt;/D&gt;&lt;D xsi:type="xsd:double"&gt;11.4951445440845&lt;/D&gt;&lt;D xsi:type="xsd:double"&gt;11.6191601920255&lt;/D&gt;&lt;D xsi:type="xsd:double"&gt;11.7854980632747&lt;/D&gt;&lt;D xsi:type="xsd:double"&gt;12.2863873320623&lt;/D&gt;&lt;D xsi:type="xsd:double"&gt;12.4310331792781&lt;/D&gt;&lt;D xsi:type="xsd:double"&gt;12.1143429453847&lt;/D&gt;&lt;D xsi:type="xsd:double"&gt;12.8514905729206&lt;/D&gt;&lt;D xsi:type="xsd:double"&gt;12.9687884834143&lt;/D&gt;&lt;D xsi:type="xsd:double"&gt;13.296308132682&lt;/D&gt;&lt;D xsi:type="xsd:double"&gt;13.4345963475828&lt;/D&gt;&lt;D xsi:type="xsd:double"&gt;13.5287255721267&lt;/D&gt;&lt;D xsi:type="xsd:double"&gt;13.79458633379&lt;/D&gt;&lt;D xsi:type="xsd:double"&gt;13.8700794726823&lt;/D&gt;&lt;D xsi:type="xsd:double"&gt;13.3176783141996&lt;/D&gt;&lt;D xsi:type="xsd:double"&gt;14.0817043218966&lt;/D&gt;&lt;D xsi:type="xsd:double"&gt;13.1956825911653&lt;/D&gt;&lt;D xsi:type="xsd:double"&gt;13.5080446483444&lt;/D&gt;&lt;D xsi:type="xsd:double"&gt;12.4963869639861&lt;/D&gt;&lt;D xsi:type="xsd:double"&gt;12.8213252505799&lt;/D&gt;&lt;D xsi:type="xsd:double"&gt;12.6050203152299&lt;/D&gt;&lt;D xsi:type="xsd:double"&gt;11.8543917087891&lt;/D&gt;&lt;D xsi:type="xsd:double"&gt;11.2946388545486&lt;/D&gt;&lt;D xsi:type="xsd:double"&gt;10.9539378264986&lt;/D&gt;&lt;D xsi:type="xsd:double"&gt;10.2507903651405&lt;/D&gt;&lt;D xsi:type="xsd:double"&gt;10.297298023133&lt;/D&gt;&lt;D xsi:type="xsd:double"&gt;10.5638183611365&lt;/D&gt;&lt;D xsi:type="xsd:double"&gt;10.305917426258&lt;/D&gt;&lt;D xsi:type="xsd:double"&gt;11.3183815482332&lt;/D&gt;&lt;D xsi:type="xsd:double"&gt;11.6107449740628&lt;/D&gt;&lt;D xsi:type="xsd:double"&gt;12.2745204865546&lt;/D&gt;&lt;D xsi:type="xsd:double"&gt;11.3885013204683&lt;/D&gt;&lt;D xsi:type="xsd:double"&gt;11.0164985113921&lt;/D&gt;&lt;D xsi:type="xsd:double"&gt;11.3649790237517&lt;/D&gt;&lt;D xsi:type="xsd:double"&gt;10.6732447608397&lt;/D&gt;&lt;D xsi:type="xsd:double"&gt;11.6551444161778&lt;/D&gt;&lt;D xsi:type="xsd:double"&gt;11.1677656262629&lt;/D&gt;&lt;D xsi:type="xsd:double"&gt;11.1544077132348&lt;/D&gt;&lt;D xsi:type="xsd:double"&gt;11.9688459208433&lt;/D&gt;&lt;D xsi:type="xsd:double"&gt;12.6148843278179&lt;/D&gt;&lt;D xsi:type="xsd:double"&gt;12.3901467675149&lt;/D&gt;&lt;D xsi:type="xsd:double"&gt;11.2994416933626&lt;/D&gt;&lt;D xsi:type="xsd:double"&gt;12.2053246837354&lt;/D&gt;&lt;D xsi:type="xsd:double"&gt;12.5464538527775&lt;/D&gt;&lt;D xsi:type="xsd:double"&gt;13.6257403054629&lt;/D&gt;&lt;D xsi:type="xsd:double"&gt;15.24408441101&lt;/D&gt;&lt;D xsi:type="xsd:double"&gt;14.7849368974256&lt;/D&gt;&lt;D xsi:type="xsd:double"&gt;14.9928668567862&lt;/D&gt;&lt;D xsi:type="xsd:double"&gt;15.5270451250361&lt;/D&gt;&lt;D xsi:type="xsd:double"&gt;15.4103839788328&lt;/D&gt;&lt;D xsi:type="xsd:double"&gt;15.0541244503434&lt;/D&gt;&lt;D xsi:type="xsd:double"&gt;16.790518419908&lt;/D&gt;&lt;D xsi:type="xsd:double"&gt;18.7307881531174&lt;/D&gt;&lt;D xsi:type="xsd:double"&gt;16.7068358740484&lt;/D&gt;&lt;D xsi:type="xsd:double"&gt;16.0101395810573&lt;/D&gt;&lt;D xsi:type="xsd:double"&gt;15.0138384344541&lt;/D&gt;&lt;D xsi:type="xsd:double"&gt;15.971342077591&lt;/D&gt;&lt;D xsi:type="xsd:double"&gt;15.1969557804935&lt;/D&gt;&lt;D xsi:type="xsd:double"&gt;13.9535014769017&lt;/D&gt;&lt;D xsi:type="xsd:double"&gt;13.6687388453258&lt;/D&gt;&lt;D xsi:type="xsd:double"&gt;13.4496818681889&lt;/D&gt;&lt;D xsi:type="xsd:double"&gt;13.4851095252489&lt;/D&gt;&lt;D xsi:type="xsd:double"&gt;12.6551963286934&lt;/D&gt;&lt;D xsi:type="xsd:double"&gt;12.6068990795866&lt;/D&gt;&lt;D xsi:type="xsd:double"&gt;12.1673337349093&lt;/D&gt;&lt;D xsi:type="xsd:double"&gt;9.16753004380964&lt;/D&gt;&lt;D xsi:type="xsd:double"&gt;10.5954142617368&lt;/D&gt;&lt;D xsi:type="xsd:double"&gt;10.3251361667608&lt;/D&gt;&lt;D xsi:type="xsd:double"&gt;11.5205388488914&lt;/D&gt;&lt;D xsi:type="xsd:double"&gt;11.39549264283&lt;/D&gt;&lt;D xsi:type="xsd:double"&gt;10.841113253906&lt;/D&gt;&lt;D xsi:type="xsd:double"&gt;10.6385047636883&lt;/D&gt;&lt;D xsi:type="xsd:double"&gt;9.27477185576138&lt;/D&gt;&lt;D xsi:type="xsd:double"&gt;9.74491023027622&lt;/D&gt;&lt;D xsi:type="xsd:double"&gt;10.9036249842013&lt;/D&gt;&lt;D xsi:type="xsd:double"&gt;11.7672765914997&lt;/D&gt;&lt;D xsi:type="xsd:double"&gt;11.4004336356808&lt;/D&gt;&lt;D xsi:type="xsd:double"&gt;10.3436925972855&lt;/D&gt;&lt;D xsi:type="xsd:double"&gt;10.8796286965057&lt;/D&gt;&lt;D xsi:type="xsd:double"&gt;10.3372324978999&lt;/D&gt;&lt;D xsi:type="xsd:double"&gt;10.489098034622&lt;/D&gt;&lt;D xsi:type="xsd:double"&gt;10.5487076289107&lt;/D&gt;&lt;D xsi:type="xsd:double"&gt;10.436372964653&lt;/D&gt;&lt;D xsi:type="xsd:double"&gt;10.1955312442726&lt;/D&gt;&lt;D xsi:type="xsd:double"&gt;9.89910287442255&lt;/D&gt;&lt;D xsi:type="xsd:double"&gt;9.76489538375503&lt;/D&gt;&lt;D xsi:type="xsd:double"&gt;9.15921343218685&lt;/D&gt;&lt;D xsi:type="xsd:double"&gt;9.0002464149989&lt;/D&gt;&lt;D xsi:type="xsd:double"&gt;8.8337552483667&lt;/D&gt;&lt;D xsi:type="xsd:double"&gt;9.43179744988616&lt;/D&gt;&lt;/FQL&gt;&lt;FQL&gt;&lt;Q&gt;BRENT-FDS^FG_PRICE_CHANGE(0,-6AM)&lt;/Q&gt;&lt;R&gt;1&lt;/R&gt;&lt;C&gt;1&lt;/C&gt;&lt;D xsi:type="xsd:double"&gt;-10.1788890051261&lt;/D&gt;&lt;/FQL&gt;&lt;FQL&gt;&lt;Q&gt;SPY^PERCENT_CHANGE(FMA_EPS(+1,0,,,,"PORTAGG","MEAN"),FMA_EPS(+1,-1AM,,,,"PORTAGG","MEAN"))&lt;/Q&gt;&lt;R&gt;1&lt;/R&gt;&lt;C&gt;1&lt;/C&gt;&lt;D xsi:type="xsd:double"&gt;0.572270303705405&lt;/D&gt;&lt;/FQL&gt;&lt;FQL&gt;&lt;Q&gt;VNM^PERCENT_CHANGE(FMA_EPS(+1,0,,,,"PORTAGG","MEAN"),FMA_EPS(+1,-3AM,,,,"PORTAGG","MEAN"))&lt;/Q&gt;&lt;R&gt;1&lt;/R&gt;&lt;C&gt;1&lt;/C&gt;&lt;D xsi:type="xsd:double"&gt;-16.2178166647855&lt;/D&gt;&lt;/FQL&gt;&lt;FQL&gt;&lt;Q&gt;REFMXTON-FDS^PROPER_NAME(0,,,"SECURITY","NAME")&lt;/Q&gt;&lt;R&gt;1&lt;/R&gt;&lt;C&gt;1&lt;/C&gt;&lt;D xsi:type="xsd:string"&gt;Mexico Target Rate - Overnight&lt;/D&gt;&lt;/FQL&gt;&lt;FQL&gt;&lt;Q&gt;REFIDRREPO-FDS^FG_YIELD(NOW,,,0)&lt;/Q&gt;&lt;R&gt;1&lt;/R&gt;&lt;C&gt;1&lt;/C&gt;&lt;D xsi:type="xsd:double"&gt;6&lt;/D&gt;&lt;/FQL&gt;&lt;FQL&gt;&lt;Q&gt;EPU^FMA_PE(LTM,0,,,"PORTAGG","MEANR")&lt;/Q&gt;&lt;R&gt;1&lt;/R&gt;&lt;C&gt;1&lt;/C&gt;&lt;D xsi:type="xsd:double"&gt;16.9307243163051&lt;/D&gt;&lt;/FQL&gt;&lt;FQL&gt;&lt;Q&gt;EIDO^FMA_EVAL_EBITDA(NTMA,0,,,"PORTAGG","MEANR")&lt;/Q&gt;&lt;R&gt;1&lt;/R&gt;&lt;C&gt;1&lt;/C&gt;&lt;D xsi:type="xsd:double"&gt;6.27465657013755&lt;/D&gt;&lt;/FQL&gt;&lt;FQL&gt;&lt;Q&gt;DDR3512M-FDS^FG_PRICE_CHANGE(0,-1AY)&lt;/Q&gt;&lt;R&gt;1&lt;/R&gt;&lt;C&gt;1&lt;/C&gt;&lt;D xsi:type="xsd:double"&gt;-18.6113261331039&lt;/D&gt;&lt;/FQL&gt;&lt;FQL&gt;&lt;Q&gt;PASP-FDS^FG_PRICE_MAVG(0,,,,30)&lt;/Q&gt;&lt;R&gt;1&lt;/R&gt;&lt;C&gt;1&lt;/C&gt;&lt;D xsi:type="xsd:double"&gt;973.4667&lt;/D&gt;&lt;/FQL&gt;&lt;FQL&gt;&lt;Q&gt;INDA^FMA_ROE(NTMA,-20AY,NOW,FY,"PORTAGG","MEANR")&lt;/Q&gt;&lt;R&gt;20&lt;/R&gt;&lt;C&gt;1&lt;/C&gt;&lt;D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xsi:type="xsd:double"&gt;16.0758035604142&lt;/D&gt;&lt;/FQL&gt;&lt;FQL&gt;&lt;Q&gt;CC_PE^FG_COMPANY_NAME&lt;/Q&gt;&lt;R&gt;1&lt;/R&gt;&lt;C&gt;1&lt;/C&gt;&lt;D xsi:type="xsd:string"&gt;Peru&lt;/D&gt;&lt;/FQL&gt;&lt;FQL&gt;&lt;Q&gt;USDTRY^STD(FG_PRICE_CHANGE(0,-3AY,M))&lt;/Q&gt;&lt;R&gt;1&lt;/R&gt;&lt;C&gt;1&lt;/C&gt;&lt;D xsi:type="xsd:double"&gt;7.643183865807&lt;/D&gt;&lt;/FQL&gt;&lt;FQL&gt;&lt;Q&gt;USDZAR^FG_PRICE_CHANGE(0,-6AM)&lt;/Q&gt;&lt;R&gt;1&lt;/R&gt;&lt;C&gt;1&lt;/C&gt;&lt;D xsi:type="xsd:double"&gt;-0.99710226&lt;/D&gt;&lt;/FQL&gt;&lt;FQL&gt;&lt;Q&gt;INDA^P_PRICE_RETURNS_PR('52W',2,-10AY,0,AM)&lt;/Q&gt;&lt;R&gt;121&lt;/R&gt;&lt;C&gt;1&lt;/C&gt;&lt;D xsi:type="xsd:double"&gt;-4.0068808&lt;/D&gt;&lt;D xsi:type="xsd:double"&gt;10.62665&lt;/D&gt;&lt;D xsi:type="xsd:double"&gt;7.250726&lt;/D&gt;&lt;D xsi:type="xsd:double"&gt;25.675892&lt;/D&gt;&lt;D xsi:type="xsd:double"&gt;23.501598&lt;/D&gt;&lt;D xsi:type="xsd:double"&gt;35.043537&lt;/D&gt;&lt;D xsi:type="xsd:double"&gt;39.800476&lt;/D&gt;&lt;D xsi:type="xsd:double"&gt;22.875309&lt;/D&gt;&lt;D xsi:type="xsd:double"&gt;36.704266&lt;/D&gt;&lt;D xsi:type="xsd:double"&gt;24.729156&lt;/D&gt;&lt;D xsi:type="xsd:double"&gt;24.216366&lt;/D&gt;&lt;D xsi:type="xsd:double"&gt;41.171993&lt;/D&gt;&lt;D xsi:type="xsd:double"&gt;29.199446&lt;/D&gt;&lt;D xsi:type="xsd:double"&gt;25.091064&lt;/D&gt;&lt;D xsi:type="xsd:double"&gt;8.896446&lt;/D&gt;&lt;D xsi:type="xsd:double"&gt;-4.916626&lt;/D&gt;&lt;D xsi:type="xsd:double"&gt;6.2327027&lt;/D&gt;&lt;D xsi:type="xsd:double"&gt;0.87201595&lt;/D&gt;&lt;D xsi:type="xsd:double"&gt;-10.427022&lt;/D&gt;&lt;D xsi:type="xsd:double"&gt;-3.2008529&lt;/D&gt;&lt;D xsi:type="xsd:double"&gt;-14.538866&lt;/D&gt;&lt;D xsi:type="xsd:double"&gt;-10.882622&lt;/D&gt;&lt;D xsi:type="xsd:double"&gt;-14.104176&lt;/D&gt;&lt;D xsi:type="xsd:double"&gt;-25.462992&lt;/D&gt;&lt;D xsi:type="xsd:double"&gt;-17.181992&lt;/D&gt;&lt;D xsi:type="xsd:double"&gt;-16.652775&lt;/D&gt;&lt;D xsi:type="xsd:double"&gt;-10.242134&lt;/D&gt;&lt;D xsi:type="xsd:double"&gt;-3.235203&lt;/D&gt;&lt;D xsi:type="xsd:double"&gt;-4.579777&lt;/D&gt;&lt;D xsi:type="xsd:double"&gt;0.87521076&lt;/D&gt;&lt;D xsi:type="xsd:double"&gt;7.578063&lt;/D&gt;&lt;D xsi:type="xsd:double"&gt;2.0154595&lt;/D&gt;&lt;D xsi:type="xsd:double"&gt;0.14554262&lt;/D&gt;&lt;D xsi:type="xsd:double"&gt;2.8111577&lt;/D&gt;&lt;D xsi:type="xsd:double"&gt;8.419931&lt;/D&gt;&lt;D xsi:type="xsd:double"&gt;23.011827&lt;/D&gt;&lt;D xsi:type="xsd:double"&gt;18.719292&lt;/D&gt;&lt;D xsi:type="xsd:double"&gt;16.061354&lt;/D&gt;&lt;D xsi:type="xsd:double"&gt;21.416128&lt;/D&gt;&lt;D xsi:type="xsd:double"&gt;21.382952&lt;/D&gt;&lt;D xsi:type="xsd:double"&gt;17.36275&lt;/D&gt;&lt;D xsi:type="xsd:double"&gt;13.931823&lt;/D&gt;&lt;D xsi:type="xsd:double"&gt;17.90613&lt;/D&gt;&lt;D xsi:type="xsd:double"&gt;19.432808&lt;/D&gt;&lt;D xsi:type="xsd:double"&gt;29.070366&lt;/D&gt;&lt;D xsi:type="xsd:double"&gt;32.71631&lt;/D&gt;&lt;D xsi:type="xsd:double"&gt;35.77247&lt;/D&gt;&lt;D xsi:type="xsd:double"&gt;23.194515&lt;/D&gt;&lt;D xsi:type="xsd:double"&gt;14.0619755&lt;/D&gt;&lt;D xsi:type="xsd:double"&gt;11.563599&lt;/D&gt;&lt;D xsi:type="xsd:double"&gt;5.3709984&lt;/D&gt;&lt;D xsi:type="xsd:double"&gt;3.9430141&lt;/D&gt;&lt;D xsi:type="xsd:double"&gt;2.0915866&lt;/D&gt;&lt;D xsi:type="xsd:double"&gt;5.701375&lt;/D&gt;&lt;D xsi:type="xsd:double"&gt;1.3926506&lt;/D&gt;&lt;D xsi:type="xsd:double"&gt;-9.520817&lt;/D&gt;&lt;D xsi:type="xsd:double"&gt;-5.944723&lt;/D&gt;&lt;D xsi:type="xsd:double"&gt;-7.7425776&lt;/D&gt;&lt;D xsi:type="xsd:double"&gt;-12.237989&lt;/D&gt;&lt;D xsi:type="xsd:double"&gt;-8.6943035&lt;/D&gt;&lt;D xsi:type="xsd:double"&gt;0.9189725&lt;/D&gt;&lt;D xsi:type="xsd:double"&gt;2.3352742&lt;/D&gt;&lt;D xsi:type="xsd:double"&gt;-0.54083467&lt;/D&gt;&lt;D xsi:type="xsd:double"&gt;4.981208&lt;/D&gt;&lt;D xsi:type="xsd:double"&gt;3.1556368&lt;/D&gt;&lt;D xsi:type="xsd:double"&gt;-8.622724&lt;/D&gt;&lt;D xsi:type="xsd:double"&gt;-4.0198984&lt;/D&gt;&lt;D xsi:type="xsd:double"&gt;9.081459&lt;/D&gt;&lt;D xsi:type="xsd:double"&gt;8.710014&lt;/D&gt;&lt;D xsi:type="xsd:double"&gt;10.520959&lt;/D&gt;&lt;D xsi:type="xsd:double"&gt;12.7109165&lt;/D&gt;&lt;D xsi:type="xsd:double"&gt;9.829378&lt;/D&gt;&lt;D xsi:type="xsd:double"&gt;-17.234825&lt;/D&gt;&lt;D xsi:type="xsd:double"&gt;-25.905592&lt;/D&gt;&lt;D xsi:type="xsd:double"&gt;-19.707716&lt;/D&gt;&lt;D xsi:type="xsd:double"&gt;-20.143736&lt;/D&gt;&lt;D xsi:type="xsd:double"&gt;-11.560255&lt;/D&gt;&lt;D xsi:type="xsd:double"&gt;4.5878887&lt;/D&gt;&lt;D xsi:type="xsd:double"&gt;5.1487803&lt;/D&gt;&lt;D xsi:type="xsd:double"&gt;8.505451&lt;/D&gt;&lt;D xsi:type="xsd:double"&gt;7.7124715&lt;/D&gt;&lt;D xsi:type="xsd:double"&gt;9.777439&lt;/D&gt;&lt;D xsi:type="xsd:double"&gt;16.455746&lt;/D&gt;&lt;D xsi:type="xsd:double"&gt;20.934795&lt;/D&gt;&lt;D xsi:type="xsd:double"&gt;71.330666&lt;/D&gt;&lt;D xsi:type="xsd:double"&gt;58.052826&lt;/D&gt;&lt;D xsi:type="xsd:double"&gt;60.41286&lt;/D&gt;&lt;D xsi:type="xsd:double"&gt;60.769176&lt;/D&gt;&lt;D xsi:type="xsd:double"&gt;45.53882&lt;/D&gt;&lt;D xsi:type="xsd:double"&gt;40.247463&lt;/D&gt;&lt;D xsi:type="xsd:double"&gt;44.09592&lt;/D&gt;&lt;D xsi:type="xsd:double"&gt;42.448532&lt;/D&gt;&lt;D xsi:type="xsd:double"&gt;42.289925&lt;/D&gt;&lt;D xsi:type="xsd:double"&gt;24.001526&lt;/D&gt;&lt;D xsi:type="xsd:double"&gt;22.460604&lt;/D&gt;&lt;D xsi:type="xsd:double"&gt;7.564962&lt;/D&gt;&lt;D xsi:type="xsd:double"&gt;6.3745737&lt;/D&gt;&lt;D xsi:type="xsd:double"&gt;16.369665&lt;/D&gt;&lt;D xsi:type="xsd:double"&gt;2.9357076&lt;/D&gt;&lt;D xsi:type="xsd:double"&gt;-6.4590216&lt;/D&gt;&lt;D xsi:type="xsd:double"&gt;-4.9286366&lt;/D&gt;&lt;D xsi:type="xsd:double"&gt;1.5292764&lt;/D&gt;&lt;D xsi:type="xsd:double"&gt;-4.8065305&lt;/D&gt;&lt;D xsi:type="xsd:double"&gt;-14.816856&lt;/D&gt;&lt;D xsi:type="xsd:double"&gt;-8.810109&lt;/D&gt;&lt;D xsi:type="xsd:double"&gt;-3.777796&lt;/D&gt;&lt;D xsi:type="xsd:double"&gt;-12.091101&lt;/D&gt;&lt;D xsi:type="xsd:double"&gt;-7.6958537&lt;/D&gt;&lt;D xsi:type="xsd:double"&gt;-9.139782&lt;/D&gt;&lt;D xsi:type="xsd:double"&gt;-10.07613&lt;/D&gt;&lt;D xsi:type="xsd:double"&gt;2.2266269&lt;/D&gt;&lt;D xsi:type="xsd:double"&gt;7.962024&lt;/D&gt;&lt;D xsi:type="xsd:double"&gt;11.753321&lt;/D&gt;&lt;D xsi:type="xsd:double"&gt;-0.36094785&lt;/D&gt;&lt;D xsi:type="xsd:double"&gt;2.8487444&lt;/D&gt;&lt;D xsi:type="xsd:double"&gt;9.149957&lt;/D&gt;&lt;D xsi:type="xsd:double"&gt;3.8759708&lt;/D&gt;&lt;D xsi:type="xsd:double"&gt;12.49758&lt;/D&gt;&lt;D xsi:type="xsd:double"&gt;17.886246&lt;/D&gt;&lt;D xsi:type="xsd:double"&gt;27.07467&lt;/D&gt;&lt;D xsi:type="xsd:double"&gt;30.707287&lt;/D&gt;&lt;/FQL&gt;&lt;FQL&gt;&lt;Q&gt;GREK^FMA_DIV_YLD(NTMA,-10AY,0,AM,"PORTAGG","MEANR")&lt;/Q&gt;&lt;R&gt;121&lt;/R&gt;&lt;C&gt;1&lt;/C&gt;&lt;D xsi:type="xsd:double"&gt;2.22124337315801&lt;/D&gt;&lt;D xsi:type="xsd:double"&gt;2.5178541986393&lt;/D&gt;&lt;D xsi:type="xsd:double"&gt;2.14897018205945&lt;/D&gt;&lt;D xsi:type="xsd:double"&gt;1.8465032573854&lt;/D&gt;&lt;D xsi:type="xsd:double"&gt;2.03342687456729&lt;/D&gt;&lt;D xsi:type="xsd:double"&gt;2.1142066025714&lt;/D&gt;&lt;D xsi:type="xsd:double"&gt;2.11788315089588&lt;/D&gt;&lt;D xsi:type="xsd:double"&gt;2.57101215883882&lt;/D&gt;&lt;D xsi:type="xsd:double"&gt;2.76027028489975&lt;/D&gt;&lt;D xsi:type="xsd:double"&gt;2.91776273670971&lt;/D&gt;&lt;D xsi:type="xsd:double"&gt;3.50262937930002&lt;/D&gt;&lt;D xsi:type="xsd:double"&gt;3.13457538347492&lt;/D&gt;&lt;D xsi:type="xsd:double"&gt;3.44762764639271&lt;/D&gt;&lt;D xsi:type="xsd:double"&gt;3.50838315550434&lt;/D&gt;&lt;D xsi:type="xsd:double"&gt;3.16228049012725&lt;/D&gt;&lt;D xsi:type="xsd:double"&gt;3.53782357795729&lt;/D&gt;&lt;D xsi:type="xsd:double"&gt;3.27759557878818&lt;/D&gt;&lt;D xsi:type="xsd:double"&gt;4.05222967994315&lt;/D&gt;&lt;D xsi:type="xsd:double"&gt;3.58505887513906&lt;/D&gt;&lt;D xsi:type="xsd:double"&gt;3.01260472414683&lt;/D&gt;&lt;D xsi:type="xsd:double"&gt;3.24952868539919&lt;/D&gt;&lt;D xsi:type="xsd:double"&gt;3.0132612135167&lt;/D&gt;&lt;D xsi:type="xsd:double"&gt;2.7592567901473&lt;/D&gt;&lt;D xsi:type="xsd:double"&gt;3.05629215934296&lt;/D&gt;&lt;D xsi:type="xsd:double"&gt;3.3218555647814&lt;/D&gt;&lt;D xsi:type="xsd:double"&gt;3.5224828220311&lt;/D&gt;&lt;D xsi:type="xsd:double"&gt;2.33195585966464&lt;/D&gt;&lt;D xsi:type="xsd:double"&gt;2.66545143936522&lt;/D&gt;&lt;D xsi:type="xsd:double"&gt;2.92807508028154&lt;/D&gt;&lt;D xsi:type="xsd:double"&gt;2.93273466641607&lt;/D&gt;&lt;D xsi:type="xsd:double"&gt;3.37525168135015&lt;/D&gt;&lt;D xsi:type="xsd:double"&gt;2.96667025522828&lt;/D&gt;&lt;D xsi:type="xsd:double"&gt;3.06358763188456&lt;/D&gt;&lt;D xsi:type="xsd:double"&gt;2.82380844455531&lt;/D&gt;&lt;D xsi:type="xsd:double"&gt;2.89940595224256&lt;/D&gt;&lt;D xsi:type="xsd:double"&gt;3.0562899356639&lt;/D&gt;&lt;D xsi:type="xsd:double"&gt;2.98568079672089&lt;/D&gt;&lt;D xsi:type="xsd:double"&gt;2.61638791576216&lt;/D&gt;&lt;D xsi:type="xsd:double"&gt;2.55675524880693&lt;/D&gt;&lt;D xsi:type="xsd:double"&gt;2.72570196967489&lt;/D&gt;&lt;D xsi:type="xsd:double"&gt;2.41627671549985&lt;/D&gt;&lt;D xsi:type="xsd:double"&gt;2.57235747239553&lt;/D&gt;&lt;D xsi:type="xsd:double"&gt;2.72518654322254&lt;/D&gt;&lt;D xsi:type="xsd:double"&gt;2.80709457500134&lt;/D&gt;&lt;D xsi:type="xsd:double"&gt;3.13401860128422&lt;/D&gt;&lt;D xsi:type="xsd:double"&gt;2.70655641052157&lt;/D&gt;&lt;D xsi:type="xsd:double"&gt;2.48920846934425&lt;/D&gt;&lt;D xsi:type="xsd:double"&gt;2.74011499878973&lt;/D&gt;&lt;D xsi:type="xsd:double"&gt;3.1036445534908&lt;/D&gt;&lt;D xsi:type="xsd:double"&gt;3.13263021003849&lt;/D&gt;&lt;D xsi:type="xsd:double"&gt;3.09928872167719&lt;/D&gt;&lt;D xsi:type="xsd:double"&gt;3.35493128521084&lt;/D&gt;&lt;D xsi:type="xsd:double"&gt;3.43408596888465&lt;/D&gt;&lt;D xsi:type="xsd:double"&gt;3.67778322997011&lt;/D&gt;&lt;D xsi:type="xsd:double"&gt;3.91771371518073&lt;/D&gt;&lt;D xsi:type="xsd:double"&gt;4.17839444026252&lt;/D&gt;&lt;D xsi:type="xsd:double"&gt;4.24597185945442&lt;/D&gt;&lt;D xsi:type="xsd:double"&gt;4.17185436259898&lt;/D&gt;&lt;D xsi:type="xsd:double"&gt;4.23258237893049&lt;/D&gt;&lt;D xsi:type="xsd:double"&gt;4.26300800204959&lt;/D&gt;&lt;D xsi:type="xsd:double"&gt;3.80942824224324&lt;/D&gt;&lt;D xsi:type="xsd:double"&gt;3.51692035939744&lt;/D&gt;&lt;D xsi:type="xsd:double"&gt;3.8447898498907&lt;/D&gt;&lt;D xsi:type="xsd:double"&gt;3.27808321988235&lt;/D&gt;&lt;D xsi:type="xsd:double"&gt;3.35346955194263&lt;/D&gt;&lt;D xsi:type="xsd:double"&gt;3.46369746826675&lt;/D&gt;&lt;D xsi:type="xsd:double"&gt;3.40698808200386&lt;/D&gt;&lt;D xsi:type="xsd:double"&gt;3.27712241712804&lt;/D&gt;&lt;D xsi:type="xsd:double"&gt;3.24589711329204&lt;/D&gt;&lt;D xsi:type="xsd:double"&gt;2.98010725675619&lt;/D&gt;&lt;D xsi:type="xsd:double"&gt;2.92606619019645&lt;/D&gt;&lt;D xsi:type="xsd:double"&gt;2.81509875335234&lt;/D&gt;&lt;D xsi:type="xsd:double"&gt;5.06042120395656&lt;/D&gt;&lt;D xsi:type="xsd:double"&gt;4.46163005141956&lt;/D&gt;&lt;D xsi:type="xsd:double"&gt;4.61650690725459&lt;/D&gt;&lt;D xsi:type="xsd:double"&gt;3.73372655796033&lt;/D&gt;&lt;D xsi:type="xsd:double"&gt;3.72100421799783&lt;/D&gt;&lt;D xsi:type="xsd:double"&gt;3.55798710993901&lt;/D&gt;&lt;D xsi:type="xsd:double"&gt;3.49913858476647&lt;/D&gt;&lt;D xsi:type="xsd:double"&gt;3.73685499851385&lt;/D&gt;&lt;D xsi:type="xsd:double"&gt;3.81236581167354&lt;/D&gt;&lt;D xsi:type="xsd:double"&gt;3.34929939051998&lt;/D&gt;&lt;D xsi:type="xsd:double"&gt;3.24933147160234&lt;/D&gt;&lt;D xsi:type="xsd:double"&gt;3.38305111919347&lt;/D&gt;&lt;D xsi:type="xsd:double"&gt;3.21035353706751&lt;/D&gt;&lt;D xsi:type="xsd:double"&gt;3.33359002715565&lt;/D&gt;&lt;D xsi:type="xsd:double"&gt;3.09386480354302&lt;/D&gt;&lt;D xsi:type="xsd:double"&gt;2.95854733576836&lt;/D&gt;&lt;D xsi:type="xsd:double"&gt;3.19365291688309&lt;/D&gt;&lt;D xsi:type="xsd:double"&gt;3.06997040945139&lt;/D&gt;&lt;D xsi:type="xsd:double"&gt;2.99459430700753&lt;/D&gt;&lt;D xsi:type="xsd:double"&gt;3.08584291581439&lt;/D&gt;&lt;D xsi:type="xsd:double"&gt;2.95786515659004&lt;/D&gt;&lt;D xsi:type="xsd:double"&gt;3.24717622882642&lt;/D&gt;&lt;D xsi:type="xsd:double"&gt;3.09709896566791&lt;/D&gt;&lt;D xsi:type="xsd:double"&gt;2.94193747496773&lt;/D&gt;&lt;D xsi:type="xsd:double"&gt;3.35789308913532&lt;/D&gt;&lt;D xsi:type="xsd:double"&gt;3.14458146985832&lt;/D&gt;&lt;D xsi:type="xsd:double"&gt;3.60159754085578&lt;/D&gt;&lt;D xsi:type="xsd:double"&gt;4.1809657989191&lt;/D&gt;&lt;D xsi:type="xsd:double"&gt;4.40617718930837&lt;/D&gt;&lt;D xsi:type="xsd:double"&gt;3.9852960878911&lt;/D&gt;&lt;D xsi:type="xsd:double"&gt;4.4873812928542&lt;/D&gt;&lt;D xsi:type="xsd:double"&gt;4.50493899384669&lt;/D&gt;&lt;D xsi:type="xsd:double"&gt;4.41651314676082&lt;/D&gt;&lt;D xsi:type="xsd:double"&gt;4.39437537018105&lt;/D&gt;&lt;D xsi:type="xsd:double"&gt;4.5215096641713&lt;/D&gt;&lt;D xsi:type="xsd:double"&gt;3.96785190794368&lt;/D&gt;&lt;D xsi:type="xsd:double"&gt;4.18307594487291&lt;/D&gt;&lt;D xsi:type="xsd:double"&gt;4.16258700958573&lt;/D&gt;&lt;D xsi:type="xsd:double"&gt;4.23212464484961&lt;/D&gt;&lt;D xsi:type="xsd:double"&gt;3.92616840604968&lt;/D&gt;&lt;D xsi:type="xsd:double"&gt;3.96560890865014&lt;/D&gt;&lt;D xsi:type="xsd:double"&gt;4.44806229801121&lt;/D&gt;&lt;D xsi:type="xsd:double"&gt;4.60707759832339&lt;/D&gt;&lt;D xsi:type="xsd:double"&gt;5.12419852643436&lt;/D&gt;&lt;D xsi:type="xsd:double"&gt;4.56710930113343&lt;/D&gt;&lt;D xsi:type="xsd:double"&gt;4.46398958820702&lt;/D&gt;&lt;D xsi:type="xsd:double"&gt;4.46977326038597&lt;/D&gt;&lt;D xsi:type="xsd:double"&gt;4.48374257167416&lt;/D&gt;&lt;D xsi:type="xsd:double"&gt;4.91799617299815&lt;/D&gt;&lt;/FQL&gt;&lt;FQL&gt;&lt;Q&gt;EZA^FG_PRICE_MAVG(0,,,,200)&lt;/Q&gt;&lt;R&gt;1&lt;/R&gt;&lt;C&gt;1&lt;/C&gt;&lt;D xsi:type="xsd:double"&gt;39.49905&lt;/D&gt;&lt;/FQL&gt;&lt;FQL&gt;&lt;Q&gt;GREK^FMA_ROE(NTMA,-20AY,NOW,FY,"PORTAGG","MEANR")&lt;/Q&gt;&lt;R&gt;20&lt;/R&gt;&lt;C&gt;1&lt;/C&gt;&lt;D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xsi:type="xsd:double"&gt;13.1253657894167&lt;/D&gt;&lt;/FQL&gt;&lt;FQL&gt;&lt;Q&gt;CAGDPY@AE^EE_ACTUAL_ANNUAL(MED,+1)&lt;/Q&gt;&lt;R&gt;1&lt;/R&gt;&lt;C&gt;1&lt;/C&gt;&lt;D xsi:type="xsd:double"&gt;12.6&lt;/D&gt;&lt;/FQL&gt;&lt;FQL&gt;&lt;Q&gt;CAGDPY@PH^EE_ACTUAL_ANNUAL(MED,+1)&lt;/Q&gt;&lt;R&gt;1&lt;/R&gt;&lt;C&gt;1&lt;/C&gt;&lt;D xsi:type="xsd:double"&gt;-3.15&lt;/D&gt;&lt;/FQL&gt;&lt;FQL&gt;&lt;Q&gt;USDCNH^FG_PRICE_CHANGE(0,-1AM)&lt;/Q&gt;&lt;R&gt;1&lt;/R&gt;&lt;C&gt;1&lt;/C&gt;&lt;D xsi:type="xsd:double"&gt;-0.3550172&lt;/D&gt;&lt;/FQL&gt;&lt;FQL&gt;&lt;Q&gt;USDPEN^FG_PRICE_CHANGE(0,-1AY)&lt;/Q&gt;&lt;R&gt;1&lt;/R&gt;&lt;C&gt;1&lt;/C&gt;&lt;D xsi:type="xsd:double"&gt;-3.174746&lt;/D&gt;&lt;/FQL&gt;&lt;FQL&gt;&lt;Q&gt;USDIDR^FG_COMPANY_NAME&lt;/Q&gt;&lt;R&gt;1&lt;/R&gt;&lt;C&gt;1&lt;/C&gt;&lt;D xsi:type="xsd:string"&gt;Indonesian Rupiah per U.S. Dollar&lt;/D&gt;&lt;/FQL&gt;&lt;FQL&gt;&lt;Q&gt;FC0000QA^FMA_EPS(NTMA,-20AY,0,CY,,"PORTAGG","MEANR")&lt;/Q&gt;&lt;R&gt;20&lt;/R&gt;&lt;C&gt;1&lt;/C&gt;&lt;D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xsi:type="xsd:double"&gt;9.61320801792281&lt;/D&gt;&lt;/FQL&gt;&lt;FQL&gt;&lt;Q&gt;INDA^FG_TOTAL_RETURNC(-10AY,0,AM)&lt;/Q&gt;&lt;R&gt;121&lt;/R&gt;&lt;C&gt;1&lt;/C&gt;&lt;D xsi:type="xsd:double"&gt;5.300796&lt;/D&gt;&lt;D xsi:type="xsd:double"&gt;6.8118215&lt;/D&gt;&lt;D xsi:type="xsd:double"&gt;4.881239&lt;/D&gt;&lt;D xsi:type="xsd:double"&gt;6.134093&lt;/D&gt;&lt;D xsi:type="xsd:double"&gt;-1.125884&lt;/D&gt;&lt;D xsi:type="xsd:double"&gt;4.0885806&lt;/D&gt;&lt;D xsi:type="xsd:double"&gt;1.931262&lt;/D&gt;&lt;D xsi:type="xsd:double"&gt;-3.0507326&lt;/D&gt;&lt;D xsi:type="xsd:double"&gt;5.630994&lt;/D&gt;&lt;D xsi:type="xsd:double"&gt;-6.428343&lt;/D&gt;&lt;D xsi:type="xsd:double"&gt;2.8071165&lt;/D&gt;&lt;D xsi:type="xsd:double"&gt;7.8206897&lt;/D&gt;&lt;D xsi:type="xsd:double"&gt;-3.0652523&lt;/D&gt;&lt;D xsi:type="xsd:double"&gt;4.0388227&lt;/D&gt;&lt;D xsi:type="xsd:double"&gt;-8.696961&lt;/D&gt;&lt;D xsi:type="xsd:double"&gt;-5.8338823&lt;/D&gt;&lt;D xsi:type="xsd:double"&gt;8.714485&lt;/D&gt;&lt;D xsi:type="xsd:double"&gt;-1.1639178&lt;/D&gt;&lt;D xsi:type="xsd:double"&gt;-9.486425&lt;/D&gt;&lt;D xsi:type="xsd:double"&gt;4.7705054&lt;/D&gt;&lt;D xsi:t</t>
        </r>
      </text>
    </comment>
    <comment ref="A8" authorId="0" shapeId="0" xr:uid="{F9B5DB4F-180B-4707-ACBB-EC4277747DE3}">
      <text>
        <r>
          <rPr>
            <b/>
            <sz val="9"/>
            <color indexed="81"/>
            <rFont val="Tahoma"/>
            <charset val="1"/>
          </rPr>
          <t>ype="xsd:double"&gt;-7.2093844&lt;/D&gt;&lt;D xsi:type="xsd:double"&gt;-1.9330859&lt;/D&gt;&lt;D xsi:type="xsd:double"&gt;-0.9093046&lt;/D&gt;&lt;D xsi:type="xsd:double"&gt;-7.3603096&lt;/D&gt;&lt;D xsi:type="xsd:double"&gt;8.777035&lt;/D&gt;&lt;D xsi:type="xsd:double"&gt;4.703629&lt;/D&gt;&lt;D xsi:type="xsd:double"&gt;-3.0679286&lt;/D&gt;&lt;D xsi:type="xsd:double"&gt;2.976632&lt;/D&gt;&lt;D xsi:type="xsd:double"&gt;7.203853&lt;/D&gt;&lt;D xsi:type="xsd:double"&gt;1.8887281&lt;/D&gt;&lt;D xsi:type="xsd:double"&gt;-1.0111213&lt;/D&gt;&lt;D xsi:type="xsd:double"&gt;-0.646919&lt;/D&gt;&lt;D xsi:type="xsd:double"&gt;-8.910215&lt;/D&gt;&lt;D xsi:type="xsd:double"&gt;0.67720413&lt;/D&gt;&lt;D xsi:type="xsd:double"&gt;3.650856&lt;/D&gt;&lt;D xsi:type="xsd:double"&gt;5.9652925&lt;/D&gt;&lt;D xsi:type="xsd:double"&gt;4.9812436&lt;/D&gt;&lt;D xsi:type="xsd:double"&gt;2.2099495&lt;/D&gt;&lt;D xsi:type="xsd:double"&gt;3.4658194&lt;/D&gt;&lt;D xsi:type="xsd:double"&gt;1.0448694&lt;/D&gt;&lt;D xsi:type="xsd:double"&gt;3.653264&lt;/D&gt;&lt;D xsi:type="xsd:double"&gt;-1.0898352&lt;/D&gt;&lt;D xsi:type="xsd:double"&gt;2.4419308&lt;/D&gt;&lt;D xsi:type="xsd:double"&gt;0.6395221&lt;/D&gt;&lt;D xsi:type="xsd:double"&gt;-1.559782&lt;/D&gt;&lt;D xsi:type="xsd:double"&gt;3.5211205&lt;/D&gt;&lt;D xsi:type="xsd:double"&gt;6.0377&lt;/D&gt;&lt;D xsi:type="xsd:double"&gt;-3.8513362&lt;/D&gt;&lt;D xsi:type="xsd:double"&gt;-2.8011203&lt;/D&gt;&lt;D xsi:type="xsd:double"&gt;-0.028824806&lt;/D&gt;&lt;D xsi:type="xsd:double"&gt;-2.2773027&lt;/D&gt;&lt;D xsi:type="xsd:double"&gt;-0.3244877&lt;/D&gt;&lt;D xsi:type="xsd:double"&gt;1.0573149&lt;/D&gt;&lt;D xsi:type="xsd:double"&gt;3.1671643&lt;/D&gt;&lt;D xsi:type="xsd:double"&gt;-1.7339408&lt;/D&gt;&lt;D xsi:type="xsd:double"&gt;-11.541796&lt;/D&gt;&lt;D xsi:type="xsd:double"&gt;3.8914323&lt;/D&gt;&lt;D xsi:type="xsd:double"&gt;1.5423298&lt;/D&gt;&lt;D xsi:type="xsd:double"&gt;0.8708358&lt;/D&gt;&lt;D xsi:type="xsd:double"&gt;0.030982494&lt;/D&gt;&lt;D xsi:type="xsd:double"&gt;7.4326396&lt;/D&gt;&lt;D xsi:type="xsd:double"&gt;2.075529&lt;/D&gt;&lt;D xsi:type="xsd:double"&gt;-5.676359&lt;/D&gt;&lt;D xsi:type="xsd:double"&gt;5.209577&lt;/D&gt;&lt;D xsi:type="xsd:double"&gt;-0.29233694&lt;/D&gt;&lt;D xsi:type="xsd:double"&gt;-8.986176&lt;/D&gt;&lt;D xsi:type="xsd:double"&gt;3.5443068&lt;/D&gt;&lt;D xsi:type="xsd:double"&gt;0.21393299&lt;/D&gt;&lt;D xsi:type="xsd:double"&gt;3.5376668&lt;/D&gt;&lt;D xsi:type="xsd:double"&gt;3.6818862&lt;/D&gt;&lt;D xsi:type="xsd:double"&gt;2.4250627&lt;/D&gt;&lt;D xsi:type="xsd:double"&gt;-2.5263727&lt;/D&gt;&lt;D xsi:type="xsd:double"&gt;-19.367706&lt;/D&gt;&lt;D xsi:type="xsd:double"&gt;-8.247966&lt;/D&gt;&lt;D xsi:type="xsd:double"&gt;2.213657&lt;/D&gt;&lt;D xsi:type="xsd:double"&gt;6.365347&lt;/D&gt;&lt;D xsi:type="xsd:double"&gt;8.631886&lt;/D&gt;&lt;D xsi:type="xsd:double"&gt;7.6319695&lt;/D&gt;&lt;D xsi:type="xsd:double"&gt;4.0995955&lt;/D&gt;&lt;D xsi:type="xsd:double"&gt;3.4130692&lt;/D&gt;&lt;D xsi:type="xsd:double"&gt;2.5387764&lt;/D&gt;&lt;D xsi:type="xsd:double"&gt;5.919194&lt;/D&gt;&lt;D xsi:type="xsd:double"&gt;8.656084&lt;/D&gt;&lt;D xsi:type="xsd:double"&gt;2.8947353&lt;/D&gt;&lt;D xsi:type="xsd:double"&gt;-0.32550693&lt;/D&gt;&lt;D xsi:type="xsd:double"&gt;-4.5719624&lt;/D&gt;&lt;D xsi:type="xsd:double"&gt;3.7399173&lt;/D&gt;&lt;D xsi:type="xsd:double"&gt;6.601596&lt;/D&gt;&lt;D xsi:type="xsd:double"&gt;-1.659292&lt;/D&gt;&lt;D xsi:type="xsd:double"&gt;3.9707541&lt;/D&gt;&lt;D xsi:type="xsd:double"&gt;6.6969633&lt;/D&gt;&lt;D xsi:type="xsd:double"&gt;2.2307873&lt;/D&gt;&lt;D xsi:type="xsd:double"&gt;0.7339835&lt;/D&gt;&lt;D xsi:type="xsd:double"&gt;-6.1453285&lt;/D&gt;&lt;D xsi:type="xsd:double"&gt;7.3058605&lt;/D&gt;&lt;D xsi:type="xsd:double"&gt;-9.620989&lt;/D&gt;&lt;D xsi:type="xsd:double"&gt;-1.4285803&lt;/D&gt;&lt;D xsi:type="xsd:double"&gt;4.394579&lt;/D&gt;&lt;D xsi:type="xsd:double"&gt;-9.381991&lt;/D&gt;&lt;D xsi:type="xsd:double"&gt;-1.9026458&lt;/D&gt;&lt;D xsi:type="xsd:double"&gt;-0.050377846&lt;/D&gt;&lt;D xsi:type="xsd:double"&gt;10.15625&lt;/D&gt;&lt;D xsi:type="xsd:double"&gt;0.83504915&lt;/D&gt;&lt;D xsi:type="xsd:double"&gt;-8.519572&lt;/D&gt;&lt;D xsi:type="xsd:double"&gt;7.8372955&lt;/D&gt;&lt;D xsi:type="xsd:double"&gt;-0.96595883&lt;/D&gt;&lt;D xsi:type="xsd:double"&gt;-1.3934076&lt;/D&gt;&lt;D xsi:type="xsd:double"&gt;-5.6523743&lt;/D&gt;&lt;D xsi:type="xsd:double"&gt;-2.9705524&lt;/D&gt;&lt;D xsi:type="xsd:double"&gt;3.3187628&lt;/D&gt;&lt;D xsi:type="xsd:double"&gt;2.888441&lt;/D&gt;&lt;D xsi:type="xsd:double"&gt;3.7292361&lt;/D&gt;&lt;D xsi:type="xsd:double"&gt;3.4595609&lt;/D&gt;&lt;D xsi:type="xsd:double"&gt;-1.7849028&lt;/D&gt;&lt;D xsi:type="xsd:double"&gt;4.083276&lt;/D&gt;&lt;D xsi:type="xsd:double"&gt;-1.7349958&lt;/D&gt;&lt;D xsi:type="xsd:double"&gt;1.3945222&lt;/D&gt;&lt;D xsi:type="xsd:double"&gt;7.253766&lt;/D&gt;&lt;D xsi:type="xsd:double"&gt;3.329885&lt;/D&gt;&lt;D xsi:type="xsd:double"&gt;1.7013669&lt;/D&gt;&lt;D xsi:type="xsd:double"&gt;-0.19681454&lt;/D&gt;&lt;/FQL&gt;&lt;FQL&gt;&lt;Q&gt;EZA^FMA_DIV_YLD(NTMA,-10AY,0,AM,"PORTAGG","MEANR")&lt;/Q&gt;&lt;R&gt;121&lt;/R&gt;&lt;C&gt;1&lt;/C&gt;&lt;D xsi:type="xsd:double"&gt;3.5219107054178&lt;/D&gt;&lt;D xsi:type="xsd:double"&gt;3.46205391673094&lt;/D&gt;&lt;D xsi:type="xsd:double"&gt;3.352187836406&lt;/D&gt;&lt;D xsi:type="xsd:double"&gt;3.29992202594308&lt;/D&gt;&lt;D xsi:type="xsd:double"&gt;3.27429833150023&lt;/D&gt;&lt;D xsi:type="xsd:double"&gt;3.25945631727153&lt;/D&gt;&lt;D xsi:type="xsd:double"&gt;3.30858388773458&lt;/D&gt;&lt;D xsi:type="xsd:double"&gt;3.56394794200137&lt;/D&gt;&lt;D xsi:type="xsd:double"&gt;3.2677030702789&lt;/D&gt;&lt;D xsi:type="xsd:double"&gt;3.52911390415587&lt;/D&gt;&lt;D xsi:type="xsd:double"&gt;3.37567680220687&lt;/D&gt;&lt;D xsi:type="xsd:double"&gt;3.11532541171267&lt;/D&gt;&lt;D xsi:type="xsd:double"&gt;3.11861639419267&lt;/D&gt;&lt;D xsi:type="xsd:double"&gt;2.97210848160543&lt;/D&gt;&lt;D xsi:type="xsd:double"&gt;3.10458915059767&lt;/D&gt;&lt;D xsi:type="xsd:double"&gt;3.2504039235629&lt;/D&gt;&lt;D xsi:type="xsd:double"&gt;3.18436739245357&lt;/D&gt;&lt;D xsi:type="xsd:double"&gt;3.33411551753361&lt;/D&gt;&lt;D xsi:type="xsd:double"&gt;3.44329911511151&lt;/D&gt;&lt;D xsi:type="xsd:double"&gt;3.27143633334217&lt;/D&gt;&lt;D xsi:type="xsd:double"&gt;3.43138686707996&lt;/D&gt;&lt;D xsi:type="xsd:double"&gt;3.70640326744389&lt;/D&gt;&lt;D xsi:type="xsd:double"&gt;3.70921969419091&lt;/D&gt;&lt;D xsi:type="xsd:double"&gt;3.63575503843073&lt;/D&gt;&lt;D xsi:type="xsd:double"&gt;3.35837112129019&lt;/D&gt;&lt;D xsi:type="xsd:double"&gt;3.19254608375922&lt;/D&gt;&lt;D xsi:type="xsd:double"&gt;3.42304672802185&lt;/D&gt;&lt;D xsi:type="xsd:double"&gt;3.23981498609376&lt;/D&gt;&lt;D xsi:type="xsd:double"&gt;3.02284080851604&lt;/D&gt;&lt;D xsi:type="xsd:double"&gt;2.92817376729665&lt;/D&gt;&lt;D xsi:type="xsd:double"&gt;3.08899568116665&lt;/D&gt;&lt;D xsi:type="xsd:double"&gt;3.26939243313961&lt;/D&gt;&lt;D xsi:type="xsd:double"&gt;3.47103612147026&lt;/D&gt;&lt;D xsi:type="xsd:double"&gt;3.28261432873203&lt;/D&gt;&lt;D xsi:type="xsd:double"&gt;3.14229714191575&lt;/D&gt;&lt;D xsi:type="xsd:double"&gt;3.16033066428275&lt;/D&gt;&lt;D xsi:type="xsd:double"&gt;3.18975853022481&lt;/D&gt;&lt;D xsi:type="xsd:double"&gt;3.10329201294973&lt;/D&gt;&lt;D xsi:type="xsd:double"&gt;3.04664051568232&lt;/D&gt;&lt;D xsi:type="xsd:double"&gt;3.39237244674436&lt;/D&gt;&lt;D xsi:type="xsd:double"&gt;3.24052773661599&lt;/D&gt;&lt;D xsi:type="xsd:double"&gt;3.19258565047354&lt;/D&gt;&lt;D xsi:type="xsd:double"&gt;3.30521216614033&lt;/D&gt;&lt;D xsi:type="xsd:double"&gt;3.21492508362021&lt;/D&gt;&lt;D xsi:type="xsd:double"&gt;3.22912313877035&lt;/D&gt;&lt;D xsi:type="xsd:double"&gt;3.51797598888915&lt;/D&gt;&lt;D xsi:type="xsd:double"&gt;3.37915916412181&lt;/D&gt;&lt;D xsi:type="xsd:double"&gt;3.40482356397432&lt;/D&gt;&lt;D xsi:type="xsd:double"&gt;3.21408929830071&lt;/D&gt;&lt;D xsi:type="xsd:double"&gt;3.33170007360039&lt;/D&gt;&lt;D xsi:type="xsd:double"&gt;3.28303185747819&lt;/D&gt;&lt;D xsi:type="xsd:double"&gt;3.43142682352249&lt;/D&gt;&lt;D xsi:type="xsd:double"&gt;3.60680977007109&lt;/D&gt;&lt;D xsi:type="xsd:double"&gt;3.62326718485162&lt;/D&gt;&lt;D xsi:type="xsd:double"&gt;3.70330520095861&lt;/D&gt;&lt;D xsi:type="xsd:double"&gt;4.00641014661227&lt;/D&gt;&lt;D xsi:type="xsd:double"&gt;4.08334220014079&lt;/D&gt;&lt;D xsi:type="xsd:double"&gt;3.95993230701144&lt;/D&gt;&lt;D xsi:type="xsd:double"&gt;3.72664852414132&lt;/D&gt;&lt;D xsi:type="xsd:double"&gt;3.84082865219361&lt;/D&gt;&lt;D xsi:type="xsd:double"&gt;3.97571577188611&lt;/D&gt;&lt;D xsi:type="xsd:double"&gt;3.72045176011363&lt;/D&gt;&lt;D xsi:type="xsd:double"&gt;3.85592358594799&lt;/D&gt;&lt;D xsi:type="xsd:double"&gt;3.77314540540769&lt;/D&gt;&lt;D xsi:type="xsd:double"&gt;3.81980014385069&lt;/D&gt;&lt;D xsi:type="xsd:double"&gt;4.11224401510139&lt;/D&gt;&lt;D xsi:type="xsd:double"&gt;4.14607932001004&lt;/D&gt;&lt;D xsi:type="xsd:double"&gt;4.23330826840753&lt;/D&gt;&lt;D xsi:type="xsd:double"&gt;4.12627632597326&lt;/D&gt;&lt;D xsi:type="xsd:double"&gt;3.7786938354417&lt;/D&gt;&lt;D xsi:type="xsd:double"&gt;3.68520592417349&lt;/D&gt;&lt;D xsi:type="xsd:double"&gt;3.68058012360266&lt;/D&gt;&lt;D xsi:type="xsd:double"&gt;4.959351010121&lt;/D&gt;&lt;D xsi:type="xsd:double"&gt;4.35186754395402&lt;/D&gt;&lt;D xsi:type="xsd:double"&gt;3.63451961685467&lt;/D&gt;&lt;D xsi:type="xsd:double"&gt;3.39812686555168&lt;/D&gt;&lt;D xsi:type="xsd:double"&gt;3.39279457621361&lt;/D&gt;&lt;D xsi:type="xsd:double"&gt;3.36304211344417&lt;/D&gt;&lt;D xsi:type="xsd:double"&gt;3.33920622523204&lt;/D&gt;&lt;D xsi:type="xsd:double"&gt;3.52915035259189&lt;/D&gt;&lt;D xsi:type="xsd:double"&gt;3.4523269067261&lt;/D&gt;&lt;D xsi:type="xsd:double"&gt;3.84137845865158&lt;/D&gt;&lt;D xsi:type="xsd:double"&gt;3.87948167856199&lt;/D&gt;&lt;D xsi:type="xsd:double"&gt;3.74005440052003&lt;/D&gt;&lt;D xsi:type="xsd:double"&gt;3.79234344244278&lt;/D&gt;&lt;D xsi:type="xsd:double"&gt;4.1445769942571&lt;/D&gt;&lt;D xsi:type="xsd:double"&gt;4.41592246348447&lt;/D&gt;&lt;D xsi:type="xsd:double"&gt;4.13151938427557&lt;/D&gt;&lt;D xsi:type="xsd:double"&gt;4.46462544962515&lt;/D&gt;&lt;D xsi:type="xsd:double"&gt;4.51918100347406&lt;/D&gt;&lt;D xsi:type="xsd:double"&gt;5.06813437530507&lt;/D&gt;&lt;D xsi:type="xsd:double"&gt;4.74744613220887&lt;/D&gt;&lt;D xsi:type="xsd:double"&gt;4.5848614279972&lt;/D&gt;&lt;D xsi:type="xsd:double"&gt;4.68238909727373&lt;/D&gt;&lt;D xsi:type="xsd:double"&gt;4.43312541947785&lt;/D&gt;&lt;D xsi:type="xsd:double"&gt;4.37156342293663&lt;/D&gt;&lt;D xsi:type="xsd:double"&gt;4.52375649546801&lt;/D&gt;&lt;D xsi:type="xsd:double"&gt;4.61349655616354&lt;/D&gt;&lt;D xsi:type="xsd:double"&gt;4.9366675255962&lt;/D&gt;&lt;D xsi:type="xsd:double"&gt;5.31178983576203&lt;/D&gt;&lt;D xsi:type="xsd:double"&gt;5.17469668080342&lt;/D&gt;&lt;D xsi:type="xsd:double"&gt;4.81959103674495&lt;/D&gt;&lt;D xsi:type="xsd:double"&gt;5.20594251401774&lt;/D&gt;&lt;D xsi:type="xsd:double"&gt;5.61229528581806&lt;/D&gt;&lt;D xsi:type="xsd:double"&gt;4.95178839736331&lt;/D&gt;&lt;D xsi:type="xsd:double"&gt;4.88594679438896&lt;/D&gt;&lt;D xsi:type="xsd:double"&gt;4.50293161785044&lt;/D&gt;&lt;D xsi:type="xsd:double"&gt;4.59675730105241&lt;/D&gt;&lt;D xsi:type="xsd:double"&gt;4.84003914851452&lt;/D&gt;&lt;D xsi:type="xsd:double"&gt;4.51639359179938&lt;/D&gt;&lt;D xsi:type="xsd:double"&gt;4.64378353625498&lt;/D&gt;&lt;D xsi:type="xsd:double"&gt;4.47874100855451&lt;/D&gt;&lt;D xsi:type="xsd:double"&gt;4.24899162872907&lt;/D&gt;&lt;D xsi:type="xsd:double"&gt;4.31003988925732&lt;/D&gt;&lt;D xsi:type="xsd:double"&gt;4.43783036533724&lt;/D&gt;&lt;D xsi:type="xsd:double"&gt;4.44734052823602&lt;/D&gt;&lt;D xsi:type="xsd:double"&gt;4.36196387191141&lt;/D&gt;&lt;D xsi:type="xsd:double"&gt;4.13481971812743&lt;/D&gt;&lt;D xsi:type="xsd:double"&gt;4.28649877328097&lt;/D&gt;&lt;D xsi:type="xsd:double"&gt;4.39278820936462&lt;/D&gt;&lt;D xsi:type="xsd:double"&gt;4.14459811515045&lt;/D&gt;&lt;/FQL&gt;&lt;FQL&gt;&lt;Q&gt;INDA^FMA_PE(NTMA,-10AY,0,AM,"PORTAGG","MEANR")&lt;/Q&gt;&lt;R&gt;121&lt;/R&gt;&lt;C&gt;1&lt;/C&gt;&lt;D xsi:type="xsd:double"&gt;14.5669770395672&lt;/D&gt;&lt;D xsi:type="xsd:double"&gt;15.133844991804&lt;/D&gt;&lt;D xsi:type="xsd:double"&gt;15.6786293714086&lt;/D&gt;&lt;D xsi:type="xsd:double"&gt;16.4712118835317&lt;/D&gt;&lt;D xsi:type="xsd:double"&gt;16.1602272737576&lt;/D&gt;&lt;D xsi:type="xsd:double"&gt;16.5635666483523&lt;/D&gt;&lt;D xsi:type="xsd:double"&gt;16.9048042640812&lt;/D&gt;&lt;D xsi:type="xsd:double"&gt;16.3406749315209&lt;/D&gt;&lt;D xsi:type="xsd:double"&gt;17.2647986030089&lt;/D&gt;&lt;D xsi:type="xsd:double"&gt;16.7367298844528&lt;/D&gt;&lt;D xsi:type="xsd:double"&gt;16.8661340122996&lt;/D&gt;&lt;D xsi:type="xsd:double"&gt;18.2959853256791&lt;/D&gt;&lt;D xsi:type="xsd:double"&gt;18.0691617227002&lt;/D&gt;&lt;D xsi:type="xsd:double"&gt;18.4373524521536&lt;/D&gt;&lt;D xsi:type="xsd:double"&gt;17.181583592491&lt;/D&gt;&lt;D xsi:type="xsd:double"&gt;16.7952121076109&lt;/D&gt;&lt;D xsi:type="xsd:double"&gt;18.406403513704&lt;/D&gt;&lt;D xsi:type="xsd:double"&gt;18.9000033514592&lt;/D&gt;&lt;D xsi:type="xsd:double"&gt;17.5287799996725&lt;/D&gt;&lt;D xsi:type="xsd:double"&gt;17.710571842406&lt;/D&gt;&lt;D xsi:type="xsd:double"&gt;17.0320463776481&lt;/D&gt;&lt;D xsi:type="xsd:double"&gt;16.8084900446704&lt;/D&gt;&lt;D xsi:type="xsd:double"&gt;16.5378874271755&lt;/D&gt;&lt;D xsi:type="xsd:double"&gt;16.0589903354751&lt;/D&gt;&lt;D xsi:type="xsd:double"&gt;17.0926374408214&lt;/D&gt;&lt;D xsi:type="xsd:double"&gt;17.4145323043427&lt;/D&gt;&lt;D xsi:type="xsd:double"&gt;17.3056538054798&lt;/D&gt;&lt;D xsi:type="xsd:double"&gt;17.4359125183157&lt;/D&gt;&lt;D xsi:type="xsd:double"&gt;18.1637303192196&lt;/D&gt;&lt;D xsi:type="xsd:double"&gt;18.2893483938436&lt;/D&gt;&lt;D xsi:type="xsd:double"&gt;17.8780961317698&lt;/D&gt;&lt;D xsi:type="xsd:double"&gt;17.5397090064338&lt;/D&gt;&lt;D xsi:type="xsd:double"&gt;16.5015353081847&lt;/D&gt;&lt;D xsi:type="xsd:double"&gt;16.3905845682344&lt;/D&gt;&lt;D xsi:type="xsd:double"&gt;16.6485017418741&lt;/D&gt;&lt;D xsi:type="xsd:double"&gt;17.6552156561466&lt;/D&gt;&lt;D xsi:type="xsd:double"&gt;17.8421002932313&lt;/D&gt;&lt;D xsi:type="xsd:double"&gt;17.9676856129516&lt;/D&gt;&lt;D xsi:type="xsd:double"&gt;18.2888388821151&lt;/D&gt;&lt;D xsi:type="xsd:double"&gt;18.1877280073671&lt;/D&gt;&lt;D xsi:type="xsd:double"&gt;18.6331469621154&lt;/D&gt;&lt;D xsi:type="xsd:double"&gt;18.5872474848182&lt;/D&gt;&lt;D xsi:type="xsd:double"&gt;18.9594386032357&lt;/D&gt;&lt;D xsi:type="xsd:double"&gt;18.681552832043&lt;/D&gt;&lt;D xsi:type="xsd:double"&gt;18.6072344496976&lt;/D&gt;&lt;D xsi:type="xsd:double"&gt;18.5848409716987&lt;/D&gt;&lt;D xsi:type="xsd:double"&gt;19.232751269771&lt;/D&gt;&lt;D xsi:type="xsd:double"&gt;18.5437588308818&lt;/D&gt;&lt;D xsi:type="xsd:double"&gt;18.303543572236&lt;/D&gt;&lt;D xsi:type="xsd:double"&gt;18.3025108121793&lt;/D&gt;&lt;D xsi:type="xsd:double"&gt;18.4498187823483&lt;/D&gt;&lt;D xsi:type="xsd:double"&gt;18.7400312593258&lt;/D&gt;&lt;D xsi:type="xsd:double"&gt;18.7447858548539&lt;/D&gt;&lt;D xsi:type="xsd:double"&gt;19.6187200945249&lt;/D&gt;&lt;D xsi:type="xsd:double"&gt;19.6788145998793&lt;/D&gt;&lt;D xsi:type="xsd:double"&gt;17.4636730223422&lt;/D&gt;&lt;D xsi:type="xsd:double"&gt;17.8770207673831&lt;/D&gt;&lt;D xsi:type="xsd:double"&gt;18.0621696518582&lt;/D&gt;&lt;D xsi:type="xsd:double"&gt;17.6943850013858&lt;/D&gt;&lt;D xsi:type="xsd:double"&gt;18.0449746791847&lt;/D&gt;&lt;D xsi:type="xsd:double"&gt;18.8712694158632&lt;/D&gt;&lt;D xsi:type="xsd:double"&gt;18.9764493768889&lt;/D&gt;&lt;D xsi:type="xsd:double"&gt;18.2441334955512&lt;/D&gt;&lt;D xsi:type="xsd:double"&gt;19.0228886412261&lt;/D&gt;&lt;D xsi:type="xsd:double"&gt;18.416721990809&lt;/D&gt;&lt;D xsi:type="xsd:double"&gt;18.1679027128288&lt;/D&gt;&lt;D xsi:type="xsd:double"&gt;18.2441798468564&lt;/D&gt;&lt;D xsi:type="xsd:double"&gt;18.1130940408346&lt;/D&gt;&lt;D xsi:type="xsd:double"&gt;19.118649339873&lt;/D&gt;&lt;D xsi:type="xsd:double"&gt;19.1540943109029&lt;/D&gt;&lt;D xsi:type="xsd:double"&gt;19.3414634440011&lt;/D&gt;&lt;D xsi:type="xsd:double"&gt;19.3218325284113&lt;/D&gt;&lt;D xsi:type="xsd:double"&gt;15.7705384783875&lt;/D&gt;&lt;D xsi:type="xsd:double"&gt;15.7333471461004&lt;/D&gt;&lt;D xsi:type="xsd:double"&gt;18.3857378594326&lt;/D&gt;&lt;D xsi:type="xsd:double"&gt;21.0585955809879&lt;/D&gt;&lt;D xsi:type="xsd:double"&gt;22.9605340593169&lt;/D&gt;&lt;D xsi:type="xsd:double"&gt;23.5289216786152&lt;/D&gt;&lt;D xsi:type="xsd:double"&gt;23.1301969933828&lt;/D&gt;&lt;D xsi:type="xsd:double"&gt;23.2443349699196&lt;/D&gt;&lt;D xsi:type="xsd:double"&gt;22.866874338936&lt;/D&gt;&lt;D xsi:type="xsd:double"&gt;24.060402296345&lt;/D&gt;&lt;D xsi:type="xsd:double"&gt;24.7064018241675&lt;/D&gt;&lt;D xsi:type="xsd:double"&gt;23.8366779640736&lt;/D&gt;&lt;D xsi:type="xsd:double"&gt;23.5553783536507&lt;/D&gt;&lt;D xsi:type="xsd:double"&gt;22.2710323265922&lt;/D&gt;&lt;D xsi:type="xsd:double"&gt;22.0895850622933&lt;/D&gt;&lt;D xsi:type="xsd:double"&gt;23.5400590727683&lt;/D&gt;&lt;D xsi:type="xsd:double"&gt;23.1157913038064&lt;/D&gt;&lt;D xsi:type="xsd:double"&gt;23.6350373475148&lt;/D&gt;&lt;D xsi:type="xsd:double"&gt;24.6444664306469&lt;/D&gt;&lt;D xsi:type="xsd:double"&gt;24.9469759431614&lt;/D&gt;&lt;D xsi:type="xsd:double"&gt;24.2547142866008&lt;/D&gt;&lt;D xsi:type="xsd:double"&gt;23.2775266913435&lt;/D&gt;&lt;D xsi:type="xsd:double"&gt;24.0096994158119&lt;/D&gt;&lt;D xsi:type="xsd:double"&gt;21.59780385687&lt;/D&gt;&lt;D xsi:type="xsd:double"&gt;21.4115115253853&lt;/D&gt;&lt;D xsi:type="xsd:double"&gt;22.1832567609024&lt;/D&gt;&lt;D xsi:type="xsd:double"&gt;19.8459098568304&lt;/D&gt;&lt;D xsi:type="xsd:double"&gt;19.9159361786194&lt;/D&gt;&lt;D xsi:type="xsd:double"&gt;20.2238029023528&lt;/D&gt;&lt;D xsi:type="xsd:double"&gt;22.6779828675507&lt;/D&gt;&lt;D xsi:type="xsd:double"&gt;22.8309278206665&lt;/D&gt;&lt;D xsi:type="xsd:double"&gt;21.3906592635237&lt;/D&gt;&lt;D xsi:type="xsd:double"&gt;22.6114024774996&lt;/D&gt;&lt;D xsi:type="xsd:double"&gt;22.8586074145465&lt;/D&gt;&lt;D xsi:type="xsd:double"&gt;21.7052189288639&lt;/D&gt;&lt;D xsi:type="xsd:double"&gt;20.9573421847193&lt;/D&gt;&lt;D xsi:type="xsd:double"&gt;19.7362827725201&lt;/D&gt;&lt;D xsi:type="xsd:double"&gt;20.3328370190212&lt;/D&gt;&lt;D xsi:type="xsd:double"&gt;21.0171807963284&lt;/D&gt;&lt;D xsi:type="xsd:double"&gt;21.579559079433&lt;/D&gt;&lt;D xsi:type="xsd:double"&gt;21.7161953911659&lt;/D&gt;&lt;D xsi:type="xsd:double"&gt;20.8328817988714&lt;/D&gt;&lt;D xsi:type="xsd:double"&gt;21.0318293849746&lt;/D&gt;&lt;D xsi:type="xsd:double"&gt;20.6080517162533&lt;/D&gt;&lt;D xsi:type="xsd:double"&gt;20.0274200906658&lt;/D&gt;&lt;D xsi:type="xsd:double"&gt;21.6518252969631&lt;/D&gt;&lt;D xsi:type="xsd:double"&gt;22.1933467376247&lt;/D&gt;&lt;D xsi:type="xsd:double"&gt;22.4022024282303&lt;/D&gt;&lt;D xsi:type="xsd:double"&gt;21.9167286089049&lt;/D&gt;&lt;/FQL&gt;&lt;FQL&gt;&lt;Q&gt;PASP-FDS^FG_PRICE(0)&lt;/Q&gt;&lt;R&gt;1&lt;/R&gt;&lt;C&gt;1&lt;/C&gt;&lt;D xsi:type="xsd:double"&gt;1088&lt;/D&gt;&lt;/FQL&gt;&lt;FQL&gt;&lt;Q&gt;BRENT-FDS^FG_PRICE_CHANGE(0,-3AM)&lt;/Q&gt;&lt;R&gt;1&lt;/R&gt;&lt;C&gt;1&lt;/C&gt;&lt;D xsi:type="xsd:double"&gt;0&lt;/D&gt;&lt;/FQL&gt;&lt;FQL&gt;&lt;Q&gt;EPHE^P_PRICE(0)/P_PRICE_HIGH_PR(0,,,USD,,,"PRICE","INTRA","52W")&lt;/Q&gt;&lt;R&gt;1&lt;/R&gt;&lt;C&gt;1&lt;/C&gt;&lt;D xsi:type="xsd:double"&gt;0.9964375&lt;/D&gt;&lt;/FQL&gt;&lt;FQL&gt;&lt;Q&gt;SPY^FMA_PCT_ABOVE_MAVG(200,0,,,,"PORTAGG")&lt;/Q&gt;&lt;R&gt;1&lt;/R&gt;&lt;C&gt;1&lt;/C&gt;&lt;D xsi:type="xsd:double"&gt;75.7455268389662&lt;/D&gt;&lt;/FQL&gt;&lt;FQL&gt;&lt;Q&gt;REFINREPO-FDS^FG_YIELD(NOW,,,0)&lt;/Q&gt;&lt;R&gt;1&lt;/R&gt;&lt;C&gt;1&lt;/C&gt;&lt;D xsi:type="xsd:double"&gt;6.5&lt;/D&gt;&lt;/FQL&gt;&lt;FQL&gt;&lt;Q&gt;REFTWDISC-FDS^(SUBARRAY(NOT_NA(NO_REPEAT_F(FG_YIELD(NOW,-10AY,D))),0,1)-SUBARRAY(NOT_NA(NO_REPEAT_F(FG_YIELD(NOW,-10AY,D))),1,1))*100&lt;/Q&gt;&lt;R&gt;1&lt;/R&gt;&lt;C&gt;1&lt;/C&gt;&lt;D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xsi:type="xsd:double"&gt;12.5&lt;/D&gt;&lt;/FQL&gt;&lt;FQL&gt;&lt;Q&gt;EWT^FMA_DIV_YLD(NTMA,NOW,NOW,M,"PORTAGG","MEANR")&lt;/Q&gt;&lt;R&gt;1&lt;/R&gt;&lt;C&gt;1&lt;/C&gt;&lt;D xsi:type="xsd:double"&gt;3.25029304585841&lt;/D&gt;&lt;/FQL&gt;&lt;FQL&gt;&lt;Q&gt;EPU^JULIAN(FMA_DIV_YLD(NTMA,NOW,NOW,M,"PORTAGG","MEANR").DATES)&lt;/Q&gt;&lt;R&gt;1&lt;/R&gt;&lt;C&gt;1&lt;/C&gt;&lt;D xsi:type="xsd:long"&gt;45351&lt;/D&gt;&lt;/FQL&gt;&lt;FQL&gt;&lt;Q&gt;EWT^FG_PRICE_MAVG(0,,,,30)&lt;/Q&gt;&lt;R&gt;1&lt;/R&gt;&lt;C&gt;1&lt;/C&gt;&lt;D xsi:type="xsd:double"&gt;46.734333&lt;/D&gt;&lt;/FQL&gt;&lt;FQL&gt;&lt;Q&gt;CC_PL^FG_COMPANY_NAME&lt;/Q&gt;&lt;R&gt;1&lt;/R&gt;&lt;C&gt;1&lt;/C&gt;&lt;D xsi:type="xsd:string"&gt;Poland&lt;/D&gt;&lt;/FQL&gt;&lt;FQL&gt;&lt;Q&gt;USDTRY^STD(FG_PRICE_CHANGE(0,-1AY,AM))&lt;/Q&gt;&lt;R&gt;1&lt;/R&gt;&lt;C&gt;1&lt;/C&gt;&lt;D xsi:type="xsd:double"&gt;5.55483576745402&lt;/D&gt;&lt;/FQL&gt;&lt;FQL&gt;&lt;Q&gt;USDZAR^FG_PRICE_CHANGE(0,-3AM)&lt;/Q&gt;&lt;R&gt;1&lt;/R&gt;&lt;C&gt;1&lt;/C&gt;&lt;D xsi:type="xsd:double"&gt;2.2887945&lt;/D&gt;&lt;/FQL&gt;&lt;FQL&gt;&lt;Q&gt;USDMXN^FG_COMPANY_NAME&lt;/Q&gt;&lt;R&gt;1&lt;/R&gt;&lt;C&gt;1&lt;/C&gt;&lt;D xsi:type="xsd:string"&gt;Mexican Peso per U.S. Dollar&lt;/D&gt;&lt;/FQL&gt;&lt;FQL&gt;&lt;Q&gt;USDPEN^FG_PRICE(0)&lt;/Q&gt;&lt;R&gt;1&lt;/R&gt;&lt;C&gt;1&lt;/C&gt;&lt;D xsi:type="xsd:double"&gt;3.6705&lt;/D&gt;&lt;/FQL&gt;&lt;FQL&gt;&lt;Q&gt;QAT^FMA_PE(LTMA,-10AY,0,AM,"PORTAGG","MEANR")&lt;/Q&gt;&lt;R&gt;121&lt;/R&gt;&lt;C&gt;1&lt;/C&gt;&lt;D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xsi:type="xsd:double"&gt;14.5855785759373&lt;/D&gt;&lt;D xsi:type="xsd:double"&gt;15.2387429046999&lt;/D&gt;&lt;D xsi:type="xsd:double"&gt;14.9701796284429&lt;/D&gt;&lt;D xsi:type="xsd:double"&gt;14.7320576120319&lt;/D&gt;&lt;D xsi:type="xsd:double"&gt;14.8974568910384&lt;/D&gt;&lt;D xsi:type="xsd:double"&gt;14.5368599336303&lt;/D&gt;&lt;D xsi:type="xsd:double"&gt;14.4791321797039&lt;/D&gt;&lt;D xsi:type="xsd:double"&gt;14.4817194211554&lt;/D&gt;&lt;D xsi:type="xsd:double"&gt;14.1205880410938&lt;/D&gt;&lt;D xsi:type="xsd:double"&gt;14.0837756867039&lt;/D&gt;&lt;D xsi:type="xsd:double"&gt;13.0074838536106&lt;/D&gt;&lt;D xsi:type="xsd:double"&gt;11.5361009461088&lt;/D&gt;&lt;D xsi:type="xsd:double"&gt;10.8382529751804&lt;/D&gt;&lt;D xsi:type="xsd:double"&gt;11.7515449416159&lt;/D&gt;&lt;D xsi:type="xsd:double"&gt;12.1173149460232&lt;/D&gt;&lt;D xsi:type="xsd:double"&gt;12.185096194248&lt;/D&gt;&lt;D xsi:type="xsd:double"&gt;12.1543642387797&lt;/D&gt;&lt;D xsi:type="xsd:double"&gt;12.1587647244963&lt;/D&gt;&lt;D xsi:type="xsd:double"&gt;12.596261870729&lt;/D&gt;&lt;D xsi:type="xsd:double"&gt;13.1153864692954&lt;/D&gt;&lt;D xsi:type="xsd:double"&gt;13.1298796097581&lt;/D&gt;&lt;D xsi:type="xsd:double"&gt;13.3057959587454&lt;/D&gt;&lt;D xsi:type="xsd:double"&gt;12.9663398786228&lt;/D&gt;&lt;D xsi:type="xsd:double"&gt;14.0903921090204&lt;/D&gt;&lt;D xsi:type="xsd:double"&gt;14.7930932153405&lt;/D&gt;&lt;D xsi:type="xsd:double"&gt;14.7081819732429&lt;/D&gt;&lt;D xsi:type="xsd:double"&gt;14.7421647582009&lt;/D&gt;&lt;D xsi:type="xsd:double"&gt;14.7111804226374&lt;/D&gt;&lt;D xsi:type="xsd:double"&gt;14.6498988853707&lt;/D&gt;&lt;D xsi:type="xsd:double"&gt;14.1470815108767&lt;/D&gt;&lt;D xsi:type="xsd:double"&gt;14.1502269146454&lt;/D&gt;&lt;D xsi:type="xsd:double"&gt;14.0480072485596&lt;/D&gt;&lt;D xsi:type="xsd:double"&gt;12.9924263479864&lt;/D&gt;&lt;D xsi:type="xsd:double"&gt;12.7668238918033&lt;/D&gt;&lt;D xsi:type="xsd:double"&gt;12.4421071918774&lt;/D&gt;&lt;D xsi:type="xsd:double"&gt;13.0836972042323&lt;/D&gt;&lt;D xsi:type="xsd:double"&gt;13.7047650128678&lt;/D&gt;&lt;D xsi:type="xsd:double"&gt;13.5191025079993&lt;/D&gt;&lt;D xsi:type="xsd:double"&gt;12.8039625269897&lt;/D&gt;&lt;D xsi:type="xsd:double"&gt;12.7288816153776&lt;/D&gt;&lt;D xsi:type="xsd:double"&gt;12.5920053862462&lt;/D&gt;&lt;D xsi:type="xsd:double"&gt;12.5926749155909&lt;/D&gt;&lt;D xsi:type="xsd:double"&gt;12.5214554413878&lt;/D&gt;&lt;D xsi:type="xsd:double"&gt;12.9836444859382&lt;/D&gt;&lt;D xsi:type="xsd:double"&gt;13.3484833960168&lt;/D&gt;&lt;D xsi:type="xsd:double"&gt;13.2214480010474&lt;/D&gt;&lt;D xsi:type="xsd:double"&gt;13.5657681243422&lt;/D&gt;&lt;D xsi:type="xsd:double"&gt;14.1804572164756&lt;/D&gt;&lt;D xsi:type="xsd:double"&gt;14.5331515608635&lt;/D&gt;&lt;D xsi:type="xsd:double"&gt;13.4500756827122&lt;/D&gt;&lt;D xsi:type="xsd:double"&gt;13.5478613019422&lt;/D&gt;&lt;D xsi:type="xsd:double"&gt;13.6042917375303&lt;/D&gt;&lt;D xsi:type="xsd:double"&gt;13.3331606499814&lt;/D&gt;&lt;D xsi:type="xsd:double"&gt;13.7105300268918&lt;/D&gt;&lt;D xsi:type="xsd:double"&gt;13.8698677738992&lt;/D&gt;&lt;D xsi:type="xsd:double"&gt;13.1782194931216&lt;/D&gt;&lt;D xsi:type="xsd:double"&gt;13.948194765188&lt;/D&gt;&lt;D xsi:type="xsd:double"&gt;14.1858936615779&lt;/D&gt;&lt;D xsi:type="xsd:double"&gt;14.2281336109643&lt;/D&gt;&lt;D xsi:type="xsd:double"&gt;14.1845707772281&lt;/D&gt;&lt;D xsi:type="xsd:double"&gt;15.1822306298822&lt;/D&gt;&lt;D xsi:type="xsd:double"&gt;14.0636917842066&lt;/D&gt;&lt;D xsi:type="xsd:double"&gt;13.5097992843941&lt;/D&gt;&lt;D xsi:type="xsd:double"&gt;13.7173482545077&lt;/D&gt;&lt;D xsi:type="xsd:double"&gt;14.0958668354231&lt;/D&gt;&lt;D xsi:type="xsd:double"&gt;14.7291339695454&lt;/D&gt;&lt;D xsi:type="xsd:double"&gt;15.3511444289283&lt;/D&gt;&lt;D xsi:type="xsd:double"&gt;15.9776694427585&lt;/D&gt;&lt;D xsi:type="xsd:double"&gt;15.8808583179183&lt;/D&gt;&lt;D xsi:type="xsd:double"&gt;16.7843391783019&lt;/D&gt;&lt;D xsi:type="xsd:double"&gt;17.4171423087536&lt;/D&gt;&lt;D xsi:type="xsd:double"&gt;17.4412784375025&lt;/D&gt;&lt;D xsi:type="xsd:double"&gt;17.9623179505492&lt;/D&gt;&lt;D xsi:type="xsd:double"&gt;16.9280799719194&lt;/D&gt;&lt;D xsi:type="xsd:double"&gt;16.8098418326003&lt;/D&gt;&lt;D xsi:type="xsd:double"&gt;16.6579828073769&lt;/D&gt;&lt;D xsi:type="xsd:double"&gt;16.4788147732522&lt;/D&gt;&lt;D xsi:type="xsd:double"&gt;16.0703666806427&lt;/D&gt;&lt;D xsi:type="xsd:double"&gt;15.6183866555814&lt;/D&gt;&lt;D xsi:type="xsd:double"&gt;15.5164012734328&lt;/D&gt;&lt;D xsi:type="xsd:double"&gt;15.2991365820047&lt;/D&gt;&lt;D xsi:type="xsd:double"&gt;15.6212165662394&lt;/D&gt;&lt;D xsi:type="xsd:double"&gt;15.7073135001793&lt;/D&gt;&lt;D xsi:type="xsd:double"&gt;14.9641410905288&lt;/D&gt;&lt;D xsi:type="xsd:double"&gt;15.3757734016575&lt;/D&gt;&lt;D xsi:type="xsd:double"&gt;16.2839216906819&lt;/D&gt;&lt;D xsi:type="xsd:double"&gt;16.2673341785345&lt;/D&gt;&lt;D xsi:type="xsd:double"&gt;16.1101098252416&lt;/D&gt;&lt;D xsi:type="xsd:double"&gt;15.6444914147818&lt;/D&gt;&lt;D xsi:type="xsd:double"&gt;14.9578588441034&lt;/D&gt;&lt;D xsi:type="xsd:double"&gt;14.4792369950417&lt;/D&gt;&lt;D xsi:type="xsd:double"&gt;15.5258318253344&lt;/D&gt;&lt;D xsi:type="xsd:double"&gt;14.6968275673013&lt;/D&gt;&lt;D xsi:type="xsd:double"&gt;14.178234544567&lt;/D&gt;&lt;D xsi:type="xsd:double"&gt;14.1186452379732&lt;/D&gt;&lt;D xsi:type="xsd:double"&gt;12.4671276270316&lt;/D&gt;&lt;D xsi:type="xsd:double"&gt;12.3739883823171&lt;/D&gt;&lt;D xsi:type="xsd:double"&gt;11.7297307454171&lt;/D&gt;&lt;D xsi:type="xsd:double"&gt;11.7149701810059&lt;/D&gt;&lt;D xsi:type="xsd:double"&gt;11.6646514799124&lt;/D&gt;&lt;D xsi:type="xsd:double"&gt;11.8964308390911&lt;/D&gt;&lt;D xsi:type="xsd:double"&gt;11.8237575806161&lt;/D&gt;&lt;D xsi:type="xsd:double"&gt;11.7837922634061&lt;/D&gt;&lt;D xsi:type="xsd:double"&gt;12.1465218073187&lt;/D&gt;&lt;D xsi:type="xsd:double"&gt;11.7051425172289&lt;/D&gt;&lt;D xsi:type="xsd:double"&gt;11.5392402206483&lt;/D&gt;&lt;D xsi:type="xsd:double"&gt;11.4456083173112&lt;/D&gt;&lt;D xsi:type="xsd:double"&gt;11.2495264757401&lt;/D&gt;&lt;D xsi:type="xsd:double"&gt;11.8077638944587&lt;/D&gt;&lt;D xsi:type="xsd:double"&gt;11.3384189511142&lt;/D&gt;&lt;D xsi:type="xsd:double"&gt;11.4530840940354&lt;/D&gt;&lt;/FQL&gt;&lt;FQL&gt;&lt;Q&gt;DDR3512M-FDS^FG_PRICE_CHANGE(0,-3AM)&lt;/Q&gt;&lt;R&gt;1&lt;/R&gt;&lt;C&gt;1&lt;/C&gt;&lt;D xsi:type="xsd:double"&gt;-3.39904279464993&lt;/D&gt;&lt;/FQL&gt;&lt;FQL&gt;&lt;Q&gt;CPALM-FDS^FG_PRICE_CHANGE(0,-1AY)&lt;/Q&gt;&lt;R&gt;1&lt;/R&gt;&lt;C&gt;1&lt;/C&gt;&lt;D xsi:type="xsd:double"&gt;5.5325371679259&lt;/D&gt;&lt;/FQL&gt;&lt;FQL&gt;&lt;Q&gt;TIOS-FDS^FG_PRICE(0)&lt;/Q&gt;&lt;R&gt;1&lt;/R&gt;&lt;C&gt;1&lt;/C&gt;&lt;D xsi:type="xsd:double"&gt;110.94&lt;/D&gt;&lt;/FQL&gt;&lt;FQL&gt;&lt;Q&gt;FC0000ZA^FG_PRICE(0)&lt;/Q&gt;&lt;R&gt;1&lt;/R&gt;&lt;C&gt;1&lt;/C&gt;&lt;D xsi:type="xsd:double"&gt;304.04913&lt;/D&gt;&lt;/FQL&gt;&lt;FQL&gt;&lt;Q&gt;KSA^FG_PRICE(0)&lt;/Q&gt;&lt;R&gt;1&lt;/R&gt;&lt;C&gt;1&lt;/C&gt;&lt;D xsi:type="xsd:double"&gt;44.45&lt;/D&gt;&lt;/FQL&gt;&lt;FQL&gt;&lt;Q&gt;QAT^FG_PRICE_MAVG(0,,,,200)&lt;/Q&gt;&lt;R&gt;1&lt;/R&gt;&lt;C&gt;1&lt;/C&gt;&lt;D xsi:type="xsd:double"&gt;17.703213&lt;/D&gt;&lt;/FQL&gt;&lt;FQL&gt;&lt;Q&gt;EZA^FG_PRICE_MAVG(0,,,,60)&lt;/Q&gt;&lt;R&gt;1&lt;/R&gt;&lt;C&gt;1&lt;/C&gt;&lt;D xsi:type="xsd:double"&gt;39.057335&lt;/D&gt;&lt;/FQL&gt;&lt;FQL&gt;&lt;Q&gt;EPHE^FG_PRICE(0)&lt;/Q&gt;&lt;R&gt;1&lt;/R&gt;&lt;C&gt;1&lt;/C&gt;&lt;D xsi:type="xsd:double"&gt;27.97&lt;/D&gt;&lt;/FQL&gt;&lt;FQL&gt;&lt;Q&gt;EWJ^P_PRICE(0)/P_PRICE_LOW_PR(0,,,USD,,,"PRICE","INTRA","52W")-1&lt;/Q&gt;&lt;R&gt;1&lt;/R&gt;&lt;C&gt;1&lt;/C&gt;&lt;D xsi:type="xsd:double"&gt;0.26587844&lt;/D&gt;&lt;/FQL&gt;&lt;FQL&gt;&lt;Q&gt;EZA^FMA_ROE(NTMA,-20AY,NOW,FY,"PORTAGG","MEANR")&lt;/Q&gt;&lt;R&gt;20&lt;/R&gt;&lt;C&gt;1&lt;/C&gt;&lt;D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xsi:type="xsd:double"&gt;3.0987&lt;/D&gt;&lt;/FQL&gt;&lt;FQL&gt;&lt;Q&gt;CAGDPY@PH^EE_ACTUAL_ANNUAL(MED,0)&lt;/Q&gt;&lt;R&gt;0&lt;/R&gt;&lt;C&gt;0&lt;/C&gt;&lt;/FQL&gt;&lt;FQL&gt;&lt;Q&gt;USDCNH^FG_PRICE_CHANGE(0,-1AY)&lt;/Q&gt;&lt;R&gt;1&lt;/R&gt;&lt;C&gt;1&lt;/C&gt;&lt;D xsi:type="xsd:double"&gt;4.65312&lt;/D&gt;&lt;/FQL&gt;&lt;FQL&gt;&lt;Q&gt;USDCLP^STD(FG_PRICE_CHANGE(0,-3AY,M))&lt;/Q&gt;&lt;R&gt;1&lt;/R&gt;&lt;C&gt;1&lt;/C&gt;&lt;D xsi:type="xsd:double"&gt;4.37416162228254&lt;/D&gt;&lt;/FQL&gt;&lt;FQL&gt;&lt;Q&gt;EZA^P_PRICE_RETURNS_PR('52W',2,-10AY,0,AM)&lt;/Q&gt;&lt;R&gt;121&lt;/R&gt;&lt;C&gt;1&lt;/C&gt;&lt;D xsi:type="xsd:double"&gt;0.40445328&lt;/D&gt;&lt;D xsi:type="xsd:double"&gt;7.1364164&lt;/D&gt;&lt;D xsi:type="xsd:double"&gt;11.723936&lt;/D&gt;&lt;D xsi:type="xsd:double"&gt;22.68008&lt;/D&gt;&lt;D xsi:type="xsd:double"&gt;20.562422&lt;/D&gt;&lt;D xsi:type="xsd:double"&gt;19.280577&lt;/D&gt;&lt;D xsi:type="xsd:double"&gt;10.117245&lt;/D&gt;&lt;D xsi:type="xsd:double"&gt;-0.16487837&lt;/D&gt;&lt;D xsi:type="xsd:double"&gt;12.129235&lt;/D&gt;&lt;D xsi:type="xsd:double"&gt;3.2075763&lt;/D&gt;&lt;D xsi:type="xsd:double"&gt;8.0367565&lt;/D&gt;&lt;D xsi:type="xsd:double"&gt;19.909405&lt;/D&gt;&lt;D xsi:type="xsd:double"&gt;2.895701&lt;/D&gt;&lt;D xsi:type="xsd:double"&gt;8.556342&lt;/D&gt;&lt;D xsi:type="xsd:double"&gt;0.7757783&lt;/D&gt;&lt;D xsi:type="xsd:double"&gt;-5.5930614&lt;/D&gt;&lt;D xsi:type="xsd:double"&gt;-4.827052&lt;/D&gt;&lt;D xsi:type="xsd:double"&gt;-15.1776495&lt;/D&gt;&lt;D xsi:type="xsd:double"&gt;-17.596382&lt;/D&gt;&lt;D xsi:type="xsd:double"&gt;-5.675745&lt;/D&gt;&lt;D xsi:type="xsd:double"&gt;-21.867937&lt;/D&gt;&lt;D xsi:type="xsd:double"&gt;-22.189241&lt;/D&gt;&lt;D xsi:type="xsd:double"&gt;-34.685696&lt;/D&gt;&lt;D xsi:type="xsd:double"&gt;-33.545494&lt;/D&gt;&lt;D xsi:type="xsd:double"&gt;-20.233482&lt;/D&gt;&lt;D xsi:type="xsd:double"&gt;-20.279736&lt;/D&gt;&lt;D xsi:type="xsd:double"&gt;-27.382576&lt;/D&gt;&lt;D xsi:type="xsd:double"&gt;-19.13945&lt;/D&gt;&lt;D xsi:type="xsd:double"&gt;-11.076916&lt;/D&gt;&lt;D xsi:type="xsd:double"&gt;4.411769&lt;/D&gt;&lt;D xsi:type="xsd:double"&gt;3.3602&lt;/D&gt;&lt;D xsi:type="xsd:double"&gt;-8.680731&lt;/D&gt;&lt;D xsi:type="xsd:double"&gt;-2.535832&lt;/D&gt;&lt;D xsi:type="xsd:double"&gt;15.728569&lt;/D&gt;&lt;D xsi:type="xsd:double"&gt;41.72145&lt;/D&gt;&lt;D xsi:type="xsd:double"&gt;32.280422&lt;/D&gt;&lt;D xsi:type="xsd:double"&gt;19.998074&lt;/D&gt;&lt;D xsi:type="xsd:double"&gt;8.635855&lt;/D&gt;&lt;D xsi:type="xsd:double"&gt;22.898245&lt;/D&gt;&lt;D xsi:type="xsd:double"&gt;23.491085&lt;/D&gt;&lt;D xsi:type="xsd:double"&gt;10.392284&lt;/D&gt;&lt;D xsi:type="xsd:double"&gt;2.3678422&lt;/D&gt;&lt;D xsi:type="xsd:double"&gt;14.468729&lt;/D&gt;&lt;D xsi:type="xsd:double"&gt;24.531258&lt;/D&gt;&lt;D xsi:type="xsd:double"&gt;23.843813&lt;/D&gt;&lt;D xsi:type="xsd:double"&gt;22.109245&lt;/D&gt;&lt;D xsi:type="xsd:double"&gt;28.82105&lt;/D&gt;&lt;D xsi:type="xsd:double"&gt;30.119823&lt;/D&gt;&lt;D xsi:type="xsd:double"&gt;30.990612&lt;/D&gt;&lt;D xsi:type="xsd:double"&gt;19.645155&lt;/D&gt;&lt;D xsi:type="xsd:double"&gt;16.009665&lt;/D&gt;&lt;D xsi:type="xsd:double"&gt;3.1273603&lt;/D&gt;&lt;D xsi:type="xsd:double"&gt;4.209149&lt;/D&gt;&lt;D xsi:type="xsd:double"&gt;-5.345571&lt;/D&gt;&lt;D xsi:type="xsd:double"&gt;-13.523102&lt;/D&gt;&lt;D xsi:type="xsd:double"&gt;-16.321194&lt;/D&gt;&lt;D xsi:type="xsd:double"&gt;-12.131966&lt;/D&gt;&lt;D xsi:type="xsd:double"&gt;-15.552282&lt;/D&gt;&lt;D xsi:type="xsd:double"&gt;-19.073402&lt;/D&gt;&lt;D xsi:type="xsd:double"&gt;-24.378592&lt;/D&gt;&lt;D xsi:type="xsd:double"&gt;-25.942343&lt;/D&gt;&lt;D xsi:type="xsd:double"&gt;-12.566477&lt;/D&gt;&lt;D xsi:type="xsd:double"&gt;-15.803528&lt;/D&gt;&lt;D xsi:type="xsd:double"&gt;-8.611756&lt;/D&gt;&lt;D xsi:type="xsd:double"&gt;-3.8926482&lt;/D&gt;&lt;D xsi:type="xsd:double"&gt;-13.800657&lt;/D&gt;&lt;D xsi:type="xsd:double"&gt;5.262065&lt;/D&gt;&lt;D xsi:type="xsd:double"&gt;4.300642&lt;/D&gt;&lt;D xsi:type="xsd:double"&gt;5.5891275&lt;/D&gt;&lt;D xsi:type="xsd:double"&gt;2.7632117&lt;/D&gt;&lt;D xsi:type="xsd:double"&gt;0.26038885&lt;/D&gt;&lt;D xsi:type="xsd:double"&gt;0.11396408&lt;/D&gt;&lt;D xsi:type="xsd:double"&gt;-27.323568&lt;/D&gt;&lt;D xsi:type="xsd:double"&gt;-37.349354&lt;/D&gt;&lt;D xsi:type="xsd:double"&gt;-34.576626&lt;/D&gt;&lt;D xsi:type="xsd:double"&gt;-23.142242&lt;/D&gt;&lt;D xsi:type="xsd:double"&gt;-20.673847&lt;/D&gt;&lt;D xsi:type="xsd:double"&gt;-7.862234&lt;/D&gt;&lt;D xsi:type="xsd:double"&gt;-16.643446&lt;/D&gt;&lt;D xsi:type="xsd:double"&gt;-14.970893&lt;/D&gt;&lt;D xsi:type="xsd:double"&gt;-5.9530616&lt;/D&gt;&lt;D xsi:type="xsd:double"&gt;-2.7427375&lt;/D&gt;&lt;D xsi:type="xsd:double"&gt;-2.1698356&lt;/D&gt;&lt;D xsi:type="xsd:double"&gt;11.233544&lt;/D&gt;&lt;D xsi:type="xsd:double"&gt;67.19896&lt;/D&gt;&lt;D xsi:type="xsd:double"&gt;69.989944&lt;/D&gt;&lt;D xsi:type="xsd:double"&gt;69.66175&lt;/D&gt;&lt;D xsi:type="xsd:double"&gt;53.41401&lt;/D&gt;&lt;D xsi:type="xsd:double"&gt;32.92959&lt;/D&gt;&lt;D xsi:type="xsd:double"&gt;36.697067&lt;/D&gt;&lt;D xsi:type="xsd:double"&gt;29.751253&lt;/D&gt;&lt;D xsi:type="xsd:double"&gt;35.77794&lt;/D&gt;&lt;D xsi:type="xsd:double"&gt;20.493149&lt;/D&gt;&lt;D xsi:type="xsd:double"&gt;6.9518685&lt;/D&gt;&lt;D xsi:type="xsd:double"&gt;13.536512&lt;/D&gt;&lt;D xsi:type="xsd:double"&gt;6.7317247&lt;/D&gt;&lt;D xsi:type="xsd:double"&gt;6.04887&lt;/D&gt;&lt;D xsi:type="xsd:double"&gt;5.923152&lt;/D&gt;&lt;D xsi:type="xsd:double"&gt;-6.8249283&lt;/D&gt;&lt;D xsi:type="xsd:double"&gt;-17.364061&lt;/D&gt;&lt;D xsi:type="xsd:double"&gt;-16.549074&lt;/D&gt;&lt;D xsi:type="xsd:double"&gt;-1.3016939&lt;/D&gt;&lt;D xsi:type="xsd:double"&gt;-13.985455&lt;/D&gt;&lt;D xsi:type="xsd:double"&gt;-24.296688&lt;/D&gt;&lt;D xsi:type="xsd:double"&gt;-6.3531456&lt;/D&gt;&lt;D xsi:type="xsd:double"&gt;0.37925243&lt;/D&gt;&lt;D xsi:type="xsd:double"&gt;0.49159527&lt;/D&gt;&lt;D xsi:type="xsd:double"&gt;-11.899424&lt;/D&gt;&lt;D xsi:type="xsd:double"&gt;-17.644596&lt;/D&gt;&lt;D xsi:type="xsd:double"&gt;-14.618569&lt;/D&gt;&lt;D xsi:type="xsd:double"&gt;-7.8602133&lt;/D&gt;&lt;D xsi:type="xsd:double"&gt;3.3882737&lt;/D&gt;&lt;D xsi:type="xsd:double"&gt;11.380493&lt;/D&gt;&lt;D xsi:type="xsd:double"&gt;-9.725534&lt;/D&gt;&lt;D xsi:type="xsd:double"&gt;-0.06980896&lt;/D&gt;&lt;D xsi:type="xsd:double"&gt;7.074976&lt;/D&gt;&lt;D xsi:type="xsd:double"&gt;-2.6992083&lt;/D&gt;&lt;D xsi:type="xsd:double"&gt;-0.7892549&lt;/D&gt;&lt;D xsi:type="xsd:double"&gt;-13.857878&lt;/D&gt;&lt;D xsi:type="xsd:double"&gt;-11.056071&lt;/D&gt;&lt;D xsi:type="xsd:double"&gt;-1.0784507&lt;/D&gt;&lt;/FQL&gt;&lt;FQL&gt;&lt;Q&gt;EZA^FG_TOTAL_RETURNC(-10AY,0,AM)&lt;/Q&gt;&lt;R&gt;121&lt;/R&gt;&lt;C&gt;1&lt;/C&gt;&lt;D xsi:type="xsd:double"&gt;4.0105224&lt;/D&gt;&lt;D xsi:type="xsd:double"&gt;4.3299556&lt;/D&gt;&lt;D xsi:type="xsd:double"&gt;6.9524407&lt;/D&gt;&lt;D xsi:type="xsd:double"&gt;-1.6853154&lt;/D&gt;&lt;D xsi:type="xsd:double"&gt;0.99282265&lt;/D&gt;&lt;D xsi:type="xsd:double"&gt;2.8929114&lt;/D&gt;&lt;D xsi:type="xsd:double"&gt;-4.6440067&lt;/D&gt;&lt;D xsi:type="xsd:double"&gt;-5.6623163&lt;/D&gt;&lt;D xsi:type="xsd:double"&gt;9.454214&lt;/D&gt;&lt;D xsi:type="xsd:double"&gt;-13.368374&lt;/D&gt;&lt;D xsi:type="xsd:double"&gt;7.751918&lt;/D&gt;&lt;D xsi:type="xsd:double"&gt;7.3542953&lt;/D&gt;&lt;D xsi:type="xsd:double"&gt;-9.866434&lt;/D&gt;&lt;D xsi:type="xsd:double"&gt;11.7112875&lt;/D&gt;&lt;D xsi:type="xsd:double"&gt;-0.7131636&lt;/D&gt;&lt;D xsi:type="xsd:double"&gt;-8.561987&lt;/D&gt;&lt;D xsi:type="xsd:double"&gt;2.5509&lt;/D&gt;&lt;D xsi:type="xsd:double"&gt;-8.297282&lt;/D&gt;&lt;D xsi:type="xsd:double"&gt;-7.363099&lt;/D&gt;&lt;D xsi:type="xsd:double"&gt;7.9847217&lt;/D&gt;&lt;D xsi:type="xsd:double"&gt;-12.194705&lt;/D&gt;&lt;D xsi:type="xsd:double"&gt;-10.915023&lt;/D&gt;&lt;D xsi:type="xsd:double"&gt;-9.553104&lt;/D&gt;&lt;D xsi:type="xsd:double"&gt;7.7538133&lt;/D&gt;&lt;D xsi:type="xsd:double"&gt;9.6694355&lt;/D&gt;&lt;D xsi:type="xsd:double"&gt;11.646509&lt;/D&gt;&lt;D xsi:type="xsd:double"&gt;-10.24794&lt;/D&gt;&lt;D xsi:type="xsd:double"&gt;2.5987267&lt;/D&gt;&lt;D xsi:type="xsd:double"&gt;12.776173&lt;/D&gt;&lt;D xsi:type="xsd:double"&gt;8.655251&lt;/D&gt;&lt;D xsi:type="xsd:double"&gt;-9.122926&lt;/D&gt;&lt;D xsi:type="xsd:double"&gt;-4.59494&lt;/D&gt;&lt;D xsi:type="xsd:double"&gt;-6.286269&lt;/D&gt;&lt;D xsi:type="xsd:double"&gt;5.779147&lt;/D&gt;&lt;D xsi:type="xsd:double"&gt;9.446371&lt;/D&gt;&lt;D xsi:type="xsd:double"&gt;1.7840981&lt;/D&gt;&lt;D xsi:type="xsd:double"&gt;-0.51345825&lt;/D&gt;&lt;D xsi:type="xsd:double"&gt;1.7618775&lt;/D&gt;&lt;D xsi:type="xsd:double"&gt;3.5327077&lt;/D&gt;&lt;D xsi:type="xsd:double"&gt;0.4222989&lt;/D&gt;&lt;D xsi:type="xsd:double"&gt;0.8139014&lt;/D&gt;&lt;D xsi:type="xsd:double"&gt;0.75706244&lt;/D&gt;&lt;D xsi:type="xsd:double"&gt;1.619637&lt;/D&gt;&lt;D xsi:type="xsd:double"&gt;3.2697916&lt;/D&gt;&lt;D xsi:type="xsd:double"&gt;-6.332535&lt;/D&gt;&lt;D xsi:type="xsd:double"&gt;4.297614&lt;/D&gt;&lt;D xsi:type="xsd:double"&gt;14.317727&lt;/D&gt;&lt;D xsi:type="xsd:double"&gt;3.8395166&lt;/D&gt;&lt;D xsi:type="xsd:double"&gt;0.15233755&lt;/D&gt;&lt;D xsi:type="xsd:double"&gt;-7.0519867&lt;/D&gt;&lt;D xsi:type="xsd:double"&gt;0.38679838&lt;/D&gt;&lt;D xsi:type="xsd:double"&gt;-10.729104&lt;/D&gt;&lt;D xsi:type="xsd:double"&gt;-0.7507682&lt;/D&gt;&lt;D xsi:type="xsd:double"&gt;-6.063181&lt;/D&gt;&lt;D xsi:type="xsd:double"&gt;-7.1596503&lt;/D&gt;&lt;D xsi:type="xsd:double"&gt;-2.1226883&lt;/D&gt;&lt;D xsi:type="xsd:double"&gt;0.41782856&lt;/D&gt;&lt;D xsi:type="xsd:double"&gt;0.23776293&lt;/D&gt;&lt;D xsi:type="xsd:double"&gt;9.551155&lt;/D&gt;&lt;D xsi:type="xsd:double"&gt;-2.967745&lt;/D&gt;&lt;D xsi:type="xsd:double"&gt;-1.9186914&lt;/D&gt;&lt;D xsi:type="xsd:double"&gt;10.323453&lt;/D&gt;&lt;D xsi:type="xsd:double"&gt;-3.8448036&lt;/D&gt;&lt;D xsi:type="xsd:double"&gt;-3.103888&lt;/D&gt;&lt;D xsi:type="xsd:double"&gt;4.976964&lt;/D&gt;&lt;D xsi:type="xsd:double"&gt;-16.231138&lt;/D&gt;&lt;D xsi:type="xsd:double"&gt;14.784706&lt;/D&gt;&lt;D xsi:type="xsd:double"&gt;-4.2105255&lt;/D&gt;&lt;D xsi:type="xsd:double"&gt;1.6583443&lt;/D&gt;&lt;D xsi:type="xsd:double"&gt;0.21619797&lt;/D&gt;&lt;D xsi:type="xsd:double"&gt;4.0448546&lt;/D&gt;&lt;D xsi:type="xsd:double"&gt;-3.109455&lt;/D&gt;&lt;D xsi:type="xsd:double"&gt;-28.219944&lt;/D&gt;&lt;D xsi:type="xsd:double"&gt;-5.663186&lt;/D&gt;&lt;D xsi:type="xsd:double"&gt;0.41074753&lt;/D&gt;&lt;D xsi:type="xsd:double"&gt;14.946497&lt;/D&gt;&lt;D xsi:type="xsd:double"&gt;7.2971106&lt;/D&gt;&lt;D xsi:type="xsd:double"&gt;-2.7020037&lt;/D&gt;&lt;D xsi:type="xsd:double"&gt;3.8451195&lt;/D&gt;&lt;D xsi:type="xsd:double"&gt;-2.2885025&lt;/D&gt;&lt;D xsi:type="xsd:double"&gt;11.710525&lt;/D&gt;&lt;D xsi:type="xsd:double"&gt;4.3136835&lt;/D&gt;&lt;D xsi:type="xsd:double"&gt;4.6577334&lt;/D&gt;&lt;D xsi:type="xsd:double"&gt;11.01371&lt;/D&gt;&lt;D xsi:type="xsd:double"&gt;-0.97185373&lt;/D&gt;&lt;D xsi:type="xsd:double"&gt;3.7006736&lt;/D&gt;&lt;D xsi:type="xsd:double"&gt;0.21687746&lt;/D&gt;&lt;D xsi:type="xsd:double"&gt;3.9386034&lt;/D&gt;&lt;D xsi:type="xsd:double"&gt;-7.0296106&lt;/D&gt;&lt;D xsi:type="xsd:double"&gt;-0.45201778&lt;/D&gt;&lt;D xsi:type="xsd:double"&gt;-0.92879534&lt;/D&gt;&lt;D xsi:type="xsd:double"&gt;2.2500038&lt;/D&gt;&lt;D xsi:type=</t>
        </r>
      </text>
    </comment>
    <comment ref="A9" authorId="0" shapeId="0" xr:uid="{A919CB64-1738-45FC-93D3-6EC88BD508C8}">
      <text>
        <r>
          <rPr>
            <b/>
            <sz val="9"/>
            <color indexed="81"/>
            <rFont val="Tahoma"/>
            <charset val="1"/>
          </rPr>
          <t>"xsd:double"&gt;-2.7098656&lt;/D&gt;&lt;D xsi:type="xsd:double"&gt;-5.6535187&lt;/D&gt;&lt;D xsi:type="xsd:double"&gt;11.1011505&lt;/D&gt;&lt;D xsi:type="xsd:double"&gt;4.3601155&lt;/D&gt;&lt;D xsi:type="xsd:double"&gt;-1.6054213&lt;/D&gt;&lt;D xsi:type="xsd:double"&gt;3.577745&lt;/D&gt;&lt;D xsi:type="xsd:double"&gt;-13.873595&lt;/D&gt;&lt;D xsi:type="xsd:double"&gt;-5.646169&lt;/D&gt;&lt;D xsi:type="xsd:double"&gt;-6.1127067&lt;/D&gt;&lt;D xsi:type="xsd:double"&gt;16.861652&lt;/D&gt;&lt;D xsi:type="xsd:double"&gt;-13.014144&lt;/D&gt;&lt;D xsi:type="xsd:double"&gt;-10.007506&lt;/D&gt;&lt;D xsi:type="xsd:double"&gt;20.350288&lt;/D&gt;&lt;D xsi:type="xsd:double"&gt;1.1291742&lt;/D&gt;&lt;D xsi:type="xsd:double"&gt;10.551941&lt;/D&gt;&lt;D xsi:type="xsd:double"&gt;-7.9504848&lt;/D&gt;&lt;D xsi:type="xsd:double"&gt;-8.021879&lt;/D&gt;&lt;D xsi:type="xsd:double"&gt;7.383549&lt;/D&gt;&lt;D xsi:type="xsd:double"&gt;-9.575457&lt;/D&gt;&lt;D xsi:type="xsd:double"&gt;8.822191&lt;/D&gt;&lt;D xsi:type="xsd:double"&gt;1.145041&lt;/D&gt;&lt;D xsi:type="xsd:double"&gt;-5.283022&lt;/D&gt;&lt;D xsi:type="xsd:double"&gt;-3.7101626&lt;/D&gt;&lt;D xsi:type="xsd:double"&gt;-0.5171895&lt;/D&gt;&lt;D xsi:type="xsd:double"&gt;6.0046673&lt;/D&gt;&lt;D xsi:type="xsd:double"&gt;3.1142712&lt;/D&gt;&lt;D xsi:type="xsd:double"&gt;-4.6750903&lt;/D&gt;&lt;D xsi:type="xsd:double"&gt;-4.294014&lt;/D&gt;&lt;D xsi:type="xsd:double"&gt;2.296114&lt;/D&gt;&lt;/FQL&gt;&lt;FQL&gt;&lt;Q&gt;EWZ^FMA_DIV_YLD(NTMA,-10AY,0,AM,"PORTAGG","MEANR")&lt;/Q&gt;&lt;R&gt;121&lt;/R&gt;&lt;C&gt;1&lt;/C&gt;&lt;D xsi:type="xsd:double"&gt;4.63068819986451&lt;/D&gt;&lt;D xsi:type="xsd:double"&gt;4.16135313420721&lt;/D&gt;&lt;D xsi:type="xsd:double"&gt;3.98726552692452&lt;/D&gt;&lt;D xsi:type="xsd:double"&gt;3.97042451058872&lt;/D&gt;&lt;D xsi:type="xsd:double"&gt;3.81698799047361&lt;/D&gt;&lt;D xsi:type="xsd:double"&gt;3.89303342385143&lt;/D&gt;&lt;D xsi:type="xsd:double"&gt;3.7748665658475&lt;/D&gt;&lt;D xsi:type="xsd:double"&gt;3.60200008007537&lt;/D&gt;&lt;D xsi:type="xsd:double"&gt;3.9182979625018&lt;/D&gt;&lt;D xsi:type="xsd:double"&gt;4.37648736763919&lt;/D&gt;&lt;D xsi:type="xsd:double"&gt;4.23004151913473&lt;/D&gt;&lt;D xsi:type="xsd:double"&gt;4.00110050249192&lt;/D&gt;&lt;D xsi:type="xsd:double"&gt;4.17352112982094&lt;/D&gt;&lt;D xsi:type="xsd:double"&gt;3.64930804598889&lt;/D&gt;&lt;D xsi:type="xsd:double"&gt;3.59239743016661&lt;/D&gt;&lt;D xsi:type="xsd:double"&gt;3.8998296508807&lt;/D&gt;&lt;D xsi:type="xsd:double"&gt;3.8055629911909&lt;/D&gt;&lt;D xsi:type="xsd:double"&gt;4.06983560340434&lt;/D&gt;&lt;D xsi:type="xsd:double"&gt;4.29466719427669&lt;/D&gt;&lt;D xsi:type="xsd:double"&gt;4.09906018077773&lt;/D&gt;&lt;D xsi:type="xsd:double"&gt;4.02668406608447&lt;/D&gt;&lt;D xsi:type="xsd:double"&gt;4.10061426854432&lt;/D&gt;&lt;D xsi:type="xsd:double"&gt;4.74282948051775&lt;/D&gt;&lt;D xsi:type="xsd:double"&gt;4.45503016170433&lt;/D&gt;&lt;D xsi:type="xsd:double"&gt;3.42112577690247&lt;/D&gt;&lt;D xsi:type="xsd:double"&gt;3.12005870650015&lt;/D&gt;&lt;D xsi:type="xsd:double"&gt;3.39823890859019&lt;/D&gt;&lt;D xsi:type="xsd:double"&gt;3.51806104396819&lt;/D&gt;&lt;D xsi:type="xsd:double"&gt;3.01594570874003&lt;/D&gt;&lt;D xsi:type="xsd:double"&gt;3.02189153580602&lt;/D&gt;&lt;D xsi:type="xsd:double"&gt;3.15409965433616&lt;/D&gt;&lt;D xsi:type="xsd:double"&gt;2.96234672653064&lt;/D&gt;&lt;D xsi:type="xsd:double"&gt;3.19291994945229&lt;/D&gt;&lt;D xsi:type="xsd:double"&gt;3.5971249084706&lt;/D&gt;&lt;D xsi:type="xsd:double"&gt;3.37457182235886&lt;/D&gt;&lt;D xsi:type="xsd:double"&gt;3.32025851859382&lt;/D&gt;&lt;D xsi:type="xsd:double"&gt;3.60167016878176&lt;/D&gt;&lt;D xsi:type="xsd:double"&gt;3.75195816310868&lt;/D&gt;&lt;D xsi:type="xsd:double"&gt;3.47426783770299&lt;/D&gt;&lt;D xsi:type="xsd:double"&gt;3.68087715312374&lt;/D&gt;&lt;D xsi:type="xsd:double"&gt;3.4986923672552&lt;/D&gt;&lt;D xsi:type="xsd:double"&gt;3.37763083316335&lt;/D&gt;&lt;D xsi:type="xsd:double"&gt;3.149551240291&lt;/D&gt;&lt;D xsi:type="xsd:double"&gt;3.11856475015308&lt;/D&gt;&lt;D xsi:type="xsd:double"&gt;3.51120993957878&lt;/D&gt;&lt;D xsi:type="xsd:double"&gt;3.63480974062001&lt;/D&gt;&lt;D xsi:type="xsd:double"&gt;3.33585135823823&lt;/D&gt;&lt;D xsi:type="xsd:double"&gt;3.39362816146554&lt;/D&gt;&lt;D xsi:type="xsd:double"&gt;3.40273936587672&lt;/D&gt;&lt;D xsi:type="xsd:double"&gt;3.62492784565404&lt;/D&gt;&lt;D xsi:type="xsd:double"&gt;3.72276127879771&lt;/D&gt;&lt;D xsi:type="xsd:double"&gt;4.46865253065924&lt;/D&gt;&lt;D xsi:type="xsd:double"&gt;4.26199217603315&lt;/D&gt;&lt;D xsi:type="xsd:double"&gt;4.27444142189004&lt;/D&gt;&lt;D xsi:type="xsd:double"&gt;4.47892041839684&lt;/D&gt;&lt;D xsi:type="xsd:double"&gt;4.14014293020204&lt;/D&gt;&lt;D xsi:type="xsd:double"&gt;3.95948868262032&lt;/D&gt;&lt;D xsi:type="xsd:double"&gt;3.95776451084337&lt;/D&gt;&lt;D xsi:type="xsd:double"&gt;3.76356877674984&lt;/D&gt;&lt;D xsi:type="xsd:double"&gt;3.43583641111345&lt;/D&gt;&lt;D xsi:type="xsd:double"&gt;3.4414751770507&lt;/D&gt;&lt;D xsi:type="xsd:double"&gt;3.51932897618861&lt;/D&gt;&lt;D xsi:type="xsd:double"&gt;3.55586912690063&lt;/D&gt;&lt;D xsi:type="xsd:double"&gt;3.17015161480865&lt;/D&gt;&lt;D xsi:type="xsd:double"&gt;3.08060104397797&lt;/D&gt;&lt;D xsi:type="xsd:double"&gt;3.3619539953146&lt;/D&gt;&lt;D xsi:type="xsd:double"&gt;3.24366821246284&lt;/D&gt;&lt;D xsi:type="xsd:double"&gt;3.26320155606786&lt;/D&gt;&lt;D xsi:type="xsd:double"&gt;3.30129810516766&lt;/D&gt;&lt;D xsi:type="xsd:double"&gt;3.17991689170033&lt;/D&gt;&lt;D xsi:type="xsd:double"&gt;3.09560288697388&lt;/D&gt;&lt;D xsi:type="xsd:double"&gt;3.13253684045097&lt;/D&gt;&lt;D xsi:type="xsd:double"&gt;4.36690688471448&lt;/D&gt;&lt;D xsi:type="xsd:double"&gt;4.0760990803131&lt;/D&gt;&lt;D xsi:type="xsd:double"&gt;3.74092653881303&lt;/D&gt;&lt;D xsi:type="xsd:double"&gt;2.9634014709945&lt;/D&gt;&lt;D xsi:type="xsd:double"&gt;2.73566710946756&lt;/D&gt;&lt;D xsi:type="xsd:double"&gt;2.78056682663781&lt;/D&gt;&lt;D xsi:type="xsd:double"&gt;3.19680959762411&lt;/D&gt;&lt;D xsi:type="xsd:double"&gt;3.42814633871571&lt;/D&gt;&lt;D xsi:type="xsd:double"&gt;3.44699616681848&lt;/D&gt;&lt;D xsi:type="xsd:double"&gt;3.40633335764649&lt;/D&gt;&lt;D xsi:type="xsd:double"&gt;3.34313762716899&lt;/D&gt;&lt;D xsi:type="xsd:double"&gt;3.72816514174508&lt;/D&gt;&lt;D xsi:type="xsd:double"&gt;4.20273381972284&lt;/D&gt;&lt;D xsi:type="xsd:double"&gt;4.54676772912109&lt;/D&gt;&lt;D xsi:type="xsd:double"&gt;4.78980438872689&lt;/D&gt;&lt;D xsi:type="xsd:double"&gt;4.63359738237213&lt;/D&gt;&lt;D xsi:type="xsd:double"&gt;5.12862682237942&lt;/D&gt;&lt;D xsi:type="xsd:double"&gt;5.64768939930458&lt;/D&gt;&lt;D xsi:type="xsd:double"&gt;6.2580528324232&lt;/D&gt;&lt;D xsi:type="xsd:double"&gt;6.59762797377801&lt;/D&gt;&lt;D xsi:type="xsd:double"&gt;7.50665478593029&lt;/D&gt;&lt;D xsi:type="xsd:double"&gt;7.53554098365702&lt;/D&gt;&lt;D xsi:type="xsd:double"&gt;7.22147848578328&lt;/D&gt;&lt;D xsi:type="xsd:double"&gt;6.75676061142067&lt;/D&gt;&lt;D xsi:type="xsd:double"&gt;8.98338969825583&lt;/D&gt;&lt;D xsi:type="xsd:double"&gt;8.59960871064865&lt;/D&gt;&lt;D xsi:type="xsd:double"&gt;9.14384940072895&lt;/D&gt;&lt;D xsi:type="xsd:double"&gt;10.6932290588309&lt;/D&gt;&lt;D xsi:type="xsd:double"&gt;11.680327763721&lt;/D&gt;&lt;D xsi:type="xsd:double"&gt;10.5424071592444&lt;/D&gt;&lt;D xsi:type="xsd:double"&gt;10.4449112579662&lt;/D&gt;&lt;D xsi:type="xsd:double"&gt;9.66874029379336&lt;/D&gt;&lt;D xsi:type="xsd:double"&gt;8.25900131728285&lt;/D&gt;&lt;D xsi:type="xsd:double"&gt;7.41078916883097&lt;/D&gt;&lt;D xsi:type="xsd:double"&gt;6.68936489201786&lt;/D&gt;&lt;D xsi:type="xsd:double"&gt;6.59207120483634&lt;/D&gt;&lt;D xsi:type="xsd:double"&gt;7.03876375177375&lt;/D&gt;&lt;D xsi:type="xsd:double"&gt;6.52603040085225&lt;/D&gt;&lt;D xsi:type="xsd:double"&gt;6.63984130574988&lt;/D&gt;&lt;D xsi:type="xsd:double"&gt;6.08599666040487&lt;/D&gt;&lt;D xsi:type="xsd:double"&gt;6.09728508263912&lt;/D&gt;&lt;D xsi:type="xsd:double"&gt;5.95331327240488&lt;/D&gt;&lt;D xsi:type="xsd:double"&gt;5.84059801081946&lt;/D&gt;&lt;D xsi:type="xsd:double"&gt;6.15975477746228&lt;/D&gt;&lt;D xsi:type="xsd:double"&gt;6.17082798697218&lt;/D&gt;&lt;D xsi:type="xsd:double"&gt;5.86956644329022&lt;/D&gt;&lt;D xsi:type="xsd:double"&gt;5.72121142229653&lt;/D&gt;&lt;D xsi:type="xsd:double"&gt;5.93904530300397&lt;/D&gt;&lt;D xsi:type="xsd:double"&gt;6.26373795914706&lt;/D&gt;&lt;/FQL&gt;&lt;FQL&gt;&lt;Q&gt;GREK^FMA_PE(NTMA,-10AY,0,AM,"PORTAGG","MEANR")&lt;/Q&gt;&lt;R&gt;121&lt;/R&gt;&lt;C&gt;1&lt;/C&gt;&lt;D xsi:type="xsd:double"&gt;14.8773174941734&lt;/D&gt;&lt;D xsi:type="xsd:double"&gt;14.2822412871312&lt;/D&gt;&lt;D xsi:type="xsd:double"&gt;16.7995341855523&lt;/D&gt;&lt;D xsi:type="xsd:double"&gt;10.6300676836861&lt;/D&gt;&lt;D xsi:type="xsd:double"&gt;8.93100209950873&lt;/D&gt;&lt;D xsi:type="xsd:double"&gt;7.9304798869945&lt;/D&gt;&lt;D xsi:type="xsd:double"&gt;8.00745408266854&lt;/D&gt;&lt;D xsi:type="xsd:double"&gt;6.48998716925843&lt;/D&gt;&lt;D xsi:type="xsd:double"&gt;6.44394615289409&lt;/D&gt;&lt;D xsi:type="xsd:double"&gt;5.33095899244536&lt;/D&gt;&lt;D xsi:type="xsd:double"&gt;4.36300120189928&lt;/D&gt;&lt;D xsi:type="xsd:double"&gt;4.90392460148274&lt;/D&gt;&lt;D xsi:type="xsd:double"&gt;4.75282815547673&lt;/D&gt;&lt;D xsi:type="xsd:double"&gt;5.02956148365051&lt;/D&gt;&lt;D xsi:type="xsd:double"&gt;5.23124565802938&lt;/D&gt;&lt;D xsi:type="xsd:double"&gt;5.29075535367418&lt;/D&gt;&lt;D xsi:type="xsd:double"&gt;4.86311227925345&lt;/D&gt;&lt;D xsi:type="xsd:double"&gt;4.55845141909565&lt;/D&gt;&lt;D xsi:type="xsd:double"&gt;4.28919412675247&lt;/D&gt;&lt;D xsi:type="xsd:double"&gt;3.88311989980699&lt;/D&gt;&lt;D xsi:type="xsd:double"&gt;4.33787298239576&lt;/D&gt;&lt;D xsi:type="xsd:double"&gt;3.80174295482332&lt;/D&gt;&lt;D xsi:type="xsd:double"&gt;9.30805724607813&lt;/D&gt;&lt;D xsi:type="xsd:double"&gt;7.87327717513449&lt;/D&gt;&lt;D xsi:type="xsd:double"&gt;8.84793161686471&lt;/D&gt;&lt;D xsi:type="xsd:double"&gt;8.49746197133462&lt;/D&gt;&lt;D xsi:type="xsd:double"&gt;10.6336572759388&lt;/D&gt;&lt;D xsi:type="xsd:double"&gt;9.20940607444823&lt;/D&gt;&lt;D xsi:type="xsd:double"&gt;9.00878159706093&lt;/D&gt;&lt;D xsi:type="xsd:double"&gt;8.77468305105581&lt;/D&gt;&lt;D xsi:type="xsd:double"&gt;8.24198255653133&lt;/D&gt;&lt;D xsi:type="xsd:double"&gt;8.98567518366788&lt;/D&gt;&lt;D xsi:type="xsd:double"&gt;8.52845927379323&lt;/D&gt;&lt;D xsi:type="xsd:double"&gt;9.35815461606673&lt;/D&gt;&lt;D xsi:type="xsd:double"&gt;9.33999565609456&lt;/D&gt;&lt;D xsi:type="xsd:double"&gt;8.90036266060179&lt;/D&gt;&lt;D xsi:type="xsd:double"&gt;9.16810248427301&lt;/D&gt;&lt;D xsi:type="xsd:double"&gt;10.8061216753758&lt;/D&gt;&lt;D xsi:type="xsd:double"&gt;13.8288034554469&lt;/D&gt;&lt;D xsi:type="xsd:double"&gt;13.5808251761614&lt;/D&gt;&lt;D xsi:type="xsd:double"&gt;13.1750608389954&lt;/D&gt;&lt;D xsi:type="xsd:double"&gt;12.5461049864466&lt;/D&gt;&lt;D xsi:type="xsd:double"&gt;10.9968435958071&lt;/D&gt;&lt;D xsi:type="xsd:double"&gt;12.0225616718787&lt;/D&gt;&lt;D xsi:type="xsd:double"&gt;11.5112167570446&lt;/D&gt;&lt;D xsi:type="xsd:double"&gt;13.876378160216&lt;/D&gt;&lt;D xsi:type="xsd:double"&gt;14.4075328570669&lt;/D&gt;&lt;D xsi:type="xsd:double"&gt;13.9542414347827&lt;/D&gt;&lt;D xsi:type="xsd:double"&gt;14.1340517165967&lt;/D&gt;&lt;D xsi:type="xsd:double"&gt;14.0434838680451&lt;/D&gt;&lt;D xsi:type="xsd:double"&gt;14.3811715165458&lt;/D&gt;&lt;D xsi:type="xsd:double"&gt;14.7692613819955&lt;/D&gt;&lt;D xsi:type="xsd:double"&gt;14.7195261717513&lt;/D&gt;&lt;D xsi:type="xsd:double"&gt;14.5399235671052&lt;/D&gt;&lt;D xsi:type="xsd:double"&gt;14.3268449550587&lt;/D&gt;&lt;D xsi:type="xsd:double"&gt;12.5395606993708&lt;/D&gt;&lt;D xsi:type="xsd:double"&gt;12.0023108011644&lt;/D&gt;&lt;D xsi:type="xsd:double"&gt;12.2420815302886&lt;/D&gt;&lt;D xsi:type="xsd:double"&gt;11.3527312981172&lt;/D&gt;&lt;D xsi:type="xsd:double"&gt;11.7815230634283&lt;/D&gt;&lt;D xsi:type="xsd:double"&gt;13.0265062891901&lt;/D&gt;&lt;D xsi:type="xsd:double"&gt;13.9243263292703&lt;/D&gt;&lt;D xsi:type="xsd:double"&gt;12.6882447936149&lt;/D&gt;&lt;D xsi:type="xsd:double"&gt;13.7060791901535&lt;/D&gt;&lt;D xsi:type="xsd:double"&gt;14.0021465320807&lt;/D&gt;&lt;D xsi:type="xsd:double"&gt;12.2530020014573&lt;/D&gt;&lt;D xsi:type="xsd:double"&gt;13.7920059633106&lt;/D&gt;&lt;D xsi:type="xsd:double"&gt;12.1888198135705&lt;/D&gt;&lt;D xsi:type="xsd:double"&gt;11.8265480444808&lt;/D&gt;&lt;D xsi:type="xsd:double"&gt;11.3299002760061&lt;/D&gt;&lt;D xsi:type="xsd:double"&gt;11.2293025813426&lt;/D&gt;&lt;D xsi:type="xsd:double"&gt;11.12957209573&lt;/D&gt;&lt;D xsi:type="xsd:double"&gt;6.53792069679476&lt;/D&gt;&lt;D xsi:type="xsd:double"&gt;7.97587218547892&lt;/D&gt;&lt;D xsi:type="xsd:double"&gt;9.67913373321972&lt;/D&gt;&lt;D xsi:type="xsd:double"&gt;13.0525709776208&lt;/D&gt;&lt;D xsi:type="xsd:double"&gt;13.0788341739456&lt;/D&gt;&lt;D xsi:type="xsd:double"&gt;12.2556109518276&lt;/D&gt;&lt;D xsi:type="xsd:double"&gt;12.4530619074224&lt;/D&gt;&lt;D xsi:type="xsd:double"&gt;10.8550471658322&lt;/D&gt;&lt;D xsi:type="xsd:double"&gt;10.1440530824782&lt;/D&gt;&lt;D xsi:type="xsd:double"&gt;11.9653299342572&lt;/D&gt;&lt;D xsi:type="xsd:double"&gt;11.3702965177361&lt;/D&gt;&lt;D xsi:type="xsd:double"&gt;11.3856133428714&lt;/D&gt;&lt;D xsi:type="xsd:double"&gt;12.2678128591184&lt;/D&gt;&lt;D xsi:type="xsd:double"&gt;12.2429537703195&lt;/D&gt;&lt;D xsi:type="xsd:double"&gt;7.05934387625871&lt;/D&gt;&lt;D xsi:type="xsd:double"&gt;13.3712083471671&lt;/D&gt;&lt;D xsi:type="xsd:double"&gt;11.7206219687679&lt;/D&gt;&lt;D xsi:type="xsd:double"&gt;11.0108537630575&lt;/D&gt;&lt;D xsi:type="xsd:double"&gt;10.5682945401633&lt;/D&gt;&lt;D xsi:type="xsd:double"&gt;10.4432837588326&lt;/D&gt;&lt;D xsi:type="xsd:double"&gt;11.069902310691&lt;/D&gt;&lt;D xsi:type="xsd:double"&gt;9.61647849317271&lt;/D&gt;&lt;D xsi:type="xsd:double"&gt;10.182049945153&lt;/D&gt;&lt;D xsi:type="xsd:double"&gt;10.1874264063638&lt;/D&gt;&lt;D xsi:type="xsd:double"&gt;9.10209121245686&lt;/D&gt;&lt;D xsi:type="xsd:double"&gt;10.3132839301189&lt;/D&gt;&lt;D xsi:type="xsd:double"&gt;9.07318864212&lt;/D&gt;&lt;D xsi:type="xsd:double"&gt;8.43302776288301&lt;/D&gt;&lt;D xsi:type="xsd:double"&gt;7.67707638204258&lt;/D&gt;&lt;D xsi:type="xsd:double"&gt;8.21791572639217&lt;/D&gt;&lt;D xsi:type="xsd:double"&gt;6.8124094239043&lt;/D&gt;&lt;D xsi:type="xsd:double"&gt;6.77293809046786&lt;/D&gt;&lt;D xsi:type="xsd:double"&gt;6.91810944599504&lt;/D&gt;&lt;D xsi:type="xsd:double"&gt;6.73058387129198&lt;/D&gt;&lt;D xsi:type="xsd:double"&gt;6.47849931671539&lt;/D&gt;&lt;D xsi:type="xsd:double"&gt;7.85100665147149&lt;/D&gt;&lt;D xsi:type="xsd:double"&gt;7.47866676378827&lt;/D&gt;&lt;D xsi:type="xsd:double"&gt;7.27456204650429&lt;/D&gt;&lt;D xsi:type="xsd:double"&gt;6.94456036477689&lt;/D&gt;&lt;D xsi:type="xsd:double"&gt;7.83178436919911&lt;/D&gt;&lt;D xsi:type="xsd:double"&gt;8.20362476136664&lt;/D&gt;&lt;D xsi:type="xsd:double"&gt;7.37014722647376&lt;/D&gt;&lt;D xsi:type="xsd:double"&gt;6.77692193445761&lt;/D&gt;&lt;D xsi:type="xsd:double"&gt;6.47392602363031&lt;/D&gt;&lt;D xsi:type="xsd:double"&gt;6.7818720591821&lt;/D&gt;&lt;D xsi:type="xsd:double"&gt;6.66652965203059&lt;/D&gt;&lt;D xsi:type="xsd:double"&gt;6.86175567502139&lt;/D&gt;&lt;D xsi:type="xsd:double"&gt;7.05145656965813&lt;/D&gt;&lt;D xsi:type="xsd:double"&gt;6.96236107465269&lt;/D&gt;&lt;/FQL&gt;&lt;FQL&gt;&lt;Q&gt;DDR3512M-FDS^FG_PRICE_CHANGE(0,-1AM)&lt;/Q&gt;&lt;R&gt;1&lt;/R&gt;&lt;C&gt;1&lt;/C&gt;&lt;D xsi:type="xsd:double"&gt;-0.836157475346266&lt;/D&gt;&lt;/FQL&gt;&lt;FQL&gt;&lt;Q&gt;NI-FDS^MAX(FG_PRICE(0,-5AY))&lt;/Q&gt;&lt;R&gt;1&lt;/R&gt;&lt;C&gt;1&lt;/C&gt;&lt;D xsi:type="xsd:double"&gt;48241&lt;/D&gt;&lt;/FQL&gt;&lt;FQL&gt;&lt;Q&gt;BRENT-FDS^FG_PRICE_CHANGE(0,-1AM)&lt;/Q&gt;&lt;R&gt;1&lt;/R&gt;&lt;C&gt;1&lt;/C&gt;&lt;D xsi:type="xsd:double"&gt;0&lt;/D&gt;&lt;/FQL&gt;&lt;FQL&gt;&lt;Q&gt;EWT^P_PRICE(0)/P_PRICE_HIGH_PR(0,,,USD,,,"PRICE","INTRA","52W")&lt;/Q&gt;&lt;R&gt;1&lt;/R&gt;&lt;C&gt;1&lt;/C&gt;&lt;D xsi:type="xsd:double"&gt;0.96612877&lt;/D&gt;&lt;/FQL&gt;&lt;FQL&gt;&lt;Q&gt;EPHE^FG_TOTAL_RETURNC(0,-6AM)&lt;/Q&gt;&lt;R&gt;1&lt;/R&gt;&lt;C&gt;1&lt;/C&gt;&lt;D xsi:type="xsd:double"&gt;14.586269&lt;/D&gt;&lt;/FQL&gt;&lt;FQL&gt;&lt;Q&gt;REFAEREPO-FDS^(SUBARRAY(NOT_NA(NO_REPEAT_F(FG_YIELD(NOW,-10AY,D))),0,1)-SUBARRAY(NOT_NA(NO_REPEAT_F(FG_YIELD(NOW,-10AY,D))),1,1))*100&lt;/Q&gt;&lt;R&gt;1&lt;/R&gt;&lt;C&gt;1&lt;/C&gt;&lt;D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xsi:type="xsd:double"&gt;25&lt;/D&gt;&lt;/FQL&gt;&lt;FQL&gt;&lt;Q&gt;REFINREPO-FDS^PROPER_NAME(0,,,"SECURITY","NAME")&lt;/Q&gt;&lt;R&gt;1&lt;/R&gt;&lt;C&gt;1&lt;/C&gt;&lt;D xsi:type="xsd:string"&gt;India Repo Rate&lt;/D&gt;&lt;/FQL&gt;&lt;FQL&gt;&lt;Q&gt;EWY^FMA_EVAL_EBITDA(NTMA,0,,,"PORTAGG","MEANR")&lt;/Q&gt;&lt;R&gt;1&lt;/R&gt;&lt;C&gt;1&lt;/C&gt;&lt;D xsi:type="xsd:double"&gt;6.61469776487503&lt;/D&gt;&lt;/FQL&gt;&lt;FQL&gt;&lt;Q&gt;EWT^FMA_PE(NTMA,0,,,"PORTAGG","MEANR")&lt;/Q&gt;&lt;R&gt;1&lt;/R&gt;&lt;C&gt;1&lt;/C&gt;&lt;D xsi:type="xsd:double"&gt;17.4028176223552&lt;/D&gt;&lt;/FQL&gt;&lt;FQL&gt;&lt;Q&gt;USDTRY^FG_PRICE_CHANGE(0,-6AM)&lt;/Q&gt;&lt;R&gt;1&lt;/R&gt;&lt;C&gt;1&lt;/C&gt;&lt;D xsi:type="xsd:double"&gt;19.176579&lt;/D&gt;&lt;/FQL&gt;&lt;FQL&gt;&lt;Q&gt;USDZAR^FG_PRICE_CHANGE(0,-1AY)&lt;/Q&gt;&lt;R&gt;1&lt;/R&gt;&lt;C&gt;1&lt;/C&gt;&lt;D xsi:type="xsd:double"&gt;3.051746&lt;/D&gt;&lt;/FQL&gt;&lt;FQL&gt;&lt;Q&gt;USDTWD^STD(FG_PRICE_CHANGE(0,-3AY,M))&lt;/Q&gt;&lt;R&gt;1&lt;/R&gt;&lt;C&gt;1&lt;/C&gt;&lt;D xsi:type="xsd:double"&gt;1.76667588702903&lt;/D&gt;&lt;/FQL&gt;&lt;FQL&gt;&lt;Q&gt;USDPLN^STD(FG_PRICE_CHANGE(0,-3AY,M))&lt;/Q&gt;&lt;R&gt;1&lt;/R&gt;&lt;C&gt;1&lt;/C&gt;&lt;D xsi:type="xsd:double"&gt;3.51385786209571&lt;/D&gt;&lt;/FQL&gt;&lt;FQL&gt;&lt;Q&gt;FC0000GR^FMA_EPS(NTMA,-20AY,0,CY,,"PORTAGG","MEANR")&lt;/Q&gt;&lt;R&gt;20&lt;/R&gt;&lt;C&gt;1&lt;/C&gt;&lt;D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xsi:type="xsd:double"&gt;0.557417673683108&lt;/D&gt;&lt;D xsi:type="xsd:double"&gt;0.621885469021717&lt;/D&gt;&lt;D xsi:type="xsd:double"&gt;0.869531876625146&lt;/D&gt;&lt;D xsi:type="xsd:double"&gt;1.21959709581891&lt;/D&gt;&lt;/FQL&gt;&lt;FQL&gt;&lt;Q&gt;EWZ^FG_TOTAL_RETURNC(-10AY,0,AM)&lt;/Q&gt;&lt;R&gt;121&lt;/R&gt;&lt;C&gt;1&lt;/C&gt;&lt;D xsi:type="xsd:double"&gt;-3.7647605&lt;/D&gt;&lt;D xsi:type="xsd:double"&gt;20.813084&lt;/D&gt;&lt;D xsi:type="xsd:double"&gt;5.1428556&lt;/D&gt;&lt;D xsi:type="xsd:double"&gt;-0.080519915&lt;/D&gt;&lt;D xsi:type="xsd:double"&gt;2.3267508&lt;/D&gt;&lt;D xsi:type="xsd:double"&gt;-2.7911663&lt;/D&gt;&lt;D xsi:type="xsd:double"&gt;-1.239413&lt;/D&gt;&lt;D xsi:type="xsd:double"&gt;-1.0248959&lt;/D&gt;&lt;D xsi:type="xsd:double"&gt;-16.990704&lt;/D&gt;&lt;D xsi:type="xsd:double"&gt;-9.241337&lt;/D&gt;&lt;D xsi:type="xsd:double"&gt;2.386725&lt;/D&gt;&lt;D xsi:type="xsd:double"&gt;-2.827835&lt;/D&gt;&lt;D xsi:type="xsd:double"&gt;-16.376602&lt;/D&gt;&lt;D xsi:type="xsd:double"&gt;17.297852&lt;/D&gt;&lt;D xsi:type="xsd:double"&gt;7.068062&lt;/D&gt;&lt;D xsi:type="xsd:double"&gt;-9.372455&lt;/D&gt;&lt;D xsi:type="xsd:double"&gt;-0.11044145&lt;/D&gt;&lt;D xsi:type="xsd:double"&gt;-19.627022&lt;/D&gt;&lt;D xsi:type="xsd:double"&gt;-9.585392&lt;/D&gt;&lt;D xsi:type="xsd:double"&gt;-0.5048394&lt;/D&gt;&lt;D xsi:type="xsd:double"&gt;-1.772511&lt;/D&gt;&lt;D xsi:type="xsd:double"&gt;-3.619337&lt;/D&gt;&lt;D xsi:type="xsd:double"&gt;-13.962925&lt;/D&gt;&lt;D xsi:type="xsd:double"&gt;1.5223145&lt;/D&gt;&lt;D xsi:type="xsd:double"&gt;31.334019&lt;/D&gt;&lt;D xsi:type="xsd:double"&gt;12.401569&lt;/D&gt;&lt;D xsi:type="xsd:double"&gt;-2.6269674&lt;/D&gt;&lt;D xsi:type="xsd:double"&gt;-4.9640236&lt;/D&gt;&lt;D xsi:type="xsd:double"&gt;22.023571&lt;/D&gt;&lt;D xsi:type="xsd:double"&gt;7.687497&lt;/D&gt;&lt;D xsi:type="xsd:double"&gt;-7.22577&lt;/D&gt;&lt;D xsi:type="xsd:double"&gt;12.761963&lt;/D&gt;&lt;D xsi:type="xsd:double"&gt;-10.180301&lt;/D&gt;&lt;D xsi:type="xsd:double"&gt;-2.7177274&lt;/D&gt;&lt;D xsi:type="xsd:double"&gt;15.536642&lt;/D&gt;&lt;D xsi:type="xsd:double"&gt;8.458543&lt;/D&gt;&lt;D xsi:type="xsd:double"&gt;-5.9774218&lt;/D&gt;&lt;D xsi:type="xsd:double"&gt;-1.527971&lt;/D&gt;&lt;D xsi:type="xsd:double"&gt;10.113609&lt;/D&gt;&lt;D xsi:type="xsd:double"&gt;-13.638658&lt;/D&gt;&lt;D xsi:type="xsd:double"&gt;8.188963&lt;/D&gt;&lt;D xsi:type="xsd:double"&gt;3.340578&lt;/D&gt;&lt;D xsi:type="xsd:double"&gt;12.115633&lt;/D&gt;&lt;D xsi:type="xsd:double"&gt;1.5939951&lt;/D&gt;&lt;D xsi:type="xsd:double"&gt;-12.921083&lt;/D&gt;&lt;D xsi:type="xsd:double"&gt;1.510334&lt;/D&gt;&lt;D xsi:type="xsd:double"&gt;14.047813&lt;/D&gt;&lt;D xsi:type="xsd:double"&gt;4.533887&lt;/D&gt;&lt;D xsi:type="xsd:double"&gt;1.1285782&lt;/D&gt;&lt;D xsi:type="xsd:double"&gt;-7.155365&lt;/D&gt;&lt;D xsi:type="xsd:double"&gt;-4.195142&lt;/D&gt;&lt;D xsi:type="xsd:double"&gt;-19.6064&lt;/D&gt;&lt;D xsi:type="xsd:double"&gt;5.8828473&lt;/D&gt;&lt;D xsi:type="xsd:double"&gt;1.908958&lt;/D&gt;&lt;D xsi:type="xsd:double"&gt;-10.028821&lt;/D&gt;&lt;D xsi:type="xsd:double"&gt;23.670732&lt;/D&gt;&lt;D xsi:type="xsd:double"&gt;0.8028984&lt;/D&gt;&lt;D xsi:type="xsd:double"&gt;-1.515919&lt;/D&gt;&lt;D xsi:type="xsd:double"&gt;13.841796&lt;/D&gt;&lt;D xsi:type="xsd:double"&gt;2.9548645&lt;/D&gt;&lt;D xsi:type="xsd:double"&gt;-2.3502827&lt;/D&gt;&lt;D xsi:type="xsd:double"&gt;-6.6882668&lt;/D&gt;&lt;D xsi:type="xsd:double"&gt;-3.3482134&lt;/D&gt;&lt;D xsi:type="xsd:double"&gt;8.39107&lt;/D&gt;&lt;D xsi:type="xsd:double"&gt;11.079514&lt;/D&gt;&lt;D xsi:type="xsd:double"&gt;-10.748982&lt;/D&gt;&lt;D xsi:type="xsd:double"&gt;2.2490978&lt;/D&gt;&lt;D xsi:type="xsd:double"&gt;-0.3547728&lt;/D&gt;&lt;D xsi:type="xsd:double"&gt;0.8307576&lt;/D&gt;&lt;D xsi:type="xsd:double"&gt;7.556498&lt;/D&gt;&lt;D xsi:type="xsd:double"&gt;3.9857268&lt;/D&gt;&lt;D xsi:type="xsd:double"&gt;-6.3220797&lt;/D&gt;&lt;D xsi:type="xsd:double"&gt;-33.65253&lt;/D&gt;&lt;D xsi:type="xsd:double"&gt;-11.340213&lt;/D&gt;&lt;D xsi:type="xsd:double"&gt;-12.286824&lt;/D&gt;&lt;D xsi:type="xsd:double"&gt;34.290768&lt;/D&gt;&lt;D xsi:type="xsd:double"&gt;2.47581&lt;/D&gt;&lt;D xsi:type="xsd:double"&gt;-0.16250014&lt;/D&gt;&lt;D xsi:type="xsd:double"&gt;1.139319&lt;/D&gt;&lt;D xsi:type="xsd:double"&gt;-6.2117815&lt;/D&gt;&lt;D xsi:type="xsd:double"&gt;7.481122&lt;/D&gt;&lt;D xsi:type="xsd:double"&gt;16.558945&lt;/D&gt;&lt;D xsi:type="xsd:double"&gt;6.569147&lt;/D&gt;&lt;D xsi:type="xsd:double"&gt;-6.682211&lt;/D&gt;&lt;D xsi:type="xsd:double"&gt;-7.604766&lt;/D&gt;&lt;D xsi:type="xsd:double"&gt;3.154099&lt;/D&gt;&lt;D xsi:type="xsd:double"&gt;9.172976&lt;/D&gt;&lt;D xsi:type="xsd:double"&gt;10.603619&lt;/D&gt;&lt;D xsi:type="xsd:double"&gt;-1.3712108&lt;/D&gt;&lt;D xsi:type="xsd:double"&gt;-8.167821&lt;/D&gt;&lt;D xsi:type="xsd:double"&gt;-5.379838&lt;/D&gt;&lt;D xsi:type="xsd:double"&gt;-7.228565&lt;/D&gt;&lt;D xsi:type="xsd:double"&gt;-4.958427&lt;/D&gt;&lt;D xsi:type="xsd:double"&gt;-2.4449825&lt;/D&gt;&lt;D xsi:type="xsd:double"&gt;4.04253&lt;/D&gt;&lt;D xsi:type="xsd:double"&gt;12.573004&lt;/D&gt;&lt;D xsi:type="xsd:double"&gt;-0.73238015&lt;/D&gt;&lt;D xsi:type="xsd:double"&gt;14.478958&lt;/D&gt;&lt;D xsi:type="xsd:double"&gt;-14.3662815&lt;/D&gt;&lt;D xsi:type="xsd:double"&gt;-5.38885&lt;/D&gt;&lt;D xsi:type="xsd:double"&gt;-11.180555&lt;/D&gt;&lt;D xsi:type="xsd:double"&gt;25.05864&lt;/D&gt;&lt;D xsi:type="xsd:double"&gt;-3.5636127&lt;/D&gt;&lt;D xsi:type="xsd:double"&gt;-0.7779598&lt;/D&gt;&lt;D xsi:type="xsd:double"&gt;0.6533742&lt;/D&gt;&lt;D xsi:type="xsd:double"&gt;-7.5318756&lt;/D&gt;&lt;D xsi:type="xsd:double"&gt;11.484707&lt;/D&gt;&lt;D xsi:type="xsd:double"&gt;-4.0664196&lt;/D&gt;&lt;D xsi:type="xsd:double"&gt;-5.8636546&lt;/D&gt;&lt;D xsi:type="xsd:double"&gt;10.168862&lt;/D&gt;&lt;D xsi:type="xsd:double"&gt;1.4986277&lt;/D&gt;&lt;D xsi:type="xsd:double"&gt;11.53096&lt;/D&gt;&lt;D xsi:type="xsd:double"&gt;-0.5856931&lt;/D&gt;&lt;D xsi:type="xsd:double"&gt;-4.0620146&lt;/D&gt;&lt;D xsi:type="xsd:double"&gt;4.7188163&lt;/D&gt;&lt;D xsi:type="xsd:double"&gt;-6.6975355&lt;/D&gt;&lt;D xsi:type="xsd:double"&gt;10.42012&lt;/D&gt;&lt;D xsi:type="xsd:double"&gt;5.0329566&lt;/D&gt;&lt;D xsi:type="xsd:double"&gt;1.4866114&lt;/D&gt;&lt;D xsi:type="xsd:double"&gt;-5.212581&lt;/D&gt;&lt;D xsi:type="xsd:double"&gt;-0.4608214&lt;/D&gt;&lt;/FQL&gt;&lt;FQL&gt;&lt;Q&gt;INDA^FMA_PE(LTMA,-10AY,0,AM,"PORTAGG","MEANR")&lt;/Q&gt;&lt;R&gt;121&lt;/R&gt;&lt;C&gt;1&lt;/C&gt;&lt;D xsi:type="xsd:double"&gt;16.3435605764142&lt;/D&gt;&lt;D xsi:type="xsd:double"&gt;16.408634005753&lt;/D&gt;&lt;D xsi:type="xsd:double"&gt;16.5977243766699&lt;/D&gt;&lt;D xsi:type="xsd:double"&gt;17.0428779855582&lt;/D&gt;&lt;D xsi:type="xsd:double"&gt;17.0244403808653&lt;/D&gt;&lt;D xsi:type="xsd:double"&gt;17.5010249364806&lt;/D&gt;&lt;D xsi:type="xsd:double"&gt;18.016921615677&lt;/D&gt;&lt;D xsi:type="xsd:double"&gt;17.8816411532363&lt;/D&gt;&lt;D xsi:type="xsd:double"&gt;19.10737427328&lt;/D&gt;&lt;D xsi:type="xsd:double"&gt;18.91810425499&lt;/D&gt;&lt;D xsi:type="xsd:double"&gt;19.2930548169964&lt;/D&gt;&lt;D xsi:type="xsd:double"&gt;20.8930555822602&lt;/D&gt;&lt;D xsi:type="xsd:double"&gt;20.9008192073555&lt;/D&gt;&lt;D xsi:type="xsd:double"&gt;20.8440572938226&lt;/D&gt;&lt;D xsi:type="xsd:double"&gt;20.2804738693855&lt;/D&gt;&lt;D xsi:type="xsd:double"&gt;19.9794491624641&lt;/D&gt;&lt;D xsi:type="xsd:double"&gt;20.8178964339391&lt;/D&gt;&lt;D xsi:type="xsd:double"&gt;21.2542191390868&lt;/D&gt;&lt;D xsi:type="xsd:double"&gt;20.3267123075261&lt;/D&gt;&lt;D xsi:type="xsd:double"&gt;20.5943376764679&lt;/D&gt;&lt;D xsi:type="xsd:double"&gt;19.9916852293833&lt;/D&gt;&lt;D xsi:type="xsd:double"&gt;19.8714505239282&lt;/D&gt;&lt;D xsi:type="xsd:double"&gt;19.606720673605&lt;/D&gt;&lt;D xsi:type="xsd:double"&gt;18.8339802935087&lt;/D&gt;&lt;D xsi:type="xsd:double"&gt;18.9504251891505&lt;/D&gt;&lt;D xsi:type="xsd:double"&gt;18.97388253854&lt;/D&gt;&lt;D xsi:type="xsd:double"&gt;18.9096487964179&lt;/D&gt;&lt;D xsi:type="xsd:double"&gt;19.0062060073793&lt;/D&gt;&lt;D xsi:type="xsd:double"&gt;19.5158753000353&lt;/D&gt;&lt;D xsi:type="xsd:double"&gt;19.7647830153987&lt;/D&gt;&lt;D xsi:type="xsd:double"&gt;19.7067088170513&lt;/D&gt;&lt;D xsi:type="xsd:double"&gt;19.6545895938301&lt;/D&gt;&lt;D xsi:type="xsd:double"&gt;19.0107195677498&lt;/D&gt;&lt;D xsi:type="xsd:double"&gt;19.0167837441775&lt;/D&gt;&lt;D xsi:type="xsd:double"&gt;19.4076076398743&lt;/D&gt;&lt;D xsi:type="xsd:double"&gt;20.395874325018&lt;/D&gt;&lt;D xsi:type="xsd:double"&gt;20.4949975864785&lt;/D&gt;&lt;D xsi:type="xsd:double"&gt;20.3854807085872&lt;/D&gt;&lt;D xsi:type="xsd:double"&gt;20.4281537885422&lt;/D&gt;&lt;D xsi:type="xsd:double"&gt;20.3665738757046&lt;/D&gt;&lt;D xsi:type="xsd:double"&gt;20.6393410213898&lt;/D&gt;&lt;D xsi:type="xsd:double"&gt;20.7261803067233&lt;/D&gt;&lt;D xsi:type="xsd:double"&gt;21.2027217082358&lt;/D&gt;&lt;D xsi:type="xsd:double"&gt;21.258725898239&lt;/D&gt;&lt;D xsi:type="xsd:double"&gt;21.5488708490117&lt;/D&gt;&lt;D xsi:type="xsd:double"&gt;21.8764465791402&lt;/D&gt;&lt;D xsi:type="xsd:double"&gt;22.9610677939948&lt;/D&gt;&lt;D xsi:type="xsd:double"&gt;21.9145780149354&lt;/D&gt;&lt;D xsi:type="xsd:double"&gt;21.6192568913077&lt;/D&gt;&lt;D xsi:type="xsd:double"&gt;21.4156195768308&lt;/D&gt;&lt;D xsi:type="xsd:double"&gt;21.3272308543434&lt;/D&gt;&lt;D xsi:type="xsd:double"&gt;21.3383852074684&lt;/D&gt;&lt;D xsi:type="xsd:double"&gt;21.32682597979&lt;/D&gt;&lt;D xsi:type="xsd:double"&gt;22.0408466988385&lt;/D&gt;&lt;D xsi:type="xsd:double"&gt;22.3472247740354&lt;/D&gt;&lt;D xsi:type="xsd:double"&gt;20.5938307951869&lt;/D&gt;&lt;D xsi:type="xsd:double"&gt;21.208984510464&lt;/D&gt;&lt;D xsi:type="xsd:double"&gt;21.5986787729737&lt;/D&gt;&lt;D xsi:type="xsd:double"&gt;21.2053019514029&lt;/D&gt;&lt;D xsi:type="xsd:double"&gt;21.5083894939855&lt;/D&gt;&lt;D xsi:type="xsd:double"&gt;21.7352787146792&lt;/D&gt;&lt;D xsi:type="xsd:double"&gt;21.6109901266641&lt;/D&gt;&lt;D xsi:type="xsd:double"&gt;21.256587580275&lt;/D&gt;&lt;D xsi:type="xsd:double"&gt;21.5139307896993&lt;/D&gt;&lt;D xsi:type="xsd:double"&gt;21.1852733072063&lt;/D&gt;&lt;D xsi:type="xsd:double"&gt;21.0422861171735&lt;/D&gt;&lt;D xsi:type="xsd:double"&gt;21.2244811719438&lt;/D&gt;&lt;D xsi:type="xsd:double"&gt;21.3395238757717&lt;/D&gt;&lt;D xsi:type="xsd:double"&gt;22.7710570357151&lt;/D&gt;&lt;D xsi:type="xsd:double"&gt;23.1122560330704&lt;/D&gt;&lt;D xsi:type="xsd:double"&gt;23.6820793834942&lt;/D&gt;&lt;D xsi:type="xsd:double"&gt;23.421718721896&lt;/D&gt;&lt;D xsi:type="xsd:double"&gt;20.7569166903154&lt;/D&gt;&lt;D xsi:type="xsd:double"&gt;20.3395759817529&lt;/D&gt;&lt;D xsi:type="xsd:double"&gt;21.1214214407651&lt;/D&gt;&lt;D xsi:type="xsd:double"&gt;22.4857825689086&lt;/D&gt;&lt;D xsi:type="xsd:double"&gt;24.1444520119302&lt;/D&gt;&lt;D xsi:type="xsd:double"&gt;25.3737151756577&lt;/D&gt;&lt;D xsi:type="xsd:double"&gt;25.8858675351158&lt;/D&gt;&lt;D xsi:type="xsd:double"&gt;26.9504064423009&lt;/D&gt;&lt;D xsi:type="xsd:double"&gt;27.2615949115341&lt;/D&gt;&lt;D xsi:type="xsd:double"&gt;32.2879872684609&lt;/D&gt;&lt;D xsi:type="xsd:double"&gt;34.5283182160349&lt;/D&gt;&lt;D xsi:type="xsd:double"&gt;32.9051687547781&lt;/D&gt;&lt;D xsi:type="xsd:double"&gt;30.9525268489323&lt;/D&gt;&lt;D xsi:type="xsd:double"&gt;29.9397727804924&lt;/D&gt;&lt;D xsi:type="xsd:double"&gt;29.2370149134711&lt;/D&gt;&lt;D xsi:type="xsd:double"&gt;29.3504189002294&lt;/D&gt;&lt;D xsi:type="xsd:double"&gt;28.7589489195407&lt;/D&gt;&lt;D xsi:type="xsd:double"&gt;28.8689725359804&lt;/D&gt;&lt;D xsi:type="xsd:double"&gt;29.4550519485067&lt;/D&gt;&lt;D xsi:type="xsd:double"&gt;29.8072823559612&lt;/D&gt;&lt;D xsi:type="xsd:double"&gt;29.4342499809296&lt;/D&gt;&lt;D xsi:type="xsd:double"&gt;28.6372383408708&lt;/D&gt;&lt;D xsi:type="xsd:double"&gt;29.6231253513594&lt;/D&gt;&lt;D xsi:type="xsd:double"&gt;26.662732335436&lt;/D&gt;&lt;D xsi:type="xsd:double"&gt;26.2414689134098&lt;/D&gt;&lt;D xsi:type="xsd:double"&gt;26.0937508200611&lt;/D&gt;&lt;D xsi:type="xsd:double"&gt;24.9382375752571&lt;/D&gt;&lt;D xsi:type="xsd:double"&gt;24.5189258919902&lt;/D&gt;&lt;D xsi:type="xsd:double"&gt;24.3218307227484&lt;/D&gt;&lt;D xsi:type="xsd:double"&gt;25.8331971534606&lt;/D&gt;&lt;D xsi:type="xsd:double"&gt;26.0221734831752&lt;/D&gt;&lt;D xsi:type="xsd:double"&gt;24.9351976754863&lt;/D&gt;&lt;D xsi:type="xsd:double"&gt;26.3499759752429&lt;/D&gt;&lt;D xsi:type="xsd:double"&gt;26.9577018320288&lt;/D&gt;&lt;D xsi:type="xsd:double"&gt;25.7300989112503&lt;/D&gt;&lt;D xsi:type="xsd:double"&gt;25.1256476386808&lt;/D&gt;&lt;D xsi:type="xsd:double"&gt;23.9357835332376&lt;/D&gt;&lt;D xsi:type="xsd:double"&gt;23.8082798494085&lt;/D&gt;&lt;D xsi:type="xsd:double"&gt;23.8983657689622&lt;/D&gt;&lt;D xsi:type="xsd:double"&gt;24.0748335205519&lt;/D&gt;&lt;D xsi:type="xsd:double"&gt;24.1949662714211&lt;/D&gt;&lt;D xsi:type="xsd:double"&gt;23.6854515745175&lt;/D&gt;&lt;D xsi:type="xsd:double"&gt;23.8822542970345&lt;/D&gt;&lt;D xsi:type="xsd:double"&gt;23.6427015210267&lt;/D&gt;&lt;D xsi:type="xsd:double"&gt;23.1756047329544&lt;/D&gt;&lt;D xsi:type="xsd:double"&gt;25.191324829501&lt;/D&gt;&lt;D xsi:type="xsd:double"&gt;26.0132413390699&lt;/D&gt;&lt;D xsi:type="xsd:double"&gt;26.1658931944354&lt;/D&gt;&lt;D xsi:type="xsd:double"&gt;25.964101093379&lt;/D&gt;&lt;/FQL&gt;&lt;FQL&gt;&lt;Q&gt;CPALM-FDS^FG_PRICE_CHANGE(0,-6AM)&lt;/Q&gt;&lt;R&gt;1&lt;/R&gt;&lt;C&gt;1&lt;/C&gt;&lt;D xsi:type="xsd:double"&gt;18.3060109289618&lt;/D&gt;&lt;/FQL&gt;&lt;FQL&gt;&lt;Q&gt;EZA^FG_PRICE_MAVG(0,,,,30)&lt;/Q&gt;&lt;R&gt;1&lt;/R&gt;&lt;C&gt;1&lt;/C&gt;&lt;D xsi:type="xsd:double"&gt;38.45767&lt;/D&gt;&lt;/FQL&gt;&lt;FQL&gt;&lt;Q&gt;EWT^FG_PRICE(0)&lt;/Q&gt;&lt;R&gt;1&lt;/R&gt;&lt;C&gt;1&lt;/C&gt;&lt;D xsi:type="xsd:double"&gt;48.49&lt;/D&gt;&lt;/FQL&gt;&lt;FQL&gt;&lt;Q&gt;EIDO^FG_PRICE_MAVG(0,,,,200)&lt;/Q&gt;&lt;R&gt;1&lt;/R&gt;&lt;C&gt;1&lt;/C&gt;&lt;D xsi:type="xsd:double"&gt;22.42475&lt;/D&gt;&lt;/FQL&gt;&lt;FQL&gt;&lt;Q&gt;EWJ^P_PRICE(0)/P_PRICE_HIGH_PR(0,,,USD,,,"PRICE","INTRA","52W")&lt;/Q&gt;&lt;R&gt;1&lt;/R&gt;&lt;C&gt;1&lt;/C&gt;&lt;D xsi:type="xsd:double"&gt;0.9624416&lt;/D&gt;&lt;/FQL&gt;&lt;FQL&gt;&lt;Q&gt;SET-BKK^FG_TOTAL_RETURNC(0,-3AM)&lt;/Q&gt;&lt;R&gt;1&lt;/R&gt;&lt;C&gt;1&lt;/C&gt;&lt;D xsi:type="xsd:double"&gt;1.1595964&lt;/D&gt;&lt;/FQL&gt;&lt;FQL&gt;&lt;Q&gt;EWZ^FMA_ROE(NTMA,-20AY,NOW,FY,"PORTAGG","MEANR")&lt;/Q&gt;&lt;R&gt;20&lt;/R&gt;&lt;C&gt;1&lt;/C&gt;&lt;D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xsi:type="xsd:double"&gt;14.5230256357744&lt;/D&gt;&lt;D xsi:type="xsd:double"&gt;16.6004077805652&lt;/D&gt;&lt;D xsi:type="xsd:double"&gt;20.3585186127796&lt;/D&gt;&lt;D xsi:type="xsd:double"&gt;19.4095239083521&lt;/D&gt;&lt;D xsi:type="xsd:double"&gt;18.6294532976694&lt;/D&gt;&lt;/FQL&gt;&lt;FQL&gt;&lt;Q&gt;CAGDPY@TR^EE_ACTUAL_ANNUAL(MED,+1)&lt;/Q&gt;&lt;R&gt;1&lt;/R&gt;&lt;C&gt;1&lt;/C&gt;&lt;D xsi:type="xsd:double"&gt;-3&lt;/D&gt;&lt;/FQL&gt;&lt;FQL&gt;&lt;Q&gt;FC0000QA^FG_PRICE(0)&lt;/Q&gt;&lt;R&gt;1&lt;/R&gt;&lt;C&gt;1&lt;/C&gt;&lt;D xsi:type="xsd:double"&gt;103.64228&lt;/D&gt;&lt;/FQL&gt;&lt;FQL&gt;&lt;Q&gt;VNM^FG_PRICE_MAVG(0,,,,200)&lt;/Q&gt;&lt;R&gt;1&lt;/R&gt;&lt;C&gt;1&lt;/C&gt;&lt;D xsi:type="xsd:double"&gt;13.546625&lt;/D&gt;&lt;/FQL&gt;&lt;FQL&gt;&lt;Q&gt;QAT^FG_PRICE_MAVG(0,,,,60)&lt;/Q&gt;&lt;R&gt;1&lt;/R&gt;&lt;C&gt;1&lt;/C&gt;&lt;D xsi:type="xsd:double"&gt;17.726627&lt;/D&gt;&lt;/FQL&gt;&lt;FQL&gt;&lt;Q&gt;KSA^FG_TOTAL_RETURNC(0,-6AM)&lt;/Q&gt;&lt;R&gt;1&lt;/R&gt;&lt;C&gt;1&lt;/C&gt;&lt;D xsi:type="xsd:double"&gt;13.365316&lt;/D&gt;&lt;/FQL&gt;&lt;FQL&gt;&lt;Q&gt;TRYGB10Y-FDS^FG_YIELD(-10AY,0,Y,,"YTM")&lt;/Q&gt;&lt;R&gt;10&lt;/R&gt;&lt;C&gt;1&lt;/C&gt;&lt;D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xsi:type="xsd:double"&gt;3.534&lt;/D&gt;&lt;/FQL&gt;&lt;FQL&gt;&lt;Q&gt;CAGDPY@ID^EE_ACTUAL_ANNUAL(MED,+1)&lt;/Q&gt;&lt;R&gt;1&lt;/R&gt;&lt;C&gt;1&lt;/C&gt;&lt;D xsi:type="xsd:double"&gt;-0.5&lt;/D&gt;&lt;/FQL&gt;&lt;FQL&gt;&lt;Q&gt;USDSAR^FG_PRICE_CHANGE(0,-3AM)&lt;/Q&gt;&lt;R&gt;1&lt;/R&gt;&lt;C&gt;1&lt;/C&gt;&lt;D xsi:type="xsd:double"&gt;-0.026661158&lt;/D&gt;&lt;/FQL&gt;&lt;FQL&gt;&lt;Q&gt;USDZAR^FG_PRICE(0)&lt;/Q&gt;&lt;R&gt;1&lt;/R&gt;&lt;C&gt;1&lt;/C&gt;&lt;D xsi:type="xsd:double"&gt;18.74125&lt;/D&gt;&lt;/FQL&gt;&lt;FQL&gt;&lt;Q&gt;USDPLN^FG_PRICE_CHANGE(0,-3AM)&lt;/Q&gt;&lt;R&gt;1&lt;/R&gt;&lt;C&gt;1&lt;/C&gt;&lt;D xsi:type="xsd:double"&gt;0.32470226&lt;/D&gt;&lt;/FQL&gt;&lt;FQL&gt;&lt;Q&gt;USDCLP^STD(FG_PRICE_CHANGE(0,-1AY,AM))&lt;/Q&gt;&lt;R&gt;1&lt;/R&gt;&lt;C&gt;1&lt;/C&gt;&lt;D xsi:type="xsd:double"&gt;3.70408120923397&lt;/D&gt;&lt;/FQL&gt;&lt;FQL&gt;&lt;Q&gt;FC0000BR^FMA_EPS(NTMA,-20AY,0,CY,,"PORTAGG","MEANR")&lt;/Q&gt;&lt;R&gt;20&lt;/R&gt;&lt;C&gt;1&lt;/C&gt;&lt;D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xsi:type="xsd:double"&gt;20.1186911984065&lt;/D&gt;&lt;D xsi:type="xsd:double"&gt;14.9222387957437&lt;/D&gt;&lt;D xsi:type="xsd:double"&gt;18.5559440164475&lt;/D&gt;&lt;D xsi:type="xsd:double"&gt;21.0697600284775&lt;/D&gt;&lt;D xsi:type="xsd:double"&gt;24.0547118010978&lt;/D&gt;&lt;/FQL&gt;&lt;FQL&gt;&lt;Q&gt;EWZ^P_PRICE_RETURNS_PR('52W',2,-10AY,0,AM)&lt;/Q&gt;&lt;R&gt;121&lt;/R&gt;&lt;C&gt;1&lt;/C&gt;&lt;D xsi:type="xsd:double"&gt;-27.90528&lt;/D&gt;&lt;D xsi:type="xsd:double"&gt;-11.252564&lt;/D&gt;&lt;D xsi:type="xsd:double"&gt;-5.693549&lt;/D&gt;&lt;D xsi:type="xsd:double"&gt;6.197238&lt;/D&gt;&lt;D xsi:type="xsd:double"&gt;21.69025&lt;/D&gt;&lt;D xsi:type="xsd:double"&gt;13.361418&lt;/D&gt;&lt;D xsi:type="xsd:double"&gt;6.778395&lt;/D&gt;&lt;D xsi:type="xsd:double"&gt;-3.0531228&lt;/D&gt;&lt;D xsi:type="xsd:double"&gt;-15.363741&lt;/D&gt;&lt;D xsi:type="xsd:double"&gt;-17.138218&lt;/D&gt;&lt;D xsi:type="xsd:double"&gt;-12.728196&lt;/D&gt;&lt;D xsi:type="xsd:double"&gt;-10.717308&lt;/D&gt;&lt;D xsi:type="xsd:double"&gt;-22.864038&lt;/D&gt;&lt;D xsi:type="xsd:double"&gt;-24.897783&lt;/D&gt;&lt;D xsi:type="xsd:double"&gt;-23.522627&lt;/D&gt;&lt;D xsi:type="xsd:double"&gt;-30.198687&lt;/D&gt;&lt;D xsi:type="xsd:double"&gt;-32.286716&lt;/D&gt;&lt;D xsi:type="xsd:double"&gt;-44.014156&lt;/D&gt;&lt;D xsi:type="xsd:double"&gt;-48.745365&lt;/D&gt;&lt;D xsi:type="xsd:double"&gt;-48.47605&lt;/D&gt;&lt;D xsi:type="xsd:double"&gt;-39.59906&lt;/D&gt;&lt;D xsi:type="xsd:double"&gt;-35.253357&lt;/D&gt;&lt;D xsi:type="xsd:double"&gt;-45.592445&lt;/D&gt;&lt;D xsi:type="xsd:double"&gt;-42.21707&lt;/D&gt;&lt;D xsi:type="xsd:double"&gt;-10.725331&lt;/D&gt;&lt;D xsi:type="xsd:double"&gt;-14.451861&lt;/D&gt;&lt;D xsi:type="xsd:double"&gt;-20.668077&lt;/D&gt;&lt;D xsi:type="xsd:double"&gt;-18.413723&lt;/D&gt;&lt;D xsi:type="xsd:double"&gt;-0.33543706&lt;/D&gt;&lt;D xsi:type="xsd:double"&gt;31.091953&lt;/D&gt;&lt;D xsi:type="xsd:double"&gt;37.02024&lt;/D&gt;&lt;D xsi:type="xsd:double"&gt;55.29071&lt;/D&gt;&lt;D xsi:type="xsd:double"&gt;41.99859&lt;/D&gt;&lt;D xsi:type="xsd:double"&gt;43.32694&lt;/D&gt;&lt;D xsi:type="xsd:double"&gt;97.33817&lt;/D&gt;&lt;D xsi:type="xsd:double"&gt;105.61943&lt;/D&gt;&lt;D xsi:type="xsd:double"&gt;47.203804&lt;/D&gt;&lt;D xsi:type="xsd:double"&gt;27.31142&lt;/D&gt;&lt;D xsi:type="xsd:double"&gt;39.607918&lt;/D&gt;&lt;D xsi:type="xsd:double"&gt;32.523598&lt;/D&gt;&lt;D xsi:type="xsd:double"&gt;17.49853&lt;/D&gt;&lt;D xsi:type="xsd:double"&gt;12.755585&lt;/D&gt;&lt;D xsi:type="xsd:double"&gt;36.262657&lt;/D&gt;&lt;D xsi:type="xsd:double"&gt;23.52097&lt;/D&gt;&lt;D xsi:type="xsd:double"&gt;19.021023&lt;/D&gt;&lt;D xsi:type="xsd:double"&gt;24.193895&lt;/D&gt;&lt;D xsi:type="xsd:double"&gt;20.977795&lt;/D&gt;&lt;D xsi:type="xsd:double"&gt;18.157375&lt;/D&gt;&lt;D xsi:type="xsd:double"&gt;27.087414&lt;/D&gt;&lt;D xsi:type="xsd:double"&gt;19.824743&lt;/D&gt;&lt;D xsi:type="xsd:double"&gt;4.254067&lt;/D&gt;&lt;D xsi:type="xsd:double"&gt;-2.950102&lt;/D&gt;&lt;D xsi:type="xsd:double"&gt;-4.3171287&lt;/D&gt;&lt;D xsi:type="xsd:double"&gt;-6.334591&lt;/D&gt;&lt;D xsi:type="xsd:double"&gt;-24.83486&lt;/D&gt;&lt;D xsi:type="xsd:double"&gt;-7.260108&lt;/D&gt;&lt;D xsi:type="xsd:double"&gt;5.919373&lt;/D&gt;&lt;D xsi:type="xsd:double"&gt;2.761662&lt;/D&gt;&lt;D xsi:type="xsd:double"&gt;2.5760412&lt;/D&gt;&lt;D xsi:type="xsd:double"&gt;1.0265827&lt;/D&gt;&lt;D xsi:type="xsd:double"&gt;-2.4487674&lt;/D&gt;&lt;D xsi:type="xsd:double"&gt;-3.8390517&lt;/D&gt;&lt;D xsi:type="xsd:double"&gt;-1.0912776&lt;/D&gt;&lt;D xsi:type="xsd:double"&gt;33.354176&lt;/D&gt;&lt;D xsi:type="xsd:double"&gt;42.621696&lt;/D&gt;&lt;D xsi:type="xsd:double"&gt;22.522472&lt;/D&gt;&lt;D xsi:type="xsd:double"&gt;41.50883&lt;/D&gt;&lt;D xsi:type="xsd:double"&gt;12.191879&lt;/D&gt;&lt;D xsi:type="xsd:double"&gt;12.2228985&lt;/D&gt;&lt;D xsi:type="xsd:double"&gt;20.982754&lt;/D&gt;&lt;D xsi:type="xsd:double"&gt;11.950005&lt;/D&gt;&lt;D xsi:type="xsd:double"&gt;1.8625379&lt;/D&gt;&lt;D xsi:type="xsd:double"&gt;-31.64441&lt;/D&gt;&lt;D xsi:type="xsd:double"&gt;-34.24054&lt;/D&gt;&lt;D xsi:type="xsd:double"&gt;-40.322136&lt;/D&gt;&lt;D xsi:type="xsd:double"&gt;-26.995594&lt;/D&gt;&lt;D xsi:type="xsd:double"&gt;-31.789185&lt;/D&gt;&lt;D xsi:type="xsd:double"&gt;-23.698378&lt;/D&gt;&lt;D xsi:type="xsd:double"&gt;-24.526531&lt;/D&gt;&lt;D xsi:type="xsd:double"&gt;-28.962755&lt;/D&gt;&lt;D xsi:type="xsd:double"&gt;-24.134571&lt;/D&gt;&lt;D xsi:type="xsd:double"&gt;-17.939484&lt;/D&gt;&lt;D xsi:type="xsd:double"&gt;-15.900779&lt;/D&gt;&lt;D xsi:type="xsd:double"&gt;-16.69889&lt;/D&gt;&lt;D xsi:type="xsd:double"&gt;37.226402&lt;/D&gt;&lt;D xsi:type="xsd:double"&gt;35.73885&lt;/D&gt;&lt;D xsi:type="xsd:double"&gt;68.948555&lt;/D&gt;&lt;D xsi:type="xsd:double"&gt;39.148224&lt;/D&gt;&lt;D xsi:type="xsd:double"&gt;33.924507&lt;/D&gt;&lt;D xsi:type="xsd:double"&gt;23.06578&lt;/D&gt;&lt;D xsi:type="xsd:double"&gt;15.245735&lt;/D&gt;&lt;D xsi:type="xsd:double"&gt;13.996339&lt;/D&gt;&lt;D xsi:type="xsd:double"&gt;2.704668&lt;/D&gt;&lt;D xsi:type="xsd:double"&gt;-15.632284&lt;/D&gt;&lt;D xsi:type="xsd:double"&gt;-17.632538&lt;/D&gt;&lt;D xsi:type="xsd:double"&gt;-0.636816&lt;/D&gt;&lt;D xsi:type="xsd:double"&gt;6.75385&lt;/D&gt;&lt;D xsi:type="xsd:double"&gt;18.473911&lt;/D&gt;&lt;D xsi:type="xsd:double"&gt;-5.789149&lt;/D&gt;&lt;D xsi:type="xsd:double"</t>
        </r>
      </text>
    </comment>
    <comment ref="A10" authorId="0" shapeId="0" xr:uid="{34CCCC65-B3CA-4B1B-B525-88749A6B9EA5}">
      <text>
        <r>
          <rPr>
            <b/>
            <sz val="9"/>
            <color indexed="81"/>
            <rFont val="Tahoma"/>
            <charset val="1"/>
          </rPr>
          <t>&gt;-20.507652&lt;/D&gt;&lt;D xsi:type="xsd:double"&gt;-28.413736&lt;/D&gt;&lt;D xsi:type="xsd:double"&gt;-2.115661&lt;/D&gt;&lt;D xsi:type="xsd:double"&gt;-0.64134&lt;/D&gt;&lt;D xsi:type="xsd:double"&gt;6.2672853&lt;/D&gt;&lt;D xsi:type="xsd:double"&gt;12.541925&lt;/D&gt;&lt;D xsi:type="xsd:double"&gt;6.6735625&lt;/D&gt;&lt;D xsi:type="xsd:double"&gt;15.574408&lt;/D&gt;&lt;D xsi:type="xsd:double"&gt;-2.5913298&lt;/D&gt;&lt;D xsi:type="xsd:double"&gt;-7.6265097&lt;/D&gt;&lt;D xsi:type="xsd:double"&gt;-11.10434&lt;/D&gt;&lt;D xsi:type="xsd:double"&gt;8.076107&lt;/D&gt;&lt;D xsi:type="xsd:double"&gt;24.207855&lt;/D&gt;&lt;D xsi:type="xsd:double"&gt;39.024044&lt;/D&gt;&lt;D xsi:type="xsd:double"&gt;6.651461&lt;/D&gt;&lt;D xsi:type="xsd:double"&gt;15.811205&lt;/D&gt;&lt;D xsi:type="xsd:double"&gt;5.556929&lt;/D&gt;&lt;D xsi:type="xsd:double"&gt;19.469048&lt;/D&gt;&lt;D xsi:type="xsd:double"&gt;35.702835&lt;/D&gt;&lt;D xsi:type="xsd:double"&gt;22.618687&lt;/D&gt;&lt;D xsi:type="xsd:double"&gt;22.056938&lt;/D&gt;&lt;D xsi:type="xsd:double"&gt;29.062223&lt;/D&gt;&lt;/FQL&gt;&lt;FQL&gt;&lt;Q&gt;EWY^FMA_DIV_YLD(NTMA,-10AY,0,AM,"PORTAGG","MEANR")&lt;/Q&gt;&lt;R&gt;121&lt;/R&gt;&lt;C&gt;1&lt;/C&gt;&lt;D xsi:type="xsd:double"&gt;1.33273849560137&lt;/D&gt;&lt;D xsi:type="xsd:double"&gt;1.27683905590417&lt;/D&gt;&lt;D xsi:type="xsd:double"&gt;1.25235303397216&lt;/D&gt;&lt;D xsi:type="xsd:double"&gt;1.27375790691183&lt;/D&gt;&lt;D xsi:type="xsd:double"&gt;1.30609383498119&lt;/D&gt;&lt;D xsi:type="xsd:double"&gt;1.27202549670703&lt;/D&gt;&lt;D xsi:type="xsd:double"&gt;1.30897466574384&lt;/D&gt;&lt;D xsi:type="xsd:double"&gt;1.44847206060988&lt;/D&gt;&lt;D xsi:type="xsd:double"&gt;1.41431671786864&lt;/D&gt;&lt;D xsi:type="xsd:double"&gt;1.40968929280148&lt;/D&gt;&lt;D xsi:type="xsd:double"&gt;1.52147159695436&lt;/D&gt;&lt;D xsi:type="xsd:double"&gt;1.59302836715794&lt;/D&gt;&lt;D xsi:type="xsd:double"&gt;1.57185310079036&lt;/D&gt;&lt;D xsi:type="xsd:double"&gt;1.49928550887426&lt;/D&gt;&lt;D xsi:type="xsd:double"&gt;1.56470057204472&lt;/D&gt;&lt;D xsi:type="xsd:double"&gt;1.65914795788625&lt;/D&gt;&lt;D xsi:type="xsd:double"&gt;1.69927565531512&lt;/D&gt;&lt;D xsi:type="xsd:double"&gt;1.80035236260379&lt;/D&gt;&lt;D xsi:type="xsd:double"&gt;1.84502872465796&lt;/D&gt;&lt;D xsi:type="xsd:double"&gt;1.73547068726241&lt;/D&gt;&lt;D xsi:type="xsd:double"&gt;1.88532216255562&lt;/D&gt;&lt;D xsi:type="xsd:double"&gt;1.9567298571455&lt;/D&gt;&lt;D xsi:type="xsd:double"&gt;2.0354206682544&lt;/D&gt;&lt;D xsi:type="xsd:double"&gt;2.03525749027914&lt;/D&gt;&lt;D xsi:type="xsd:double"&gt;1.9203564877105&lt;/D&gt;&lt;D xsi:type="xsd:double"&gt;1.89601171826371&lt;/D&gt;&lt;D xsi:type="xsd:double"&gt;1.99365186829439&lt;/D&gt;&lt;D xsi:type="xsd:double"&gt;1.97631003219072&lt;/D&gt;&lt;D xsi:type="xsd:double"&gt;1.93467163128494&lt;/D&gt;&lt;D xsi:type="xsd:double"&gt;1.89227041553592&lt;/D&gt;&lt;D xsi:type="xsd:double"&gt;1.92558389281671&lt;/D&gt;&lt;D xsi:type="xsd:double"&gt;1.92378523373096&lt;/D&gt;&lt;D xsi:type="xsd:double"&gt;1.99935890495358&lt;/D&gt;&lt;D xsi:type="xsd:double"&gt;1.94521368203287&lt;/D&gt;&lt;D xsi:type="xsd:double"&gt;1.94824295220032&lt;/D&gt;&lt;D xsi:type="xsd:double"&gt;1.94167939290855&lt;/D&gt;&lt;D xsi:type="xsd:double"&gt;1.88446976411712&lt;/D&gt;&lt;D xsi:type="xsd:double"&gt;1.93029248743443&lt;/D&gt;&lt;D xsi:type="xsd:double"&gt;1.82743434348034&lt;/D&gt;&lt;D xsi:type="xsd:double"&gt;1.76601332222216&lt;/D&gt;&lt;D xsi:type="xsd:double"&gt;1.74704104827227&lt;/D&gt;&lt;D xsi:type="xsd:double"&gt;1.85427980479096&lt;/D&gt;&lt;D xsi:type="xsd:double"&gt;1.82244112845097&lt;/D&gt;&lt;D xsi:type="xsd:double"&gt;1.7282852484048&lt;/D&gt;&lt;D xsi:type="xsd:double"&gt;1.96860387096641&lt;/D&gt;&lt;D xsi:type="xsd:double"&gt;2.05147340887382&lt;/D&gt;&lt;D xsi:type="xsd:double"&gt;2.01784460328874&lt;/D&gt;&lt;D xsi:type="xsd:double"&gt;2.14587409623273&lt;/D&gt;&lt;D xsi:type="xsd:double"&gt;2.15565748662929&lt;/D&gt;&lt;D xsi:type="xsd:double"&gt;2.21752916992962&lt;/D&gt;&lt;D xsi:type="xsd:double"&gt;2.22771442582204&lt;/D&gt;&lt;D xsi:type="xsd:double"&gt;2.24880784637422&lt;/D&gt;&lt;D xsi:type="xsd:double"&gt;2.35077962642377&lt;/D&gt;&lt;D xsi:type="xsd:double"&gt;2.4208895574748&lt;/D&gt;&lt;D xsi:type="xsd:double"&gt;2.39905830622676&lt;/D&gt;&lt;D xsi:type="xsd:double"&gt;2.55433660659001&lt;/D&gt;&lt;D xsi:type="xsd:double"&gt;2.64032455251914&lt;/D&gt;&lt;D xsi:type="xsd:double"&gt;2.62350388963008&lt;/D&gt;&lt;D xsi:type="xsd:double"&gt;2.64151571376021&lt;/D&gt;&lt;D xsi:type="xsd:double"&gt;2.4281797737499&lt;/D&gt;&lt;D xsi:type="xsd:double"&gt;2.53884346009395&lt;/D&gt;&lt;D xsi:type="xsd:double"&gt;2.44473969315794&lt;/D&gt;&lt;D xsi:type="xsd:double"&gt;2.56795941253352&lt;/D&gt;&lt;D xsi:type="xsd:double"&gt;2.55875169862424&lt;/D&gt;&lt;D xsi:type="xsd:double"&gt;2.53233775905414&lt;/D&gt;&lt;D xsi:type="xsd:double"&gt;2.70052564304273&lt;/D&gt;&lt;D xsi:type="xsd:double"&gt;2.52922394368072&lt;/D&gt;&lt;D xsi:type="xsd:double"&gt;2.49722828873076&lt;/D&gt;&lt;D xsi:type="xsd:double"&gt;2.40177058292798&lt;/D&gt;&lt;D xsi:type="xsd:double"&gt;2.34696599981194&lt;/D&gt;&lt;D xsi:type="xsd:double"&gt;2.27853144168002&lt;/D&gt;&lt;D xsi:type="xsd:double"&gt;2.23303606937868&lt;/D&gt;&lt;D xsi:type="xsd:double"&gt;2.82797371926543&lt;/D&gt;&lt;D xsi:type="xsd:double"&gt;2.6378255481076&lt;/D&gt;&lt;D xsi:type="xsd:double"&gt;2.49475527294614&lt;/D&gt;&lt;D xsi:type="xsd:double"&gt;2.26684797360119&lt;/D&gt;&lt;D xsi:type="xsd:double"&gt;2.22430088870073&lt;/D&gt;&lt;D xsi:type="xsd:double"&gt;2.05147211136227&lt;/D&gt;&lt;D xsi:type="xsd:double"&gt;2.09232893784493&lt;/D&gt;&lt;D xsi:type="xsd:double"&gt;2.11929809062653&lt;/D&gt;&lt;D xsi:type="xsd:double"&gt;2.0467025546327&lt;/D&gt;&lt;D xsi:type="xsd:double"&gt;1.83393431134527&lt;/D&gt;&lt;D xsi:type="xsd:double"&gt;1.62221173386897&lt;/D&gt;&lt;D xsi:type="xsd:double"&gt;1.64409902096544&lt;/D&gt;&lt;D xsi:type="xsd:double"&gt;1.67301186186107&lt;/D&gt;&lt;D xsi:type="xsd:double"&gt;1.65754919687527&lt;/D&gt;&lt;D xsi:type="xsd:double"&gt;1.7544705770614&lt;/D&gt;&lt;D xsi:type="xsd:double"&gt;1.67665061208404&lt;/D&gt;&lt;D xsi:type="xsd:double"&gt;1.69033768523892&lt;/D&gt;&lt;D xsi:type="xsd:double"&gt;1.79414633524371&lt;/D&gt;&lt;D xsi:type="xsd:double"&gt;1.8281098603997&lt;/D&gt;&lt;D xsi:type="xsd:double"&gt;1.95725707282417&lt;/D&gt;&lt;D xsi:type="xsd:double"&gt;1.9835365942657&lt;/D&gt;&lt;D xsi:type="xsd:double"&gt;1.94259150510812&lt;/D&gt;&lt;D xsi:type="xsd:double"&gt;2.00041667816747&lt;/D&gt;&lt;D xsi:type="xsd:double"&gt;2.24233790267187&lt;/D&gt;&lt;D xsi:type="xsd:double"&gt;2.29323951346062&lt;/D&gt;&lt;D xsi:type="xsd:double"&gt;2.24748304747134&lt;/D&gt;&lt;D xsi:type="xsd:double"&gt;2.36847277423169&lt;/D&gt;&lt;D xsi:type="xsd:double"&gt;2.47535268335747&lt;/D&gt;&lt;D xsi:type="xsd:double"&gt;2.67675531473551&lt;/D&gt;&lt;D xsi:type="xsd:double"&gt;2.46930625216271&lt;/D&gt;&lt;D xsi:type="xsd:double"&gt;2.63869964335127&lt;/D&gt;&lt;D xsi:type="xsd:double"&gt;2.78013258182052&lt;/D&gt;&lt;D xsi:type="xsd:double"&gt;2.47992174429933&lt;/D&gt;&lt;D xsi:type="xsd:double"&gt;2.5012219061916&lt;/D&gt;&lt;D xsi:type="xsd:double"&gt;2.50813608814379&lt;/D&gt;&lt;D xsi:type="xsd:double"&gt;2.45144890300598&lt;/D&gt;&lt;D xsi:type="xsd:double"&gt;2.54120244487781&lt;/D&gt;&lt;D xsi:type="xsd:double"&gt;2.29768742105027&lt;/D&gt;&lt;D xsi:type="xsd:double"&gt;2.45647452750394&lt;/D&gt;&lt;D xsi:type="xsd:double"&gt;2.29100589416551&lt;/D&gt;&lt;D xsi:type="xsd:double"&gt;2.31601133046611&lt;/D&gt;&lt;D xsi:type="xsd:double"&gt;2.40049181378119&lt;/D&gt;&lt;D xsi:type="xsd:double"&gt;2.36775354175241&lt;/D&gt;&lt;D xsi:type="xsd:double"&gt;2.50212224176044&lt;/D&gt;&lt;D xsi:type="xsd:double"&gt;2.49021991360932&lt;/D&gt;&lt;D xsi:type="xsd:double"&gt;2.33295332571219&lt;/D&gt;&lt;D xsi:type="xsd:double"&gt;2.36935893995466&lt;/D&gt;&lt;D xsi:type="xsd:double"&gt;2.24480535050944&lt;/D&gt;&lt;D xsi:type="xsd:double"&gt;2.21995098884226&lt;/D&gt;&lt;/FQL&gt;&lt;FQL&gt;&lt;Q&gt;EZA^FMA_PE(NTMA,-10AY,0,AM,"PORTAGG","MEANR")&lt;/Q&gt;&lt;R&gt;121&lt;/R&gt;&lt;C&gt;1&lt;/C&gt;&lt;D xsi:type="xsd:double"&gt;13.9027299710442&lt;/D&gt;&lt;D xsi:type="xsd:double"&gt;14.0410827818258&lt;/D&gt;&lt;D xsi:type="xsd:double"&gt;14.5202935793407&lt;/D&gt;&lt;D xsi:type="xsd:double"&gt;14.7424095977275&lt;/D&gt;&lt;D xsi:type="xsd:double"&gt;14.9741669793012&lt;/D&gt;&lt;D xsi:type="xsd:double"&gt;15.139191691464&lt;/D&gt;&lt;D xsi:type="xsd:double"&gt;15.0168085490227&lt;/D&gt;&lt;D xsi:type="xsd:double"&gt;14.1291934965403&lt;/D&gt;&lt;D xsi:type="xsd:double"&gt;15.3639008384324&lt;/D&gt;&lt;D xsi:type="xsd:double"&gt;14.6351312977917&lt;/D&gt;&lt;D xsi:type="xsd:double"&gt;15.6191018846595&lt;/D&gt;&lt;D xsi:type="xsd:double"&gt;17.0521509426662&lt;/D&gt;&lt;D xsi:type="xsd:double"&gt;16.4052494126541&lt;/D&gt;&lt;D xsi:type="xsd:double"&gt;17.5273582531545&lt;/D&gt;&lt;D xsi:type="xsd:double"&gt;16.9990420236462&lt;/D&gt;&lt;D xsi:type="xsd:double"&gt;16.051691361667&lt;/D&gt;&lt;D xsi:type="xsd:double"&gt;16.2363892506922&lt;/D&gt;&lt;D xsi:type="xsd:double"&gt;15.2987823857785&lt;/D&gt;&lt;D xsi:type="xsd:double"&gt;15.0643360739195&lt;/D&gt;&lt;D xsi:type="xsd:double"&gt;15.9084720813616&lt;/D&gt;&lt;D xsi:type="xsd:double"&gt;14.8822465419192&lt;/D&gt;&lt;D xsi:type="xsd:double"&gt;13.6617836854572&lt;/D&gt;&lt;D xsi:type="xsd:double"&gt;13.2031098711708&lt;/D&gt;&lt;D xsi:type="xsd:double"&gt;13.7753518739223&lt;/D&gt;&lt;D xsi:type="xsd:double"&gt;14.4610188346088&lt;/D&gt;&lt;D xsi:type="xsd:double"&gt;15.2231009229081&lt;/D&gt;&lt;D xsi:type="xsd:double"&gt;14.1017462196182&lt;/D&gt;&lt;D xsi:type="xsd:double"&gt;14.3160233820098&lt;/D&gt;&lt;D xsi:type="xsd:double"&gt;15.1366903646411&lt;/D&gt;&lt;D xsi:type="xsd:double"&gt;15.9158521618662&lt;/D&gt;&lt;D xsi:type="xsd:double"&gt;14.9969691397401&lt;/D&gt;&lt;D xsi:type="xsd:double"&gt;14.4267918254388&lt;/D&gt;&lt;D xsi:type="xsd:double"&gt;13.5450076559521&lt;/D&gt;&lt;D xsi:type="xsd:double"&gt;14.404824313013&lt;/D&gt;&lt;D xsi:type="xsd:double"&gt;15.1473644586294&lt;/D&gt;&lt;D xsi:type="xsd:double"&gt;15.1071575791228&lt;/D&gt;&lt;D xsi:type="xsd:double"&gt;15.7670430258875&lt;/D&gt;&lt;D xsi:type="xsd:double"&gt;16.1202509183228&lt;/D&gt;&lt;D xsi:type="xsd:double"&gt;16.2437575673658&lt;/D&gt;&lt;D xsi:type="xsd:double"&gt;15.0064154934923&lt;/D&gt;&lt;D xsi:type="xsd:double"&gt;15.5208354643384&lt;/D&gt;&lt;D xsi:type="xsd:double"&gt;15.7340710630133&lt;/D&gt;&lt;D xsi:type="xsd:double"&gt;15.3306650296091&lt;/D&gt;&lt;D xsi:type="xsd:double"&gt;15.7000025806314&lt;/D&gt;&lt;D xsi:type="xsd:double"&gt;15.4365453949821&lt;/D&gt;&lt;D xsi:type="xsd:double"&gt;14.3158135679777&lt;/D&gt;&lt;D xsi:type="xsd:double"&gt;14.9065478088539&lt;/D&gt;&lt;D xsi:type="xsd:double"&gt;14.7472975092669&lt;/D&gt;&lt;D xsi:type="xsd:double"&gt;15.3453436712026&lt;/D&gt;&lt;D xsi:type="xsd:double"&gt;15.0589038472002&lt;/D&gt;&lt;D xsi:type="xsd:double"&gt;15.3050950159639&lt;/D&gt;&lt;D xsi:type="xsd:double"&gt;14.576893510695&lt;/D&gt;&lt;D xsi:type="xsd:double"&gt;13.8747986661635&lt;/D&gt;&lt;D xsi:type="xsd:double"&gt;13.5641266441526&lt;/D&gt;&lt;D xsi:type="xsd:double"&gt;13.1105881583741&lt;/D&gt;&lt;D xsi:type="xsd:double"&gt;12.349881143335&lt;/D&gt;&lt;D xsi:type="xsd:double"&gt;12.1114295262136&lt;/D&gt;&lt;D xsi:type="xsd:double"&gt;12.378624267901&lt;/D&gt;&lt;D xsi:type="xsd:double"&gt;12.9451330763095&lt;/D&gt;&lt;D xsi:type="xsd:double"&gt;12.8158780495807&lt;/D&gt;&lt;D xsi:type="xsd:double"&gt;12.7958819826053&lt;/D&gt;&lt;D xsi:type="xsd:double"&gt;13.5129561040861&lt;/D&gt;&lt;D xsi:type="xsd:double"&gt;13.209376364923&lt;/D&gt;&lt;D xsi:type="xsd:double"&gt;13.1427880681106&lt;/D&gt;&lt;D xsi:type="xsd:double"&gt;12.997689065827&lt;/D&gt;&lt;D xsi:type="xsd:double"&gt;11.8179218651561&lt;/D&gt;&lt;D xsi:type="xsd:double"&gt;12.0893957045725&lt;/D&gt;&lt;D xsi:type="xsd:double"&gt;11.7824873183447&lt;/D&gt;&lt;D xsi:type="xsd:double"&gt;11.8752692499017&lt;/D&gt;&lt;D xsi:type="xsd:double"&gt;12.1307123325937&lt;/D&gt;&lt;D xsi:type="xsd:double"&gt;12.4009919768537&lt;/D&gt;&lt;D xsi:type="xsd:double"&gt;12.0501300691388&lt;/D&gt;&lt;D xsi:type="xsd:double"&gt;8.7978974037101&lt;/D&gt;&lt;D xsi:type="xsd:double"&gt;9.73958883565655&lt;/D&gt;&lt;D xsi:type="xsd:double"&gt;10.2016262661469&lt;/D&gt;&lt;D xsi:type="xsd:double"&gt;11.2484439811231&lt;/D&gt;&lt;D xsi:type="xsd:double"&gt;11.7383850758173&lt;/D&gt;&lt;D xsi:type="xsd:double"&gt;11.3862806143265&lt;/D&gt;&lt;D xsi:type="xsd:double"&gt;11.0390480237033&lt;/D&gt;&lt;D xsi:type="xsd:double"&gt;10.5070472237156&lt;/D&gt;&lt;D xsi:type="xsd:double"&gt;10.530608295555&lt;/D&gt;&lt;D xsi:type="xsd:double"&gt;9.88747085594598&lt;/D&gt;&lt;D xsi:type="xsd:double"&gt;9.88898326906276&lt;/D&gt;&lt;D xsi:type="xsd:double"&gt;10.5311840636113&lt;/D&gt;&lt;D xsi:type="xsd:double"&gt;10.3672709884222&lt;/D&gt;&lt;D xsi:type="xsd:double"&gt;9.87876680343068&lt;/D&gt;&lt;D xsi:type="xsd:double"&gt;9.44727641178314&lt;/D&gt;&lt;D xsi:type="xsd:double"&gt;9.80095794356332&lt;/D&gt;&lt;D xsi:type="xsd:double"&gt;9.44209291233494&lt;/D&gt;&lt;D xsi:type="xsd:double"&gt;9.52863234403127&lt;/D&gt;&lt;D xsi:type="xsd:double"&gt;9.01235542408466&lt;/D&gt;&lt;D xsi:type="xsd:double"&gt;9.51453824193464&lt;/D&gt;&lt;D xsi:type="xsd:double"&gt;9.60267968882927&lt;/D&gt;&lt;D xsi:type="xsd:double"&gt;9.5114859135547&lt;/D&gt;&lt;D xsi:type="xsd:double"&gt;9.95040773161897&lt;/D&gt;&lt;D xsi:type="xsd:double"&gt;10.0296184366827&lt;/D&gt;&lt;D xsi:type="xsd:double"&gt;9.66375358953648&lt;/D&gt;&lt;D xsi:type="xsd:double"&gt;9.40007264055272&lt;/D&gt;&lt;D xsi:type="xsd:double"&gt;8.85370822854222&lt;/D&gt;&lt;D xsi:type="xsd:double"&gt;8.26074388523216&lt;/D&gt;&lt;D xsi:type="xsd:double"&gt;8.35749228710744&lt;/D&gt;&lt;D xsi:type="xsd:double"&gt;9.116780093368&lt;/D&gt;&lt;D xsi:type="xsd:double"&gt;8.36006771188771&lt;/D&gt;&lt;D xsi:type="xsd:double"&gt;7.99694856699614&lt;/D&gt;&lt;D xsi:type="xsd:double"&gt;9.00622655464056&lt;/D&gt;&lt;D xsi:type="xsd:double"&gt;9.02275634782322&lt;/D&gt;&lt;D xsi:type="xsd:double"&gt;9.70943016479454&lt;/D&gt;&lt;D xsi:type="xsd:double"&gt;9.24168783514838&lt;/D&gt;&lt;D xsi:type="xsd:double"&gt;8.63157864222471&lt;/D&gt;&lt;D xsi:type="xsd:double"&gt;9.18149327540943&lt;/D&gt;&lt;D xsi:type="xsd:double"&gt;8.91221042668389&lt;/D&gt;&lt;D xsi:type="xsd:double"&gt;9.28980857541472&lt;/D&gt;&lt;D xsi:type="xsd:double"&gt;9.92542734007756&lt;/D&gt;&lt;D xsi:type="xsd:double"&gt;9.7497526493125&lt;/D&gt;&lt;D xsi:type="xsd:double"&gt;9.57841405808904&lt;/D&gt;&lt;D xsi:type="xsd:double"&gt;9.50321124540331&lt;/D&gt;&lt;D xsi:type="xsd:double"&gt;9.6976655876936&lt;/D&gt;&lt;D xsi:type="xsd:double"&gt;9.98896488883105&lt;/D&gt;&lt;D xsi:type="xsd:double"&gt;9.58384974893767&lt;/D&gt;&lt;D xsi:type="xsd:double"&gt;9.29896914782307&lt;/D&gt;&lt;D xsi:type="xsd:double"&gt;9.55971566273369&lt;/D&gt;&lt;/FQL&gt;&lt;FQL&gt;&lt;Q&gt;DDR3512M-FDS^FG_PRICE_MAVG(0,,,,30)&lt;/Q&gt;&lt;R&gt;1&lt;/R&gt;&lt;C&gt;1&lt;/C&gt;&lt;D xsi:type="xsd:double"&gt;0.96949035&lt;/D&gt;&lt;/FQL&gt;&lt;FQL&gt;&lt;Q&gt;NI-FDS^FG_PRICE(0)/MAX(FG_PRICE(0,-1AY))&lt;/Q&gt;&lt;R&gt;1&lt;/R&gt;&lt;C&gt;1&lt;/C&gt;&lt;D xsi:type="xsd:double"&gt;0.695184025058731&lt;/D&gt;&lt;/FQL&gt;&lt;FQL&gt;&lt;Q&gt;BRENT-FDS^FG_PRICE_MAVG(0,,,,30)&lt;/Q&gt;&lt;R&gt;1&lt;/R&gt;&lt;C&gt;1&lt;/C&gt;&lt;D xsi:type="xsd:double"&gt;85.86&lt;/D&gt;&lt;/FQL&gt;&lt;FQL&gt;&lt;Q&gt;EZA^P_PRICE(0)/P_PRICE_HIGH_PR(0,,,USD,,,"PRICE","INTRA","52W")&lt;/Q&gt;&lt;R&gt;1&lt;/R&gt;&lt;C&gt;1&lt;/C&gt;&lt;D xsi:type="xsd:double"&gt;0.86085504&lt;/D&gt;&lt;/FQL&gt;&lt;FQL&gt;&lt;Q&gt;EWT^FG_TOTAL_RETURNC(0,-6AM)&lt;/Q&gt;&lt;R&gt;1&lt;/R&gt;&lt;C&gt;1&lt;/C&gt;&lt;D xsi:type="xsd:double"&gt;18.160212&lt;/D&gt;&lt;/FQL&gt;&lt;FQL&gt;&lt;Q&gt;TRYKR10Y-FDS^FG_YIELD_NAME&lt;/Q&gt;&lt;R&gt;1&lt;/R&gt;&lt;C&gt;1&lt;/C&gt;&lt;D xsi:type="xsd:string"&gt;South Korea Benchmark Bond - 10 Year&lt;/D&gt;&lt;/FQL&gt;&lt;FQL&gt;&lt;Q&gt;REFAEREPO-FDS^FG_YIELD(NOW,,,0)&lt;/Q&gt;&lt;R&gt;1&lt;/R&gt;&lt;C&gt;1&lt;/C&gt;&lt;D xsi:type="xsd:double"&gt;5.4&lt;/D&gt;&lt;/FQL&gt;&lt;FQL&gt;&lt;Q&gt;GREK^JULIAN(FMA_DIV_YLD(NTMA,NOW,NOW,M,"PORTAGG","MEANR").DATES)&lt;/Q&gt;&lt;R&gt;1&lt;/R&gt;&lt;C&gt;1&lt;/C&gt;&lt;D xsi:type="xsd:long"&gt;45351&lt;/D&gt;&lt;/FQL&gt;&lt;FQL&gt;&lt;Q&gt;EWY^FG_FCF_YIELD_NTM(0)&lt;/Q&gt;&lt;R&gt;1&lt;/R&gt;&lt;C&gt;1&lt;/C&gt;&lt;D xsi:type="xsd:double"&gt;4.87320324237773&lt;/D&gt;&lt;/FQL&gt;&lt;FQL&gt;&lt;Q&gt;VNM^FG_PRICE_MAVG(0,,,,60)&lt;/Q&gt;&lt;R&gt;1&lt;/R&gt;&lt;C&gt;1&lt;/C&gt;&lt;D xsi:type="xsd:double"&gt;13.047417&lt;/D&gt;&lt;/FQL&gt;&lt;FQL&gt;&lt;Q&gt;EIDO^FG_PRICE_MAVG(0,,,,60)&lt;/Q&gt;&lt;R&gt;1&lt;/R&gt;&lt;C&gt;1&lt;/C&gt;&lt;D xsi:type="xsd:double"&gt;22.31&lt;/D&gt;&lt;/FQL&gt;&lt;FQL&gt;&lt;Q&gt;KSA^FG_TOTAL_RETURNC(0,-3AM)&lt;/Q&gt;&lt;R&gt;1&lt;/R&gt;&lt;C&gt;1&lt;/C&gt;&lt;D xsi:type="xsd:double"&gt;8.76609&lt;/D&gt;&lt;/FQL&gt;&lt;FQL&gt;&lt;Q&gt;EWJ^FMA_PCT_ABOVE_MAVG(200,0,,,,"PORTAGG")&lt;/Q&gt;&lt;R&gt;1&lt;/R&gt;&lt;C&gt;1&lt;/C&gt;&lt;D xsi:type="xsd:double"&gt;66.6666666666667&lt;/D&gt;&lt;/FQL&gt;&lt;FQL&gt;&lt;Q&gt;UAE^PERCENT_CHANGE(FMA_EPS(+1,0,,,,"PORTAGG","MEAN"),FMA_EPS(+1,-1AM,,,,"PORTAGG","MEAN"))&lt;/Q&gt;&lt;R&gt;1&lt;/R&gt;&lt;C&gt;1&lt;/C&gt;&lt;D xsi:type="xsd:double"&gt;2.30490241258324&lt;/D&gt;&lt;/FQL&gt;&lt;FQL&gt;&lt;Q&gt;GREK^PERCENT_CHANGE(FMA_EPS(+1,0,,,,"PORTAGG","MEAN"),FMA_EPS(+1,-3AM,,,,"PORTAGG","MEAN"))&lt;/Q&gt;&lt;R&gt;1&lt;/R&gt;&lt;C&gt;1&lt;/C&gt;&lt;D xsi:type="xsd:double"&gt;0.874820024807654&lt;/D&gt;&lt;/FQL&gt;&lt;FQL&gt;&lt;Q&gt;EWT^FMA_PCT_ABOVE_MAVG(200,0,,,,"PORTAGG")&lt;/Q&gt;&lt;R&gt;1&lt;/R&gt;&lt;C&gt;1&lt;/C&gt;&lt;D xsi:type="xsd:double"&gt;65.5555555555556&lt;/D&gt;&lt;/FQL&gt;&lt;FQL&gt;&lt;Q&gt;ECH^PERCENT_CHANGE(FMA_EPS(+1,0,,,,"PORTAGG","MEAN"),FMA_EPS(+1,-1AM,,,,"PORTAGG","MEAN"))&lt;/Q&gt;&lt;R&gt;1&lt;/R&gt;&lt;C&gt;1&lt;/C&gt;&lt;D xsi:type="xsd:double"&gt;5.46729768169576&lt;/D&gt;&lt;/FQL&gt;&lt;FQL&gt;&lt;Q&gt;VGK^SIZE(FG_CONSTITUENTS)&lt;/Q&gt;&lt;R&gt;1&lt;/R&gt;&lt;C&gt;1&lt;/C&gt;&lt;D xsi:type="xsd:long"&gt;1291&lt;/D&gt;&lt;/FQL&gt;&lt;FQL&gt;&lt;Q&gt;SET-BKK^FMA_COS_UP("EPS","1M",+1,NOW,,,"PORTAGG","MEANR")&lt;/Q&gt;&lt;R&gt;1&lt;/R&gt;&lt;C&gt;1&lt;/C&gt;&lt;D xsi:type="xsd:double"&gt;55&lt;/D&gt;&lt;/FQL&gt;&lt;FQL&gt;&lt;Q&gt;EWZ^FMA_COS_DOWN("EPS","1M",+1,NOW,,,"PORTAGG","MEANR")&lt;/Q&gt;&lt;R&gt;1&lt;/R&gt;&lt;C&gt;1&lt;/C&gt;&lt;D xsi:type="xsd:double"&gt;24&lt;/D&gt;&lt;/FQL&gt;&lt;FQL&gt;&lt;Q&gt;EPOL^SIZE(FG_CONSTITUENTS)&lt;/Q&gt;&lt;R&gt;1&lt;/R&gt;&lt;C&gt;1&lt;/C&gt;&lt;D xsi:type="xsd:long"&gt;33&lt;/D&gt;&lt;/FQL&gt;&lt;FQL&gt;&lt;Q&gt;ECH^FMA_RBICS_REV_CURRENT(30, LOC, "PORTAGG")&lt;/Q&gt;&lt;R&gt;1&lt;/R&gt;&lt;C&gt;1&lt;/C&gt;&lt;D xsi:type="xsd:double"&gt;31.8032529247926&lt;/D&gt;&lt;/FQL&gt;&lt;FQL&gt;&lt;Q&gt;EPHE^FG_COMPANY_NAME&lt;/Q&gt;&lt;R&gt;1&lt;/R&gt;&lt;C&gt;1&lt;/C&gt;&lt;D xsi:type="xsd:string"&gt;iShares MSCI Philippines ETF&lt;/D&gt;&lt;/FQL&gt;&lt;FQL&gt;&lt;Q&gt;CAGDPY@TH^EE_ACTUAL_ANNUAL(MED,+1)&lt;/Q&gt;&lt;R&gt;1&lt;/R&gt;&lt;C&gt;1&lt;/C&gt;&lt;D xsi:type="xsd:double"&gt;2.4&lt;/D&gt;&lt;/FQL&gt;&lt;FQL&gt;&lt;Q&gt;EWY^FMA_ROE(NTMA,-20AY,NOW,FY,"PORTAGG","MEANR")&lt;/Q&gt;&lt;R&gt;20&lt;/R&gt;&lt;C&gt;1&lt;/C&gt;&lt;D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xsi:type="xsd:double"&gt;8.90185242621126&lt;/D&gt;&lt;/FQL&gt;&lt;FQL&gt;&lt;Q&gt;CAGDPY@TR^EE_ACTUAL_ANNUAL(MED,0)&lt;/Q&gt;&lt;R&gt;1&lt;/R&gt;&lt;C&gt;1&lt;/C&gt;&lt;D xsi:type="xsd:double"&gt;-5.10095096617123&lt;/D&gt;&lt;/FQL&gt;&lt;FQL&gt;&lt;Q&gt;USDTRY^FG_PRICE_CHANGE(0,-3AM)&lt;/Q&gt;&lt;R&gt;1&lt;/R&gt;&lt;C&gt;1&lt;/C&gt;&lt;D xsi:type="xsd:double"&gt;10.791063&lt;/D&gt;&lt;/FQL&gt;&lt;FQL&gt;&lt;Q&gt;USDCNH^FG_COMPANY_NAME&lt;/Q&gt;&lt;R&gt;1&lt;/R&gt;&lt;C&gt;1&lt;/C&gt;&lt;D xsi:type="xsd:string"&gt;Chinese Offshore Renminbi per U.S. Dollar&lt;/D&gt;&lt;/FQL&gt;&lt;FQL&gt;&lt;Q&gt;USDTWD^STD(FG_PRICE_CHANGE(0,-1AY,AM))&lt;/Q&gt;&lt;R&gt;1&lt;/R&gt;&lt;C&gt;1&lt;/C&gt;&lt;D xsi:type="xsd:double"&gt;1.4730634504697&lt;/D&gt;&lt;/FQL&gt;&lt;FQL&gt;&lt;Q&gt;FC0000KR^FMA_EPS(NTMA,-20AY,0,CY,,"PORTAGG","MEANR")&lt;/Q&gt;&lt;R&gt;20&lt;/R&gt;&lt;C&gt;1&lt;/C&gt;&lt;D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xsi:type="xsd:double"&gt;35.9042781492003&lt;/D&gt;&lt;D xsi:type="xsd:double"&gt;42.8018507697772&lt;/D&gt;&lt;D xsi:type="xsd:double"&gt;51.3050657310546&lt;/D&gt;&lt;D xsi:type="xsd:double"&gt;35.3894151466099&lt;/D&gt;&lt;D xsi:type="xsd:double"&gt;41.6875079834502&lt;/D&gt;&lt;/FQL&gt;&lt;FQL&gt;&lt;Q&gt;EWW^FG_TOTAL_RETURNC(-10AY,0,AM)&lt;/Q&gt;&lt;R&gt;121&lt;/R&gt;&lt;C&gt;1&lt;/C&gt;&lt;D xsi:type="xsd:double"&gt;-6.474483&lt;/D&gt;&lt;D xsi:type="xsd:double"&gt;8.084893&lt;/D&gt;&lt;D xsi:type="xsd:double"&gt;4.223156&lt;/D&gt;&lt;D xsi:type="xsd:double"&gt;0.672853&lt;/D&gt;&lt;D xsi:type="xsd:double"&gt;4.00604&lt;/D&gt;&lt;D xsi:type="xsd:double"&gt;1.3753533&lt;/D&gt;&lt;D xsi:type="xsd:double"&gt;0.14132261&lt;/D&gt;&lt;D xsi:type="xsd:double"&gt;-6.7598104&lt;/D&gt;&lt;D xsi:type="xsd:double"&gt;-0.499475&lt;/D&gt;&lt;D xsi:type="xsd:double"&gt;-14.161849&lt;/D&gt;&lt;D xsi:type="xsd:double"&gt;3.7605524&lt;/D&gt;&lt;D xsi:type="xsd:double"&gt;1.8438697&lt;/D&gt;&lt;D xsi:type="xsd:double"&gt;-3.0964434&lt;/D&gt;&lt;D xsi:type="xsd:double"&gt;3.9986014&lt;/D&gt;&lt;D xsi:type="xsd:double"&gt;1.4942884&lt;/D&gt;&lt;D xsi:type="xsd:double"&gt;-3.5897493&lt;/D&gt;&lt;D xsi:type="xsd:double"&gt;0.177145&lt;/D&gt;&lt;D xsi:type="xsd:double"&gt;-6.3481092&lt;/D&gt;&lt;D xsi:type="xsd:double"&gt;-3.8865387&lt;/D&gt;&lt;D xsi:type="xsd:double"&gt;4.235339&lt;/D&gt;&lt;D xsi:type="xsd:double"&gt;-2.5739968&lt;/D&gt;&lt;D xsi:type="xsd:double"&gt;-6.586152&lt;/D&gt;&lt;D xsi:type="xsd:double"&gt;-4.7532024&lt;/D&gt;&lt;D xsi:type="xsd:double"&gt;-2.7335346&lt;/D&gt;&lt;D xsi:type="xsd:double"&gt;12.613416&lt;/D&gt;&lt;D xsi:type="xsd:double"&gt;4.1854978&lt;/D&gt;&lt;D xsi:type="xsd:double"&gt;-4.545456&lt;/D&gt;&lt;D xsi:type="xsd:double"&gt;-5.8684053&lt;/D&gt;&lt;D xsi:type="xsd:double"&gt;7.942629&lt;/D&gt;&lt;D xsi:type="xsd:double"&gt;4.190433&lt;/D&gt;&lt;D xsi:type="xsd:double"&gt;-9.969789&lt;/D&gt;&lt;D xsi:type="xsd:double"&gt;4.8238277&lt;/D&gt;&lt;D xsi:type="xsd:double"&gt;-11.724692&lt;/D&gt;&lt;D xsi:type="xsd:double"&gt;2.3118734&lt;/D&gt;&lt;D xsi:type="xsd:double"&gt;-5.0847826&lt;/D&gt;&lt;D xsi:type="xsd:double"&gt;8.698713&lt;/D&gt;&lt;D xsi:type="xsd:double"&gt;1.8766165&lt;/D&gt;&lt;D xsi:type="xsd:double"&gt;8.384502&lt;/D&gt;&lt;D xsi:type="xsd:double"&gt;1.7386317&lt;/D&gt;&lt;D xsi:type="xsd:double"&gt;4.0130496&lt;/D&gt;&lt;D xsi:type="xsd:double"&gt;6.479776&lt;/D&gt;&lt;D xsi:type="xsd:double"&gt;-0.59596896&lt;/D&gt;&lt;D xsi:type="xsd:double"&gt;-1.0227442&lt;/D&gt;&lt;D xsi:type="xsd:double"&gt;-7.1441355&lt;/D&gt;&lt;D xsi:type="xsd:double"&gt;-5.2187204&lt;/D&gt;&lt;D xsi:type="xsd:double"&gt;1.2550592&lt;/D&gt;&lt;D xsi:type="xsd:double"&gt;2.3810148&lt;/D&gt;&lt;D xsi:type="xsd:double"&gt;1.6374111&lt;/D&gt;&lt;D xsi:type="xsd:double"&gt;0.1552701&lt;/D&gt;&lt;D xsi:type="xsd:double"&gt;4.399228&lt;/D&gt;&lt;D xsi:type="xsd:double"&gt;-12.028956&lt;/D&gt;&lt;D xsi:type="xsd:double"&gt;-5.3386745&lt;/D&gt;&lt;D xsi:type="xsd:double"&gt;13.463092&lt;/D&gt;&lt;D xsi:type="xsd:double"&gt;0.8756161&lt;/D&gt;&lt;D xsi:type="xsd:double"&gt;0.65101385&lt;/D&gt;&lt;D xsi:type="xsd:double"&gt;-4.5276403&lt;/D&gt;&lt;D xsi:type="xsd:double"&gt;-16.403198&lt;/D&gt;&lt;D xsi:type="xsd:double"&gt;-1.1051118&lt;/D&gt;&lt;D xsi:type="xsd:double"&gt;11.456263&lt;/D&gt;&lt;D xsi:type="xsd:double"&gt;-2.4960637&lt;/D&gt;&lt;D xsi:type="xsd:double"&gt;-1.8911421&lt;/D&gt;&lt;D xsi:type="xsd:double"&gt;9.332382&lt;/D&gt;&lt;D xsi:type="xsd:double"&gt;-4.4291496&lt;/D&gt;&lt;D xsi:type="xsd:double"&gt;-0.24747252&lt;/D&gt;&lt;D xsi:type="xsd:double"&gt;0.12811422&lt;/D&gt;&lt;D xsi:type="xsd:double"&gt;-12.135136&lt;/D&gt;&lt;D xsi:type="xsd:double"&gt;12.869477&lt;/D&gt;&lt;D xsi:type="xsd:double"&gt;2.3638368&lt;/D&gt;&lt;D xsi:type="xsd:double"&gt;-0.20375252&lt;/D&gt;&lt;D xsi:type="xsd:double"&gt;3.7885666&lt;/D&gt;&lt;D xsi:type="xsd:double"&gt;2.4284244&lt;/D&gt;&lt;D xsi:type="xsd:double"&gt;2.7789712&lt;/D&gt;&lt;D xsi:type="xsd:double"&gt;-27.981556&lt;/D&gt;&lt;D xsi:type="xsd:double"&gt;-16.35623&lt;/D&gt;&lt;D xsi:type="xsd:double"&gt;2.853167&lt;/D&gt;&lt;D xsi:type="xsd:double"&gt;11.8064995&lt;/D&gt;&lt;D xsi:type="xsd:double"&gt;-4.784298&lt;/D&gt;&lt;D xsi:type="xsd:double"&gt;10.622013&lt;/D&gt;&lt;D xsi:type="xsd:double"&gt;-0.74971914&lt;/D&gt;&lt;D xsi:type="xsd:double"&gt;1.9465446&lt;/D&gt;&lt;D xsi:type="xsd:double"&gt;11.6272335&lt;/D&gt;&lt;D xsi:type="xsd:double"&gt;7.70272&lt;/D&gt;&lt;D xsi:type="xsd:double"&gt;7.5002313&lt;/D&gt;&lt;D xsi:type="xsd:double"&gt;-5.1751137&lt;/D&gt;&lt;D xsi:type="xsd:double"&gt;3.1051636&lt;/D&gt;&lt;D xsi:type="xsd:double"&gt;4.928136&lt;/D&gt;&lt;D xsi:type="xsd:double"&gt;2.4353147&lt;/D&gt;&lt;D xsi:type="xsd:double"&gt;4.762697&lt;/D&gt;&lt;D xsi:type="xsd:double"&gt;-2.225852&lt;/D&gt;&lt;D xsi:type="xsd:double"&gt;3.6340833&lt;/D&gt;&lt;D xsi:type="xsd:double"&gt;1.612246&lt;/D&gt;&lt;D xsi:type="xsd:double"&gt;-2.895677&lt;/D&gt;&lt;D xsi:type="xsd:double"&gt;-0.3676474&lt;/D&gt;&lt;D xsi:type="xsd:double"&gt;-2.5960743&lt;/D&gt;&lt;D xsi:type="xsd:double"&gt;9.434366&lt;/D&gt;&lt;D xsi:type="xsd:double"&gt;-2.9451966&lt;/D&gt;&lt;D xsi:type="xsd:double"&gt;-1.9895434&lt;/D&gt;&lt;D xsi:type="xsd:double"&gt;7.97621&lt;/D&gt;&lt;D xsi:type="xsd:double"&gt;-7.1401415&lt;/D&gt;&lt;D xsi:type="xsd:double"&gt;-5.5257025&lt;/D&gt;&lt;D xsi:type="xsd:double"&gt;-2.4175763&lt;/D&gt;&lt;D xsi:type="xsd:double"&gt;9.594595&lt;/D&gt;&lt;D xsi:type="xsd:double"&gt;-4.5211673&lt;/D&gt;&lt;D xsi:type="xsd:double"&gt;-2.690488&lt;/D&gt;&lt;D xsi:type="xsd:double"&gt;18.513607&lt;/D&gt;&lt;D xsi:type="xsd:double"&gt;-3.5704494&lt;/D&gt;&lt;D xsi:type="xsd:double"&gt;11.949432&lt;/D&gt;&lt;D xsi:type="xsd:double"&gt;0.740993&lt;/D&gt;&lt;D xsi:type="xsd:double"&gt;-0.8756578&lt;/D&gt;&lt;D xsi:type="xsd:double"&gt;5.742049&lt;/D&gt;&lt;D xsi:type="xsd:double"&gt;3.7928104&lt;/D&gt;&lt;D xsi:type="xsd:double"&gt;3.9187431&lt;/D&gt;&lt;D xsi:type="xsd:double"&gt;-0.2652943&lt;/D&gt;&lt;D xsi:type="xsd:double"&gt;-3.004223&lt;/D&gt;&lt;D xsi:type="xsd:double"&gt;-2.774644&lt;/D&gt;&lt;D xsi:type="xsd:double"&gt;-9.009457&lt;/D&gt;&lt;D xsi:type="xsd:double"&gt;12.016773&lt;/D&gt;&lt;D xsi:type="xsd:double"&gt;10.402083&lt;/D&gt;&lt;D xsi:type="xsd:double"&gt;-0.65761805&lt;/D&gt;&lt;D xsi:type="xsd:double"&gt;1.461947&lt;/D&gt;&lt;D xsi:type="xsd:double"&gt;-0.07427931&lt;/D&gt;&lt;/FQL&gt;&lt;FQL&gt;&lt;Q&gt;GREK^FMA_PE(LTMA,-10AY,0,AM,"PORTAGG","MEANR")&lt;/Q&gt;&lt;R&gt;121&lt;/R&gt;&lt;C&gt;1&lt;/C&gt;&lt;D xsi:type="xsd:double"&gt;33.2028968869599&lt;/D&gt;&lt;D xsi:type="xsd:double"&gt;31.4666492672816&lt;/D&gt;&lt;D xsi:type="xsd:double"&gt;31.4012206783914&lt;/D&gt;&lt;D xsi:type="xsd:double"&gt;26.7651744711894&lt;/D&gt;&lt;D xsi:type="xsd:double"&gt;24.0105764808166&lt;/D&gt;&lt;D xsi:type="xsd:double"&gt;21.5034832287741&lt;/D&gt;&lt;D xsi:type="xsd:double"&gt;20.3590947290432&lt;/D&gt;&lt;D xsi:type="xsd:double"&gt;17.4508150422636&lt;/D&gt;&lt;D xsi:type="xsd:double"&gt;17.0494708771725&lt;/D&gt;&lt;D xsi:type="xsd:double"&gt;16.9396245526736&lt;/D&gt;&lt;D xsi:type="xsd:double"&gt;12.7656935211673&lt;/D&gt;&lt;D xsi:type="xsd:double"&gt;16.2129250224884&lt;/D&gt;&lt;D xsi:type="xsd:double"&gt;17.5792341724893&lt;/D&gt;&lt;D xsi:type="xsd:double"&gt;16.3735053013316&lt;/D&gt;&lt;D xsi:type="xsd:double"&gt;15.2955155970649&lt;/D&gt;&lt;D xsi:type="xsd:double"&gt;14.3131113482754&lt;/D&gt;&lt;D xsi:type="xsd:double"&gt;13.2126328268216&lt;/D&gt;&lt;D xsi:type="xsd:double"&gt;12.0881335666416&lt;/D&gt;&lt;D xsi:type="xsd:double"&gt;11.5361231172212&lt;/D&gt;&lt;D xsi:type="xsd:double"&gt;10.5596077392494&lt;/D&gt;&lt;D xsi:type="xsd:double"&gt;12.1313066140294&lt;/D&gt;&lt;D xsi:type="xsd:double"&gt;-2.42449030748667&lt;/D&gt;&lt;D xsi:type="xsd:double"&gt;-1.19020289192977&lt;/D&gt;&lt;D xsi:type="xsd:double"&gt;-0.422211141953098&lt;/D&gt;&lt;D xsi:type="xsd:double"&gt;0.348568128994263&lt;/D&gt;&lt;D xsi:type="xsd:double"&gt;1.29433245115198&lt;/D&gt;&lt;D xsi:type="xsd:double"&gt;3.27870653993332&lt;/D&gt;&lt;D xsi:type="xsd:double"&gt;3.9387210493191&lt;/D&gt;&lt;D xsi:type="xsd:double"&gt;5.19739048034578&lt;/D&gt;&lt;D xsi:type="xsd:double"&gt;6.36105651861347&lt;/D&gt;&lt;D xsi:type="xsd:double"&gt;7.84243232950668&lt;/D&gt;&lt;D xsi:type="xsd:double"&gt;10.716514689107001&lt;/D&gt;&lt;D xsi:type="xsd:double"&gt;11.4771142800558&lt;/D&gt;&lt;D xsi:type="xsd:double"&gt;14.5160051155324&lt;/D&gt;&lt;D xsi:type="xsd:double"&gt;14.7359539321522&lt;/D&gt;&lt;D xsi:type="xsd:double"&gt;13.7672255485622&lt;/D&gt;&lt;D xsi:type="xsd:double"&gt;14.2026780719532&lt;/D&gt;&lt;D xsi:type="xsd:double"&gt;14.2927556118524&lt;/D&gt;&lt;D xsi:type="xsd:double"&gt;15.3184253893214&lt;/D&gt;&lt;D xsi:type="xsd:double"&gt;15.391839082185&lt;/D&gt;&lt;D xsi:type="xsd:double"&gt;15.412385527844&lt;/D&gt;&lt;D xsi:type="xsd:double"&gt;15.3455569602399&lt;/D&gt;&lt;D xsi:type="xsd:double"&gt;14.2720685488566&lt;/D&gt;&lt;D xsi:type="xsd:double"&gt;16.1800079014974&lt;/D&gt;&lt;D xsi:type="xsd:double"&gt;16.1760689357148&lt;/D&gt;&lt;D xsi:type="xsd:double"&gt;19.8236621316939&lt;/D&gt;&lt;D xsi:type="xsd:double"&gt;21.5256137530066&lt;/D&gt;&lt;D xsi:type="xsd:double"&gt;24.0662827228632&lt;/D&gt;&lt;D xsi:type="xsd:double"&gt;23.5162247264027&lt;/D&gt;&lt;D xsi:type="xsd:double"&gt;22.7687592395262&lt;/D&gt;&lt;D xsi:type="xsd:double"&gt;22.1223539040304&lt;/D&gt;&lt;D xsi:type="xsd:double"&gt;21.7470236034057&lt;/D&gt;&lt;D xsi:type="xsd:double"&gt;21.3611249528848&lt;/D&gt;&lt;D xsi:type="xsd:double"&gt;21.0893309810597&lt;/D&gt;&lt;D xsi:type="xsd:double"&gt;21.5260572218734&lt;/D&gt;&lt;D xsi:type="xsd:double"&gt;19.4241364092104&lt;/D&gt;&lt;D xsi:type="xsd:double"&gt;18.3769528598267&lt;/D&gt;&lt;D xsi:type="xsd:double"&gt;19.8386393654252&lt;/D&gt;&lt;D xsi:type="xsd:double"&gt;15.1931795659121&lt;/D&gt;&lt;D xsi:type="xsd:double"&gt;17.6213409695671&lt;/D&gt;&lt;D xsi:type="xsd:double"&gt;18.6462568634714&lt;/D&gt;&lt;D xsi:type="xsd:double"&gt;18.4990148805796&lt;/D&gt;&lt;D xsi:type="xsd:double"&gt;17.7328421824681&lt;/D&gt;&lt;D xsi:type="xsd:double"&gt;17.8539371815203&lt;/D&gt;&lt;D xsi:type="xsd:double"&gt;18.2245008913947&lt;/D&gt;&lt;D xsi:type="xsd:double"&gt;17.0650127528562&lt;/D&gt;&lt;D xsi:type="xsd:double"&gt;19.7039094126458&lt;/D&gt;&lt;D xsi:type="xsd:double"&gt;16.9449491081537&lt;/D&gt;&lt;D xsi:type="xsd:double"&gt;15.5857516361204&lt;/D&gt;&lt;D xsi:type="xsd:double"&gt;16.8410858756401&lt;/D&gt;&lt;D xsi:type="xsd:double"&gt;19.0303745601397&lt;/D&gt;&lt;D xsi:type="xsd:double"&gt;16.2348143414572&lt;/D&gt;&lt;D xsi:type="xsd:double"&gt;11.9270254872576&lt;/D&gt;&lt;D xsi:type="xsd:double"&gt;11.8470389741375&lt;/D&gt;&lt;D xsi:type="xsd:double"&gt;12.0323725973557&lt;/D&gt;&lt;D xsi:type="xsd:double"&gt;13.8530020154457&lt;/D&gt;&lt;D xsi:type="xsd:double"&gt;14.95970763554&lt;/D&gt;&lt;D xsi:type="xsd:double"&gt;15.0224459200167&lt;/D&gt;&lt;D xsi:type="xsd:double"&gt;16.3208669565181&lt;/D&gt;&lt;D xsi:type="xsd:double"&gt;15.4050576716642&lt;/D&gt;&lt;D xsi:type="xsd:double"&gt;14.8937839357975&lt;/D&gt;&lt;D xsi:type="xsd:double"&gt;19.1913737650954&lt;/D&gt;&lt;D xsi:type="xsd:double"&gt;17.7995512891729&lt;/D&gt;&lt;D xsi:type="xsd:double"&gt;17.4117084320068&lt;/D&gt;&lt;D xsi:type="xsd:double"&gt;17.7040360572202&lt;/D&gt;&lt;D xsi:type="xsd:double"&gt;17.2827135612393&lt;/D&gt;&lt;D xsi:type="xsd:double"&gt;15.0000417967265&lt;/D&gt;&lt;D xsi:type="xsd:double"&gt;17.588376159427&lt;/D&gt;&lt;D xsi:type="xsd:double"&gt;16.3539595433362&lt;/D&gt;&lt;D xsi:type="xsd:double"&gt;15.802067843872&lt;/D&gt;&lt;D xsi:type="xsd:double"&gt;14.5442946886226&lt;/D&gt;&lt;D xsi:type="xsd:double"&gt;14.0393645865878&lt;/D&gt;&lt;D xsi:type="xsd:double"&gt;16.1810599283195&lt;/D&gt;&lt;D xsi:type="xsd:double"&gt;12.7778160195022&lt;/D&gt;&lt;D xsi:type="xsd:double"&gt;13.6498500862174&lt;/D&gt;&lt;D xsi:type="xsd:double"&gt;-230.049630557994&lt;/D&gt;&lt;D xsi:type="xsd:double"&gt;-91.8350312960867&lt;/D&gt;&lt;D xsi:type="xsd:double"&gt;-80.6586729542512&lt;/D&gt;&lt;D xsi:type="xsd:double"&gt;-70.9208164564836&lt;/D&gt;&lt;D xsi:type="xsd:double"&gt;-60.0288045395365&lt;/D&gt;&lt;D xsi:type="xsd:double"&gt;-50.1210256939371&lt;/D&gt;&lt;D xsi:type="xsd:double"&gt;-39.8166400722566&lt;/D&gt;&lt;D xsi:type="xsd:double"&gt;-29.9897509040782&lt;/D&gt;&lt;D xsi:type="xsd:double"&gt;-19.7420528465599&lt;/D&gt;&lt;D xsi:type="xsd:double"&gt;-9.71622030403623&lt;/D&gt;&lt;D xsi:type="xsd:double"&gt;0.472826552873398&lt;/D&gt;&lt;D xsi:type="xsd:double"&gt;6.22392285761716&lt;/D&gt;&lt;D xsi:type="xsd:double"&gt;7.79815617266613&lt;/D&gt;&lt;D xsi:type="xsd:double"&gt;7.74912825024862&lt;/D&gt;&lt;D xsi:type="xsd:double"&gt;7.66678701228683&lt;/D&gt;&lt;D xsi:type="xsd:double"&gt;7.50654263931306&lt;/D&gt;&lt;D xsi:type="xsd:double"&gt;7.84766732896036&lt;/D&gt;&lt;D xsi:type="xsd:double"&gt;8.09236020674968&lt;/D&gt;&lt;D xsi:type="xsd:double"&gt;7.56268414916399&lt;/D&gt;&lt;D xsi:type="xsd:double"&gt;7.10265575695624&lt;/D&gt;&lt;D xsi:type="xsd:double"&gt;6.76451681988654&lt;/D&gt;&lt;D xsi:type="xsd:double"&gt;6.70356750276068&lt;/D&gt;&lt;D xsi:type="xsd:double"&gt;6.40302305982271&lt;/D&gt;&lt;D xsi:type="xsd:double"&gt;6.49381796753923&lt;/D&gt;&lt;D xsi:type="xsd:double"&gt;6.74128332857173&lt;/D&gt;&lt;D xsi:type="xsd:double"&gt;6.74934198873357&lt;/D&gt;&lt;/FQL&gt;&lt;FQL&gt;&lt;Q&gt;DDR3512M-FDS^FG_PRICE(0)&lt;/Q&gt;&lt;R&gt;1&lt;/R&gt;&lt;C&gt;1&lt;/C&gt;&lt;D xsi:type="xsd:double"&gt;0.9630008&lt;/D&gt;&lt;/FQL&gt;&lt;FQL&gt;&lt;Q&gt;CPALM-FDS^FG_PRICE_CHANGE(0,-3AM)&lt;/Q&gt;&lt;R&gt;1&lt;/R&gt;&lt;C&gt;1&lt;/C&gt;&lt;D xsi:type="xsd:double"&gt;20.2443765620661&lt;/D&gt;&lt;/FQL&gt;&lt;FQL&gt;&lt;Q&gt;FC0000ID^FG_PRICE(0)&lt;/Q&gt;&lt;R&gt;1&lt;/R&gt;&lt;C&gt;1&lt;/C&gt;&lt;D xsi:type="xsd:double"&gt;1119.6068&lt;/D&gt;&lt;/FQL&gt;&lt;FQL&gt;&lt;Q&gt;QAT^FG_PRICE_MAVG(0,,,,30)&lt;/Q&gt;&lt;R&gt;1&lt;/R&gt;&lt;C&gt;1&lt;/C&gt;&lt;D xsi:type="xsd:double"&gt;17.680754&lt;/D&gt;&lt;/FQL&gt;&lt;FQL&gt;&lt;Q&gt;EZA^FG_PRICE(0)&lt;/Q&gt;&lt;R&gt;1&lt;/R&gt;&lt;C&gt;1&lt;/C&gt;&lt;D xsi:type="xsd:double"&gt;38.76&lt;/D&gt;&lt;/FQL&gt;&lt;FQL&gt;&lt;Q&gt;EWM^FG_PRICE_MAVG(0,,,,200)&lt;/Q&gt;&lt;R&gt;1&lt;/R&gt;&lt;C&gt;1&lt;/C&gt;&lt;D xsi:type="xsd:double"&gt;21.02475&lt;/D&gt;&lt;/FQL&gt;&lt;FQL&gt;&lt;Q&gt;EWJ^FG_TOTAL_RETURNC(0,-6AM)&lt;/Q&gt;&lt;R&gt;1&lt;/R&gt;&lt;C&gt;1&lt;/C&gt;&lt;D xsi:type="xsd:double"&gt;10.567403&lt;/D&gt;&lt;/FQL&gt;&lt;FQL&gt;&lt;Q&gt;QAT^P_PRICE(0)/P_PRICE_LOW_PR(0,,,USD,,,"PRICE","INTRA","52W")-1&lt;/Q&gt;&lt;R&gt;1&lt;/R&gt;&lt;C&gt;1&lt;/C&gt;&lt;D xsi:type="xsd:double"&gt;0.14750957&lt;/D&gt;&lt;/FQL&gt;&lt;FQL&gt;&lt;Q&gt;EWT^FG_TOTAL_RETURNC(0,-3AM)&lt;/Q&gt;&lt;R&gt;1&lt;/R&gt;&lt;C&gt;1&lt;/C&gt;&lt;D xsi:type="xsd:double"&gt;8.97311&lt;/D&gt;&lt;/FQL&gt;&lt;FQL&gt;&lt;Q&gt;EIDO^P_PRICE(0)/P_PRICE_LOW_PR(0,,,USD,,,"PRICE","INTRA","52W")-1&lt;/Q&gt;&lt;R&gt;1&lt;/R&gt;&lt;C&gt;1&lt;/C&gt;&lt;D xsi:type="xsd:double"&gt;0.15066433&lt;/D&gt;&lt;/FQL&gt;&lt;FQL&gt;&lt;Q&gt;UAE^FMA_RBICS_REV_CURRENT(30, LOC, "PORTAGG")&lt;/Q&gt;&lt;R&gt;1&lt;/R&gt;&lt;C&gt;1&lt;/C&gt;&lt;D xsi:type="xsd:double"&gt;59.5915280201604&lt;/D&gt;&lt;/FQL&gt;&lt;FQL&gt;&lt;Q&gt;EPU^FG_ROE(0)&lt;/Q&gt;&lt;R&gt;1&lt;/R&gt;&lt;C&gt;1&lt;/C&gt;&lt;D xsi:type="xsd:double"&gt;9.74878532237639&lt;/D&gt;&lt;/FQL&gt;&lt;FQL&gt;&lt;Q&gt;REFAEREPO-FDS^PROPER_NAME(0,,,"SECURITY","NAME")&lt;/Q&gt;&lt;R&gt;1&lt;/R&gt;&lt;C&gt;1&lt;/C&gt;&lt;D xsi:type="xsd:string"&gt;United Arab Emirates Repo Rate&lt;/D&gt;&lt;/FQL&gt;&lt;FQL&gt;&lt;Q&gt;REFEUREFI-FDS^FG_YIELD(NOW,,,0)&lt;/Q&gt;&lt;R&gt;1&lt;/R&gt;&lt;C&gt;1&lt;/C&gt;&lt;D xsi:type="xsd:double"&gt;4.5&lt;/D&gt;&lt;/FQL&gt;&lt;FQL&gt;&lt;Q&gt;REFMYON-FDS^(SUBARRAY(NOT_NA(NO_REPEAT_F(FG_YIELD(NOW,-10AY,D))),0,1)-SUBARRAY(NOT_NA(NO_REPEAT_F(FG_YIELD(NOW,-10AY,D))),1,1))*100&lt;/Q&gt;&lt;R&gt;1&lt;/R&gt;&lt;C&gt;1&lt;/C&gt;&lt;D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Rate&lt;/D&gt;&lt;/FQL&gt;&lt;FQL&gt;&lt;Q&gt;TRYCN10Y-FDS^PCTCHG(FG_YIELD(0,,,,"YTM"),FG_YIELD(-1AM,,,,"YTM"))&lt;/Q&gt;&lt;R&gt;1&lt;/R&gt;&lt;C&gt;1&lt;/C&gt;&lt;D xsi:type="xsd:double"&gt;-3.3743703&lt;/D&gt;&lt;/FQL&gt;&lt;FQL&gt;&lt;Q&gt;TRYPE10Y-FDS^PCTCHG(FG_YIELD(0,,,,"YTM"),FG_YIELD(-3AM,,,,"YTM"))&lt;/Q&gt;&lt;R&gt;1&lt;/R&gt;&lt;C&gt;1&lt;/C&gt;&lt;D xsi:type="xsd:double"&gt;5.562096&lt;/D&gt;&lt;/FQL&gt;&lt;FQL&gt;&lt;Q&gt;TRYVN10Y-FDS^FG_YIELD_NAME&lt;/Q&gt;&lt;R&gt;1&lt;/R&gt;&lt;C&gt;1&lt;/C&gt;&lt;D xsi:type="xsd:string"&gt;Treasury - Vietnam Benchmark Bond 10Y&lt;/D&gt;&lt;/FQL&gt;&lt;FQL&gt;&lt;Q&gt;TRYBR10Y-FDS^FG_YIELD(0,,,,"YTM")&lt;/Q&gt;&lt;R&gt;1&lt;/R&gt;&lt;C&gt;1&lt;/C&gt;&lt;D xsi:type="xsd:double"&gt;11.068383&lt;/D&gt;&lt;/FQL&gt;&lt;FQL&gt;&lt;Q&gt;TRYID10Y-FDS^FG_YIELD_NAME&lt;/Q&gt;&lt;R&gt;1&lt;/R&gt;&lt;C&gt;1&lt;/C&gt;&lt;D xsi:type="xsd:string"&gt;Treasury - Indonesia Benchmark Bond 10Y&lt;/D&gt;&lt;/FQL&gt;&lt;FQL&gt;&lt;Q&gt;CC_MX^IMF_IFS_RCPI_Q(0)&lt;/Q&gt;&lt;R&gt;1&lt;/R&gt;&lt;C&gt;1&lt;/C&gt;&lt;D xsi:type="xsd:double"&gt;4.4145546&lt;/D&gt;&lt;/FQL&gt;&lt;FQL&gt;&lt;Q&gt;VGK^FMA_EVAL_EBITDA(NTMA,0,,,"PORTAGG","MEANR")&lt;/Q&gt;&lt;R&gt;1&lt;/R&gt;&lt;C&gt;1&lt;/C&gt;&lt;D xsi:type="xsd:double"&gt;8.77211211193518&lt;/D&gt;&lt;/FQL&gt;&lt;FQL&gt;&lt;Q&gt;VNM^FMA_PE(NTMA,0,,,"PORTAGG","MEANR")&lt;/Q&gt;&lt;R&gt;1&lt;/R&gt;&lt;C&gt;1&lt;/C&gt;&lt;D xsi:type="xsd:double"&gt;16.593747336516&lt;/D&gt;&lt;/FQL&gt;&lt;FQL&gt;&lt;Q&gt;SET-BKK^FMA_EVAL_EBIT(LTMA,NOW,NOW,M,"PORTAGG","MEANR")&lt;/Q&gt;&lt;R&gt;1&lt;/R&gt;&lt;C&gt;1&lt;/C&gt;&lt;D xsi:type="xsd:double"&gt;19.1330488387897&lt;/D&gt;&lt;/FQL&gt;&lt;FQL&gt;&lt;Q&gt;MCHI^FMA_DIV_YLD(NTMA,NOW,NOW,M,"PORTAGG","MEANR")&lt;/Q&gt;&lt;R&gt;1&lt;/R&gt;&lt;C&gt;1&lt;/C&gt;&lt;D xsi:type="xsd:double"&gt;2.89425316685905&lt;/D&gt;&lt;/FQL&gt;&lt;FQL&gt;&lt;Q&gt;EWY^FMA_DIV_YLD(NTMA,NOW,NOW,M,"PORTAGG","MEANR")&lt;/Q&gt;&lt;R&gt;1&lt;/R&gt;&lt;C&gt;1&lt;/C&gt;&lt;D xsi:type="xsd:double"&gt;2.26176810881197&lt;/D&gt;&lt;/FQL&gt;&lt;FQL&gt;&lt;Q&gt;EWT^JULIAN(FMA_DIV_YLD(NTMA,NOW,NOW,M,"PORTAGG","MEANR").DATES)&lt;/Q&gt;&lt;R&gt;1&lt;/R&gt;&lt;C&gt;1&lt;/C&gt;&lt;D xsi:type="xsd:long"&gt;45351&lt;/D&gt;&lt;/FQL&gt;&lt;FQL&gt;&lt;Q&gt;EPOL^FG_FCF_YIELD_NTM(0)&lt;/Q&gt;&lt;R&gt;0&lt;/R&gt;&lt;C&gt;0&lt;/C&gt;&lt;/FQL&gt;&lt;FQL&gt;&lt;Q&gt;EIDO^FMA_PE(LTM,0,,,"PORTAGG","MEANR")&lt;/Q&gt;&lt;R&gt;1&lt;/R&gt;&lt;C&gt;1&lt;/C&gt;&lt;D xsi:type="xsd:double"&gt;14.6555767318632&lt;/D&gt;&lt;/FQL&gt;&lt;FQL&gt;&lt;Q&gt;KSA^FG_COMPANY_NAME&lt;/Q&gt;&lt;R&gt;1&lt;/R&gt;&lt;C&gt;1&lt;/C&gt;&lt;D xsi:type="xsd:string"&gt;iShares MSCI Saudi Arabia ETF&lt;/D&gt;&lt;/FQL&gt;&lt;FQL&gt;&lt;Q&gt;CAGDPY@CL^EE_ACTUAL_ANNUAL(MED,+1)&lt;/Q&gt;&lt;R&gt;1&lt;/R&gt;&lt;C&gt;1&lt;/C&gt;&lt;D xsi:type="xsd:double"&gt;-3.8&lt;/D&gt;&lt;/FQL&gt;&lt;FQL&gt;&lt;Q&gt;USDTRY^FG_PRICE_CHANGE(0,-1AY)&lt;/Q&gt;&lt;R&gt;1&lt;/R&gt;&lt;C&gt;1&lt;/C&gt;&lt;D xsi:type="xsd:double"&gt;69.276596&lt;/D&gt;&lt;/FQL&gt;&lt;FQL&gt;&lt;Q&gt;USDINR^STD(FG_PRICE_CHANGE(0,-3AY,M))&lt;/Q&gt;&lt;R&gt;1&lt;/R&gt;&lt;C&gt;1&lt;/C&gt;&lt;D xsi:type="xsd:double"&gt;1.09882521072959&lt;/D&gt;&lt;/FQL&gt;&lt;FQL&gt;&lt;Q&gt;USDTWD^FG_PRICE_CHANGE(0,-6AM)&lt;/Q&gt;&lt;R&gt;1&lt;/R&gt;&lt;C&gt;1&lt;/C&gt;&lt;D xsi:type="xsd:double"&gt;-1.3070047&lt;/D&gt;&lt;/FQL&gt;&lt;FQL&gt;&lt;Q&gt;FC0000MX^FMA_EPS(NTMA,-20AY,0,CY,,"PORTAGG","MEANR")&lt;/Q&gt;&lt;R&gt;20&lt;/R&gt;&lt;C&gt;1&lt;/C&gt;&lt;D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xsi:type="xsd:double"&gt;25.3691273805406&lt;/D&gt;&lt;D xsi:type="xsd:double"&gt;22.3569609216786&lt;/D&gt;&lt;D xsi:type="xsd:double"&gt;28.1816281896967&lt;/D&gt;&lt;D xsi:type="xsd:double"&gt;32.5319871436621&lt;/D&gt;&lt;D xsi:type="xsd:double"&gt;39.3662186895858&lt;/D&gt;&lt;/FQL&gt;&lt;FQL&gt;&lt;Q&gt;EWM^FG_TOTAL_RETURNC(-10AY,0,AM)&lt;/Q&gt;&lt;R&gt;121&lt;/R&gt;&lt;C&gt;1&lt;/C&gt;&lt;D xsi:type="xsd:double"&gt;-1.1818707&lt;/D&gt;&lt;D xsi:type="xsd:double"&gt;4.8504949999999996&lt;/D&gt;&lt;D xsi:type="xsd:double"&gt;2.0912647&lt;/D&gt;&lt;D xsi:type="xsd:double"&gt;0&lt;/D&gt;&lt;D xsi:type="xsd:double"&gt;1.7802358&lt;/D&gt;&lt;D xsi:type="xsd:double"&gt;-0.5579531&lt;/D&gt;&lt;D xsi:type="xsd:double"&gt;-1.8079877&lt;/D&gt;&lt;D xsi:type="xsd:double"&gt;-4.7619047&lt;/D&gt;&lt;D xsi:type="xsd:double"&gt;-1.3999999&lt;/D&gt;&lt;D xsi:type="xsd:do</t>
        </r>
      </text>
    </comment>
    <comment ref="A11" authorId="0" shapeId="0" xr:uid="{D0710C13-9631-4D6D-8F83-9F1DFA5EE3A2}">
      <text>
        <r>
          <rPr>
            <b/>
            <sz val="9"/>
            <color indexed="81"/>
            <rFont val="Tahoma"/>
            <charset val="1"/>
          </rPr>
          <t>uble"&gt;-9.803921&lt;/D&gt;&lt;D xsi:type="xsd:double"&gt;-0.79618096&lt;/D&gt;&lt;D xsi:type="xsd:double"&gt;5.555558&lt;/D&gt;&lt;D xsi:type="xsd:double"&gt;-6.432748&lt;/D&gt;&lt;D xsi:type="xsd:double"&gt;4.374993&lt;/D&gt;&lt;D xsi:type="xsd:double"&gt;2.6946187&lt;/D&gt;&lt;D xsi:type="xsd:double"&gt;-9.037906&lt;/D&gt;&lt;D xsi:type="xsd:double"&gt;-1.532644&lt;/D&gt;&lt;D xsi:type="xsd:double"&gt;-14.427042&lt;/D&gt;&lt;D xsi:type="xsd:double"&gt;-2.6974916&lt;/D&gt;&lt;D xsi:type="xsd:double"&gt;8.811879&lt;/D&gt;&lt;D xsi:type="xsd:double"&gt;-8.917194&lt;/D&gt;&lt;D xsi:type="xsd:double"&gt;0.9989977&lt;/D&gt;&lt;D xsi:type="xsd:double"&gt;-0.44639707&lt;/D&gt;&lt;D xsi:type="xsd:double"&gt;6.775069&lt;/D&gt;&lt;D xsi:type="xsd:double"&gt;4.3147206&lt;/D&gt;&lt;D xsi:type="xsd:double"&gt;8.272493&lt;/D&gt;&lt;D xsi:type="xsd:double"&gt;-9.550553&lt;/D&gt;&lt;D xsi:type="xsd:double"&gt;-0.9937942&lt;/D&gt;&lt;D xsi:type="xsd:double"&gt;7.7784896&lt;/D&gt;&lt;D xsi:type="xsd:double"&gt;-1.297164&lt;/D&gt;&lt;D xsi:type="xsd:double"&gt;-4.6594977&lt;/D&gt;&lt;D xsi:type="xsd:double"&gt;-0.5012512&lt;/D&gt;&lt;D xsi:type="xsd:double"&gt;-6.54912&lt;/D&gt;&lt;D xsi:type="xsd:double"&gt;-1.1792481&lt;/D&gt;&lt;D xsi:type="xsd:double"&gt;3.4572124&lt;/D&gt;&lt;D xsi:type="xsd:double"&gt;2.203858&lt;/D&gt;&lt;D xsi:type="xsd:double"&gt;0.94338655&lt;/D&gt;&lt;D xsi:type="xsd:double"&gt;2.4699688&lt;/D&gt;&lt;D xsi:type="xsd:double"&gt;4.3973923&lt;/D&gt;&lt;D xsi:type="xsd:double"&gt;2.6521087&lt;/D&gt;&lt;D xsi:type="xsd:double"&gt;-2.218926&lt;/D&gt;&lt;D xsi:type="xsd:double"&gt;0.03142357&lt;/D&gt;&lt;D xsi:type="xsd:double"&gt;2.670443&lt;/D&gt;&lt;D xsi:type="xsd:double"&gt;-0.61199665&lt;/D&gt;&lt;D xsi:type="xsd:double"&gt;-1.4470458&lt;/D&gt;&lt;D xsi:type="xsd:double"&gt;4.6860337&lt;/D&gt;&lt;D xsi:type="xsd:double"&gt;8.2200165&lt;/D&gt;&lt;D xsi:type="xsd:double"&gt;1.3856769&lt;/D&gt;&lt;D xsi:type="xsd:double"&gt;0.5979538&lt;/D&gt;&lt;D xsi:type="xsd:double"&gt;2.1511436&lt;/D&gt;&lt;D xsi:type="xsd:double"&gt;-4.1285696&lt;/D&gt;&lt;D xsi:type="xsd:double"&gt;-4.3641567&lt;/D&gt;&lt;D xsi:type="xsd:double"&gt;-2.5914013&lt;/D&gt;&lt;D xsi:type="xsd:double"&gt;2.8164625&lt;/D&gt;&lt;D xsi:type="xsd:double"&gt;-0.30779243&lt;/D&gt;&lt;D xsi:type="xsd:double"&gt;-4.353195&lt;/D&gt;&lt;D xsi:type="xsd:double"&gt;-3.2601714&lt;/D&gt;&lt;D xsi:type="xsd:double"&gt;-1.3013005&lt;/D&gt;&lt;D xsi:type="xsd:double"&gt;3.729844&lt;/D&gt;&lt;D xsi:type="xsd:double"&gt;1.260364&lt;/D&gt;&lt;D xsi:type="xsd:double"&gt;-0.88437796&lt;/D&gt;&lt;D xsi:type="xsd:double"&gt;-2.4124265&lt;/D&gt;&lt;D xsi:type="xsd:double"&gt;-3.5895765&lt;/D&gt;&lt;D xsi:type="xsd:double"&gt;2.7046084&lt;/D&gt;&lt;D xsi:type="xsd:double"&gt;3.920126&lt;/D&gt;&lt;D xsi:type="xsd:double"&gt;-7.4036894&lt;/D&gt;&lt;D xsi:type="xsd:double"&gt;2.4240255&lt;/D&gt;&lt;D xsi:type="xsd:double"&gt;-2.260685&lt;/D&gt;&lt;D xsi:type="xsd:double"&gt;2.6020885&lt;/D&gt;&lt;D xsi:type="xsd:double"&gt;-1.3737202&lt;/D&gt;&lt;D xsi:type="xsd:double"&gt;2.3882031&lt;/D&gt;&lt;D xsi:type="xsd:double"&gt;-4.5855403&lt;/D&gt;&lt;D xsi:type="xsd:double"&gt;-17.338259&lt;/D&gt;&lt;D xsi:type="xsd:double"&gt;4.3380976&lt;/D&gt;&lt;D xsi:type="xsd:double"&gt;1.928854&lt;/D&gt;&lt;D xsi:type="xsd:double"&gt;12.195122&lt;/D&gt;&lt;D xsi:type="xsd:double"&gt;4.5008183&lt;/D&gt;&lt;D xsi:type="xsd:double"&gt;0&lt;/D&gt;&lt;D xsi:type="xsd:double"&gt;-4.322338&lt;/D&gt;&lt;D xsi:type="xsd:double"&gt;1.8759608&lt;/D&gt;&lt;D xsi:type="xsd:double"&gt;3.5700798&lt;/D&gt;&lt;D xsi:type="xsd:double"&gt;4.644418&lt;/D&gt;&lt;D xsi:type="xsd:double"&gt;-0.31206608&lt;/D&gt;&lt;D xsi:type="xsd:double"&gt;-2.643478&lt;/D&gt;&lt;D xsi:type="xsd:double"&gt;-1.1075377&lt;/D&gt;&lt;D xsi:type="xsd:double"&gt;-0.8670509&lt;/D&gt;&lt;D xsi:type="xsd:double"&gt;-0.25510192&lt;/D&gt;&lt;D xsi:type="xsd:double"&gt;0.2855301&lt;/D&gt;&lt;D xsi:type="xsd:double"&gt;-6.351&lt;/D&gt;&lt;D xsi:type="xsd:double"&gt;-0.60192347&lt;/D&gt;&lt;D xsi:type="xsd:double"&gt;4.8849344&lt;/D&gt;&lt;D xsi:type="xsd:double"&gt;3.0408025&lt;/D&gt;&lt;D xsi:type="xsd:double"&gt;-4.4079185&lt;/D&gt;&lt;D xsi:type="xsd:double"&gt;-4.9065948&lt;/D&gt;&lt;D xsi:type="xsd:double"&gt;6.4516187&lt;/D&gt;&lt;D xsi:type="xsd:double"&gt;0.99681616&lt;/D&gt;&lt;D xsi:type="xsd:double"&gt;-1.0659337&lt;/D&gt;&lt;D xsi:type="xsd:double"&gt;1.9553065&lt;/D&gt;&lt;D xsi:type="xsd:double"&gt;-6.7318974&lt;/D&gt;&lt;D xsi:type="xsd:double"&gt;-4.849678&lt;/D&gt;&lt;D xsi:type="xsd:double"&gt;-4.0053964&lt;/D&gt;&lt;D xsi:type="xsd:double"&gt;6.8448186&lt;/D&gt;&lt;D xsi:type="xsd:double"&gt;-4.3878913&lt;/D&gt;&lt;D xsi:type="xsd:double"&gt;-9.132635&lt;/D&gt;&lt;D xsi:type="xsd:double"&gt;8.989906&lt;/D&gt;&lt;D xsi:type="xsd:double"&gt;6.488991&lt;/D&gt;&lt;D xsi:type="xsd:double"&gt;3.0316353&lt;/D&gt;&lt;D xsi:type="xsd:double"&gt;-1.7910421&lt;/D&gt;&lt;D xsi:type="xsd:double"&gt;-7.5987816&lt;/D&gt;&lt;D xsi:type="xsd:double"&gt;5.1221848&lt;/D&gt;&lt;D xsi:type="xsd:double"&gt;-3.1291962&lt;/D&gt;&lt;D xsi:type="xsd:double"&gt;-4.345602&lt;/D&gt;&lt;D xsi:type="xsd:double"&gt;3.5363436&lt;/D&gt;&lt;D xsi:type="xsd:double"&gt;0.85389614&lt;/D&gt;&lt;D xsi:type="xsd:double"&gt;-0.47037005&lt;/D&gt;&lt;D xsi:type="xsd:double"&gt;-1.5122831&lt;/D&gt;&lt;D xsi:type="xsd:double"&gt;3.1669855&lt;/D&gt;&lt;D xsi:type="xsd:double"&gt;-0.37209392&lt;/D&gt;&lt;D xsi:type="xsd:double"&gt;1.6249657&lt;/D&gt;&lt;D xsi:type="xsd:double"&gt;-0.37400723&lt;/D&gt;&lt;D xsi:type="xsd:double"&gt;3.0971408&lt;/D&gt;&lt;/FQL&gt;&lt;FQL&gt;&lt;Q&gt;EWT^FMA_DIV_YLD(NTMA,-10AY,0,AM,"PORTAGG","MEANR")&lt;/Q&gt;&lt;R&gt;121&lt;/R&gt;&lt;C&gt;1&lt;/C&gt;&lt;D xsi:type="xsd:double"&gt;3.28466726948481&lt;/D&gt;&lt;D xsi:type="xsd:double"&gt;3.25333213549424&lt;/D&gt;&lt;D xsi:type="xsd:double"&gt;3.28826571724577&lt;/D&gt;&lt;D xsi:type="xsd:double"&gt;3.18828112433977&lt;/D&gt;&lt;D xsi:type="xsd:double"&gt;3.06496045828485&lt;/D&gt;&lt;D xsi:type="xsd:double"&gt;3.25532154901171&lt;/D&gt;&lt;D xsi:type="xsd:double"&gt;3.32185085140626&lt;/D&gt;&lt;D xsi:type="xsd:double"&gt;3.54840743339648&lt;/D&gt;&lt;D xsi:type="xsd:double"&gt;3.43820161876874&lt;/D&gt;&lt;D xsi:type="xsd:double"&gt;3.45180064753866&lt;/D&gt;&lt;D xsi:type="xsd:double"&gt;3.5437541239965&lt;/D&gt;&lt;D xsi:type="xsd:double"&gt;3.40584088126428&lt;/D&gt;&lt;D xsi:type="xsd:double"&gt;3.41999096112179&lt;/D&gt;&lt;D xsi:type="xsd:double"&gt;3.54768257197116&lt;/D&gt;&lt;D xsi:type="xsd:double"&gt;3.62394294238753&lt;/D&gt;&lt;D xsi:type="xsd:double"&gt;3.8441672042039&lt;/D&gt;&lt;D xsi:type="xsd:double"&gt;4.01967417274575&lt;/D&gt;&lt;D xsi:type="xsd:double"&gt;4.30044297589173&lt;/D&gt;&lt;D xsi:type="xsd:double"&gt;4.27293847034667&lt;/D&gt;&lt;D xsi:type="xsd:double"&gt;4.16736619313307&lt;/D&gt;&lt;D xsi:type="xsd:double"&gt;4.20656942300782&lt;/D&gt;&lt;D xsi:type="xsd:double"&gt;4.35110290205165&lt;/D&gt;&lt;D xsi:type="xsd:double"&gt;4.653046807004&lt;/D&gt;&lt;D xsi:type="xsd:double"&gt;4.41052456070702&lt;/D&gt;&lt;D xsi:type="xsd:double"&gt;4.13052352190827&lt;/D&gt;&lt;D xsi:type="xsd:double"&gt;4.24151517382102&lt;/D&gt;&lt;D xsi:type="xsd:double"&gt;4.58558525250915&lt;/D&gt;&lt;D xsi:type="xsd:double"&gt;4.22535149833433&lt;/D&gt;&lt;D xsi:type="xsd:double"&gt;4.1206811128474&lt;/D&gt;&lt;D xsi:type="xsd:double"&gt;3.9943700277936&lt;/D&gt;&lt;D xsi:type="xsd:double"&gt;4.19119088697194&lt;/D&gt;&lt;D xsi:type="xsd:double"&gt;4.03389762399191&lt;/D&gt;&lt;D xsi:type="xsd:double"&gt;4.24563144074006&lt;/D&gt;&lt;D xsi:type="xsd:double"&gt;4.13828593782349&lt;/D&gt;&lt;D xsi:type="xsd:double"&gt;4.17387257977116&lt;/D&gt;&lt;D xsi:type="xsd:double"&gt;4.08254823486752&lt;/D&gt;&lt;D xsi:type="xsd:double"&gt;4.15212210846038&lt;/D&gt;&lt;D xsi:type="xsd:double"&gt;4.11555963582893&lt;/D&gt;&lt;D xsi:type="xsd:double"&gt;4.07283398201632&lt;/D&gt;&lt;D xsi:type="xsd:double"&gt;4.08360828057056&lt;/D&gt;&lt;D xsi:type="xsd:double"&gt;3.96849293834271&lt;/D&gt;&lt;D xsi:type="xsd:double"&gt;4.06768940587666&lt;/D&gt;&lt;D xsi:type="xsd:double"&gt;4.05367844740982&lt;/D&gt;&lt;D xsi:type="xsd:double"&gt;4.00361571643457&lt;/D&gt;&lt;D xsi:type="xsd:double"&gt;4.05337515609792&lt;/D&gt;&lt;D xsi:type="xsd:double"&gt;4.18508117329804&lt;/D&gt;&lt;D xsi:type="xsd:double"&gt;4.13809788771143&lt;/D&gt;&lt;D xsi:type="xsd:double"&gt;4.30767166054794&lt;/D&gt;&lt;D xsi:type="xsd:double"&gt;4.12996000782641&lt;/D&gt;&lt;D xsi:type="xsd:double"&gt;4.16898303867985&lt;/D&gt;&lt;D xsi:type="xsd:double"&gt;4.27338127108067&lt;/D&gt;&lt;D xsi:type="xsd:double"&gt;4.34116235221344&lt;/D&gt;&lt;D xsi:type="xsd:double"&gt;4.43539719731994&lt;/D&gt;&lt;D xsi:type="xsd:double"&gt;4.42722659409552&lt;/D&gt;&lt;D xsi:type="xsd:double"&gt;4.43787923746491&lt;/D&gt;&lt;D xsi:type="xsd:double"&gt;4.83977617579854&lt;/D&gt;&lt;D xsi:type="xsd:double"&gt;4.88433771493077&lt;/D&gt;&lt;D xsi:type="xsd:double"&gt;4.91337664284588&lt;/D&gt;&lt;D xsi:type="xsd:double"&gt;4.86724862164856&lt;/D&gt;&lt;D xsi:type="xsd:double"&gt;4.5620767855145&lt;/D&gt;&lt;D xsi:type="xsd:double"&gt;4.42625095730055&lt;/D&gt;&lt;D xsi:type="xsd:double"&gt;4.19145574262427&lt;/D&gt;&lt;D xsi:type="xsd:double"&gt;4.41261836905835&lt;/D&gt;&lt;D xsi:type="xsd:double"&gt;4.47485298166261&lt;/D&gt;&lt;D xsi:type="xsd:double"&gt;4.30521702766108&lt;/D&gt;&lt;D xsi:type="xsd:double"&gt;4.47577053640155&lt;/D&gt;&lt;D xsi:type="xsd:double"&gt;4.25527113743271&lt;/D&gt;&lt;D xsi:type="xsd:double"&gt;4.1981883955663&lt;/D&gt;&lt;D xsi:type="xsd:double"&gt;4.09543544133619&lt;/D&gt;&lt;D xsi:type="xsd:double"&gt;3.99491847662306&lt;/D&gt;&lt;D xsi:type="xsd:double"&gt;3.94554208913796&lt;/D&gt;&lt;D xsi:type="xsd:double"&gt;4.03770598362197&lt;/D&gt;&lt;D xsi:type="xsd:double"&gt;4.64860646758934&lt;/D&gt;&lt;D xsi:type="xsd:double"&gt;4.37119320071232&lt;/D&gt;&lt;D xsi:type="xsd:double"&gt;4.15003766057781&lt;/D&gt;&lt;D xsi:type="xsd:double"&gt;3.95766056349847&lt;/D&gt;&lt;D xsi:type="xsd:double"&gt;3.70261406327028&lt;/D&gt;&lt;D xsi:type="xsd:double"&gt;3.66926714533053&lt;/D&gt;&lt;D xsi:type="xsd:double"&gt;3.80699924715576&lt;/D&gt;&lt;D xsi:type="xsd:double"&gt;3.82558804528985&lt;/D&gt;&lt;D xsi:type="xsd:double"&gt;3.85068035537879&lt;/D&gt;&lt;D xsi:type="xsd:double"&gt;3.7095348550932&lt;/D&gt;&lt;D xsi:type="xsd:double"&gt;3.41112004011019&lt;/D&gt;&lt;D xsi:type="xsd:double"&gt;3.55032254402938&lt;/D&gt;&lt;D xsi:type="xsd:double"&gt;3.60290773630378&lt;/D&gt;&lt;D xsi:type="xsd:double"&gt;3.69976831969621&lt;/D&gt;&lt;D xsi:type="xsd:double"&gt;4.26320875253867&lt;/D&gt;&lt;D xsi:type="xsd:double"&gt;4.02146683421439&lt;/D&gt;&lt;D xsi:type="xsd:double"&gt;4.0167818455569&lt;/D&gt;&lt;D xsi:type="xsd:double"&gt;4.30941524557362&lt;/D&gt;&lt;D xsi:type="xsd:double"&gt;4.21425765233962&lt;/D&gt;&lt;D xsi:type="xsd:double"&gt;4.56181745919578&lt;/D&gt;&lt;D xsi:type="xsd:double"&gt;4.29516842099332&lt;/D&gt;&lt;D xsi:type="xsd:double"&gt;4.27827668650717&lt;/D&gt;&lt;D xsi:type="xsd:double"&gt;4.19615512815957&lt;/D&gt;&lt;D xsi:type="xsd:double"&gt;4.34057234586544&lt;/D&gt;&lt;D xsi:type="xsd:double"&gt;4.54641895246748&lt;/D&gt;&lt;D xsi:type="xsd:double"&gt;4.60924668661018&lt;/D&gt;&lt;D xsi:type="xsd:double"&gt;4.93697228924629&lt;/D&gt;&lt;D xsi:type="xsd:double"&gt;4.8187638774137&lt;/D&gt;&lt;D xsi:type="xsd:double"&gt;5.3258661372924&lt;/D&gt;&lt;D xsi:type="xsd:double"&gt;4.93965606464138&lt;/D&gt;&lt;D xsi:type="xsd:double"&gt;5.0719576592085&lt;/D&gt;&lt;D xsi:type="xsd:double"&gt;5.34012663864883&lt;/D&gt;&lt;D xsi:type="xsd:double"&gt;4.58925992842707&lt;/D&gt;&lt;D xsi:type="xsd:double"&gt;4.37470552295073&lt;/D&gt;&lt;D xsi:type="xsd:double"&gt;4.29418779859077&lt;/D&gt;&lt;D xsi:type="xsd:double"&gt;3.99073796900035&lt;/D&gt;&lt;D xsi:type="xsd:double"&gt;4.02623727926535&lt;/D&gt;&lt;D xsi:type="xsd:double"&gt;3.86067988750321&lt;/D&gt;&lt;D xsi:type="xsd:double"&gt;3.80250635415187&lt;/D&gt;&lt;D xsi:type="xsd:double"&gt;3.43895191524817&lt;/D&gt;&lt;D xsi:type="xsd:double"&gt;3.40734702152952&lt;/D&gt;&lt;D xsi:type="xsd:double"&gt;3.59582699483212&lt;/D&gt;&lt;D xsi:type="xsd:double"&gt;3.57355016069912&lt;/D&gt;&lt;D xsi:type="xsd:double"&gt;3.54848516421628&lt;/D&gt;&lt;D xsi:type="xsd:double"&gt;3.50543159619377&lt;/D&gt;&lt;D xsi:type="xsd:double"&gt;3.36062827856758&lt;/D&gt;&lt;D xsi:type="xsd:double"&gt;3.39801129899848&lt;/D&gt;&lt;D xsi:type="xsd:double"&gt;3.37303749172999&lt;/D&gt;&lt;D xsi:type="xsd:double"&gt;3.10839137019548&lt;/D&gt;&lt;/FQL&gt;&lt;FQL&gt;&lt;Q&gt;WL-FDS^MAX(FG_PRICE(0,-5AY))&lt;/Q&gt;&lt;R&gt;1&lt;/R&gt;&lt;C&gt;1&lt;/C&gt;&lt;D xsi:type="xsd:double"&gt;763.4&lt;/D&gt;&lt;/FQL&gt;&lt;FQL&gt;&lt;Q&gt;CPALM-FDS^FG_PRICE_CHANGE(0,-1AM)&lt;/Q&gt;&lt;R&gt;1&lt;/R&gt;&lt;C&gt;1&lt;/C&gt;&lt;D xsi:type="xsd:double"&gt;8.3854818523154&lt;/D&gt;&lt;/FQL&gt;&lt;FQL&gt;&lt;Q&gt;FTSEWIVNXXXX^FG_PRICE(0)&lt;/Q&gt;&lt;R&gt;1&lt;/R&gt;&lt;C&gt;1&lt;/C&gt;&lt;D xsi:type="xsd:double"&gt;397.19945754&lt;/D&gt;&lt;/FQL&gt;&lt;FQL&gt;&lt;Q&gt;FC0000MY^FG_PRICE(0)&lt;/Q&gt;&lt;R&gt;1&lt;/R&gt;&lt;C&gt;1&lt;/C&gt;&lt;D xsi:type="xsd:double"&gt;235.51544&lt;/D&gt;&lt;/FQL&gt;&lt;FQL&gt;&lt;Q&gt;VNM^FG_PRICE_MAVG(0,,,,30)&lt;/Q&gt;&lt;R&gt;1&lt;/R&gt;&lt;C&gt;1&lt;/C&gt;&lt;D xsi:type="xsd:double"&gt;13.280167&lt;/D&gt;&lt;/FQL&gt;&lt;FQL&gt;&lt;Q&gt;QAT^FG_PRICE(0)&lt;/Q&gt;&lt;R&gt;1&lt;/R&gt;&lt;C&gt;1&lt;/C&gt;&lt;D xsi:type="xsd:double"&gt;17.97&lt;/D&gt;&lt;/FQL&gt;&lt;FQL&gt;&lt;Q&gt;EWZ^FG_PRICE_MAVG(0,,,,200)&lt;/Q&gt;&lt;R&gt;1&lt;/R&gt;&lt;C&gt;1&lt;/C&gt;&lt;D xsi:type="xsd:double"&gt;32.32425&lt;/D&gt;&lt;/FQL&gt;&lt;FQL&gt;&lt;Q&gt;EWM^FG_PRICE_MAVG(0,,,,60)&lt;/Q&gt;&lt;R&gt;1&lt;/R&gt;&lt;C&gt;1&lt;/C&gt;&lt;D xsi:type="xsd:double"&gt;21.357334&lt;/D&gt;&lt;/FQL&gt;&lt;FQL&gt;&lt;Q&gt;EIDO^FG_PRICE_MAVG(0,,,,30)&lt;/Q&gt;&lt;R&gt;1&lt;/R&gt;&lt;C&gt;1&lt;/C&gt;&lt;D xsi:type="xsd:double"&gt;22.521334&lt;/D&gt;&lt;/FQL&gt;&lt;FQL&gt;&lt;Q&gt;VNM^P_PRICE(0)/P_PRICE_LOW_PR(0,,,USD,,,"PRICE","INTRA","52W")-1&lt;/Q&gt;&lt;R&gt;1&lt;/R&gt;&lt;C&gt;1&lt;/C&gt;&lt;D xsi:type="xsd:double"&gt;0.18695271&lt;/D&gt;&lt;/FQL&gt;&lt;FQL&gt;&lt;Q&gt;USDSAR^FG_PRICE_CHANGE(0,-1AM)&lt;/Q&gt;&lt;R&gt;1&lt;/R&gt;&lt;C&gt;1&lt;/C&gt;&lt;D xsi:type="xsd:double"&gt;-0.002670288&lt;/D&gt;&lt;/FQL&gt;&lt;FQL&gt;&lt;Q&gt;USDBRL^FG_PRICE_CHANGE(0,-3AM)&lt;/Q&gt;&lt;R&gt;1&lt;/R&gt;&lt;C&gt;1&lt;/C&gt;&lt;D xsi:type="xsd:double"&gt;1.8576384&lt;/D&gt;&lt;/FQL&gt;&lt;FQL&gt;&lt;Q&gt;USDPLN^FG_PRICE_CHANGE(0,-1AM)&lt;/Q&gt;&lt;R&gt;1&lt;/R&gt;&lt;C&gt;1&lt;/C&gt;&lt;D xsi:type="xsd:double"&gt;-2.7416348&lt;/D&gt;&lt;/FQL&gt;&lt;FQL&gt;&lt;Q&gt;USDCLP^FG_PRICE_CHANGE(0,-6AM)&lt;/Q&gt;&lt;R&gt;1&lt;/R&gt;&lt;C&gt;1&lt;/C&gt;&lt;D xsi:type="xsd:double"&gt;6.123936&lt;/D&gt;&lt;/FQL&gt;&lt;FQL&gt;&lt;Q&gt;EWY^P_PRICE_RETURNS_PR('52W',2,-10AY,0,AM)&lt;/Q&gt;&lt;R&gt;121&lt;/R&gt;&lt;C&gt;1&lt;/C&gt;&lt;D xsi:type="xsd:double"&gt;-0.54185987&lt;/D&gt;&lt;D xsi:type="xsd:double"&gt;16.919506&lt;/D&gt;&lt;D xsi:type="xsd:double"&gt;13.249004&lt;/D&gt;&lt;D xsi:type="xsd:double"&gt;18.650234&lt;/D&gt;&lt;D xsi:type="xsd:double"&gt;19.757032&lt;/D&gt;&lt;D xsi:type="xsd:double"&gt;19.268703&lt;/D&gt;&lt;D xsi:type="xsd:double"&gt;5.2925944&lt;/D&gt;&lt;D xsi:type="xsd:double"&gt;-9.512943&lt;/D&gt;&lt;D xsi:type="xsd:double"&gt;-7.661134&lt;/D&gt;&lt;D xsi:type="xsd:double"&gt;-10.409552&lt;/D&gt;&lt;D xsi:type="xsd:double"&gt;-6.561005&lt;/D&gt;&lt;D xsi:type="xsd:double"&gt;-5.1952543&lt;/D&gt;&lt;D xsi:type="xsd:double"&gt;-5.6367636&lt;/D&gt;&lt;D xsi:type="xsd:double"&gt;-3.7048995&lt;/D&gt;&lt;D xsi:type="xsd:double"&gt;-5.4300547&lt;/D&gt;&lt;D xsi:type="xsd:double"&gt;-13.730335&lt;/D&gt;&lt;D xsi:type="xsd:double"&gt;-16.334503&lt;/D&gt;&lt;D xsi:type="xsd:double"&gt;-25.15322&lt;/D&gt;&lt;D xsi:type="xsd:double"&gt;-23.496002&lt;/D&gt;&lt;D xsi:type="xsd:double"&gt;-5.987507&lt;/D&gt;&lt;D xsi:type="xsd:double"&gt;-9.086138&lt;/D&gt;&lt;D xsi:type="xsd:double"&gt;-7.5585184&lt;/D&gt;&lt;D xsi:type="xsd:double"&gt;-13.524264&lt;/D&gt;&lt;D xsi:type="xsd:double"&gt;-14.407229&lt;/D&gt;&lt;D xsi:type="xsd:double"&gt;-6.1290383&lt;/D&gt;&lt;D xsi:type="xsd:double"&gt;-10.360646&lt;/D&gt;&lt;D xsi:type="xsd:double"&gt;-14.895636&lt;/D&gt;&lt;D xsi:type="xsd:double"&gt;-7.050067&lt;/D&gt;&lt;D xsi:type="xsd:double"&gt;4.8354983&lt;/D&gt;&lt;D xsi:type="xsd:double"&gt;19.598234&lt;/D&gt;&lt;D xsi:type="xsd:double"&gt;16.696476&lt;/D&gt;&lt;D xsi:type="xsd:double"&gt;6.7295074&lt;/D&gt;&lt;D xsi:type="xsd:double"&gt;4.5093417&lt;/D&gt;&lt;D xsi:type="xsd:double"&gt;10.39803&lt;/D&gt;&lt;D xsi:type="xsd:double"&gt;22.128141&lt;/D&gt;&lt;D xsi:type="xsd:double"&gt;26.626528&lt;/D&gt;&lt;D xsi:type="xsd:double"&gt;19.562065&lt;/D&gt;&lt;D xsi:type="xsd:double"&gt;14.29491&lt;/D&gt;&lt;D xsi:type="xsd:double"&gt;31.82478&lt;/D&gt;&lt;D xsi:type="xsd:double"&gt;37.863327&lt;/D&gt;&lt;D xsi:type="xsd:double"&gt;30.84072&lt;/D&gt;&lt;D xsi:type="xsd:double"&gt;19.059896&lt;/D&gt;&lt;D xsi:type="xsd:double"&gt;25.90853&lt;/D&gt;&lt;D xsi:type="xsd:double"&gt;32.735275&lt;/D&gt;&lt;D xsi:type="xsd:double"&gt;43.79791&lt;/D&gt;&lt;D xsi:type="xsd:double"&gt;40.54413&lt;/D&gt;&lt;D xsi:type="xsd:double"&gt;41.44411&lt;/D&gt;&lt;D xsi:type="xsd:double"&gt;30.86859&lt;/D&gt;&lt;D xsi:type="xsd:double"&gt;32.59072&lt;/D&gt;&lt;D xsi:type="xsd:double"&gt;27.771616&lt;/D&gt;&lt;D xsi:type="xsd:double"&gt;16.462564&lt;/D&gt;&lt;D xsi:type="xsd:double"&gt;7.7962756&lt;/D&gt;&lt;D xsi:type="xsd:double"&gt;-1.3491809&lt;/D&gt;&lt;D xsi:type="xsd:double"&gt;-0.9302199&lt;/D&gt;&lt;D xsi:type="xsd:double"&gt;0.43936968&lt;/D&gt;&lt;D xsi:type="xsd:double"&gt;-11.431795&lt;/D&gt;&lt;D xsi:type="xsd:double"&gt;-18.108833&lt;/D&gt;&lt;D xsi:type="xsd:double"&gt;-19.442999&lt;/D&gt;&lt;D xsi:type="xsd:double"&gt;-23.016447&lt;/D&gt;&lt;D xsi:type="xsd:double"&gt;-12.818861&lt;/D&gt;&lt;D xsi:type="xsd:double"&gt;-19.286871&lt;/D&gt;&lt;D xsi:type="xsd:double"&gt;-12.754297&lt;/D&gt;&lt;D xsi:type="xsd:double"&gt;-23.176271&lt;/D&gt;&lt;D xsi:type="xsd:double"&gt;-19.955242&lt;/D&gt;&lt;D xsi:type="xsd:double"&gt;-11.41088&lt;/D&gt;&lt;D xsi:type="xsd:double"&gt;-19.876217&lt;/D&gt;&lt;D xsi:type="xsd:double"&gt;-11.209583&lt;/D&gt;&lt;D xsi:type="xsd:double"&gt;-6.187868&lt;/D&gt;&lt;D xsi:type="xsd:double"&gt;3.443873&lt;/D&gt;&lt;D xsi:type="xsd:double"&gt;3.639257&lt;/D&gt;&lt;D xsi:type="xsd:double"&gt;10.300899&lt;/D&gt;&lt;D xsi:type="xsd:double"&gt;-0.17902851&lt;/D&gt;&lt;D xsi:type="xsd:double"&gt;-17.034233&lt;/D&gt;&lt;D xsi:type="xsd:double"&gt;-20.342367&lt;/D&gt;&lt;D xsi:type="xsd:double"&gt;-7.9816937&lt;/D&gt;&lt;D xsi:type="xsd:double"&gt;2.3640752&lt;/D&gt;&lt;D xsi:type="xsd:double"&gt;4.7219396&lt;/D&gt;&lt;D xsi:type="xsd:double"&gt;31.473171&lt;/D&gt;&lt;D xsi:type="xsd:double"&gt;15.918541&lt;/D&gt;&lt;D xsi:type="xsd:double"&gt;18.894041&lt;/D&gt;&lt;D xsi:type="xsd:double"&gt;25.790192&lt;/D&gt;&lt;D xsi:type="xsd:double"&gt;36.90381&lt;/D&gt;&lt;D xsi:type="xsd:double"&gt;50.27871&lt;/D&gt;&lt;D xsi:type="xsd:double"&gt;50.761604&lt;/D&gt;&lt;D xsi:type="xsd:double"&gt;90.124344&lt;/D&gt;&lt;D xsi:type="xsd:double"&gt;88.47264&lt;/D&gt;&lt;D xsi:type="xsd:double"&gt;79.377495&lt;/D&gt;&lt;D xsi:type="xsd:double"&gt;62.996353&lt;/D&gt;&lt;D xsi:type="xsd:double"&gt;55.778503&lt;/D&gt;&lt;D xsi:type="xsd:double"&gt;30.796635&lt;/D&gt;&lt;D xsi:type="xsd:double"&gt;29.121506&lt;/D&gt;&lt;D xsi:type="xsd:double"&gt;19.78773&lt;/D&gt;&lt;D xsi:type="xsd:double"&gt;11.875296&lt;/D&gt;&lt;D xsi:type="xsd:double"&gt;-2.457291&lt;/D&gt;&lt;D xsi:type="xsd:double"&gt;-17.129559&lt;/D&gt;&lt;D xsi:type="xsd:double"&gt;-21.579206&lt;/D&gt;&lt;D xsi:type="xsd:double"&gt;-22.46123&lt;/D&gt;&lt;D xsi:type="xsd:double"&gt;-24.709415&lt;/D&gt;&lt;D xsi:type="xsd:double"&gt;-25.018192&lt;/D&gt;&lt;D xsi:type="xsd:double"&gt;-33.01999&lt;/D&gt;&lt;D xsi:type="xsd:double"&gt;-37.375366&lt;/D&gt;&lt;D xsi:type="xsd:double"&gt;-27.255493&lt;/D&gt;&lt;D xsi:type="xsd:double"&gt;-33.279675&lt;/D&gt;&lt;D xsi:type="xsd:double"&gt;-37.54791&lt;/D&gt;&lt;D xsi:type="xsd:double"&gt;-23.668564&lt;/D&gt;&lt;D xsi:type="xsd:double"&gt;-24.42773&lt;/D&gt;&lt;D xsi:type="xsd:double"&gt;-19.398577&lt;/D&gt;&lt;D xsi:type="xsd:double"&gt;-12.306905&lt;/D&gt;&lt;D xsi:type="xsd:double"&gt;-11.796922&lt;/D&gt;&lt;D xsi:type="xsd:double"&gt;-6.724185&lt;/D&gt;&lt;D xsi:type="xsd:double"&gt;-4.308188&lt;/D&gt;&lt;D xsi:type="xsd:double"&gt;11.024833&lt;/D&gt;&lt;D xsi:type="xsd:double"&gt;21.487354&lt;/D&gt;&lt;D xsi:type="xsd:double"&gt;1.7993569&lt;/D&gt;&lt;D xsi:type="xsd:double"&gt;15.412653&lt;/D&gt;&lt;D xsi:type="xsd:double"&gt;21.131634&lt;/D&gt;&lt;D xsi:type="xsd:double"&gt;5.1384807&lt;/D&gt;&lt;D xsi:type="xsd:double"&gt;11.446309&lt;/D&gt;&lt;D xsi:type="xsd:double"&gt;1.6219854&lt;/D&gt;&lt;D xsi:type="xsd:double"&gt;4.6975136&lt;/D&gt;&lt;D xsi:type="xsd:double"&gt;18.13842&lt;/D&gt;&lt;/FQL&gt;&lt;FQL&gt;&lt;Q&gt;EWT^FG_TOTAL_RETURNC(-10AY,0,AM)&lt;/Q&gt;&lt;R&gt;121&lt;/R&gt;&lt;C&gt;1&lt;/C&gt;&lt;D xsi:type="xsd:double"&gt;0.8559227&lt;/D&gt;&lt;D xsi:type="xsd:double"&gt;3.889668&lt;/D&gt;&lt;D xsi:type="xsd:double"&gt;0.20422935&lt;/D&gt;&lt;D xsi:type="xsd:double"&gt;4.2798877&lt;/D&gt;&lt;D xsi:type="xsd:double"&gt;7.0358276&lt;/D&gt;&lt;D xsi:type="xsd:double"&gt;-2.6171684&lt;/D&gt;&lt;D xsi:type="xsd:double"&gt;-0.06250143&lt;/D&gt;&lt;D xsi:type="xsd:double"&gt;-5.6285143&lt;/D&gt;&lt;D xsi:type="xsd:double"&gt;3.7110686&lt;/D&gt;&lt;D xsi:type="xsd:double"&gt;-3.9616585&lt;/D&gt;&lt;D xsi:type="xsd:double"&gt;0.079870224&lt;/D&gt;&lt;D xsi:type="xsd:double"&gt;8.474577&lt;/D&gt;&lt;D xsi:type="xsd:double"&gt;-2.3750007&lt;/D&gt;&lt;D xsi:type="xsd:double"&gt;1.2163877&lt;/D&gt;&lt;D xsi:type="xsd:double"&gt;3.4788132&lt;/D&gt;&lt;D xsi:type="xsd:double"&gt;-4.034233&lt;/D&gt;&lt;D xsi:type="xsd:double"&gt;-1.2738824&lt;/D&gt;&lt;D xsi:type="xsd:double"&gt;-11.290323&lt;/D&gt;&lt;D xsi:type="xsd:double"&gt;-1.0181844&lt;/D&gt;&lt;D xsi:type="xsd:double"&gt;3.3798695&lt;/D&gt;&lt;D xsi:type="xsd:double"&gt;-5.0462008&lt;/D&gt;&lt;D xsi:type="xsd:double"&gt;-2.9191554&lt;/D&gt;&lt;D xsi:type="xsd:double"&gt;-5.7336626&lt;/D&gt;&lt;D xsi:type="xsd:double"&gt;2.3608804&lt;/D&gt;&lt;D xsi:type="xsd:double"&gt;12.520588&lt;/D&gt;&lt;D xsi:type="xsd:double"&gt;-0.4392326&lt;/D&gt;&lt;D xsi:type="xsd:double"&gt;-9.117651&lt;/D&gt;&lt;D xsi:type="xsd:double"&gt;9.304214&lt;/D&gt;&lt;D xsi:type="xsd:double"&gt;8.290159&lt;/D&gt;&lt;D xsi:type="xsd:double"&gt;6.083393&lt;/D&gt;&lt;D xsi:type="xsd:double"&gt;-4.059279&lt;/D&gt;&lt;D xsi:type="xsd:double"&gt;3.8280725&lt;/D&gt;&lt;D xsi:type="xsd:double"&gt;-4.721868&lt;/D&gt;&lt;D xsi:type="xsd:double"&gt;4.039383&lt;/D&gt;&lt;D xsi:type="xsd:double"&gt;2.8397918&lt;/D&gt;&lt;D xsi:type="xsd:double"&gt;5.87852&lt;/D&gt;&lt;D xsi:type="xsd:double"&gt;-1.1656344&lt;/D&gt;&lt;D xsi:type="xsd:double"&gt;2.979517&lt;/D&gt;&lt;D xsi:type="xsd:double"&gt;3.7974596&lt;/D&gt;&lt;D xsi:type="xsd:double"&gt;0.37747622&lt;/D&gt;&lt;D xsi:type="xsd:double"&gt;6.3639045&lt;/D&gt;&lt;D xsi:type="xsd:double"&gt;-1.0606468&lt;/D&gt;&lt;D xsi:type="xsd:double"&gt;2.0615697&lt;/D&gt;&lt;D xsi:type="xsd:double"&gt;1.8583298&lt;/D&gt;&lt;D xsi:type="xsd:double"&gt;-1.0047615&lt;/D&gt;&lt;D xsi:type="xsd:double"&gt;-2.457261&lt;/D&gt;&lt;D xsi:type="xsd:double"&gt;5.5354953&lt;/D&gt;&lt;D xsi:type="xsd:double"&gt;-1.0677993&lt;/D&gt;&lt;D xsi:type="xsd:double"&gt;3.858614&lt;/D&gt;&lt;D xsi:type="xsd:double"&gt;-1.6108155&lt;/D&gt;&lt;D xsi:type="xsd:double"&gt;-1.0298371&lt;/D&gt;&lt;D xsi:type="xsd:double"&gt;-1.2806833&lt;/D&gt;&lt;D xsi:type="xsd:double"&gt;-1.5675724&lt;/D&gt;&lt;D xsi:type="xsd:double"&gt;1.3728738&lt;/D&gt;&lt;D xsi:type="xsd:double"&gt;0.4062891&lt;/D&gt;&lt;D xsi:type="xsd:double"&gt;-8.7671995&lt;/D&gt;&lt;D xsi:type="xsd:double"&gt;-2.0697832&lt;/D&gt;&lt;D xsi:type="xsd:double"&gt;-2.0531416&lt;/D&gt;&lt;D xsi:type="xsd:double"&gt;-0.0921607&lt;/D&gt;&lt;D xsi:type="xsd:double"&gt;3.882873&lt;/D&gt;&lt;D xsi:type="xsd:double"&gt;2.3590684&lt;/D&gt;&lt;D xsi:type="xsd:double"&gt;6.2855363&lt;/D&gt;&lt;D xsi:type="xsd:double"&gt;-4.4212875&lt;/D&gt;&lt;D xsi:type="xsd:double"&gt;-1.915139&lt;/D&gt;&lt;D xsi:type="xsd:double"&gt;6.8488955&lt;/D&gt;&lt;D xsi:type="xsd:double"&gt;-5.875736&lt;/D&gt;&lt;D xsi:type="xsd:double"&gt;9.378731&lt;/D&gt;&lt;D xsi:type="xsd:double"&gt;2.539599&lt;/D&gt;&lt;D xsi:type="xsd:double"&gt;5.139816&lt;/D&gt;&lt;D xsi:type="xsd:double"&gt;5.2684903&lt;/D&gt;&lt;D xsi:type="xsd:double"&gt;2.9969215&lt;/D&gt;&lt;D xsi:type="xsd:double"&gt;-3.4482718&lt;/D&gt;&lt;D xsi:type="xsd:double"&gt;-13.343257&lt;/D&gt;&lt;D xsi:type="xsd:double"&gt;1.5168905&lt;/D&gt;&lt;D xsi:type="xsd:double"&gt;4.7081947&lt;/D&gt;&lt;D xsi:type="xsd:double"&gt;5.977392&lt;/D&gt;&lt;D xsi:type="xsd:double"&gt;9.120941&lt;/D&gt;&lt;D xsi:type="xsd:double"&gt;5.1222324&lt;/D&gt;&lt;D xsi:type="xsd:double"&gt;-0.22149086&lt;/D&gt;&lt;D xsi:type="xsd:double"&gt;2.2419572&lt;/D&gt;&lt;D xsi:type="xsd:double"&gt;5.3408623&lt;/D&gt;&lt;D xsi:type="xsd:double"&gt;7.6931715&lt;/D&gt;&lt;D xsi:type="xsd:double"&gt;13.41654&lt;/D&gt;&lt;D xsi:type="xsd:double"&gt;2.0632744&lt;/D&gt;&lt;D xsi:type="xsd:double"&gt;-1.6846359&lt;/D&gt;&lt;D xsi:type="xsd:double"&gt;4.232359&lt;/D&gt;&lt;D xsi:type="xsd:double"&gt;-3.238535&lt;/D&gt;&lt;D xsi:type="xsd:double"&gt;8.053005&lt;/D&gt;&lt;D xsi:type="xsd:double"&gt;1.886797&lt;/D&gt;&lt;D xsi:type="xsd:double"&gt;-3.1327188&lt;/D&gt;&lt;D xsi:type="xsd:double"&gt;3.8394094&lt;/D&gt;&lt;D xsi:type="xsd:double"&gt;-6.443697&lt;/D&gt;&lt;D xsi:type="xsd:double"&gt;7.0514917&lt;/D&gt;&lt;D xsi:type="xsd:double"&gt;0.12434721&lt;/D&gt;&lt;D xsi:type="xsd:double"&gt;5.9739113&lt;/D&gt;&lt;D xsi:type="xsd:double"&gt;-4.1685286&lt;/D&gt;&lt;D xsi:type="xsd:double"&gt;-6.965947&lt;/D&gt;&lt;D xsi:type="xsd:double"&gt;-2.279532&lt;/D&gt;&lt;D xsi:type="xsd:double"&gt;-8.22407&lt;/D&gt;&lt;D xsi:type="xsd:double"&gt;0.055658817&lt;/D&gt;&lt;D xsi:type="xsd:double"&gt;-8.844799&lt;/D&gt;&lt;D xsi:type="xsd:double"&gt;7.8315616&lt;/D&gt;&lt;D xsi:type="xsd:double"&gt;-8.922845&lt;/D&gt;&lt;D xsi:type="xsd:double"&gt;-13.732391&lt;/D&gt;&lt;D xsi:type="xsd:double"&gt;14.813924&lt;/D&gt;&lt;D xsi:type="xsd:double"&gt;3.7303329&lt;/D&gt;&lt;D xsi:type="xsd:double"&gt;2.9026866&lt;/D&gt;&lt;D xsi:type="xsd:double"&gt;4.716766&lt;/D&gt;&lt;D xsi:type="xsd:double"&gt;-2.9807925&lt;/D&gt;&lt;D xsi:type="xsd:double"&gt;2.6854753&lt;/D&gt;&lt;D xsi:type="xsd:double"&gt;-4.0115175&lt;/D&gt;&lt;D xsi:type="xsd:double"&gt;12.306619&lt;/D&gt;&lt;D xsi:type="xsd:double"&gt;0.12335777&lt;/D&gt;&lt;D xsi:type="xsd:double"&gt;-6.5092444&lt;/D&gt;&lt;D xsi:type="xsd:double"&gt;1.6033411&lt;/D&gt;&lt;D xsi:type="xsd:double"&gt;-1.6212702&lt;/D&gt;&lt;D xsi:type="xsd:double"&gt;3.6914945&lt;/D&gt;&lt;D xsi:type="xsd:double"&gt;6.293714&lt;/D&gt;&lt;D xsi:type="xsd:double"&gt;-0.8926749&lt;/D&gt;&lt;D xsi:type="xsd:double"&gt;5.011344&lt;/D&gt;&lt;D xsi:type="xsd:double"&gt;4.707408&lt;/D&gt;&lt;/FQL&gt;&lt;FQL&gt;&lt;Q&gt;EWZ^FMA_PE(NTMA,-10AY,0,AM,"PORTAGG","MEANR")&lt;/Q&gt;&lt;R&gt;121&lt;/R&gt;&lt;C&gt;1&lt;/C&gt;&lt;D xsi:type="xsd:double"&gt;9.46999205914021&lt;/D&gt;&lt;D xsi:type="xsd:double"&gt;10.8688946888866&lt;/D&gt;&lt;D xsi:type="xsd:double"&gt;11.3004473214546&lt;/D&gt;&lt;D xsi:type="xsd:double"&gt;11.4943843683162&lt;/D&gt;&lt;D xsi:type="xsd:double"&gt;11.5308598029991&lt;/D&gt;&lt;D xsi:type="xsd:double"&gt;11.6098036137841&lt;/D&gt;&lt;D xsi:type="xsd:double"&gt;11.8739896558285&lt;/D&gt;&lt;D xsi:type="xsd:double"&gt;12.0686735843674&lt;/D&gt;&lt;D xsi:type="xsd:double"&gt;10.9981672422821&lt;/D&gt;&lt;D xsi:type="xsd:double"&gt;10.5714503800177&lt;/D&gt;&lt;D xsi:type="xsd:double"&gt;10.8172624403101&lt;/D&gt;&lt;D xsi:type="xsd:double"&gt;11.7818542907308&lt;/D&gt;&lt;D xsi:type="xsd:double"&gt;12.0259058400438&lt;/D&gt;&lt;D xsi:type="xsd:double"&gt;13.6948824507915&lt;/D&gt;&lt;D xsi:type="xsd:double"&gt;14.4988260472779&lt;/D&gt;&lt;D xsi:type="xsd:double"&gt;13.3344872044539&lt;/D&gt;&lt;D xsi:type="xsd:double"&gt;12.9456470030264&lt;/D&gt;&lt;D xsi:type="xsd:double"&gt;11.3208842047449&lt;/D&gt;&lt;D xsi:type="xsd:double"&gt;11.1971051295646&lt;/D&gt;&lt;D xsi:type="xsd:double"&gt;11.0764622731562&lt;/D&gt;&lt;D xsi:type="xsd:double"&gt;10.8423598076542&lt;/D&gt;&lt;D xsi:type="xsd:double"&gt;10.8215933210521&lt;/D&gt;&lt;D xsi:type="xsd:double"&gt;9.70257594724723&lt;/D&gt;&lt;D xsi:type="xsd:double"&gt;10.1562285938985&lt;/D&gt;&lt;D xsi:type="xsd:double"&gt;12.5943196332719&lt;/D&gt;&lt;D xsi:type="xsd:double"&gt;13.8272765077996&lt;/D&gt;&lt;D xsi:type="xsd:double"&gt;12.7341721591771&lt;/D&gt;&lt;D xsi:type="xsd:double"&gt;11.8777949454709&lt;/D&gt;&lt;D xsi:type="xsd:double"&gt;13.525159684143&lt;/D&gt;&lt;D xsi:type="xsd:double"&gt;14.0662669669039&lt;/D&gt;&lt;D xsi:type="xsd:double"&gt;13.5573617762097&lt;/D&gt;&lt;D xsi:type="xsd:double"&gt;14.3328927008601&lt;/D&gt;&lt;D xsi:type="xsd:double"&gt;13.5044734643158&lt;/D&gt;&lt;D xsi:type="xsd:double"&gt;12.388447799289&lt;/D&gt;&lt;D xsi:type="xsd:double"&gt;13.2218415302388&lt;/D&gt;&lt;D xsi:type="xsd:double"&gt;13.5198177943192&lt;/D&gt;&lt;D xsi:type="xsd:double"&gt;12.8577561296971&lt;/D&gt;&lt;D xsi:type="xsd:double"&gt;12.2694407354695&lt;/D&gt;&lt;D xsi:type="xsd:double"&gt;13.2026466797005&lt;/D&gt;&lt;D xsi:type="xsd:double"&gt;11.8248781277003&lt;/D&gt;&lt;D xsi:type="xsd:double"&gt;12.385540681933&lt;/D&gt;&lt;D xsi:type="xsd:double"&gt;12.9930793740435&lt;/D&gt;&lt;D xsi:type="xsd:double"&gt;13.9199337910055&lt;/D&gt;&lt;D xsi:type="xsd:double"&gt;14.1725777561634&lt;/D&gt;&lt;D xsi:type="xsd:double"&gt;12.7419014040828&lt;/D&gt;&lt;D xsi:type="xsd:double"&gt;12.8966350883382&lt;/D&gt;&lt;D xsi:type="xsd:double"&gt;13.7040952628739&lt;/D&gt;&lt;D xsi:type="xsd:double"&gt;13.6005747563381&lt;/D&gt;&lt;D xsi:type="xsd:double"&gt;13.1294203547423&lt;/D&gt;&lt;D xsi:type="xsd:double"&gt;12.6630908294575&lt;/D&gt;&lt;D xsi:type="xsd:double"&gt;12.4113877139295&lt;/D&gt;&lt;D xsi:type="xsd:double"&gt;10.5076976041654&lt;/D&gt;&lt;D xsi:type="xsd:double"&gt;10.9459985170868&lt;/D&gt;&lt;D xsi:type="xsd:double"&gt;11.0674755689836&lt;/D&gt;&lt;D xsi:type="xsd:double"&gt;10.3575659313625&lt;/D&gt;&lt;D xsi:type="xsd:double"&gt;10.7308263981207&lt;/D&gt;&lt;D xsi:type="xsd:double"&gt;11.302657008723&lt;/D&gt;&lt;D xsi:type="xsd:double"&gt;11.5191740746612&lt;/D&gt;&lt;D xsi:type="xsd:double"&gt;12.7552751975418&lt;/D&gt;&lt;D xsi:type="xsd:double"&gt;12.9253956228961&lt;/D&gt;&lt;D xsi:type="xsd:double"&gt;12.5592429645953&lt;/D&gt;&lt;D xsi:type="xsd:double"&gt;11.3723038870315&lt;/D&gt;&lt;D xsi:type="xsd:double"&gt;11.3206786833212&lt;/D&gt;&lt;D xsi:type="xsd:double"&gt;12.1968803713908&lt;/D&gt;&lt;D xsi:type="xsd:double"&gt;12.6820325318999&lt;/D&gt;&lt;D xsi:type="xsd:double"&gt;12.5330791138919&lt;/D&gt;&lt;D xsi:type="xsd:double"&gt;12.8562103652608&lt;/D&gt;&lt;D xsi:type="xsd:double"&gt;12.9529393679046&lt;/D&gt;&lt;D xsi:type="xsd:double"&gt;13.3547481466396&lt;/D&gt;&lt;D xsi:type="xsd:double"&gt;13.8879628479674&lt;/D&gt;&lt;D xsi:type="xsd:double"&gt;14.6218345037562&lt;/D&gt;&lt;D xsi:type="xsd:double"&gt;14.0646860707558&lt;/D&gt;&lt;D xsi:type="xsd:double"&gt;10.742262363372&lt;/D&gt;&lt;D xsi:type="xsd:double"&gt;12.1220372866671&lt;/D&gt;&lt;D xsi:type="xsd:double"&gt;14.0953114296127&lt;/D&gt;&lt;D xsi:type="xsd:double"&gt;17.8168976609666&lt;/D&gt;&lt;D xsi:type="xsd:double"&gt;26.7392795201321&lt;/D&gt;&lt;D xsi:type="xsd:double"&gt;25.0205932367042&lt;/D&gt;&lt;D xsi:type="xsd:double"&gt;20.4333124278965&lt;/D&gt;&lt;D xsi:type="xsd:double"&gt;16.819517601064&lt;/D&gt;&lt;D xsi:type="xsd:double"&gt;14.7459897842684&lt;/D&gt;&lt;D xsi:type="xsd:double"&gt;13.3674765301821&lt;/D&gt;&lt;D xsi:type="xsd:double"&gt;12.4494756867871&lt;/D&gt;&lt;D xsi:type="xsd:double"&gt;11.0413116347663&lt;/D&gt;&lt;D xsi:type="xsd:double"&gt;9.75064104617875&lt;/D&gt;&lt;D xsi:type="xsd:double"&gt;9.21588749791494&lt;/D&gt;&lt;D xsi:type="xsd:double"&gt;8.95262237679416&lt;/D&gt;&lt;D xsi:type="xsd:double"&gt;9.52712051107431&lt;/D&gt;&lt;D xsi:type="xsd:double"&gt;8.91372331574695&lt;/D&gt;&lt;D xsi:type="xsd:double"&gt;8.11588940717372&lt;/D&gt;&lt;D xsi:type="xsd:double"&gt;7.74098872794117&lt;/D&gt;&lt;D xsi:type="xsd:double"&gt;7.90643827240605&lt;/D&gt;&lt;D xsi:type="xsd:double"&gt;7.49749425177118&lt;/D&gt;&lt;D xsi:type="xsd:double"&gt;7.87163479589453&lt;/D&gt;&lt;D xsi:type="xsd:double"&gt;7.85525954850612&lt;/D&gt;&lt;D xsi:type="xsd:double"&gt;8.1473397109287&lt;/D&gt;&lt;D xsi:type="xsd:double"&gt;7.48280998275013&lt;/D&gt;&lt;D xsi:type="xsd:double"&gt;7.40656897493958&lt;/D&gt;&lt;D xsi:type="xsd:double"&gt;6.55155233964829&lt;/D&gt;&lt;D xsi:type="xsd:double"&gt;6.15972553237799&lt;/D&gt;&lt;D xsi:type="xsd:double"&gt;5.81063676566594&lt;/D&gt;&lt;D xsi:type="xsd:double"&gt;6.4195953924843&lt;/D&gt;&lt;D xsi:type="xsd:double"&gt;6.40118091981039&lt;/D&gt;&lt;D xsi:type="xsd:double"&gt;6.76292916380585&lt;/D&gt;&lt;D xsi:type="xsd:double"&gt;6.97623993142359&lt;/D&gt;&lt;D xsi:type="xsd:double"&gt;6.49474876490405&lt;/D&gt;&lt;D xsi:type="xsd:double"&gt;7.03536704392576&lt;/D&gt;&lt;D xsi:type="xsd:double"&gt;7.02780137021301&lt;/D&gt;&lt;D xsi:type="xsd:double"&gt;6.55256700760235&lt;/D&gt;&lt;D xsi:type="xsd:double"&gt;6.87556883077283&lt;/D&gt;&lt;D xsi:type="xsd:double"&gt;7.02328838902948&lt;/D&gt;&lt;D xsi:type="xsd:double"&gt;7.8600450556351&lt;/D&gt;&lt;D xsi:type="xsd:double"&gt;7.84806565066664&lt;/D&gt;&lt;D xsi:type="xsd:double"&gt;7.93353584714943&lt;/D&gt;&lt;D xsi:type="xsd:double"&gt;8.02876925663563&lt;/D&gt;&lt;D xsi:type="xsd:double"&gt;7.52666673313128&lt;/D&gt;&lt;D xsi:type="xsd:double"&gt;7.80460350527832&lt;/D&gt;&lt;D xsi:type="xsd:double"&gt;7.87345724058698&lt;/D&gt;&lt;D xsi:type="xsd:double"&gt;7.755371215605&lt;/D&gt;&lt;D xsi:type="xsd:double"&gt;7.79452145894123&lt;/D&gt;&lt;D xsi:type="xsd:double"&gt;7.80069654574527&lt;/D&gt;&lt;/FQL&gt;&lt;FQL&gt;&lt;Q&gt;NI-FDS^FG_PRICE_CHANGE(0,-1AY)&lt;/Q&gt;&lt;R&gt;1&lt;/R&gt;&lt;C&gt;1&lt;/C&gt;&lt;D xsi:type="xsd:double"&gt;-23.6508277789723&lt;/D&gt;&lt;/FQL&gt;&lt;FQL&gt;&lt;Q&gt;BRENT-FDS^FG_PRICE(0)&lt;/Q&gt;&lt;R&gt;1&lt;/R&gt;&lt;C&gt;1&lt;/C&gt;&lt;D xsi:type="xsd:double"&gt;85.86&lt;/D&gt;&lt;/FQL&gt;&lt;FQL&gt;&lt;Q&gt;QAT^P_PRICE(0)/P_PRICE_HIGH_PR(0,,,USD,,,"PRICE","INTRA","52W")&lt;/Q&gt;&lt;R&gt;1&lt;/R&gt;&lt;C&gt;1&lt;/C&gt;&lt;D xsi:type="xsd:double"&gt;0.91871166&lt;/D&gt;&lt;/FQL&gt;&lt;FQL&gt;&lt;Q&gt;EZA^FG_TOTAL_RETURNC(0,-6AM)&lt;/Q&gt;&lt;R&gt;1&lt;/R&gt;&lt;C&gt;1&lt;/C&gt;&lt;D xsi:type="xsd:double"&gt;1.4837384&lt;/D&gt;&lt;/FQL&gt;&lt;FQL&gt;&lt;Q&gt;EPOL^FG_ROE(0)&lt;/Q&gt;&lt;R&gt;1&lt;/R&gt;&lt;C&gt;1&lt;/C&gt;&lt;D xsi:type="xsd:double"&gt;14.1646306446821&lt;/D&gt;&lt;/FQL&gt;&lt;FQL&gt;&lt;Q&gt;TRYMX10Y-FDS^FG_YIELD_NAME&lt;/Q&gt;&lt;R&gt;1&lt;/R&gt;&lt;C&gt;1&lt;/C&gt;&lt;D xsi:type="xsd:string"&gt;Treasury - Mexico Benchmark Bond 10Y&lt;/D&gt;&lt;/FQL&gt;&lt;FQL&gt;&lt;Q&gt;MCHI^FMA_PE(NTMA,0,,,"PORTAGG","MEANR")&lt;/Q&gt;&lt;R&gt;1&lt;/R&gt;&lt;C&gt;1&lt;/C&gt;&lt;D xsi:type="xsd:double"&gt;9.43179744988616&lt;/D&gt;&lt;/FQL&gt;&lt;FQL&gt;&lt;Q&gt;EZA^FMA_EVAL_EBIT(LTMA,NOW,NOW,M,"PORTAGG","MEANR")&lt;/Q&gt;&lt;R&gt;1&lt;/R&gt;&lt;C&gt;1&lt;/C&gt;&lt;D xsi:type="xsd:double"&gt;11.9557525011304&lt;/D&gt;&lt;/FQL&gt;&lt;FQL&gt;&lt;Q&gt;EWW^FMA_ROE(NTMA,-20AY,NOW,FY,"PORTAGG","MEANR")&lt;/Q&gt;&lt;R&gt;20&lt;/R&gt;&lt;C&gt;1&lt;/C&gt;&lt;D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xsi:type="xsd:double"&gt;12.0869262493652&lt;/D&gt;&lt;D xsi:type="xsd:double"&gt;11.7827107635903&lt;/D&gt;&lt;D xsi:type="xsd:double"&gt;13.6871625306246&lt;/D&gt;&lt;D xsi:type="xsd:double"&gt;13.3394699173904&lt;/D&gt;&lt;D xsi:type="xsd:double"&gt;13.7042990237853&lt;/D&gt;&lt;/FQL&gt;&lt;FQL&gt;&lt;Q&gt;EWZ^FMA_PE(LTMA,-10AY,0,AM,"PORTAGG","MEANR")&lt;/Q&gt;&lt;R&gt;121&lt;/R&gt;&lt;C&gt;1&lt;/C&gt;&lt;D xsi:type="xsd:double"&gt;11.208842325044&lt;/D&gt;&lt;D xsi:type="xsd:double"&gt;11.4842918840765&lt;/D&gt;&lt;D xsi:type="xsd:double"&gt;11.66180124201&lt;/D&gt;&lt;D xsi:type="xsd:double"&gt;11.8448698935553&lt;/D&gt;&lt;D xsi:type="xsd:double"&gt;11.9598335489867&lt;/D&gt;&lt;D xsi:type="xsd:double"&gt;12.2137841693401&lt;/D&gt;&lt;D xsi:type="xsd:double"&gt;12.4849951714851&lt;/D&gt;&lt;D xsi:type="xsd:double"&gt;13.01403412295&lt;/D&gt;&lt;D xsi:type="xsd:double"&gt;12.2447966686811&lt;/D&gt;&lt;D xsi:type="xsd:double"&gt;11.673234092985&lt;/D&gt;&lt;D xsi:type="xsd:double"&gt;11.9318901646592&lt;/D&gt;&lt;D xsi:type="xsd:double"&gt;12.601061710374&lt;/D&gt;&lt;D xsi:type="xsd:double"&gt;12.8553140651508&lt;/D&gt;&lt;D xsi:type="xsd:double"&gt;13.4031815122107&lt;/D&gt;&lt;D xsi:type="xsd:double"&gt;13.9599613992019&lt;/D&gt;&lt;D xsi:type="xsd:double"&gt;13.8659753661189&lt;/D&gt;&lt;D xsi:type="xsd:double"&gt;13.8053016429548&lt;/D&gt;&lt;D xsi:type="xsd:double"&gt;12.8207968562156&lt;/D&gt;&lt;D xsi:type="xsd:double"&gt;12.7639078244534&lt;/D&gt;&lt;D xsi:type="xsd:double"&gt;12.3762493378882&lt;/D&gt;&lt;D xsi:type="xsd:double"&gt;12.3409177544567&lt;/D&gt;&lt;D xsi:type="xsd:double"&gt;12.3928881716719&lt;/D&gt;&lt;D xsi:type="xsd:double"&gt;11.1477059040861&lt;/D&gt;&lt;D xsi:type="xsd:double"&gt;11.2193076842051&lt;/D&gt;&lt;D xsi:type="xsd:double"&gt;12.8995747251781&lt;/D&gt;&lt;D xsi:type="xsd:double"&gt;13.3774354545913&lt;/D&gt;&lt;D xsi:type="xsd:double"&gt;13.0634707160109&lt;/D&gt;&lt;D xsi:type="xsd:double"&gt;12.8332408945909&lt;/D&gt;&lt;D xsi:type="xsd:double"&gt;13.947664443775&lt;/D&gt;&lt;D xsi:type="xsd:double"&gt;14.4331438551788&lt;/D&gt;&lt;D xsi:type="xsd:double"&gt;14.3850008328768&lt;/D&gt;&lt;D xsi:type="xsd:double"&gt;15.0395301371294&lt;/D&gt;&lt;D xsi:type="xsd:double"&gt;14.7236543950171&lt;/D&gt;&lt;D xsi:type="xsd:double"&gt;14.2563354576394&lt;/D&gt;&lt;D xsi:type="xsd:double"&gt;15.3401316734687&lt;/D&gt;&lt;D xsi:type="xsd:double"&gt;16.4265617767029&lt;/D&gt;&lt;D xsi:type="xsd:double"&gt;16.6190048187991&lt;/D&gt;&lt;D xsi:type="xsd:double"&gt;16.1294004332534&lt;/D&gt;&lt;D xsi:type="xsd:double"&gt;16.15353533313&lt;/D&gt;&lt;D xsi:type="xsd:double"&gt;15.1999038064309&lt;/D&gt;&lt;D xsi:type="xsd:double"&gt;15.1333755815732&lt;/D&gt;&lt;D xsi:type="xsd:double"&gt;15.3271288464581&lt;/D&gt;&lt;D xsi:type="xsd:double"&gt;15.6931272356452&lt;/D&gt;&lt;D xsi:type="xsd:double"&gt;15.8379918048343&lt;/D&gt;&lt;D xsi:type="xsd:double"&gt;14.2819501598082&lt;/D&gt;&lt;D xsi:type="xsd:double"&gt;14.4322662870345&lt;/D&gt;&lt;D xsi:type="xsd:double"&gt;15.3289269745316&lt;/D&gt;&lt;D xsi:type="xsd:double"&gt;16.0541472562699&lt;/D&gt;&lt;D xsi:type="xsd:double"&gt;16.4395491136598&lt;/D&gt;&lt;D xsi:type="xsd:double"&gt;16.0303350192628&lt;/D&gt;&lt;D xsi:type="xsd:double"&gt;15.6395371571603&lt;/D&gt;&lt;D xsi:type="xsd:double"&gt;14.4436766246808&lt;/D&gt;&lt;D xsi:type="xsd:double"&gt;14.3166779290757&lt;/D&gt;&lt;D xsi:type="xsd:double"&gt;14.0145836629016&lt;/D&gt;&lt;D xsi:type="xsd:double"&gt;13.1104852728286&lt;/D&gt;&lt;D xsi:type="xsd:double"&gt;13.5260400450573&lt;/D&gt;&lt;D xsi:type="xsd:double"&gt;13.7071366552641&lt;/D&gt;&lt;D xsi:type="xsd:double"&gt;13.7570760330527&lt;/D&gt;&lt;D xsi:type="xsd:double"&gt;14.644199742809&lt;/D&gt;&lt;D xsi:type="xsd:double"&gt;15.300189566049&lt;/D&gt;&lt;D xsi:type="xsd:double"&gt;14.7425957381662&lt;/D&gt;&lt;D xsi:type="xsd:double"&gt;14.2201494213982&lt;/D&gt;&lt;D xsi:type="xsd:double"&gt;13.9668026803845&lt;/D&gt;&lt;D xsi:type="xsd:double"&gt;14.2011026833352&lt;/D&gt;&lt;D xsi:type="xsd:double"&gt;14.3327042145793&lt;/D&gt;&lt;D xsi:type="xsd:double"&gt;14.2383208584715&lt;/D&gt;&lt;D xsi:type="xsd:double"&gt;14.1999935891627&lt;/D&gt;&lt;D xsi:type="xsd:double"&gt;14.6984320612699&lt;/D&gt;&lt;D xsi:type="xsd:double"&gt;15.2052014997527&lt;/D&gt;&lt;D xsi:type="xsd:double"&gt;16.296347160154&lt;/D&gt;&lt;D xsi:type="xsd:double"&gt;17.5353359988437&lt;/D&gt;&lt;D xsi:type="xsd:double"&gt;16.7457945119489&lt;/D&gt;&lt;D xsi:type="xsd:double"&gt;16.5047563859306&lt;/D&gt;&lt;D xsi:type="xsd:double"&gt;16.436834865166&lt;/D&gt;&lt;D xsi:type="xsd:double"&gt;17.2329685608026&lt;/D&gt;&lt;D xsi:type="xsd:double"&gt;19.6527739670396&lt;/D&gt;&lt;D xsi:type="xsd:double"&gt;30.9705963051133&lt;/D&gt;&lt;D xsi:type="xsd:double"&gt;34.4633073218343&lt;/D&gt;&lt;D xsi:type="xsd:double"&gt;33.0466409380377&lt;/D&gt;&lt;D xsi:type="xsd:double"&gt;31.2046980717271&lt;/D&gt;&lt;D xsi:type="xsd:double"&gt;30.423896096769&lt;/D&gt;&lt;D xsi:type="xsd:double"&gt;34.6095784648631&lt;/D&gt;&lt;D xsi:type="xsd:double"&gt;34.2242132320655&lt;/D&gt;&lt;D xsi:type="xsd:double"&gt;28.3575639268892&lt;/D&gt;&lt;D xsi:type="xsd:double"&gt;20.2453637995166&lt;/D&gt;&lt;D xsi:type="xsd:double"&gt;18.8423184121211&lt;/D&gt;&lt;D xsi:type="xsd:double"&gt;17.6836756712068&lt;/D&gt;&lt;D xsi:type="xsd:double"&gt;16.7420671304498&lt;/D&gt;&lt;D xsi:type="xsd:double"&gt;15.2309207164776&lt;/D&gt;&lt;D xsi:type="xsd:double"&gt;13.5524916527288&lt;/D&gt;&lt;D xsi:type="xsd:double"&gt;11.8608145036836&lt;/D&gt;&lt;D xsi:type="xsd:double"&gt;10.4174889273916&lt;/D&gt;&lt;D xsi:type="xsd:double"&gt;8.74497218154105&lt;/D&gt;&lt;D xsi:type="xsd:double"&gt;7.34404527371501&lt;/D&gt;&lt;D xsi:type="xsd:double"&gt;6.70989426582847&lt;/D&gt;&lt;D xsi:type="xsd:double"&gt;7.20140802212451&lt;/D&gt;&lt;D xsi:type="xsd:double"&gt;6.96883138956306&lt;/D&gt;&lt;D xsi:type="xsd:double"&gt;6.97496955474639&lt;/D&gt;&lt;D xsi:type="xsd:double"&gt;6.64989549056295&lt;/D&gt;&lt;D xsi:type="xsd:double"&gt;6.40275946648433&lt;/D&gt;&lt;D xsi:type="xsd:double"&gt;6.13043795403161&lt;/D&gt;&lt;D xsi:type="xsd:double"&gt;6.26891667053218&lt;/D&gt;&lt;D xsi:type="xsd:double"&gt;6.12781273809803&lt;/D&gt;&lt;D xsi:type="xsd:double"&gt;6.12410965986361&lt;/D&gt;&lt;D xsi:type="xsd:double"&gt;6.13174916766894&lt;/D&gt;&lt;D xsi:type="xsd:double"&gt;5.43948585520442&lt;/D&gt;&lt;D xsi:type="xsd:double"&gt;5.75967451286291&lt;/D&gt;&lt;D xsi:type="xsd:double"&gt;5.83227974846566&lt;</t>
        </r>
      </text>
    </comment>
    <comment ref="A12" authorId="0" shapeId="0" xr:uid="{14E9988F-01B1-4413-B240-7097FA6D7F9F}">
      <text>
        <r>
          <rPr>
            <b/>
            <sz val="9"/>
            <color indexed="81"/>
            <rFont val="Tahoma"/>
            <charset val="1"/>
          </rPr>
          <t>/D&gt;&lt;D xsi:type="xsd:double"&gt;5.54647489304251&lt;/D&gt;&lt;D xsi:type="xsd:double"&gt;5.75008021515424&lt;/D&gt;&lt;D xsi:type="xsd:double"&gt;5.91934971480989&lt;/D&gt;&lt;D xsi:type="xsd:double"&gt;6.56004894967366&lt;/D&gt;&lt;D xsi:type="xsd:double"&gt;6.85585308097642&lt;/D&gt;&lt;D xsi:type="xsd:double"&gt;7.03548282031641&lt;/D&gt;&lt;D xsi:type="xsd:double"&gt;7.34073031389089&lt;/D&gt;&lt;D xsi:type="xsd:double"&gt;7.34193998604264&lt;/D&gt;&lt;D xsi:type="xsd:double"&gt;7.86232322038041&lt;/D&gt;&lt;D xsi:type="xsd:double"&gt;8.46804797035938&lt;/D&gt;&lt;D xsi:type="xsd:double"&gt;8.44437601712042&lt;/D&gt;&lt;D xsi:type="xsd:double"&gt;8.20918074773699&lt;/D&gt;&lt;D xsi:type="xsd:double"&gt;8.42859697943555&lt;/D&gt;&lt;/FQL&gt;&lt;FQL&gt;&lt;Q&gt;EWJ^FG_TOTAL_RETURNC(0,-3AM)&lt;/Q&gt;&lt;R&gt;1&lt;/R&gt;&lt;C&gt;1&lt;/C&gt;&lt;D xsi:type="xsd:double"&gt;9.90802&lt;/D&gt;&lt;/FQL&gt;&lt;FQL&gt;&lt;Q&gt;TRYJP10Y-FDS^FG_YIELD(-10AY,0,Y,,"YTM")&lt;/Q&gt;&lt;R&gt;10&lt;/R&gt;&lt;C&gt;1&lt;/C&gt;&lt;D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xsi:type="xsd:double"&gt;0.6127&lt;/D&gt;&lt;/FQL&gt;&lt;FQL&gt;&lt;Q&gt;USDSAR^FG_PRICE_CHANGE(0,-1AY)&lt;/Q&gt;&lt;R&gt;1&lt;/R&gt;&lt;C&gt;1&lt;/C&gt;&lt;D xsi:type="xsd:double"&gt;-0.12384057&lt;/D&gt;&lt;/FQL&gt;&lt;FQL&gt;&lt;Q&gt;USDTRY^FG_PRICE(0)&lt;/Q&gt;&lt;R&gt;1&lt;/R&gt;&lt;C&gt;1&lt;/C&gt;&lt;D xsi:type="xsd:double"&gt;32.116&lt;/D&gt;&lt;/FQL&gt;&lt;FQL&gt;&lt;Q&gt;USDBRL^FG_PRICE_CHANGE(0,-1AM)&lt;/Q&gt;&lt;R&gt;1&lt;/R&gt;&lt;C&gt;1&lt;/C&gt;&lt;D xsi:type="xsd:double"&gt;0.31616688&lt;/D&gt;&lt;/FQL&gt;&lt;FQL&gt;&lt;Q&gt;USDPLN^FG_PRICE_CHANGE(0,-1AY)&lt;/Q&gt;&lt;R&gt;1&lt;/R&gt;&lt;C&gt;1&lt;/C&gt;&lt;D xsi:type="xsd:double"&gt;-10.081821&lt;/D&gt;&lt;/FQL&gt;&lt;FQL&gt;&lt;Q&gt;USDCLP^FG_PRICE_CHANGE(0,-3AM)&lt;/Q&gt;&lt;R&gt;1&lt;/R&gt;&lt;C&gt;1&lt;/C&gt;&lt;D xsi:type="xsd:double"&gt;8.730412&lt;/D&gt;&lt;/FQL&gt;&lt;FQL&gt;&lt;Q&gt;EWW^P_PRICE_RETURNS_PR('52W',2,-10AY,0,AM)&lt;/Q&gt;&lt;R&gt;121&lt;/R&gt;&lt;C&gt;1&lt;/C&gt;&lt;D xsi:type="xsd:double"&gt;-16.200918&lt;/D&gt;&lt;D xsi:type="xsd:double"&gt;-13.219279&lt;/D&gt;&lt;D xsi:type="xsd:double"&gt;-5.3651214&lt;/D&gt;&lt;D xsi:type="xsd:double"&gt;4.9180984&lt;/D&gt;&lt;D xsi:type="xsd:double"&gt;8.921421&lt;/D&gt;&lt;D xsi:type="xsd:double"&gt;3.9251566&lt;/D&gt;&lt;D xsi:type="xsd:double"&gt;11.207283&lt;/D&gt;&lt;D xsi:type="xsd:double"&gt;1.8652439&lt;/D&gt;&lt;D xsi:type="xsd:double"&gt;3.1242132&lt;/D&gt;&lt;D xsi:type="xsd:double"&gt;-14.284783&lt;/D&gt;&lt;D xsi:type="xsd:double"&gt;-11.850661&lt;/D&gt;&lt;D xsi:type="xsd:double"&gt;-4.675162&lt;/D&gt;&lt;D xsi:type="xsd:double"&gt;-1.9726276&lt;/D&gt;&lt;D xsi:type="xsd:double"&gt;-6.044066&lt;/D&gt;&lt;D xsi:type="xsd:double"&gt;-8.50411&lt;/D&gt;&lt;D xsi:type="xsd:double"&gt;-12.8441515&lt;/D&gt;&lt;D xsi:type="xsd:double"&gt;-15.603876&lt;/D&gt;&lt;D xsi:type="xsd:double"&gt;-22.033745&lt;/D&gt;&lt;D xsi:type="xsd:double"&gt;-25.169682&lt;/D&gt;&lt;D xsi:type="xsd:double"&gt;-16.345484&lt;/D&gt;&lt;D xsi:type="xsd:double"&gt;-18.214035&lt;/D&gt;&lt;D xsi:type="xsd:double"&gt;-10.86058&lt;/D&gt;&lt;D xsi:type="xsd:double"&gt;-18.174643&lt;/D&gt;&lt;D xsi:type="xsd:double"&gt;-21.426874&lt;/D&gt;&lt;D xsi:type="xsd:double"&gt;-9.183126&lt;/D&gt;&lt;D xsi:type="xsd:double"&gt;-9.019923&lt;/D&gt;&lt;D xsi:type="xsd:double"&gt;-12.774599&lt;/D&gt;&lt;D xsi:type="xsd:double"&gt;-16.45634&lt;/D&gt;&lt;D xsi:type="xsd:double"&gt;-9.980238&lt;/D&gt;&lt;D xsi:type="xsd:double"&gt;-1.1072993&lt;/D&gt;&lt;D xsi:type="xsd:double"&gt;-6.189126&lt;/D&gt;&lt;D xsi:type="xsd:double"&gt;-5.659497&lt;/D&gt;&lt;D xsi:type="xsd:double"&gt;-14.520377&lt;/D&gt;&lt;D xsi:type="xsd:double"&gt;-6.3781204&lt;/D&gt;&lt;D xsi:type="xsd:double"&gt;-5.7915688&lt;/D&gt;&lt;D xsi:type="xsd:double"&gt;4.2615175&lt;/D&gt;&lt;D xsi:type="xsd:double"&gt;-5.6789875&lt;/D&gt;&lt;D xsi:type="xsd:double"&gt;-1.6735554&lt;/D&gt;&lt;D xsi:type="xsd:double"&gt;2.7748227&lt;/D&gt;&lt;D xsi:type="xsd:double"&gt;15.560663&lt;/D&gt;&lt;D xsi:type="xsd:double"&gt;13.994575&lt;/D&gt;&lt;D xsi:type="xsd:double"&gt;8.757782&lt;/D&gt;&lt;D xsi:type="xsd:double"&gt;19.56594&lt;/D&gt;&lt;D xsi:type="xsd:double"&gt;5.5979133&lt;/D&gt;&lt;D xsi:type="xsd:double"&gt;13.720858&lt;/D&gt;&lt;D xsi:type="xsd:double"&gt;12.546194&lt;/D&gt;&lt;D xsi:type="xsd:double"&gt;23.189617&lt;/D&gt;&lt;D xsi:type="xsd:double"&gt;13.512468&lt;/D&gt;&lt;D xsi:type="xsd:double"&gt;11.594534&lt;/D&gt;&lt;D xsi:type="xsd:double"&gt;7.491231&lt;/D&gt;&lt;D xsi:type="xsd:double"&gt;-7.0548115&lt;/D&gt;&lt;D xsi:type="xsd:double"&gt;-15.411443&lt;/D&gt;&lt;D xsi:type="xsd:double"&gt;-8.744139&lt;/D&gt;&lt;D xsi:type="xsd:double"&gt;-8.5294485&lt;/D&gt;&lt;D xsi:type="xsd:double"&gt;-6.9826245&lt;/D&gt;&lt;D xsi:type="xsd:double"&gt;-4.9451885&lt;/D&gt;&lt;D xsi:type="xsd:double"&gt;-15.6472025&lt;/D&gt;&lt;D xsi:type="xsd:double"&gt;-17.6134&lt;/D&gt;&lt;D xsi:type="xsd:double"&gt;-10.310489&lt;/D&gt;&lt;D xsi:type="xsd:double"&gt;-13.958055&lt;/D&gt;&lt;D xsi:type="xsd:double"&gt;-15.716112&lt;/D&gt;&lt;D xsi:type="xsd:double"&gt;-10.973251&lt;/D&gt;&lt;D xsi:type="xsd:double"&gt;-4.108119&lt;/D&gt;&lt;D xsi:type="xsd:double"&gt;1.0492802&lt;/D&gt;&lt;D xsi:type="xsd:double"&gt;-11.162644&lt;/D&gt;&lt;D xsi:type="xsd:double"&gt;-22.32815&lt;/D&gt;&lt;D xsi:type="xsd:double"&gt;-13.492674&lt;/D&gt;&lt;D xsi:type="xsd:double"&gt;-6.6120443&lt;/D&gt;&lt;D xsi:type="xsd:double"&gt;11.484742&lt;/D&gt;&lt;D xsi:type="xsd:double"&gt;16.740501&lt;/D&gt;&lt;D xsi:type="xsd:double"&gt;7.524419&lt;/D&gt;&lt;D xsi:type="xsd:double"&gt;13.341581&lt;/D&gt;&lt;D xsi:type="xsd:double"&gt;-17.053186&lt;/D&gt;&lt;D xsi:type="xsd:double"&gt;-36.348362&lt;/D&gt;&lt;D xsi:type="xsd:double"&gt;-31.49823&lt;/D&gt;&lt;D xsi:type="xsd:double"&gt;-24.211926&lt;/D&gt;&lt;D xsi:type="xsd:double"&gt;-26.987463&lt;/D&gt;&lt;D xsi:type="xsd:double"&gt;-8.077079&lt;/D&gt;&lt;D xsi:type="xsd:double"&gt;-19.1688&lt;/D&gt;&lt;D xsi:type="xsd:double"&gt;-19.498318&lt;/D&gt;&lt;D xsi:type="xsd:double"&gt;-9.3376875&lt;/D&gt;&lt;D xsi:type="xsd:double"&gt;-6.5588655&lt;/D&gt;&lt;D xsi:type="xsd:double"&gt;-1.9320726&lt;/D&gt;&lt;D xsi:type="xsd:double"&gt;-9.805149&lt;/D&gt;&lt;D xsi:type="xsd:double"&gt;34.34249&lt;/D&gt;&lt;D xsi:type="xsd:double"&gt;62.495018&lt;/D&gt;&lt;D xsi:type="xsd:double"&gt;61.83486&lt;/D&gt;&lt;D xsi:type="xsd:double"&gt;51.63927&lt;/D&gt;&lt;D xsi:type="xsd:double"&gt;55.71382&lt;/D&gt;&lt;D xsi:type="xsd:double"&gt;48.18485&lt;/D&gt;&lt;D xsi:type="xsd:double"&gt;49.349056&lt;/D&gt;&lt;D xsi:type="xsd:double"&gt;42.255356&lt;/D&gt;&lt;D xsi:type="xsd:double"&gt;30.227507&lt;/D&gt;&lt;D xsi:type="xsd:double"&gt;14.828205&lt;/D&gt;&lt;D xsi:type="xsd:double"&gt;16.894197&lt;/D&gt;&lt;D xsi:type="xsd:double"&gt;19.643093&lt;/D&gt;&lt;D xsi:type="xsd:double"&gt;13.731205&lt;/D&gt;&lt;D xsi:type="xsd:double"&gt;17.035007&lt;/D&gt;&lt;D xsi:type="xsd:double"&gt;7.163942&lt;/D&gt;&lt;D xsi:type="xsd:double"&gt;-4.3244243&lt;/D&gt;&lt;D xsi:type="xsd:double"&gt;-4.512036&lt;/D&gt;&lt;D xsi:type="xsd:double"&gt;2.0909667&lt;/D&gt;&lt;D xsi:type="xsd:double"&gt;-5.1153064&lt;/D&gt;&lt;D xsi:type="xsd:double"&gt;-4.9148026&lt;/D&gt;&lt;D xsi:type="xsd:double"&gt;13.104725&lt;/D&gt;&lt;D xsi:type="xsd:double"&gt;11.973286&lt;/D&gt;&lt;D xsi:type="xsd:double"&gt;14.502037&lt;/D&gt;&lt;D xsi:type="xsd:double"&gt;18.897247&lt;/D&gt;&lt;D xsi:type="xsd:double"&gt;20.24852&lt;/D&gt;&lt;D xsi:type="xsd:double"&gt;17.760431&lt;/D&gt;&lt;D xsi:type="xsd:double"&gt;33.675312&lt;/D&gt;&lt;D xsi:type="xsd:double"&gt;44.783436&lt;/D&gt;&lt;D xsi:type="xsd:double"&gt;47.97679&lt;/D&gt;&lt;D xsi:type="xsd:double"&gt;30.965614&lt;/D&gt;&lt;D xsi:type="xsd:double"&gt;33.36128&lt;/D&gt;&lt;D xsi:type="xsd:double"&gt;23.17549&lt;/D&gt;&lt;D xsi:type="xsd:double"&gt;17.865192&lt;/D&gt;&lt;D xsi:type="xsd:double"&gt;34.94371&lt;/D&gt;&lt;D xsi:type="xsd:double"&gt;20.149946&lt;/D&gt;&lt;D xsi:type="xsd:double"&gt;20.60417&lt;/D&gt;&lt;D xsi:type="xsd:double"&gt;21.579193&lt;/D&gt;&lt;/FQL&gt;&lt;FQL&gt;&lt;Q&gt;EPU^FG_TOTAL_RETURNC(-10AY,0,AM)&lt;/Q&gt;&lt;R&gt;121&lt;/R&gt;&lt;C&gt;1&lt;/C&gt;&lt;D xsi:type="xsd:double"&gt;-5.581814&lt;/D&gt;&lt;D xsi:type="xsd:double"&gt;4.5667887&lt;/D&gt;&lt;D xsi:type="xsd:double"&gt;4.4970393&lt;/D&gt;&lt;D xsi:type="xsd:double"&gt;-0.2850771&lt;/D&gt;&lt;D xsi:type="xsd:double"&gt;6.3203454&lt;/D&gt;&lt;D xsi:type="xsd:double"&gt;-0.042277575&lt;/D&gt;&lt;D xsi:type="xsd:double"&gt;-2.2020638&lt;/D&gt;&lt;D xsi:type="xsd:double"&gt;-6.8416653&lt;/D&gt;&lt;D xsi:type="xsd:double"&gt;-1.1390924&lt;/D&gt;&lt;D xsi:type="xsd:double"&gt;-2.8113484&lt;/D&gt;&lt;D xsi:type="xsd:double"&gt;-6.283438&lt;/D&gt;&lt;D xsi:type="xsd:double"&gt;3.0434728&lt;/D&gt;&lt;D xsi:type="xsd:double"&gt;-8.016878&lt;/D&gt;&lt;D xsi:type="xsd:double"&gt;3.3521533&lt;/D&gt;&lt;D xsi:type="xsd:double"&gt;7.2721004&lt;/D&gt;&lt;D xsi:type="xsd:double"&gt;-5.249161&lt;/D&gt;&lt;D xsi:type="xsd:double"&gt;-2.4695516&lt;/D&gt;&lt;D xsi:type="xsd:double"&gt;-15.60874&lt;/D&gt;&lt;D xsi:type="xsd:double"&gt;-5.7542086&lt;/D&gt;&lt;D xsi:type="xsd:double"&gt;3.881371&lt;/D&gt;&lt;D xsi:type="xsd:double"&gt;-6.8549395&lt;/D&gt;&lt;D xsi:type="xsd:double"&gt;-7.522029&lt;/D&gt;&lt;D xsi:type="xsd:double"&gt;-8.945662&lt;/D&gt;&lt;D xsi:type="xsd:double"&gt;14.840794&lt;/D&gt;&lt;D xsi:type="xsd:double"&gt;17.34022&lt;/D&gt;&lt;D xsi:type="xsd:double"&gt;14.016819&lt;/D&gt;&lt;D xsi:type="xsd:double"&gt;6.3927054&lt;/D&gt;&lt;D xsi:type="xsd:double"&gt;-3.2023787&lt;/D&gt;&lt;D xsi:type="xsd:double"&gt;14.009512&lt;/D&gt;&lt;D xsi:type="xsd:double"&gt;6.050563&lt;/D&gt;&lt;D xsi:type="xsd:double"&gt;-6.556916&lt;/D&gt;&lt;D xsi:type="xsd:double"&gt;-3.2806754&lt;/D&gt;&lt;D xsi:type="xsd:double"&gt;1.7902017&lt;/D&gt;&lt;D xsi:type="xsd:double"&gt;0.8947849&lt;/D&gt;&lt;D xsi:type="xsd:double"&gt;4.573858&lt;/D&gt;&lt;D xsi:type="xsd:double"&gt;5.9530854&lt;/D&gt;&lt;D xsi:type="xsd:double"&gt;-10.268486&lt;/D&gt;&lt;D xsi:type="xsd:double"&gt;4.102409&lt;/D&gt;&lt;D xsi:type="xsd:double"&gt;2.4296284&lt;/D&gt;&lt;D xsi:type="xsd:double"&gt;-0.83888173&lt;/D&gt;&lt;D xsi:type="xsd:double"&gt;3.2238603&lt;/D&gt;&lt;D xsi:type="xsd:double"&gt;3.3668995&lt;/D&gt;&lt;D xsi:type="xsd:double"&gt;6.765032&lt;/D&gt;&lt;D xsi:type="xsd:double"&gt;7.614088&lt;/D&gt;&lt;D xsi:type="xsd:double"&gt;-1.2599945&lt;/D&gt;&lt;D xsi:type="xsd:double"&gt;-6.085891&lt;/D&gt;&lt;D xsi:type="xsd:double"&gt;14.484143&lt;/D&gt;&lt;D xsi:type="xsd:double"&gt;-2.1870613&lt;/D&gt;&lt;D xsi:type="xsd:double"&gt;-0.9276867&lt;/D&gt;&lt;D xsi:type="xsd:double"&gt;3.961575&lt;/D&gt;&lt;D xsi:type="xsd:double"&gt;-0.30023456&lt;/D&gt;&lt;D xsi:type="xsd:double"&gt;-2.5248945&lt;/D&gt;&lt;D xsi:type="xsd:double"&gt;-6.58167&lt;/D&gt;&lt;D xsi:type="xsd:double"&gt;-1.823318&lt;/D&gt;&lt;D xsi:type="xsd:double"&gt;-7.036358&lt;/D&gt;&lt;D xsi:type="xsd:double"&gt;2.5886297&lt;/D&gt;&lt;D xsi:type="xsd:double"&gt;-4.360944&lt;/D&gt;&lt;D xsi:type="xsd:double"&gt;1.3814211&lt;/D&gt;&lt;D xsi:type="xsd:double"&gt;4.192865&lt;/D&gt;&lt;D xsi:type="xsd:double"&gt;2.8140187&lt;/D&gt;&lt;D xsi:type="xsd:double"&gt;3.336966&lt;/D&gt;&lt;D xsi:type="xsd:double"&gt;0.87269545&lt;/D&gt;&lt;D xsi:type="xsd:double"&gt;-8.24427&lt;/D&gt;&lt;D xsi:type="xsd:double"&gt;0.97060204&lt;/D&gt;&lt;D xsi:type="xsd:double"&gt;5.003965&lt;/D&gt;&lt;D xsi:type="xsd:double"&gt;-11.883825&lt;/D&gt;&lt;D xsi:type="xsd:double"&gt;6.0477734&lt;/D&gt;&lt;D xsi:type="xsd:double"&gt;-1.1405826&lt;/D&gt;&lt;D xsi:type="xsd:double"&gt;-1.3844788&lt;/D&gt;&lt;D xsi:type="xsd:double"&gt;2.9540896&lt;/D&gt;&lt;D xsi:type="xsd:double"&gt;5.0622582&lt;/D&gt;&lt;D xsi:type="xsd:double"&gt;-5.649561&lt;/D&gt;&lt;D xsi:type="xsd:double"&gt;-26.236624&lt;/D&gt;&lt;D xsi:type="xsd:double"&gt;-1.8823504&lt;/D&gt;&lt;D xsi:type="xsd:double"&gt;2.0039916&lt;/D&gt;&lt;D xsi:type="xsd:double"&gt;13.865221&lt;/D&gt;&lt;D xsi:type="xsd:double"&gt;-0.03657937&lt;/D&gt;&lt;D xsi:type="xsd:double"&gt;8.60523&lt;/D&gt;&lt;D xsi:type="xsd:double"&gt;-2.1901667&lt;/D&gt;&lt;D xsi:type="xsd:double"&gt;-1.4471173&lt;/D&gt;&lt;D xsi:type="xsd:double"&gt;2.2637248&lt;/D&gt;&lt;D xsi:type="xsd:double"&gt;9.758687&lt;/D&gt;&lt;D xsi:type="xsd:double"&gt;6.8283916&lt;/D&gt;&lt;D xsi:type="xsd:double"&gt;5.578923&lt;/D&gt;&lt;D xsi:type="xsd:double"&gt;-2.09772&lt;/D&gt;&lt;D xsi:type="xsd:double"&gt;-4.5950594&lt;/D&gt;&lt;D xsi:type="xsd:double"&gt;0.5805135&lt;/D&gt;&lt;D xsi:type="xsd:double"&gt;-14.348137&lt;/D&gt;&lt;D xsi:type="xsd:double"&gt;-5.124789&lt;/D&gt;&lt;D xsi:type="xsd:double"&gt;-6.8747816&lt;/D&gt;&lt;D xsi:type="xsd:double"&gt;1.770246&lt;/D&gt;&lt;D xsi:type="xsd:double"&gt;8.327162&lt;/D&gt;&lt;D xsi:type="xsd:double"&gt;3.5531282&lt;/D&gt;&lt;D xsi:type="xsd:double"&gt;-6.8805513&lt;/D&gt;&lt;D xsi:type="xsd:double"&gt;21.254993&lt;/D&gt;&lt;D xsi:type="xsd:double"&gt;2.0341039&lt;/D&gt;&lt;D xsi:type="xsd:double"&gt;5.189097&lt;/D&gt;&lt;D xsi:type="xsd:double"&gt;-2.6198506&lt;/D&gt;&lt;D xsi:type="xsd:double"&gt;-17.973667&lt;/D&gt;&lt;D xsi:type="xsd:double"&gt;1.7364144&lt;/D&gt;&lt;D xsi:type="xsd:double"&gt;-16.251785&lt;/D&gt;&lt;D xsi:type="xsd:double"&gt;15.923572&lt;/D&gt;&lt;D xsi:type="xsd:double"&gt;-5.8608&lt;/D&gt;&lt;D xsi:type="xsd:double"&gt;-3.2295704&lt;/D&gt;&lt;D xsi:type="xsd:double"&gt;20.144749&lt;/D&gt;&lt;D xsi:type="xsd:double"&gt;-2.7029455&lt;/D&gt;&lt;D xsi:type="xsd:double"&gt;12.425613&lt;/D&gt;&lt;D xsi:type="xsd:double"&gt;-6.8278255&lt;/D&gt;&lt;D xsi:type="xsd:double"&gt;-1.3262331&lt;/D&gt;&lt;D xsi:type="xsd:double"&gt;7.3145986&lt;/D&gt;&lt;D xsi:type="xsd:double"&gt;-4.2915764&lt;/D&gt;&lt;D xsi:type="xsd:double"&gt;4.5926094&lt;/D&gt;&lt;D xsi:type="xsd:double"&gt;4.7091603&lt;/D&gt;&lt;D xsi:type="xsd:double"&gt;-0.07213354&lt;/D&gt;&lt;D xsi:type="xsd:double"&gt;-2.436763&lt;/D&gt;&lt;D xsi:type="xsd:double"&gt;-7.9355&lt;/D&gt;&lt;D xsi:type="xsd:double"&gt;2.9069304&lt;/D&gt;&lt;D xsi:type="xsd:double"&gt;9.30072&lt;/D&gt;&lt;D xsi:type="xsd:double"&gt;5.981171&lt;/D&gt;&lt;D xsi:type="xsd:double"&gt;-0.49999356&lt;/D&gt;&lt;D xsi:type="xsd:double"&gt;13.434517&lt;/D&gt;&lt;/FQL&gt;&lt;FQL&gt;&lt;Q&gt;EWY^FMA_PE(NTMA,-10AY,0,AM,"PORTAGG","MEANR")&lt;/Q&gt;&lt;R&gt;121&lt;/R&gt;&lt;C&gt;1&lt;/C&gt;&lt;D xsi:type="xsd:double"&gt;8.90821548885069&lt;/D&gt;&lt;D xsi:type="xsd:double"&gt;9.34557588461765&lt;/D&gt;&lt;D xsi:type="xsd:double"&gt;9.55255420074038&lt;/D&gt;&lt;D xsi:type="xsd:double"&gt;9.51080152557353&lt;/D&gt;&lt;D xsi:type="xsd:double"&gt;9.6936020279491&lt;/D&gt;&lt;D xsi:type="xsd:double"&gt;10.3326443929022&lt;/D&gt;&lt;D xsi:type="xsd:double"&gt;10.143849216966&lt;/D&gt;&lt;D xsi:type="xsd:double"&gt;9.41397754743062&lt;/D&gt;&lt;D xsi:type="xsd:double"&gt;9.68080818001421&lt;/D&gt;&lt;D xsi:type="xsd:double"&gt;9.61722292983292&lt;/D&gt;&lt;D xsi:type="xsd:double"&gt;9.49636430599459&lt;/D&gt;&lt;D xsi:type="xsd:double"&gt;9.78646167240602&lt;/D&gt;&lt;D xsi:type="xsd:double"&gt;9.79937005058822&lt;/D&gt;&lt;D xsi:type="xsd:double"&gt;10.2845709158805&lt;/D&gt;&lt;D xsi:type="xsd:double"&gt;9.97411884160059&lt;/D&gt;&lt;D xsi:type="xsd:double"&gt;9.4930968315898&lt;/D&gt;&lt;D xsi:type="xsd:double"&gt;9.46793272274746&lt;/D&gt;&lt;D xsi:type="xsd:double"&gt;9.46061714091032&lt;/D&gt;&lt;D xsi:type="xsd:double"&gt;9.40529063857294&lt;/D&gt;&lt;D xsi:type="xsd:double"&gt;10.0087966153623&lt;/D&gt;&lt;D xsi:type="xsd:double"&gt;10.100317779848&lt;/D&gt;&lt;D xsi:type="xsd:double"&gt;9.81399542441262&lt;/D&gt;&lt;D xsi:type="xsd:double"&gt;9.85956233505506&lt;/D&gt;&lt;D xsi:type="xsd:double"&gt;9.90193155186435&lt;/D&gt;&lt;D xsi:type="xsd:double"&gt;10.5044676977977&lt;/D&gt;&lt;D xsi:type="xsd:double"&gt;10.6916750856354&lt;/D&gt;&lt;D xsi:type="xsd:double"&gt;9.88652804140186&lt;/D&gt;&lt;D xsi:type="xsd:double"&gt;9.93488992072083&lt;/D&gt;&lt;D xsi:type="xsd:double"&gt;10.0926357106239&lt;/D&gt;&lt;D xsi:type="xsd:double"&gt;10.0880757870533&lt;/D&gt;&lt;D xsi:type="xsd:double"&gt;9.93561360574716&lt;/D&gt;&lt;D xsi:type="xsd:double"&gt;9.94464344142836&lt;/D&gt;&lt;D xsi:type="xsd:double"&gt;9.58580196985751&lt;/D&gt;&lt;D xsi:type="xsd:double"&gt;9.93745266115194&lt;/D&gt;&lt;D xsi:type="xsd:double"&gt;9.80826102728116&lt;/D&gt;&lt;D xsi:type="xsd:double"&gt;9.40935668201583&lt;/D&gt;&lt;D xsi:type="xsd:double"&gt;9.67527698621163&lt;/D&gt;&lt;D xsi:type="xsd:double"&gt;9.23164408663158&lt;/D&gt;&lt;D xsi:type="xsd:double"&gt;9.42077176166372&lt;/D&gt;&lt;D xsi:type="xsd:double"&gt;9.5732157562116&lt;/D&gt;&lt;D xsi:type="xsd:double"&gt;9.58390251579225&lt;/D&gt;&lt;D xsi:type="xsd:double"&gt;9.0407200901904&lt;/D&gt;&lt;D xsi:type="xsd:double"&gt;9.15491883614584&lt;/D&gt;&lt;D xsi:type="xsd:double"&gt;9.42622457418739&lt;/D&gt;&lt;D xsi:type="xsd:double"&gt;9.36537953197793&lt;/D&gt;&lt;D xsi:type="xsd:double"&gt;9.10171562501208&lt;/D&gt;&lt;D xsi:type="xsd:double"&gt;9.27939282987064&lt;/D&gt;&lt;D xsi:type="xsd:double"&gt;8.97890273273831&lt;/D&gt;&lt;D xsi:type="xsd:double"&gt;9.15509872413531&lt;/D&gt;&lt;D xsi:type="xsd:double"&gt;8.95851536127863&lt;/D&gt;&lt;D xsi:type="xsd:double"&gt;8.86245605817928&lt;/D&gt;&lt;D xsi:type="xsd:double"&gt;8.79003337352035&lt;/D&gt;&lt;D xsi:type="xsd:double"&gt;8.39365994937754&lt;/D&gt;&lt;D xsi:type="xsd:double"&gt;8.15595180268586&lt;/D&gt;&lt;D xsi:type="xsd:double"&gt;8.29583982130275&lt;/D&gt;&lt;D xsi:type="xsd:double"&gt;7.87328831054832&lt;/D&gt;&lt;D xsi:type="xsd:double"&gt;7.83416169162525&lt;/D&gt;&lt;D xsi:type="xsd:double"&gt;8.2147494028292&lt;/D&gt;&lt;D xsi:type="xsd:double"&gt;8.78231726992762&lt;/D&gt;&lt;D xsi:type="xsd:double"&gt;10.3373207934072&lt;/D&gt;&lt;D xsi:type="xsd:double"&gt;10.3326658684573&lt;/D&gt;&lt;D xsi:type="xsd:double"&gt;11.2866219433089&lt;/D&gt;&lt;D xsi:type="xsd:double"&gt;10.7045455363858&lt;/D&gt;&lt;D xsi:type="xsd:double"&gt;10.8971538850446&lt;/D&gt;&lt;D xsi:type="xsd:double"&gt;11.2296273231987&lt;/D&gt;&lt;D xsi:type="xsd:double"&gt;10.5508099285437&lt;/D&gt;&lt;D xsi:type="xsd:double"&gt;11.0241542016915&lt;/D&gt;&lt;D xsi:type="xsd:double"&gt;10.9861895080937&lt;/D&gt;&lt;D xsi:type="xsd:double"&gt;11.4358148110065&lt;/D&gt;&lt;D xsi:type="xsd:double"&gt;11.4091627664878&lt;/D&gt;&lt;D xsi:type="xsd:double"&gt;11.5761734010712&lt;/D&gt;&lt;D xsi:type="xsd:double"&gt;11.5438657709481&lt;/D&gt;&lt;D xsi:type="xsd:double"&gt;9.17187418174945&lt;/D&gt;&lt;D xsi:type="xsd:double"&gt;10.4674280974041&lt;/D&gt;&lt;D xsi:type="xsd:double"&gt;11.4616617822909&lt;/D&gt;&lt;D xsi:type="xsd:double"&gt;12.6528041835065&lt;/D&gt;&lt;D xsi:type="xsd:double"&gt;12.6950670932134&lt;/D&gt;&lt;D xsi:type="xsd:double"&gt;13.4033938338732&lt;/D&gt;&lt;D xsi:type="xsd:double"&gt;12.9526966913013&lt;/D&gt;&lt;D xsi:type="xsd:double"&gt;12.3374763640493&lt;/D&gt;&lt;D xsi:type="xsd:double"&gt;12.3418582702547&lt;/D&gt;&lt;D xsi:type="xsd:double"&gt;13.3125600016002&lt;/D&gt;&lt;D xsi:type="xsd:double"&gt;14.7529150341842&lt;/D&gt;&lt;D xsi:type="xsd:double"&gt;13.897964610173&lt;/D&gt;&lt;D xsi:type="xsd:double"&gt;13.418305643978&lt;/D&gt;&lt;D xsi:type="xsd:double"&gt;13.1621540055961&lt;/D&gt;&lt;D xsi:type="xsd:double"&gt;11.088681644817&lt;/D&gt;&lt;D xsi:type="xsd:double"&gt;11.2770351093621&lt;/D&gt;&lt;D xsi:type="xsd:double"&gt;11.0287240612938&lt;/D&gt;&lt;D xsi:type="xsd:double"&gt;10.3310642471833&lt;/D&gt;&lt;D xsi:type="xsd:double"&gt;10.3379094942309&lt;/D&gt;&lt;D xsi:type="xsd:double"&gt;9.90225542470125&lt;/D&gt;&lt;D xsi:type="xsd:double"&gt;9.99406890373739&lt;/D&gt;&lt;D xsi:type="xsd:double"&gt;10.261062413528&lt;/D&gt;&lt;D xsi:type="xsd:double"&gt;9.90476999979755&lt;/D&gt;&lt;D xsi:type="xsd:double"&gt;9.25792776664057&lt;/D&gt;&lt;D xsi:type="xsd:double"&gt;9.12462600850033&lt;/D&gt;&lt;D xsi:type="xsd:double"&gt;9.15564867512754&lt;/D&gt;&lt;D xsi:type="xsd:double"&gt;8.80949828163721&lt;/D&gt;&lt;D xsi:type="xsd:double"&gt;8.38281538875652&lt;/D&gt;&lt;D xsi:type="xsd:double"&gt;8.2079820711361&lt;/D&gt;&lt;D xsi:type="xsd:double"&gt;8.87547907275664&lt;/D&gt;&lt;D xsi:type="xsd:double"&gt;8.62943700824997&lt;/D&gt;&lt;D xsi:type="xsd:double"&gt;8.78706886697172&lt;/D&gt;&lt;D xsi:type="xsd:double"&gt;10.7532498401435&lt;/D&gt;&lt;D xsi:type="xsd:double"&gt;10.9189154160544&lt;/D&gt;&lt;D xsi:type="xsd:double"&gt;11.4119861988062&lt;/D&gt;&lt;D xsi:type="xsd:double"&gt;12.7485018843962&lt;/D&gt;&lt;D xsi:type="xsd:double"&gt;12.5552145226731&lt;/D&gt;&lt;D xsi:type="xsd:double"&gt;14.2228656963544&lt;/D&gt;&lt;D xsi:type="xsd:double"&gt;12.96371607022&lt;/D&gt;&lt;D xsi:type="xsd:double"&gt;12.8669693646426&lt;/D&gt;&lt;D xsi:type="xsd:double"&gt;12.1801577170156&lt;/D&gt;&lt;D xsi:type="xsd:double"&gt;11.3627028949029&lt;/D&gt;&lt;D xsi:type="xsd:double"&gt;11.2184103056923&lt;/D&gt;&lt;D xsi:type="xsd:double"&gt;10.3639258484077&lt;/D&gt;&lt;D xsi:type="xsd:double"&gt;10.0645492611843&lt;/D&gt;&lt;D xsi:type="xsd:double"&gt;10.1796093065726&lt;/D&gt;&lt;D xsi:type="xsd:double"&gt;9.8132040515662&lt;/D&gt;&lt;D xsi:type="xsd:double"&gt;10.4405677139739&lt;/D&gt;&lt;D xsi:type="xsd:double"&gt;10.5537735326763&lt;/D&gt;&lt;/FQL&gt;&lt;FQL&gt;&lt;Q&gt;EWY^FMA_PE(LTMA,-10AY,0,AM,"PORTAGG","MEANR")&lt;/Q&gt;&lt;R&gt;121&lt;/R&gt;&lt;C&gt;1&lt;/C&gt;&lt;D xsi:type="xsd:double"&gt;11.6458725559202&lt;/D&gt;&lt;D xsi:type="xsd:double"&gt;11.5340888900381&lt;/D&gt;&lt;D xsi:type="xsd:double"&gt;11.4365841499839&lt;/D&gt;&lt;D xsi:type="xsd:double"&gt;11.2784863558524&lt;/D&gt;&lt;D xsi:type="xsd:double"&gt;11.2359598091321&lt;/D&gt;&lt;D xsi:type="xsd:double"&gt;11.6524612856606&lt;/D&gt;&lt;D xsi:type="xsd:double"&gt;11.5525851754109&lt;/D&gt;&lt;D xsi:type="xsd:double"&gt;11.0437205209821&lt;/D&gt;&lt;D xsi:type="xsd:double"&gt;11.5296392353274&lt;/D&gt;&lt;D xsi:type="xsd:double"&gt;11.4672224602716&lt;/D&gt;&lt;D xsi:type="xsd:double"&gt;11.4000552141967&lt;/D&gt;&lt;D xsi:type="xsd:double"&gt;12.2749034310274&lt;/D&gt;&lt;D xsi:type="xsd:double"&gt;12.1797902553125&lt;/D&gt;&lt;D xsi:type="xsd:double"&gt;12.090305731358&lt;/D&gt;&lt;D xsi:type="xsd:double"&gt;11.7975634619665&lt;/D&gt;&lt;D xsi:type="xsd:double"&gt;11.401711725459&lt;/D&gt;&lt;D xsi:type="xsd:double"&gt;11.1448075590228&lt;/D&gt;&lt;D xsi:type="xsd:double"&gt;10.9774323090782&lt;/D&gt;&lt;D xsi:type="xsd:double"&gt;10.6687373265377&lt;/D&gt;&lt;D xsi:type="xsd:double"&gt;11.0437608888542&lt;/D&gt;&lt;D xsi:type="xsd:double"&gt;11.2114874744251&lt;/D&gt;&lt;D xsi:type="xsd:double"&gt;10.3723331423726&lt;/D&gt;&lt;D xsi:type="xsd:double"&gt;9.70613370842609&lt;/D&gt;&lt;D xsi:type="xsd:double"&gt;10.1128939524871&lt;/D&gt;&lt;D xsi:type="xsd:double"&gt;10.613776308339&lt;/D&gt;&lt;D xsi:type="xsd:double"&gt;10.7044678742115&lt;/D&gt;&lt;D xsi:type="xsd:double"&gt;10.4352914562345&lt;/D&gt;&lt;D xsi:type="xsd:double"&gt;10.4595804912446&lt;/D&gt;&lt;D xsi:type="xsd:double"&gt;10.5602652685973&lt;/D&gt;&lt;D xsi:type="xsd:double"&gt;10.5690759384992&lt;/D&gt;&lt;D xsi:type="xsd:double"&gt;10.5719091184418&lt;/D&gt;&lt;D xsi:type="xsd:double"&gt;10.7008835044482&lt;/D&gt;&lt;D xsi:type="xsd:double"&gt;10.6038554833903&lt;/D&gt;&lt;D xsi:type="xsd:double"&gt;11.1447788507765&lt;/D&gt;&lt;D xsi:type="xsd:double"&gt;11.2991989781452&lt;/D&gt;&lt;D xsi:type="xsd:double"&gt;11.614999775143&lt;/D&gt;&lt;D xsi:type="xsd:double"&gt;11.6155841300903&lt;/D&gt;&lt;D xsi:type="xsd:double"&gt;11.3100815097791&lt;/D&gt;&lt;D xsi:type="xsd:double"&gt;11.1839496884041&lt;/D&gt;&lt;D xsi:type="xsd:double"&gt;11.0568346440076&lt;/D&gt;&lt;D xsi:type="xsd:double"&gt;10.9479178783802&lt;/D&gt;&lt;D xsi:type="xsd:double"&gt;10.449404961542&lt;/D&gt;&lt;D xsi:type="xsd:double"&gt;10.3906588137677&lt;/D&gt;&lt;D xsi:type="xsd:double"&gt;10.5976443882102&lt;/D&gt;&lt;D xsi:type="xsd:double"&gt;10.4326557518365&lt;/D&gt;&lt;D xsi:type="xsd:double"&gt;10.1421325955639&lt;/D&gt;&lt;D xsi:type="xsd:double"&gt;10.4100719058274&lt;/D&gt;&lt;D xsi:type="xsd:double"&gt;10.5462970825418&lt;/D&gt;&lt;D xsi:type="xsd:double"&gt;10.5406345205319&lt;/D&gt;&lt;D xsi:type="xsd:double"&gt;10.3707773468329&lt;/D&gt;&lt;D xsi:type="xsd:double"&gt;10.2191448481457&lt;/D&gt;&lt;D xsi:type="xsd:double"&gt;10.0526269594773&lt;/D&gt;&lt;D xsi:type="xsd:double"&gt;9.72004317503791&lt;/D&gt;&lt;D xsi:type="xsd:double"&gt;9.4100620225106&lt;/D&gt;&lt;D xsi:type="xsd:double"&gt;9.3762574571108&lt;/D&gt;&lt;D xsi:type="xsd:double"&gt;8.87578076696753&lt;/D&gt;&lt;D xsi:type="xsd:double"&gt;8.46765711189052&lt;/D&gt;&lt;D xsi:type="xsd:double"&gt;8.35161633397077&lt;/D&gt;&lt;D xsi:type="xsd:double"&gt;8.42802565246493&lt;/D&gt;&lt;D xsi:type="xsd:double"&gt;9.97631808433988&lt;/D&gt;&lt;D xsi:type="xsd:double"&gt;10.0283707730511&lt;/D&gt;&lt;D xsi:type="xsd:double"&gt;10.4252251576081&lt;/D&gt;&lt;D xsi:type="xsd:double"&gt;10.4447872296054&lt;/D&gt;&lt;D xsi:type="xsd:double"&gt;10.7586996119739&lt;/D&gt;&lt;D xsi:type="xsd:double"&gt;11.1868379468767&lt;/D&gt;&lt;D xsi:type="xsd:double"&gt;11.1582613758845&lt;/D&gt;&lt;D xsi:type="xsd:double"&gt;11.841148747858&lt;/D&gt;&lt;D xsi:type="xsd:double"&gt;12.3054030082006&lt;/D&gt;&lt;D xsi:type="xsd:double"&gt;13.5399198668391&lt;/D&gt;&lt;D xsi:type="xsd:double"&gt;14.1909732192202&lt;/D&gt;&lt;D xsi:type="xsd:double"&gt;14.9418852727735&lt;/D&gt;&lt;D xsi:type="xsd:double"&gt;16.6186099854647&lt;/D&gt;&lt;D xsi:type="xsd:double"&gt;14.765970522312&lt;/D&gt;&lt;D xsi:type="xsd:double"&gt;14.6825657053859&lt;/D&gt;&lt;D xsi:type="xsd:double"&gt;14.8723790530853&lt;/D&gt;&lt;D xsi:type="xsd:double"&gt;15.3771082408094&lt;/D&gt;&lt;D xsi:type="xsd:double"&gt;15.54254669592&lt;/D&gt;&lt;D xsi:type="xsd:double"&gt;16.359225576982&lt;/D&gt;&lt;D xsi:type="xsd:double"&gt;16.3957591062667&lt;/D&gt;&lt;D xsi:type="xsd:double"&gt;16.0862247901401&lt;/D&gt;&lt;D xsi:type="xsd:double"&gt;16.669225103416&lt;/D&gt;&lt;D xsi:type="xsd:double"&gt;18.7447157428363&lt;/D&gt;&lt;D xsi:type="xsd:double"&gt;21.8505346289627&lt;/D&gt;&lt;D xsi:type="xsd:double"&gt;21.3669885038651&lt;/D&gt;&lt;D xsi:type="xsd:double"&gt;20.2324016490572&lt;/D&gt;&lt;D xsi:type="xsd:double"&gt;19.496532749183&lt;/D&gt;&lt;D xsi:type="xsd:double"&gt;17.9018916410927&lt;/D&gt;&lt;D xsi:type="xsd:double"&gt;17.0952105757773&lt;/D&gt;&lt;D xsi:type="xsd:double"&gt;16.1060761877665&lt;/D&gt;&lt;D xsi:type="xsd:double"&gt;14.7057345260815&lt;/D&gt;&lt;D xsi:type="xsd:double"&gt;13.691483734002&lt;/D&gt;&lt;D xsi:type="xsd:double"&gt;12.2698759783567&lt;/D&gt;&lt;D xsi:type="xsd:double"&gt;11.1371379092102&lt;/D&gt;&lt;D xsi:type="xsd:double"&gt;10.1422799033353&lt;/D&gt;&lt;D xsi:type="xsd:double"&gt;9.4676876812474&lt;/D&gt;&lt;D xsi:type="xsd:double"&gt;9.20028513251164&lt;/D&gt;&lt;D xsi:type="xsd:double"&gt;9.26763839881954&lt;/D&gt;&lt;D xsi:type="xsd:double"&gt;9.31509467455239&lt;/D&gt;&lt;D xsi:type="xsd:double"&gt;9.20643056885732&lt;/D&gt;&lt;D xsi:type="xsd:double"&gt;9.01359883965145&lt;/D&gt;&lt;D xsi:type="xsd:double"&gt;8.85793459508331&lt;/D&gt;&lt;D xsi:type="xsd:double"&gt;9.12852980246547&lt;/D&gt;&lt;D xsi:type="xsd:double"&gt;8.81133243330775&lt;/D&gt;&lt;D xsi:type="xsd:double"&gt;8.57989741958219&lt;/D&gt;&lt;D xsi:type="xsd:double"&gt;9.99783613397471&lt;/D&gt;&lt;D xsi:type="xsd:double"&gt;9.8883378656754&lt;/D&gt;&lt;D xsi:type="xsd:double"&gt;10.2133990724981&lt;/D&gt;&lt;D xsi:type="xsd:double"&gt;10.9064463862086&lt;/D&gt;&lt;D xsi:type="xsd:double"&gt;11.0950020634934&lt;/D&gt;&lt;D xsi:type="xsd:double"&gt;12.0381842190326&lt;/D&gt;&lt;D xsi:type="xsd:double"&gt;12.1010618356143&lt;/D&gt;&lt;D xsi:type="xsd:double"&gt;12.637268635135&lt;/D&gt;&lt;D xsi:type="xsd:double"&gt;12.8959007498943&lt;/D&gt;&lt;D xsi:type="xsd:double"&gt;12.9774861767746&lt;/D&gt;&lt;D xsi:type="xsd:double"&gt;13.6583025334594&lt;/D&gt;&lt;D xsi:type="xsd:double"&gt;13.5686144683627&lt;/D&gt;&lt;D xsi:type="xsd:double"&gt;13.934248046973&lt;/D&gt;&lt;D xsi:type="xsd:double"&gt;14.7776877281121&lt;/D&gt;&lt;D xsi:type="xsd:double"&gt;14.791573534616&lt;/D&gt;&lt;D xsi:type="xsd:double"&gt;16.3183510534943&lt;/D&gt;&lt;D xsi:type="xsd:double"&gt;16.14570524722&lt;/D&gt;&lt;/FQL&gt;&lt;FQL&gt;&lt;Q&gt;NI-FDS^FG_PRICE_CHANGE(0,-6AM)&lt;/Q&gt;&lt;R&gt;1&lt;/R&gt;&lt;C&gt;1&lt;/C&gt;&lt;D xsi:type="xsd:double"&gt;-12.3426314490249&lt;/D&gt;&lt;/FQL&gt;&lt;FQL&gt;&lt;Q&gt;COPP-FDS^FG_PRICE(0)/MAX(FG_PRICE(0,-1AY))&lt;/Q&gt;&lt;R&gt;1&lt;/R&gt;&lt;C&gt;1&lt;/C&gt;&lt;D xsi:type="xsd:double"&gt;0.973709599614086&lt;/D&gt;&lt;/FQL&gt;&lt;FQL&gt;&lt;Q&gt;VNM^P_PRICE(0)/P_PRICE_HIGH_PR(0,,,USD,,,"PRICE","INTRA","52W")&lt;/Q&gt;&lt;R&gt;1&lt;/R&gt;&lt;C&gt;1&lt;/C&gt;&lt;D xsi:type="xsd:double"&gt;0.866411&lt;/D&gt;&lt;/FQL&gt;&lt;FQL&gt;&lt;Q&gt;QAT^FG_TOTAL_RETURNC(0,-6AM)&lt;/Q&gt;&lt;R&gt;1&lt;/R&gt;&lt;C&gt;1&lt;/C&gt;&lt;D xsi:type="xsd:double"&gt;1.2394309&lt;/D&gt;&lt;/FQL&gt;&lt;FQL&gt;&lt;Q&gt;KSA^FG_ROE(0)&lt;/Q&gt;&lt;R&gt;1&lt;/R&gt;&lt;C&gt;1&lt;/C&gt;&lt;D xsi:type="xsd:double"&gt;10.1228399051808&lt;/D&gt;&lt;/FQL&gt;&lt;FQL&gt;&lt;Q&gt;EPHE^FG_ROE(0)&lt;/Q&gt;&lt;R&gt;1&lt;/R&gt;&lt;C&gt;1&lt;/C&gt;&lt;D xsi:type="xsd:double"&gt;11.6957635212623&lt;/D&gt;&lt;/FQL&gt;&lt;FQL&gt;&lt;Q&gt;EWT^FMA_ROE(NTMA,-20AY,NOW,FY,"PORTAGG","MEANR")&lt;/Q&gt;&lt;R&gt;20&lt;/R&gt;&lt;C&gt;1&lt;/C&gt;&lt;D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xsi:type="xsd:double"&gt;11.9152161134332&lt;/D&gt;&lt;/FQL&gt;&lt;FQL&gt;&lt;Q&gt;CAGDPY@TH^EE_ACTUAL_ANNUAL(MED,0)&lt;/Q&gt;&lt;R&gt;1&lt;/R&gt;&lt;C&gt;1&lt;/C&gt;&lt;D xsi:type="xsd:double"&gt;1.10427993908671&lt;/D&gt;&lt;/FQL&gt;&lt;FQL&gt;&lt;Q&gt;CAGDPY@CL^EE_ACTUAL_ANNUAL(MED,0)&lt;/Q&gt;&lt;R&gt;1&lt;/R&gt;&lt;C&gt;1&lt;/C&gt;&lt;D xsi:type="xsd:double"&gt;-3.35&lt;/D&gt;&lt;/FQL&gt;&lt;FQL&gt;&lt;Q&gt;USDINR^STD(FG_PRICE_CHANGE(0,-1AY,AM))&lt;/Q&gt;&lt;R&gt;1&lt;/R&gt;&lt;C&gt;1&lt;/C&gt;&lt;D xsi:type="xsd:double"&gt;0.424155127585767&lt;/D&gt;&lt;/FQL&gt;&lt;FQL&gt;&lt;Q&gt;USDTWD^FG_PRICE_CHANGE(0,-3AM)&lt;/Q&gt;&lt;R&gt;1&lt;/R&gt;&lt;C&gt;1&lt;/C&gt;&lt;D xsi:type="xsd:double"&gt;0.6279707&lt;/D&gt;&lt;/FQL&gt;&lt;FQL&gt;&lt;Q&gt;FC0000TW^FMA_EPS(NTMA,-20AY,0,CY,,"PORTAGG","MEANR")&lt;/Q&gt;&lt;R&gt;20&lt;/R&gt;&lt;C&gt;1&lt;/C&gt;&lt;D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xsi:type="xsd:double"&gt;12.9786240170966&lt;/D&gt;&lt;D xsi:type="xsd:double"&gt;15.9439970065549&lt;/D&gt;&lt;D xsi:type="xsd:double"&gt;24.3051164393724&lt;/D&gt;&lt;D xsi:type="xsd:double"&gt;19.7601608520258&lt;/D&gt;&lt;D xsi:type="xsd:double"&gt;19.096541253309&lt;/D&gt;&lt;/FQL&gt;&lt;FQL&gt;&lt;Q&gt;EWM^FMA_DIV_YLD(NTMA,-10AY,0,AM,"PORTAGG","MEANR")&lt;/Q&gt;&lt;R&gt;121&lt;/R&gt;&lt;C&gt;1&lt;/C&gt;&lt;D xsi:type="xsd:double"&gt;3.19934064297766&lt;/D&gt;&lt;D xsi:type="xsd:double"&gt;3.12377259210734&lt;/D&gt;&lt;D xsi:type="xsd:double"&gt;3.10361657334173&lt;/D&gt;&lt;D xsi:type="xsd:double"&gt;3.11873039189928&lt;/D&gt;&lt;D xsi:type="xsd:double"&gt;3.13866759790461&lt;/D&gt;&lt;D xsi:type="xsd:double"&gt;3.171249924544&lt;/D&gt;&lt;D xsi:type="xsd:double"&gt;3.18383367218155&lt;/D&gt;&lt;D xsi:type="xsd:double"&gt;3.30983239193525&lt;/D&gt;&lt;D xsi:type="xsd:double"&gt;3.25457690668094&lt;/D&gt;&lt;D xsi:type="xsd:double"&gt;3.37618252981508&lt;/D&gt;&lt;D xsi:type="xsd:double"&gt;3.32648329275614&lt;/D&gt;&lt;D xsi:type="xsd:double"&gt;3.2142374224853&lt;/D&gt;&lt;D xsi:type="xsd:double"&gt;3.23820423983963&lt;/D&gt;&lt;D xsi:type="xsd:double"&gt;3.14428485858648&lt;/D&gt;&lt;D xsi:type="xsd:double"&gt;3.16182523345383&lt;/D&gt;&lt;D xsi:type="xsd:double"&gt;3.23899908457829&lt;/D&gt;&lt;D xsi:type="xsd:double"&gt;3.27810296149776&lt;/D&gt;&lt;D xsi:type="xsd:double"&gt;3.53858475455946&lt;/D&gt;&lt;D xsi:type="xsd:double"&gt;3.39752465519132&lt;/D&gt;&lt;D xsi:type="xsd:double"&gt;3.24304746450409&lt;/D&gt;&lt;D xsi:type="xsd:double"&gt;3.33170417080501&lt;/D&gt;&lt;D xsi:type="xsd:double"&gt;3.35633123327555&lt;/D&gt;&lt;D xsi:type="xsd:double"&gt;3.35239109059316&lt;/D&gt;&lt;D xsi:type="xsd:double"&gt;3.25805049987038&lt;/D&gt;&lt;D xsi:type="xsd:double"&gt;3.11400786497647&lt;/D&gt;&lt;D xsi:type="xsd:double"&gt;3.04344351880019&lt;/D&gt;&lt;D xsi:type="xsd:double"&gt;3.23068648918467&lt;/D&gt;&lt;D xsi:type="xsd:double"&gt;3.10151167362121&lt;/D&gt;&lt;D xsi:type="xsd:double"&gt;3.01967638740554&lt;/D&gt;&lt;D xsi:type="xsd:double"&gt;2.9486201794279&lt;/D&gt;&lt;D xsi:type="xsd:double"&gt;2.96417469533243&lt;/D&gt;&lt;D xsi:type="xsd:double"&gt;2.96023229224254&lt;/D&gt;&lt;D xsi:type="xsd:double"&gt;3.06733115306929&lt;/D&gt;&lt;D xsi:type="xsd:double"&gt;3.00392652913468&lt;/D&gt;&lt;D xsi:type="xsd:double"&gt;3.01544049440454&lt;/D&gt;&lt;D xsi:type="xsd:double"&gt;2.96193142151749&lt;/D&gt;&lt;D xsi:type="xsd:double"&gt;2.98945532515926&lt;/D&gt;&lt;D xsi:type="xsd:double"&gt;2.99260350421505&lt;/D&gt;&lt;D xsi:type="xsd:double"&gt;2.93810998398405&lt;/D&gt;&lt;D xsi:type="xsd:double"&gt;2.98542477957449&lt;/D&gt;&lt;D xsi:type="xsd:double"&gt;3.05661711422717&lt;/D&gt;&lt;D xsi:type="xsd:double"&gt;3.04281918194242&lt;/D&gt;&lt;D xsi:type="xsd:double"&gt;3.01231302358452&lt;/D&gt;&lt;D xsi:type="xsd:double"&gt;3.09464252681077&lt;/D&gt;&lt;D xsi:type="xsd:double"&gt;3.24495080758307&lt;/D&gt;&lt;D xsi:type="xsd:double"&gt;3.22778631886879&lt;/D&gt;&lt;D xsi:type="xsd:double"&gt;3.10818636465404&lt;/D&gt;&lt;D xsi:type="xsd:double"&gt;3.13335227890404&lt;/D&gt;&lt;D xsi:type="xsd:double"&gt;3.19171277183004&lt;/D&gt;&lt;D xsi:type="xsd:double"&gt;3.1728621927867&lt;/D&gt;&lt;D xsi:type="xsd:double"&gt;3.21338518080552&lt;/D&gt;&lt;D xsi:type="xsd:double"&gt;3.24161215252479&lt;/D&gt;&lt;D xsi:type="xsd:double"&gt;3.33215497847973&lt;/D&gt;&lt;D xsi:type="xsd:double"&gt;3.20096885023096&lt;/D&gt;&lt;D xsi:type="xsd:double"&gt;3.19263903721661&lt;/D&gt;&lt;D xsi:type="xsd:double"&gt;3.36185368094375&lt;/D&gt;&lt;D xsi:type="xsd:double"&gt;3.40752108999147&lt;/D&gt;&lt;D xsi:type="xsd:double"&gt;3.34263175606463&lt;/D&gt;&lt;D xsi:type="xsd:double"&gt;3.29615374151846&lt;/D&gt;&lt;D xsi:type="xsd:double"&gt;3.27607482971368&lt;/D&gt;&lt;D xsi:type="xsd:double"&gt;3.33102097431109&lt;/D&gt;&lt;D xsi:type="xsd:double"&gt;3.41202507962971&lt;/D&gt;&lt;D xsi:type="xsd:double"&gt;3.49425821787534&lt;/D&gt;&lt;D xsi:type="xsd:double"&gt;3.49337451737945&lt;/D&gt;&lt;D xsi:type="xsd:double"&gt;3.42657168445474&lt;/D&gt;&lt;D xsi:type="xsd:double"&gt;3.49783056204553&lt;/D&gt;&lt;D xsi:type="xsd:double"&gt;3.49737507733577&lt;/D&gt;&lt;D xsi:type="xsd:double"&gt;3.57329752842239&lt;/D&gt;&lt;D xsi:type="xsd:double"&gt;3.48328617405392&lt;/D&gt;&lt;D xsi:type="xsd:double"&gt;3.52335577729176&lt;/D&gt;&lt;D xsi:type="xsd:double"&gt;3.50572910141711&lt;/D&gt;&lt;D xsi:type="xsd:double"&gt;3.59990034538297&lt;/D&gt;&lt;D xsi:type="xsd:double"&gt;4.13117516673586&lt;/D&gt;&lt;D xsi:type="xsd:double"&gt;3.91308678581646&lt;/D&gt;&lt;D xsi:type="xsd:double"&gt;3.68644033835915&lt;/D&gt;&lt;D xsi:type="xsd:double"&gt;3.04818216697538&lt;/D&gt;&lt;D xsi:type="xsd:double"&gt;2.99571251087821&lt;/D&gt;&lt;D xsi:type="xsd:double"&gt;3.14596496329068&lt;/D&gt;&lt;D xsi:type="xsd:double"&gt;3.17806752446845&lt;/D&gt;&lt;D xsi:type="xsd:double"&gt;3.24017091901529&lt;/D&gt;&lt;D xsi:type="xsd:double"&gt;3.38566473742004&lt;/D&gt;&lt;D xsi:type="xsd:double"&gt;3.48808137565363&lt;/D&gt;&lt;D xsi:type="xsd:double"&gt;3.61991749318748&lt;/D&gt;&lt;D xsi:type="xsd:double"&gt;3.79391778984684&lt;/D&gt;&lt;D xsi:type="xsd:double"&gt;3.98925362507283&lt;/D&gt;&lt;D xsi:type="xsd:double"&gt;3.99632843296862&lt;/D&gt;&lt;D xsi:type="xsd:double"&gt;4.04174407795966&lt;/D&gt;&lt;D xsi:type="xsd:double"&gt;4.08895169940109&lt;/D&gt;&lt;D xsi:type="xsd:double"&gt;4.26223074704054&lt;/D&gt;&lt;D xsi:type="xsd:double"&gt;4.24029502397908&lt;/D&gt;&lt;D xsi:type="xsd:double"&gt;4.10698788803697&lt;/D&gt;&lt;D xsi:type="xsd:double"&gt;3.8985994547257&lt;/D&gt;&lt;D xsi:type="xsd:double"&gt;3.96636858056398&lt;/D&gt;&lt;D xsi:type="xsd:double"&gt;3.95042944863074&lt;/D&gt;&lt;D xsi:type="xsd:double"&gt;3.74556971083897&lt;/D&gt;&lt;D xsi:type="xsd:double"&gt;3.74528679828355&lt;/D&gt;&lt;D xsi:type="xsd:double"&gt;3.85582351006614&lt;/D&gt;&lt;D xsi:type="xsd:double"&gt;3.80985888593176&lt;/D&gt;&lt;D xsi:type="xsd:double"&gt;3.99440266484258&lt;/D&gt;&lt;D xsi:type="xsd:double"&gt;4.11071323491885&lt;/D&gt;&lt;D xsi:type="xsd:double"&gt;4.25332583510299&lt;/D&gt;&lt;D xsi:type="xsd:double"&gt;4.02867561211523&lt;/D&gt;&lt;D xsi:type="xsd:double"&gt;4.1978180962896&lt;/D&gt;&lt;D xsi:type="xsd:double"&gt;4.47364667492866&lt;/D&gt;&lt;D xsi:type="xsd:double"&gt;4.22952224832594&lt;/D&gt;&lt;D xsi:type="xsd:double"&gt;4.18806817970316&lt;/D&gt;&lt;D xsi:type="xsd:double"&gt;4.18805642055928&lt;/D&gt;&lt;D xsi:type="xsd:double"&gt;4.25547778248453&lt;/D&gt;&lt;D xsi:type="xsd:double"&gt;4.56091008190221&lt;/D&gt;&lt;D xsi:type="xsd:double"&gt;4.38267987946348&lt;/D&gt;&lt;D xsi:type="xsd:double"&gt;4.41896966940937&lt;/D&gt;&lt;D xsi:type="xsd:double"&gt;4.42731820047806&lt;/D&gt;&lt;D xsi:type="xsd:double"&gt;4.36570006683989&lt;/D&gt;&lt;D xsi:type="xsd:double"&gt;4.23994893066799&lt;/D&gt;&lt;D xsi:type="xsd:double"&gt;4.29246186385117&lt;/D&gt;&lt;D xsi:type="xsd:double"&gt;4.29577702822023&lt;/D&gt;&lt;D xsi:type="xsd:double"&gt;4.30444362301723&lt;/D&gt;&lt;D xsi:type="xsd:double"&gt;4.30429800539699&lt;/D&gt;&lt;D xsi:type="xsd:double"&gt;4.27720762326458&lt;/D&gt;&lt;D xsi:type="xsd:double"&gt;4.1906426523436&lt;/D&gt;&lt;D xsi:type="xsd:double"&gt;4.15853952394675&lt;/D&gt;&lt;/FQL&gt;&lt;FQL&gt;&lt;Q&gt;WL-FDS^FG_PRICE(0)/MAX(FG_PRICE(0,-1AY))&lt;/Q&gt;&lt;R&gt;1&lt;/R&gt;&lt;C&gt;1&lt;/C&gt;&lt;D xsi:type="xsd:double"&gt;0.805344511396385&lt;/D&gt;&lt;/FQL&gt;&lt;FQL&gt;&lt;Q&gt;CPALM-FDS^FG_PRICE_MAVG(0,,,,30)&lt;/Q&gt;&lt;R&gt;1&lt;/R&gt;&lt;C&gt;1&lt;/C&gt;&lt;D xsi:type="xsd:double"&gt;4007.7666&lt;/D&gt;&lt;/FQL&gt;&lt;FQL&gt;&lt;Q&gt;FC0000BR^FG_PRICE(0)&lt;/Q&gt;&lt;R&gt;1&lt;/R&gt;&lt;C&gt;1&lt;/C&gt;&lt;D xsi:type="xsd:double"&gt;216.7402&lt;/D&gt;&lt;/FQL&gt;&lt;FQL&gt;&lt;Q&gt;VNM^FG_PRICE(0)&lt;/Q&gt;&lt;R&gt;1&lt;/R&gt;&lt;C&gt;1&lt;/C&gt;&lt;D xsi:type="xsd:double"&gt;13.555&lt;/D&gt;&lt;/FQL&gt;&lt;FQL&gt;&lt;Q&gt;MCHI^FG_PRICE_MAVG(0,,,,200)&lt;/Q&gt;&lt;R&gt;1&lt;/R&gt;&lt;C&gt;1&lt;/C&gt;&lt;D xsi:type="xsd:double"&gt;42.56135&lt;/D&gt;&lt;/FQL&gt;&lt;FQL&gt;&lt;Q&gt;EWZ^FG_PRICE_MAVG(0,,,,60)&lt;/Q&gt;&lt;R&gt;1&lt;/R&gt;&lt;C&gt;1&lt;/C&gt;&lt;D xsi:type="xsd:double"&gt;33.482666&lt;/D&gt;&lt;/FQL&gt;&lt;FQL&gt;&lt;Q&gt;EWM^FG_PRICE_MAVG(0,,,,30)&lt;/Q&gt;&lt;R&gt;1&lt;/R&gt;&lt;C&gt;1&lt;/C&gt;&lt;D xsi:type="xsd:double"&gt;21.511333&lt;/D&gt;&lt;/FQL&gt;&lt;FQL&gt;&lt;Q&gt;EIDO^FG_PRICE(0)&lt;/Q&gt;&lt;R&gt;1&lt;/R&gt;&lt;C&gt;1&lt;/C&gt;&lt;D xsi:type="xsd:double"&gt;22.95&lt;/D&gt;&lt;/FQL&gt;&lt;FQL&gt;&lt;Q&gt;URTH^P_PRICE(0)/P_PRICE_LOW_PR(0,,,USD,,,"PRICE","INTRA","52W")-1&lt;/Q&gt;&lt;R&gt;1&lt;/R&gt;&lt;C&gt;1&lt;/C&gt;&lt;D xsi:type="xsd:double"&gt;0.3006941&lt;/D&gt;&lt;/FQL&gt;&lt;FQL&gt;&lt;Q&gt;QAT^FG_TOTAL_RETURNC(0,-3AM)&lt;/Q&gt;&lt;R&gt;1&lt;/R&gt;&lt;C&gt;1&lt;/C&gt;&lt;D xsi:type="xsd:double"&gt;4.7813416&lt;/D&gt;&lt;/FQL&gt;&lt;FQL&gt;&lt;Q&gt;EWZ^P_PRICE(0)/P_PRICE_LOW_PR(0,,,USD,,,"PRICE","INTRA","52W")-1&lt;/Q&gt;&lt;R&gt;1&lt;/R&gt;&lt;C&gt;1&lt;/C&gt;&lt;D xsi:type="xsd:double"&gt;0.296&lt;/D&gt;&lt;/FQL&gt;&lt;FQL&gt;&lt;Q&gt;EWM^P_PRICE(0)/P_PRICE_HIGH_PR(0,,,USD,,,"PRICE","INTRA","52W")&lt;/Q&gt;&lt;R&gt;1&lt;/R&gt;&lt;C&gt;1&lt;/C&gt;&lt;D xsi:type="xsd:double"&gt;0.9742794&lt;/D&gt;&lt;/FQL&gt;&lt;FQL&gt;&lt;Q&gt;EIDO^FG_TOTAL_RETURNC(0,-6AM)&lt;/Q&gt;&lt;R&gt;1&lt;/R&gt;&lt;C&gt;1&lt;/C&gt;&lt;D xsi:type="xsd:double"&gt;1.7393827&lt;/D&gt;&lt;/FQL&gt;&lt;FQL&gt;&lt;Q&gt;URTH^PERCENT_CHANGE(FMA_EPS(+1,0,,,,"PORTAGG","MEAN"),FMA_EPS(+1,-1AM,,,,"PORTAGG","MEAN"))&lt;/Q&gt;&lt;R&gt;1&lt;/R&gt;&lt;C&gt;1&lt;/C&gt;&lt;D xsi:type="xsd:double"&gt;0.713897876530525&lt;/D&gt;&lt;/FQL&gt;&lt;FQL&gt;&lt;Q&gt;TUR^PERCENT_CHANGE(FMA_EPS(+1,0,,,,"PORTAGG","MEAN"),FMA_EPS(+1,-3AM,,,,"PORTAGG","MEAN"))&lt;/Q&gt;&lt;R&gt;1&lt;/R&gt;&lt;C&gt;1&lt;/C&gt;&lt;D xsi:type="xsd:double"&gt;-7.18158365636028&lt;/D&gt;&lt;/FQL&gt;&lt;FQL&gt;&lt;Q&gt;GREK^FMA_PCT_ABOVE_MAVG(200,0,,,,"PORTAGG")&lt;/Q&gt;&lt;R&gt;1&lt;/R&gt;&lt;C&gt;1&lt;/C&gt;&lt;D xsi:type="xsd:double"&gt;82.7586206896552&lt;/D&gt;&lt;/FQL&gt;&lt;FQL&gt;&lt;Q&gt;EWM^PERCENT_CHANGE(FMA_EPS(+1,0,,,,"PORTAGG","MEAN"),FMA_EPS(+1,-1AM,,,,"PORTAGG","MEAN"))&lt;/Q&gt;&lt;R&gt;1&lt;/R&gt;&lt;C&gt;1&lt;/C&gt;&lt;D xsi:type="xsd:double"&gt;3.17197522197367&lt;/D&gt;&lt;/FQL&gt;&lt;FQL&gt;&lt;Q&gt;CNYA^PERCENT_CHANGE(FMA_EPS(+1,0,,,,"PORTAGG","MEAN"),FMA_EPS(+1,-3AM,,,,"PORTAGG","MEAN"))&lt;/Q&gt;&lt;R&gt;1&lt;/R&gt;&lt;C&gt;1&lt;/C&gt;&lt;D xsi:type="xsd:double"&gt;-8.0578005824</t>
        </r>
      </text>
    </comment>
    <comment ref="A13" authorId="0" shapeId="0" xr:uid="{2AFE017C-62F8-4CE0-ACC6-0B9A55238F6F}">
      <text>
        <r>
          <rPr>
            <b/>
            <sz val="9"/>
            <color indexed="81"/>
            <rFont val="Tahoma"/>
            <charset val="1"/>
          </rPr>
          <t>6479&lt;/D&gt;&lt;/FQL&gt;&lt;FQL&gt;&lt;Q&gt;VGK^FMA_COS_UP("EPS","1M",+1,NOW,,,"PORTAGG","MEANR")&lt;/Q&gt;&lt;R&gt;1&lt;/R&gt;&lt;C&gt;1&lt;/C&gt;&lt;D xsi:type="xsd:double"&gt;431&lt;/D&gt;&lt;/FQL&gt;&lt;FQL&gt;&lt;Q&gt;QAT^FMA_COS_DOWN("EPS","1M",+1,NOW,,,"PORTAGG","MEANR")&lt;/Q&gt;&lt;R&gt;1&lt;/R&gt;&lt;C&gt;1&lt;/C&gt;&lt;D xsi:type="xsd:double"&gt;8&lt;/D&gt;&lt;/FQL&gt;&lt;FQL&gt;&lt;Q&gt;EWY^SIZE(FG_CONSTITUENTS)&lt;/Q&gt;&lt;R&gt;1&lt;/R&gt;&lt;C&gt;1&lt;/C&gt;&lt;D xsi:type="xsd:long"&gt;102&lt;/D&gt;&lt;/FQL&gt;&lt;FQL&gt;&lt;Q&gt;EPOL^FMA_COS_UP("EPS","1M",+1,NOW,,,"PORTAGG","MEANR")&lt;/Q&gt;&lt;R&gt;1&lt;/R&gt;&lt;C&gt;1&lt;/C&gt;&lt;D xsi:type="xsd:double"&gt;6&lt;/D&gt;&lt;/FQL&gt;&lt;FQL&gt;&lt;Q&gt;SET-BKK^FMA_RBICS_REV_CURRENT(30, LOC, "PORTAGG")&lt;/Q&gt;&lt;R&gt;1&lt;/R&gt;&lt;C&gt;1&lt;/C&gt;&lt;D xsi:type="xsd:double"&gt;24.0678590465577&lt;/D&gt;&lt;/FQL&gt;&lt;FQL&gt;&lt;Q&gt;EIDO^FG_ROE(0)&lt;/Q&gt;&lt;R&gt;1&lt;/R&gt;&lt;C&gt;1&lt;/C&gt;&lt;D xsi:type="xsd:double"&gt;12.7812492256836&lt;/D&gt;&lt;/FQL&gt;&lt;FQL&gt;&lt;Q&gt;TRYMY10Y-FDS^FG_YIELD_NAME&lt;/Q&gt;&lt;R&gt;1&lt;/R&gt;&lt;C&gt;1&lt;/C&gt;&lt;D xsi:type="xsd:string"&gt;Treasury - Malaysia Benchmark Bond 10Y&lt;/D&gt;&lt;/FQL&gt;&lt;FQL&gt;&lt;Q&gt;REFTR1WREPO-FDS^FG_YIELD(NOW,,,0)&lt;/Q&gt;&lt;R&gt;1&lt;/R&gt;&lt;C&gt;1&lt;/C&gt;&lt;D xsi:type="xsd:double"&gt;45&lt;/D&gt;&lt;/FQL&gt;&lt;FQL&gt;&lt;Q&gt;REFZAREPO-FDS^(SUBARRAY(NOT_NA(NO_REPEAT_F(FG_YIELD(NOW,-10AY,D))),0,1)-SUBARRAY(NOT_NA(NO_REPEAT_F(FG_YIELD(NOW,-10AY,D))),1,1))*100&lt;/Q&gt;&lt;R&gt;1&lt;/R&gt;&lt;C&gt;1&lt;/C&gt;&lt;D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xsi:type="xsd:double"&gt;50&lt;/D&gt;&lt;/FQL&gt;&lt;FQL&gt;&lt;Q&gt;REFMYON-FDS^PROPER_NAME(0,,,"SECURITY","NAME")&lt;/Q&gt;&lt;R&gt;1&lt;/R&gt;&lt;C&gt;1&lt;/C&gt;&lt;D xsi:type="xsd:string"&gt;Malaysia Policy Rate - Overnight&lt;/D&gt;&lt;/FQL&gt;&lt;FQL&gt;&lt;Q&gt;EWM^JULIAN(FMA_ROE(NTMA,-20AY,NOW,FY,"PORTAGG","MEANR").DATES)&lt;/Q&gt;&lt;R&gt;20&lt;/R&gt;&lt;C&gt;1&lt;/C&gt;&lt;D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xsi:type="xsd:double"&gt;3.955&lt;/D&gt;&lt;/FQL&gt;&lt;FQL&gt;&lt;Q&gt;USDTHB^FG_PRICE_CHANGE(0,-3AM)&lt;/Q&gt;&lt;R&gt;1&lt;/R&gt;&lt;C&gt;1&lt;/C&gt;&lt;D xsi:type="xsd:double"&gt;1.6987801&lt;/D&gt;&lt;/FQL&gt;&lt;FQL&gt;&lt;Q&gt;USDBRL^FG_PRICE_CHANGE(0,-1AY)&lt;/Q&gt;&lt;R&gt;1&lt;/R&gt;&lt;C&gt;1&lt;/C&gt;&lt;D xsi:type="xsd:double"&gt;-5.250597&lt;/D&gt;&lt;/FQL&gt;&lt;FQL&gt;&lt;Q&gt;USDCLP^FG_PRICE_CHANGE(0,-1AY)&lt;/Q&gt;&lt;R&gt;1&lt;/R&gt;&lt;C&gt;1&lt;/C&gt;&lt;D xsi:type="xsd:double"&gt;16.917933&lt;/D&gt;&lt;/FQL&gt;&lt;FQL&gt;&lt;Q&gt;EWT^P_PRICE_RETURNS_PR('52W',2,-10AY,0,AM)&lt;/Q&gt;&lt;R&gt;121&lt;/R&gt;&lt;C&gt;1&lt;/C&gt;&lt;D xsi:type="xsd:double"&gt;6.4558625&lt;/D&gt;&lt;D xsi:type="xsd:double"&gt;14.401579&lt;/D&gt;&lt;D xsi:type="xsd:double"&gt;6.644988&lt;/D&gt;&lt;D xsi:type="xsd:double"&gt;16.166603&lt;/D&gt;&lt;D xsi:type="xsd:double"&gt;20.230938&lt;/D&gt;&lt;D xsi:type="xsd:double"&gt;22.174942&lt;/D&gt;&lt;D xsi:type="xsd:double"&gt;16.09373&lt;/D&gt;&lt;D xsi:type="xsd:double"&gt;6.154561&lt;/D&gt;&lt;D xsi:type="xsd:double"&gt;14.523077&lt;/D&gt;&lt;D xsi:type="xsd:double"&gt;8.045602&lt;/D&gt;&lt;D xsi:type="xsd:double"&gt;7.2131515&lt;/D&gt;&lt;D xsi:type="xsd:double"&gt;17.895592&lt;/D&gt;&lt;D xsi:type="xsd:double"&gt;12.893176&lt;/D&gt;&lt;D xsi:type="xsd:double"&gt;9.75486&lt;/D&gt;&lt;D xsi:type="xsd:double"&gt;13.341558&lt;/D&gt;&lt;D xsi:type="xsd:double"&gt;4.237056&lt;/D&gt;&lt;D xsi:type="xsd:double"&gt;-3.7927449&lt;/D&gt;&lt;D xsi:type="xsd:double"&gt;-12.361204&lt;/D&gt;&lt;D xsi:type="xsd:double"&gt;-13.199276&lt;/D&gt;&lt;D xsi:type="xsd:double"&gt;-4.913574&lt;/D&gt;&lt;D xsi:type="xsd:double"&gt;-12.663555&lt;/D&gt;&lt;D xsi:type="xsd:double"&gt;-11.997562&lt;/D&gt;&lt;D xsi:type="xsd:double"&gt;-17.109531&lt;/D&gt;&lt;D xsi:type="xsd:double"&gt;-20.841276&lt;/D&gt;&lt;D xsi:type="xsd:double"&gt;-9.846705&lt;/D&gt;&lt;D xsi:type="xsd:double"&gt;-11.321365&lt;/D&gt;&lt;D xsi:type="xsd:double"&gt;-22.49521&lt;/D&gt;&lt;D xsi:type="xsd:double"&gt;-11.291009&lt;/D&gt;&lt;D xsi:type="xsd:double"&gt;-2.6973724&lt;/D&gt;&lt;D xsi:type="xsd:double"&gt;16.869247&lt;/D&gt;&lt;D xsi:type="xsd:double"&gt;12.784279&lt;/D&gt;&lt;D xsi:type="xsd:double"&gt;13.273251&lt;/D&gt;&lt;D xsi:type="xsd:double"&gt;13.660145&lt;/D&gt;&lt;D xsi:type="xsd:double"&gt;21.80705&lt;/D&gt;&lt;D xsi:type="xsd:double"&gt;35.396896&lt;/D&gt;&lt;D xsi:type="xsd:double"&gt;37.451923&lt;/D&gt;&lt;D xsi:type="xsd:double"&gt;20.73325&lt;/D&gt;&lt;D xsi:type="xsd:double"&gt;23.87706&lt;/D&gt;&lt;D xsi:type="xsd:double"&gt;41.027927&lt;/D&gt;&lt;D xsi:type="xsd:double"&gt;30.977297&lt;/D&gt;&lt;D xsi:type="xsd:double"&gt;28.647482&lt;/D&gt;&lt;D xsi:type="xsd:double"&gt;19.9839&lt;/D&gt;&lt;D xsi:type="xsd:double"&gt;27.638662&lt;/D&gt;&lt;D xsi:type="xsd:double"&gt;24.652803&lt;/D&gt;&lt;D xsi:type="xsd:double"&gt;30.102325&lt;/D&gt;&lt;D xsi:type="xsd:double"&gt;21.97821&lt;/D&gt;&lt;D xsi:type="xsd:double"&gt;25.134933&lt;/D&gt;&lt;D xsi:type="xsd:double"&gt;16.963243&lt;/D&gt;&lt;D xsi:type="xsd:double"&gt;22.90907&lt;/D&gt;&lt;D xsi:type="xsd:double"&gt;17.430378&lt;/D&gt;&lt;D xsi:type="xsd:double"&gt;11.969053&lt;/D&gt;&lt;D xsi:type="xsd:double"&gt;10.119402&lt;/D&gt;&lt;D xsi:type="xsd:double"&gt;2.5213003&lt;/D&gt;&lt;D xsi:type="xsd:double"&gt;4.4144273&lt;/D&gt;&lt;D xsi:type="xsd:double"&gt;2.7209878&lt;/D&gt;&lt;D xsi:type="xsd:double"&gt;-7.25888&lt;/D&gt;&lt;D xsi:type="xsd:double"&gt;-8.984351&lt;/D&gt;&lt;D xsi:type="xsd:double"&gt;-8.607274&lt;/D&gt;&lt;D xsi:type="xsd:double"&gt;-13.480777&lt;/D&gt;&lt;D xsi:type="xsd:double"&gt;-9.151257&lt;/D&gt;&lt;D xsi:type="xsd:double"&gt;-10.462957&lt;/D&gt;&lt;D xsi:type="xsd:double"&gt;-3.936571&lt;/D&gt;&lt;D xsi:type="xsd:double"&gt;-6.591487&lt;/D&gt;&lt;D xsi:type="xsd:double"&gt;-7.191807&lt;/D&gt;&lt;D xsi:type="xsd:double"&gt;1.104641&lt;/D&gt;&lt;D xsi:type="xsd:double"&gt;-6.459856&lt;/D&gt;&lt;D xsi:type="xsd:double"&gt;2.9263258&lt;/D&gt;&lt;D xsi:type="xsd:double"&gt;14.527702&lt;/D&gt;&lt;D xsi:type="xsd:double"&gt;22.95921&lt;/D&gt;&lt;D xsi:type="xsd:double"&gt;30.223679&lt;/D&gt;&lt;D xsi:type="xsd:double"&gt;36.236538&lt;/D&gt;&lt;D xsi:type="xsd:double"&gt;26.622152&lt;/D&gt;&lt;D xsi:type="xsd:double"&gt;6.7186236&lt;/D&gt;&lt;D xsi:type="xsd:double"&gt;2.3881912&lt;/D&gt;&lt;D xsi:type="xsd:double"&gt;12.16811&lt;/D&gt;&lt;D xsi:type="xsd:double"&gt;20.004272&lt;/D&gt;&lt;D xsi:type="xsd:double"&gt;23.770927&lt;/D&gt;&lt;D xsi:type="xsd:double"&gt;38.23296&lt;/D&gt;&lt;D xsi:type="xsd:double"&gt;26.100195&lt;/D&gt;&lt;D xsi:type="xsd:double"&gt;25.734175&lt;/D&gt;&lt;D xsi:type="xsd:double"&gt;25.81526&lt;/D&gt;&lt;D xsi:type="xsd:double"&gt;28.87621&lt;/D&gt;&lt;D xsi:type="xsd:double"&gt;41.91389&lt;/D&gt;&lt;D xsi:type="xsd:double"&gt;48.723877&lt;/D&gt;&lt;D xsi:type="xsd:double"&gt;79.17154&lt;/D&gt;&lt;D xsi:type="xsd:double"&gt;74.750175&lt;/D&gt;&lt;D xsi:type="xsd:double"&gt;61.48765&lt;/D&gt;&lt;D xsi:type="xsd:double"&gt;64.650475&lt;/D&gt;&lt;D xsi:type="xsd:double"&gt;53.735016&lt;/D&gt;&lt;D xsi:type="xsd:double"&gt;42.134857&lt;/D&gt;&lt;D xsi:type="xsd:double"&gt;47.428177&lt;/D&gt;&lt;D xsi:type="xsd:double"&gt;34.903885&lt;/D&gt;&lt;D xsi:type="xsd:double"&gt;38.9271&lt;/D&gt;&lt;D xsi:type="xsd:double"&gt;27.459394&lt;/D&gt;&lt;D xsi:type="xsd:double"&gt;19.09523&lt;/D&gt;&lt;D xsi:type="xsd:double"&gt;11.8235&lt;/D&gt;&lt;D xsi:type="xsd:double"&gt;5.816543&lt;/D&gt;&lt;D xsi:type="xsd:double"&gt;-0.7943094&lt;/D&gt;&lt;D xsi:type="xsd:double"&gt;-4.658538&lt;/D&gt;&lt;D xsi:type="xsd:double"&gt;-12.869989&lt;/D&gt;&lt;D xsi:type="xsd:double"&gt;-22.047281&lt;/D&gt;&lt;D xsi:type="xsd:double"&gt;-14.315939&lt;/D&gt;&lt;D xsi:type="xsd:double"&gt;-23.889017&lt;/D&gt;&lt;D xsi:type="xsd:double"&gt;-29.818594&lt;/D&gt;&lt;D xsi:type="xsd:double"&gt;-24.729656&lt;/D&gt;&lt;D xsi:type="xsd:double"&gt;-22.018797&lt;/D&gt;&lt;D xsi:type="xsd:double"&gt;-24.614244&lt;/D&gt;&lt;D xsi:type="xsd:double"&gt;-17.258041&lt;/D&gt;&lt;D xsi:type="xsd:double"&gt;-13.713759&lt;/D&gt;&lt;D xsi:type="xsd:double"&gt;-9.329695&lt;/D&gt;&lt;D xsi:type="xsd:double"&gt;-3.0637145&lt;/D&gt;&lt;D xsi:type="xsd:double"&gt;6.4434886&lt;/D&gt;&lt;D xsi:type="xsd:double"&gt;16.915762&lt;/D&gt;&lt;D xsi:type="xsd:double"&gt;1.366818&lt;/D&gt;&lt;D xsi:type="xsd:double"&gt;13.08223&lt;/D&gt;&lt;D xsi:type="xsd:double"&gt;25.580894&lt;/D&gt;&lt;D xsi:type="xsd:double"&gt;16.46526&lt;/D&gt;&lt;D xsi:type="xsd:double"&gt;19.343328&lt;/D&gt;&lt;D xsi:type="xsd:double"&gt;14.702904&lt;/D&gt;&lt;D xsi:type="xsd:double"&gt;15.264929&lt;/D&gt;&lt;D xsi:type="xsd:double"&gt;24.398994&lt;/D&gt;&lt;/FQL&gt;&lt;FQL&gt;&lt;Q&gt;EPOL^FG_TOTAL_RETURNC(-10AY,0,AM)&lt;/Q&gt;&lt;R&gt;121&lt;/R&gt;&lt;C&gt;1&lt;/C&gt;&lt;D xsi:type="xsd:double"&gt;-7.264394&lt;/D&gt;&lt;D xsi:type="xsd:double"&gt;5.081165&lt;/D&gt;&lt;D xsi:type="xsd:double"&gt;-1.00739&lt;/D&gt;&lt;D xsi:type="xsd:double"&gt;3.52782&lt;/D&gt;&lt;D xsi:type="xsd:double"&gt;-3.4249187&lt;/D&gt;&lt;D xsi:type="xsd:double"&gt;-1.4368773&lt;/D&gt;&lt;D xsi:type="xsd:double"&gt;-1.0760128&lt;/D&gt;&lt;D xsi:type="xsd:double"&gt;-4.4210553&lt;/D&gt;&lt;D xsi:type="xsd:double"&gt;-0.881058&lt;/D&gt;&lt;D xsi:type="xsd:double"&gt;-2.444446&lt;/D&gt;&lt;D xsi:type="xsd:double"&gt;-7.440668&lt;/D&gt;&lt;D xsi:type="xsd:double"&gt;-0.9232044&lt;/D&gt;&lt;D xsi:type="xsd:double"&gt;-7.7933073&lt;/D&gt;&lt;D xsi:type="xsd:double"&gt;10.4272&lt;/D&gt;&lt;D xsi:type="xsd:double"&gt;8.901823&lt;/D&gt;&lt;D xsi:type="xsd:double"&gt;-8.441562&lt;/D&gt;&lt;D xsi:type="xsd:double"&gt;-4.4592857&lt;/D&gt;&lt;D xsi:type="xsd:double"&gt;-2.1145463&lt;/D&gt;&lt;D xsi:type="xsd:double"&gt;-0.9000838&lt;/D&gt;&lt;D xsi:type="xsd:double"&gt;0.4541397&lt;/D&gt;&lt;D xsi:type="xsd:double"&gt;-13.019896&lt;/D&gt;&lt;D xsi:type="xsd:double"&gt;-10.083162&lt;/D&gt;&lt;D xsi:type="xsd:double"&gt;-1.0447502&lt;/D&gt;&lt;D xsi:type="xsd:double"&gt;3.3747792&lt;/D&gt;&lt;D xsi:type="xsd:double"&gt;8.247423&lt;/D&gt;&lt;D xsi:type="xsd:double"&gt;2.5925875&lt;/D&gt;&lt;D xsi:type="xsd:double"&gt;-9.076845&lt;/D&gt;&lt;D xsi:type="xsd:double"&gt;-3.913778&lt;/D&gt;&lt;D xsi:type="xsd:double"&gt;0.2974391&lt;/D&gt;&lt;D xsi:type="xsd:double"&gt;11.976397&lt;/D&gt;&lt;D xsi:type="xsd:double"&gt;-6.085348&lt;/D&gt;&lt;D xsi:type="xsd:double"&gt;-0.70126057&lt;/D&gt;&lt;D xsi:type="xsd:double"&gt;-3.7853122&lt;/D&gt;&lt;D xsi:type="xsd:double"&gt;5.7545424&lt;/D&gt;&lt;D xsi:type="xsd:double"&gt;8.458769&lt;/D&gt;&lt;D xsi:type="xsd:double"&gt;10.229647&lt;/D&gt;&lt;D xsi:type="xsd:double"&gt;1.5625&lt;/D&gt;&lt;D xsi:type="xsd:double"&gt;0.41958094&lt;/D&gt;&lt;D xsi:type="xsd:double"&gt;10.492098&lt;/D&gt;&lt;D xsi:type="xsd:double"&gt;0.21009445&lt;/D&gt;&lt;D xsi:type="xsd:double"&gt;6.1026454&lt;/D&gt;&lt;D xsi:type="xsd:double"&gt;1.0705829&lt;/D&gt;&lt;D xsi:type="xsd:double"&gt;6.3554406&lt;/D&gt;&lt;D xsi:type="xsd:double"&gt;1.5123606&lt;/D&gt;&lt;D xsi:type="xsd:double"&gt;-3.3066869&lt;/D&gt;&lt;D xsi:type="xsd:double"&gt;-0.75160265&lt;/D&gt;&lt;D xsi:type="xsd:double"&gt;9.596229&lt;/D&gt;&lt;D xsi:type="xsd:double"&gt;-0.50904155&lt;/D&gt;&lt;D xsi:type="xsd:double"&gt;-6.333804&lt;/D&gt;&lt;D xsi:type="xsd:double"&gt;-1.0736465&lt;/D&gt;&lt;D xsi:type="xsd:double"&gt;-5.6740284&lt;/D&gt;&lt;D xsi:type="xsd:double"&gt;-6.7824006&lt;/D&gt;&lt;D xsi:type="xsd:double"&gt;-2.5191069&lt;/D&gt;&lt;D xsi:type="xsd:double"&gt;2.2232056&lt;/D&gt;&lt;D xsi:type="xsd:double"&gt;0.30448437&lt;/D&gt;&lt;D xsi:type="xsd:double"&gt;-2.038157&lt;/D&gt;&lt;D xsi:type="xsd:double"&gt;0.17706156&lt;/D&gt;&lt;D xsi:type="xsd:double"&gt;3.1816244&lt;/D&gt;&lt;D xsi:type="xsd:double"&gt;2.6810408&lt;/D&gt;&lt;D xsi:type="xsd:double"&gt;-2.9163182&lt;/D&gt;&lt;D xsi:type="xsd:double"&gt;0.7836342&lt;/D&gt;&lt;D xsi:type="xsd:double"&gt;2.4621964&lt;/D&gt;&lt;D xsi:type="xsd:double"&gt;-10.118044&lt;/D&gt;&lt;D xsi:type="xsd:double"&gt;7.1294546&lt;/D&gt;&lt;D xsi:type="xsd:double"&gt;2.5449157&lt;/D&gt;&lt;D xsi:type="xsd:double"&gt;-13.045335&lt;/D&gt;&lt;D xsi:type="xsd:double"&gt;6.7388177&lt;/D&gt;&lt;D xsi:type="xsd:double"&gt;-3.8248837&lt;/D&gt;&lt;D xsi:type="xsd:double"&gt;4.4561505&lt;/D&gt;&lt;D xsi:type="xsd:double"&gt;-3.5091698&lt;/D&gt;&lt;D xsi:type="xsd:double"&gt;5.353403&lt;/D&gt;&lt;D xsi:type="xsd:double"&gt;-7.020789&lt;/D&gt;&lt;D xsi:type="xsd:double"&gt;-32.687527&lt;/D&gt;&lt;D xsi:type="xsd:double"&gt;11.512911&lt;/D&gt;&lt;D xsi:type="xsd:double"&gt;-4.0370584&lt;/D&gt;&lt;D xsi:type="xsd:double"&gt;19.310343&lt;/D&gt;&lt;D xsi:type="xsd:double"&gt;-0.78057647&lt;/D&gt;&lt;D xsi:type="xsd:double"&gt;9.1818695&lt;/D&gt;&lt;D xsi:type="xsd:double"&gt;-5.929911&lt;/D&gt;&lt;D xsi:type="xsd:double"&gt;-6.9914103&lt;/D&gt;&lt;D xsi:type="xsd:double"&gt;3.8200974&lt;/D&gt;&lt;D xsi:type="xsd:double"&gt;13.167357&lt;/D&gt;&lt;D xsi:type="xsd:double"&gt;3.7427545&lt;/D&gt;&lt;D xsi:type="xsd:double"&gt;-2.6930928&lt;/D&gt;&lt;D xsi:type="xsd:double"&gt;0.36553144&lt;/D&gt;&lt;D xsi:type="xsd:double"&gt;1.3527632&lt;/D&gt;&lt;D xsi:type="xsd:double"&gt;7.2381973&lt;/D&gt;&lt;D xsi:type="xsd:double"&gt;6.462288&lt;/D&gt;&lt;D xsi:type="xsd:double"&gt;-2.0288587&lt;/D&gt;&lt;D xsi:type="xsd:double"&gt;2.3930073&lt;/D&gt;&lt;D xsi:type="xsd:double"&gt;5.3932667&lt;/D&gt;&lt;D xsi:type="xsd:double"&gt;1.6631126&lt;/D&gt;&lt;D xsi:type="xsd:double"&gt;-5.2432895&lt;/D&gt;&lt;D xsi:type="xsd:double"&gt;-8.679628&lt;/D&gt;&lt;D xsi:type="xsd:double"&gt;11.21999&lt;/D&gt;&lt;D xsi:type="xsd:double"&gt;-11.277538&lt;/D&gt;&lt;D xsi:type="xsd:double"&gt;-15.4419&lt;/D&gt;&lt;D xsi:type="xsd:double"&gt;8.103347&lt;/D&gt;&lt;D xsi:type="xsd:double"&gt;-18.305265&lt;/D&gt;&lt;D xsi:type="xsd:double"&gt;-2.847278&lt;/D&gt;&lt;D xsi:type="xsd:double"&gt;-10.082865&lt;/D&gt;&lt;D xsi:type="xsd:double"&gt;14.516127&lt;/D&gt;&lt;D xsi:type="xsd:double"&gt;-15.8282995&lt;/D&gt;&lt;D xsi:type="xsd:double"&gt;-12.908363&lt;/D&gt;&lt;D xsi:type="xsd:double"&gt;32.93686&lt;/D&gt;&lt;D xsi:type="xsd:double"&gt;7.0067167&lt;/D&gt;&lt;D xsi:type="xsd:double"&gt;10.79843&lt;/D&gt;&lt;D xsi:type="xsd:double"&gt;-5.847609&lt;/D&gt;&lt;D xsi:type="xsd:double"&gt;-4.579669&lt;/D&gt;&lt;D xsi:type="xsd:double"&gt;9.66469&lt;/D&gt;&lt;D xsi:type="xsd:double"&gt;6.474817&lt;/D&gt;&lt;D xsi:type="xsd:double"&gt;6.700456&lt;/D&gt;&lt;D xsi:type="xsd:double"&gt;7.3878646&lt;/D&gt;&lt;D xsi:type="xsd:double"&gt;-1.9164681&lt;/D&gt;&lt;D xsi:type="xsd:double"&gt;-11.047095&lt;/D&gt;&lt;D xsi:type="xsd:double"&gt;0.87299347&lt;/D&gt;&lt;D xsi:type="xsd:double"&gt;20.044672&lt;/D&gt;&lt;D xsi:type="xsd:double"&gt;7.67442&lt;/D&gt;&lt;D xsi:type="xsd:double"&gt;-3.9235353&lt;/D&gt;&lt;D xsi:type="xsd:double"&gt;3.748262&lt;/D&gt;&lt;D xsi:type="xsd:double"&gt;5.352366&lt;/D&gt;&lt;/FQL&gt;&lt;FQL&gt;&lt;Q&gt;EWT^FMA_PE(NTMA,-10AY,0,AM,"PORTAGG","MEANR")&lt;/Q&gt;&lt;R&gt;121&lt;/R&gt;&lt;C&gt;1&lt;/C&gt;&lt;D xsi:type="xsd:double"&gt;14.3154614368851&lt;/D&gt;&lt;D xsi:type="xsd:double"&gt;14.5163502017915&lt;/D&gt;&lt;D xsi:type="xsd:double"&gt;13.9812031211866&lt;/D&gt;&lt;D xsi:type="xsd:double"&gt;14.2926620623361&lt;/D&gt;&lt;D xsi:type="xsd:double"&gt;14.675207760994&lt;/D&gt;&lt;D xsi:type="xsd:double"&gt;13.6616483873194&lt;/D&gt;&lt;D xsi:type="xsd:double"&gt;13.471811109501&lt;/D&gt;&lt;D xsi:type="xsd:double"&gt;12.7711051546796&lt;/D&gt;&lt;D xsi:type="xsd:double"&gt;13.0812880560763&lt;/D&gt;&lt;D xsi:type="xsd:double"&gt;12.8338011840845&lt;/D&gt;&lt;D xsi:type="xsd:double"&gt;12.7358215160661&lt;/D&gt;&lt;D xsi:type="xsd:double"&gt;12.8171333490571&lt;/D&gt;&lt;D xsi:type="xsd:double"&gt;12.7079357517849&lt;/D&gt;&lt;D xsi:type="xsd:double"&gt;12.6105923434493&lt;/D&gt;&lt;D xsi:type="xsd:double"&gt;12.7028673701658&lt;/D&gt;&lt;D xsi:type="xsd:double"&gt;12.54095833347&lt;/D&gt;&lt;D xsi:type="xsd:double"&gt;12.1545093006232&lt;/D&gt;&lt;D xsi:type="xsd:double"&gt;11.5349649727962&lt;/D&gt;&lt;D xsi:type="xsd:double"&gt;11.7129677374726&lt;/D&gt;&lt;D xsi:type="xsd:double"&gt;12.06010756549&lt;/D&gt;&lt;D xsi:type="xsd:double"&gt;11.8747474047559&lt;/D&gt;&lt;D xsi:type="xsd:double"&gt;11.4023625571973&lt;/D&gt;&lt;D xsi:type="xsd:double"&gt;11.0121059564668&lt;/D&gt;&lt;D xsi:type="xsd:double"&gt;11.7723778000278&lt;/D&gt;&lt;D xsi:type="xsd:double"&gt;12.7446279366147&lt;/D&gt;&lt;D xsi:type="xsd:double"&gt;12.7706981677599&lt;/D&gt;&lt;D xsi:type="xsd:double"&gt;11.9488002579255&lt;/D&gt;&lt;D xsi:type="xsd:double"&gt;12.9611100823863&lt;/D&gt;&lt;D xsi:type="xsd:double"&gt;13.3830430409336&lt;/D&gt;&lt;D xsi:type="xsd:double"&gt;13.8508979234254&lt;/D&gt;&lt;D xsi:type="xsd:double"&gt;13.1930918311217&lt;/D&gt;&lt;D xsi:type="xsd:double"&gt;13.5312770561344&lt;/D&gt;&lt;D xsi:type="xsd:double"&gt;12.8596448586778&lt;/D&gt;&lt;D xsi:type="xsd:double"&gt;13.1979501843739&lt;/D&gt;&lt;D xsi:type="xsd:double"&gt;13.0621142334784&lt;/D&gt;&lt;D xsi:type="xsd:double"&gt;13.1202950829907&lt;/D&gt;&lt;D xsi:type="xsd:double"&gt;13.0404631281402&lt;/D&gt;&lt;D xsi:type="xsd:double"&gt;13.1422200049521&lt;/D&gt;&lt;D xsi:type="xsd:double"&gt;13.2952242478526&lt;/D&gt;&lt;D xsi:type="xsd:double"&gt;13.4391883623782&lt;/D&gt;&lt;D xsi:type="xsd:double"&gt;14.036014393538&lt;/D&gt;&lt;D xsi:type="xsd:double"&gt;13.755809994834&lt;/D&gt;&lt;D xsi:type="xsd:double"&gt;13.7908939317063&lt;/D&gt;&lt;D xsi:type="xsd:double"&gt;13.7303904477326&lt;/D&gt;&lt;D xsi:type="xsd:double"&gt;13.7393698710559&lt;/D&gt;&lt;D xsi:type="xsd:double"&gt;13.213050548675&lt;/D&gt;&lt;D xsi:type="xsd:double"&gt;13.5014906331762&lt;/D&gt;&lt;D xsi:type="xsd:double"&gt;12.9833888116205&lt;/D&gt;&lt;D xsi:type="xsd:double"&gt;13.7379941812747&lt;/D&gt;&lt;D xsi:type="xsd:double"&gt;13.5358415935788&lt;/D&gt;&lt;D xsi:type="xsd:double"&gt;13.6444624893095&lt;/D&gt;&lt;D xsi:type="xsd:double"&gt;13.5250229447232&lt;/D&gt;&lt;D xsi:type="xsd:double"&gt;13.3076320274564&lt;/D&gt;&lt;D xsi:type="xsd:double"&gt;13.351613895278&lt;/D&gt;&lt;D xsi:type="xsd:double"&gt;13.1246004015343&lt;/D&gt;&lt;D xsi:type="xsd:double"&gt;12.1680584629828&lt;/D&gt;&lt;D xsi:type="xsd:double"&gt;12.3758081572441&lt;/D&gt;&lt;D xsi:type="xsd:double"&gt;12.4108359811221&lt;/D&gt;&lt;D xsi:type="xsd:double"&gt;12.7519865734449&lt;/D&gt;&lt;D xsi:type="xsd:double"&gt;13.78774303755&lt;/D&gt;&lt;D xsi:type="xsd:double"&gt;14.3097921743854&lt;/D&gt;&lt;D xsi:type="xsd:double"&gt;14.9545667728688&lt;/D&gt;&lt;D xsi:type="xsd:double"&gt;14.6046493609752&lt;/D&gt;&lt;D xsi:type="xsd:double"&gt;14.5798311140779&lt;/D&gt;&lt;D xsi:type="xsd:double"&gt;15.0340645805326&lt;/D&gt;&lt;D xsi:type="xsd:double"&gt;14.4447387553442&lt;/D&gt;&lt;D xsi:type="xsd:double"&gt;15.1201514510211&lt;/D&gt;&lt;D xsi:type="xsd:double"&gt;15.3403662087122&lt;/D&gt;&lt;D xsi:type="xsd:double"&gt;15.5259927186443&lt;/D&gt;&lt;D xsi:type="xsd:double"&gt;15.809860940861&lt;/D&gt;&lt;D xsi:type="xsd:double"&gt;15.7215309429981&lt;/D&gt;&lt;D xsi:type="xsd:double"&gt;15.1845232276033&lt;/D&gt;&lt;D xsi:type="xsd:double"&gt;13.2236307981084&lt;/D&gt;&lt;D xsi:type="xsd:double"&gt;14.5061144030412&lt;/D&gt;&lt;D xsi:type="xsd:double"&gt;15.1184960394588&lt;/D&gt;&lt;D xsi:type="xsd:double"&gt;16.1002363921345&lt;/D&gt;&lt;D xsi:type="xsd:double"&gt;17.0358526896393&lt;/D&gt;&lt;D xsi:type="xsd:double"&gt;16.6682516428636&lt;/D&gt;&lt;D xsi:type="xsd:double"&gt;15.7669552130527&lt;/D&gt;&lt;D xsi:type="xsd:double"&gt;15.4110554117416&lt;/D&gt;&lt;D xsi:type="xsd:double"&gt;15.0908615470469&lt;/D&gt;&lt;D xsi:type="xsd:double"&gt;15.5965793435731&lt;/D&gt;&lt;D xsi:type="xsd:double"&gt;16.7629935685407&lt;/D&gt;&lt;D xsi:type="xsd:double"&gt;15.8259915801952&lt;/D&gt;&lt;D xsi:type="xsd:double"&gt;15.5222428744991&lt;/D&gt;&lt;D xsi:type="xsd:double"&gt;15.0670173228658&lt;/D&gt;&lt;D xsi:type="xsd:double"&gt;12.9807693418471&lt;/D&gt;&lt;D xsi:type="xsd:double"&gt;13.864956912578&lt;/D&gt;&lt;D xsi:type="xsd:double"&gt;13.9006584618163&lt;/D&gt;&lt;D xsi:type="xsd:double"&gt;12.9129481522752&lt;/D&gt;&lt;D xsi:type="xsd:double"&gt;13.2423495996861&lt;/D&gt;&lt;D xsi:type="xsd:double"&gt;12.371382646554&lt;/D&gt;&lt;D xsi:type="xsd:double"&gt;13.1854162207473&lt;/D&gt;&lt;D xsi:type="xsd:double"&gt;13.2684103650405&lt;/D&gt;&lt;D xsi:type="xsd:double"&gt;13.443095085864&lt;/D&gt;&lt;D xsi:type="xsd:double"&gt;12.7263851933294&lt;/D&gt;&lt;D xsi:type="xsd:double"&gt;12.2081092717748&lt;/D&gt;&lt;D xsi:type="xsd:double"&gt;11.9303064528103&lt;/D&gt;&lt;D xsi:type="xsd:double"&gt;11.1326637480133&lt;/D&gt;&lt;D xsi:type="xsd:double"&gt;11.2317461259064&lt;/D&gt;&lt;D xsi:type="xsd:double"&gt;10.0766426081792&lt;/D&gt;&lt;D xsi:type="xsd:double"&gt;11.1243114939541&lt;/D&gt;&lt;D xsi:type="xsd:double"&gt;10.8897005873873&lt;/D&gt;&lt;D xsi:type="xsd:double"&gt;10.3179163978991&lt;/D&gt;&lt;D xsi:type="xsd:double"&gt;12.1282642058445&lt;/D&gt;&lt;D xsi:type="xsd:double"&gt;12.9708729902535&lt;/D&gt;&lt;D xsi:type="xsd:double"&gt;13.6581806039732&lt;/D&gt;&lt;D xsi:type="xsd:double"&gt;14.4243135900428&lt;/D&gt;&lt;D xsi:type="xsd:double"&gt;14.3887824646343&lt;/D&gt;&lt;D xsi:type="xsd:double"&gt;15.1244902528164&lt;/D&gt;&lt;D xsi:type="xsd:double"&gt;15.2205217641667&lt;/D&gt;&lt;D xsi:type="xsd:double"&gt;16.6179546274456&lt;/D&gt;&lt;D xsi:type="xsd:double"&gt;16.6730735404609&lt;/D&gt;&lt;D xsi:type="xsd:double"&gt;15.865553528575&lt;/D&gt;&lt;D xsi:type="xsd:double"&gt;15.8208854156543&lt;/D&gt;&lt;D xsi:type="xsd:double"&gt;15.5884446607968&lt;/D&gt;&lt;D xsi:type="xsd:double"&gt;15.4129373877307&lt;/D&gt;&lt;D xsi:type="xsd:double"&gt;15.968045219084&lt;/D&gt;&lt;D xsi:type="xsd:double"&gt;15.7391597624043&lt;/D&gt;&lt;D xsi:type="xsd:double"&gt;16.0114767135594&lt;/D&gt;&lt;D xsi:type="xsd:double"&gt;17.4028176223552&lt;/D&gt;&lt;/FQL&gt;&lt;FQL&gt;&lt;Q&gt;EWW^FMA_PE(LTMA,-10AY,0,AM,"PORTAGG","MEANR")&lt;/Q&gt;&lt;R&gt;121&lt;/R&gt;&lt;C&gt;1&lt;/C&gt;&lt;D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xsi:type="xsd:double"&gt;22.5403667506309&lt;/D&gt;&lt;D xsi:type="xsd:double"&gt;23.1553476697601&lt;/D&gt;&lt;D xsi:type="xsd:double"&gt;24.7215640414141&lt;/D&gt;&lt;D xsi:type="xsd:double"&gt;24.6598881809193&lt;/D&gt;&lt;D xsi:type="xsd:double"&gt;24.3538601159235&lt;/D&gt;&lt;D xsi:type="xsd:double"&gt;23.1394392327203&lt;/D&gt;&lt;D xsi:type="xsd:double"&gt;22.9464471407137&lt;/D&gt;&lt;D xsi:type="xsd:double"&gt;23.1860694758511&lt;/D&gt;&lt;D xsi:type="xsd:double"&gt;21.7019744770408&lt;/D&gt;&lt;D xsi:type="xsd:double"&gt;22.0327311219057&lt;/D&gt;&lt;D xsi:type="xsd:double"&gt;20.8169067603334&lt;/D&gt;&lt;D xsi:type="xsd:double"&gt;21.0003662639076&lt;/D&gt;&lt;D xsi:type="xsd:double"&gt;20.3689639310616&lt;/D&gt;&lt;D xsi:type="xsd:double"&gt;21.8842206434342&lt;/D&gt;&lt;D xsi:type="xsd:double"&gt;21.3281961124706&lt;/D&gt;&lt;D xsi:type="xsd:double"&gt;21.055079882182&lt;/D&gt;&lt;D xsi:type="xsd:double"&gt;20.6425980336687&lt;/D&gt;&lt;D xsi:type="xsd:double"&gt;20.2191616466613&lt;/D&gt;&lt;D xsi:type="xsd:double"&gt;19.9804531780009&lt;/D&gt;&lt;D xsi:type="xsd:double"&gt;19.6537873260113&lt;/D&gt;&lt;D xsi:type="xsd:double"&gt;19.2411263381202&lt;/D&gt;&lt;D xsi:type="xsd:double"&gt;18.5722862291332&lt;/D&gt;&lt;D xsi:type="xsd:double"&gt;16.9406472375506&lt;/D&gt;&lt;D xsi:type="xsd:double"&gt;17.0815686418765&lt;/D&gt;&lt;D xsi:type="xsd:double"&gt;17.106555480074&lt;/D&gt;&lt;D xsi:type="xsd:double"&gt;17.845671695626&lt;/D&gt;&lt;D xsi:type="xsd:double"&gt;17.9110495399072&lt;/D&gt;&lt;D xsi:type="xsd:double"&gt;17.8076187993884&lt;/D&gt;&lt;D xsi:type="xsd:double"&gt;17.369204085548&lt;/D&gt;&lt;D xsi:type="xsd:double"&gt;17.2446402105931&lt;/D&gt;&lt;D xsi:type="xsd:double"&gt;17.3991980210068&lt;/D&gt;&lt;D xsi:type="xsd:double"&gt;17.2539989732263&lt;/D&gt;&lt;D xsi:type="xsd:double"&gt;17.2663085209836&lt;/D&gt;&lt;D xsi:type="xsd:double"&gt;16.5363693264023&lt;/D&gt;&lt;D xsi:type="xsd:double"&gt;14.9893505451601&lt;/D&gt;&lt;D xsi:type="xsd:double"&gt;14.5944800978987&lt;/D&gt;&lt;D xsi:type="xsd:double"&gt;15.2494760501854&lt;/D&gt;&lt;D xsi:type="xsd:double"&gt;15.3995709167035&lt;/D&gt;&lt;D xsi:type="xsd:double"&gt;15.380023722864&lt;/D&gt;&lt;D xsi:type="xsd:double"&gt;15.4239522672966&lt;/D&gt;&lt;D xsi:type="xsd:double"&gt;15.1389165340491&lt;/D&gt;&lt;D xsi:type="xsd:double"&gt;14.9447533660692&lt;/D&gt;&lt;D xsi:type="xsd:double"&gt;14.8109714823326&lt;/D&gt;&lt;D xsi:type="xsd:double"&gt;14.1018316536094&lt;/D&gt;&lt;D xsi:type="xsd:double"&gt;15.0616529585364&lt;/D&gt;&lt;D xsi:type="xsd:double"&gt;15.1958146417789&lt;/D&gt;&lt;D xsi:type="xsd:double"&gt;15.3260005000481&lt;/D&gt;&lt;D xsi:type="xsd:double"&gt;15.7157032602499&lt;/D&gt;&lt;D xsi:type="xsd:double"&gt;15.8851612519713&lt;/D&gt;&lt;D xsi:type="xsd:double"&gt;16.5686900567124&lt;/D&gt;&lt;D xsi:type="xsd:double"&gt;14.8386865432711&lt;/D&gt;&lt;D xsi:type="xsd:double"&gt;14.4338183923705&lt;/D&gt;&lt;D xsi:type="xsd:double"&gt;15.8085593091514&lt;/D&gt;&lt;D xsi:type="xsd:double"&gt;17.2128800336723&lt;/D&gt;&lt;D xsi:type="xsd:double"&gt;17.8659170943549&lt;/D&gt;&lt;D xsi:type="xsd:double"&gt;20.5644738435617&lt;/D&gt;&lt;D xsi:type="xsd:double"&gt;20.0310422591461&lt;/D&gt;&lt;D xsi:type="xsd:double"&gt;20.4651148783781&lt;/D&gt;&lt;D xsi:type="xsd:double"&gt;23.0620906234962&lt;/D&gt;&lt;D xsi:type="xsd:double"&gt;27.6217235758175&lt;/D&gt;&lt;D xsi:type="xsd:double"&gt;32.4604387504981&lt;/D&gt;&lt;D xsi:type="xsd:double"&gt;29.0569787957026&lt;/D&gt;&lt;D xsi:type="xsd:double"&gt;27.0960271169487&lt;/D&gt;&lt;D xsi:type="xsd:double"&gt;25.8676912267429&lt;/D&gt;&lt;D xsi:type="xsd:double"&gt;24.6172773850926&lt;/D&gt;&lt;D xsi:type="xsd:double"&gt;23.6568853490983&lt;/D&gt;&lt;D xsi:type="xsd:double"&gt;22.0448348521902&lt;/D&gt;&lt;D xsi:type="xsd:double"&gt;20.8201050119349&lt;/D&gt;&lt;D xsi:type="xsd:double"&gt;19.4655210928995&lt;/D&gt;&lt;D xsi:type="xsd:double"&gt;17.7688290077753&lt;/D&gt;&lt;D xsi:type="xsd:double"&gt;16.6348666474074&lt;/D&gt;&lt;D xsi:type="xsd:double"&gt;15.3881572252391&lt;/D&gt;&lt;D xsi:type="xsd:double"&gt;15.4189284073604&lt;/D&gt;&lt;D xsi:type="xsd:double"&gt;14.9455434040026&lt;/D&gt;&lt;D xsi:type="xsd:double"&gt;14.9707938011834&lt;/D&gt;&lt;D xsi:type="xsd:double"&gt;14.9892073404185&lt;/D&gt;&lt;D xsi:type="xsd:double"&gt;14.4013026148002&lt;/D&gt;&lt;D xsi:type="xsd:double"&gt;13.9249835582359&lt;/D&gt;&lt;D xsi:type="xsd:double"&gt;13.5090693217781&lt;/D&gt;&lt;D xsi:type="xsd:double"&gt;13.7041066529369&lt;/D&gt;&lt;D xsi:type="xsd:double"&gt;12.9999907746375&lt;/D&gt;&lt;D xsi:type="xsd:double"&gt;12.6728266681497&lt;/D&gt;&lt;D xsi:type="xsd:double"&gt;13.7705088751481&lt;/D&gt;&lt;D xsi:type="xsd:double"&gt;13.1369554783546&lt;/D&gt;&lt;D xsi:type="xsd:double"&gt;13.9950120965103&lt;/D&gt;&lt;D xsi:type="xsd:double"&gt;14.1440544096244&lt;/D&gt;&lt;D xsi:type="xsd:double"&gt;14.5134013661352&lt;/D&gt;&lt;D xsi:type="xsd:double"&gt;14.4059830227371&lt;/D&gt;&lt;D xsi:type="xsd:double"&gt;14.1779029319939&lt;/D&gt;&lt;D xsi:type="xsd:double"&gt;13.8085671450387&lt;/D&gt;&lt;D xsi:type="xsd:double"&gt;13.411261617487&lt;/D&gt;&lt;D xsi:type="xsd:double"&gt;13.1988406393475&lt;/D&gt;&lt;D xsi:type="xsd:double"&gt;12.8171293833411&lt;/D&gt;&lt;D xsi:type="xsd:double"&gt;12.2048728588939&lt;/D&gt;&lt;D xsi:type="xsd:double"&gt;12.914522387767&lt;/D&gt;&lt;D xsi:type="xsd:double"&gt;14.0213674005655&lt;/D&gt;&lt;D xsi:type="xsd:double"&gt;13.5487144093042&lt;/D&gt;&lt;D xsi:type="xsd:double"&gt;14.8547039274514&lt;/D&gt;&lt;D xsi:type="xsd:double"&gt;15.8568710499802&lt;/D&gt;&lt;/FQL&gt;&lt;FQL&gt;&lt;Q&gt;NI-FDS^FG_PRICE_CHANGE(0,-3AM)&lt;/Q&gt;&lt;R&gt;1&lt;/R&gt;&lt;C&gt;1&lt;/C&gt;&lt;D xsi:type="xsd:double"&gt;7.60606060606062&lt;/D&gt;&lt;/FQL&gt;&lt;FQL&gt;&lt;Q&gt;COPP-FDS^FG_PRICE_CHANGE(0,-1AY)&lt;/Q&gt;&lt;R&gt;1&lt;/R&gt;&lt;C&gt;1&lt;/C&gt;&lt;D xsi:type="xsd:double"&gt;0.660765490587201&lt;/D&gt;&lt;/FQL&gt;&lt;FQL&gt;&lt;Q&gt;URTH^P_PRICE(0)/P_PRICE_HIGH_PR(0,,,USD,,,"PRICE","INTRA","52W")&lt;/Q&gt;&lt;R&gt;1&lt;/R&gt;&lt;C&gt;1&lt;/C&gt;&lt;D xsi:type="xsd:double"&gt;0.99157435&lt;/D&gt;&lt;/FQL&gt;&lt;FQL&gt;&lt;Q&gt;VNM^FG_TOTAL_RETURNC(0,-6AM)&lt;/Q&gt;&lt;R&gt;1&lt;/R&gt;&lt;C&gt;1&lt;/C&gt;&lt;D xsi:type="xsd:double"&gt;-5.0969243&lt;/D&gt;&lt;/FQL&gt;&lt;FQL&gt;&lt;Q&gt;QAT^FMA_RBICS_REV_CURRENT(30, LOC, "PORTAGG")&lt;/Q&gt;&lt;R&gt;1&lt;/R&gt;&lt;C&gt;1&lt;/C&gt;&lt;D xsi:type="xsd:double"&gt;59.4630293891933&lt;/D&gt;&lt;/FQL&gt;&lt;FQL&gt;&lt;Q&gt;VNM^FG_ROE(0)&lt;/Q&gt;&lt;R&gt;1&lt;/R&gt;&lt;C&gt;1&lt;/C&gt;&lt;D xsi:type="xsd:double"&gt;8.92536965307183&lt;/D&gt;&lt;/FQL&gt;&lt;FQL&gt;&lt;Q&gt;TRYEU10Y-FDS^FG_YIELD(-10AY,0,Y,,"YTM")&lt;/Q&gt;&lt;R&gt;10&lt;/R&gt;&lt;C&gt;1&lt;/C&gt;&lt;D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xsi:type="xsd:double"&gt;2.004&lt;/D&gt;&lt;/FQL&gt;&lt;FQL&gt;&lt;Q&gt;CAGDPY@QA^EE_ACTUAL_ANNUAL(MED,+1)&lt;/Q&gt;&lt;R&gt;1&lt;/R&gt;&lt;C&gt;1&lt;/C&gt;&lt;D xsi:type="xsd:double"&gt;12.05&lt;/D&gt;&lt;/FQL&gt;&lt;FQL&gt;&lt;Q&gt;USDSAR^FG_COMPANY_NAME&lt;/Q&gt;&lt;R&gt;1&lt;/R&gt;&lt;C&gt;1&lt;/C&gt;&lt;D xsi:type="xsd:string"&gt;Saudi Arabian Riyal per U.S. Dollar&lt;/D&gt;&lt;/FQL&gt;&lt;FQL&gt;&lt;Q&gt;TRYTR7Y-FDS^FG_YIELD(-10AY,0,Y,,"YTM")&lt;/Q&gt;&lt;R&gt;10&lt;/R&gt;&lt;C&gt;1&lt;/C&gt;&lt;D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xsi:type="xsd:double"&gt;21.984322&lt;/D&gt;&lt;/FQL&gt;&lt;FQL&gt;&lt;Q&gt;USDTHB^FG_PRICE_CHANGE(0,-1AM)&lt;/Q&gt;&lt;R&gt;1&lt;/R&gt;&lt;C&gt;1&lt;/C&gt;&lt;D xsi:type="xsd:double"&gt;-1.4115751&lt;/D&gt;&lt;/FQL&gt;&lt;FQL&gt;&lt;Q&gt;USDTWD^FG_PRICE(0)&lt;/Q&gt;&lt;R&gt;1&lt;/R&gt;&lt;C&gt;1&lt;/C&gt;&lt;D xsi:type="xsd:double"&gt;31.488&lt;/D&gt;&lt;/FQL&gt;&lt;FQL&gt;&lt;Q&gt;FC0000PE^FMA_EPS(NTMA,-20AY,0,CY,,"PORTAGG","MEANR")&lt;/Q&gt;&lt;R&gt;20&lt;/R&gt;&lt;C&gt;1&lt;/C&gt;&lt;D xsi:type="xsd:double"&gt;24.7583819982859&lt;/D&gt;&lt;D xsi:type="xsd:double"&gt;29.0521601734031&lt;/D&gt;&lt;D xsi:type="xsd:double"&gt;45.7707077798153&lt;/D&gt;&lt;D xsi:type="xsd:double"&gt;47.1889555711687&lt;/D&gt;&lt;D xsi:type="xsd:double"&gt;33.6865156707317&lt;/D&gt;&lt;D xsi:type="xsd:double"&gt;51.8301256972307&lt;/D&gt;&lt;D xsi:type="xsd:string"&gt;@NA&lt;/D&gt;&lt;D xsi:type="xsd:double"&gt;93.1550651832752&lt;/D&gt;&lt;D xsi:type="xsd:double"&gt;85.6566871872926&lt;/D&gt;&lt;D xsi:type="xsd:double"&gt;59.3544763673265&lt;/D&gt;&lt;D xsi:type="xsd:double"&gt;56.5256555947451&lt;/D&gt;&lt;D xsi:type="xsd:double"&gt;54.9261025352225&lt;/D&gt;&lt;D xsi:type="xsd:double"&gt;78.5260175378315&lt;/D&gt;&lt;D xsi:type="xsd:string"&gt;@NA&lt;/D&gt;&lt;D xsi:type="xsd:string"&gt;@NA&lt;/D&gt;&lt;D xsi:type="xsd:string"&gt;@NA&lt;/D&gt;&lt;D xsi:type="xsd:string"&gt;@NA&lt;/D&gt;&lt;D xsi:type="xsd:double"&gt;59.664423905694&lt;/D&gt;&lt;D xsi:type="xsd:double"&gt;84.444227608504&lt;/D&gt;&lt;D xsi:type="xsd:string"&gt;@NA&lt;/D&gt;&lt;/FQL&gt;&lt;FQL&gt;&lt;Q&gt;EPU^P_PRICE_RETURNS_PR('52W',2,-10AY,0,AM)&lt;/Q&gt;&lt;R&gt;121&lt;/R&gt;&lt;C&gt;1&lt;/C&gt;&lt;D xsi:type="xsd:double"&gt;-25.4318&lt;/D&gt;&lt;D xsi:type="xsd:double"&gt;-20.642494&lt;/D&gt;&lt;D xsi:type="xsd:double"&gt;-12.162751&lt;/D&gt;&lt;D xsi:type="xsd:double"&gt;-2.8574586&lt;/D&gt;&lt;D xsi:type="xsd:double"&gt;15.476454&lt;/D&gt;&lt;D xsi:type="xsd:double"&gt;5.560076&lt;/D&gt;&lt;D xsi:type="xsd:double"&gt;6.04347&lt;/D&gt;&lt;D xsi:type="xsd:double"&gt;1.2713432&lt;/D&gt;&lt;D xsi:type="xsd:double"&gt;1.484251&lt;/D&gt;&lt;D xsi:type="xsd:double"&gt;1.1151075&lt;/D&gt;&lt;D xsi:type="xsd:double"&gt;-8.662415&lt;/D&gt;&lt;D xsi:type="xsd:double"&gt;-6.862956&lt;/D&gt;&lt;D xsi:type="xsd:double"&gt;-9.480381&lt;/D&gt;&lt;D xsi:type="xsd:double"&gt;-11.007589&lt;/D&gt;&lt;D xsi:type="xsd:double"&gt;-8.644271&lt;/D&gt;&lt;D xsi:type="xsd:double"&gt;-13.015729&lt;/D&gt;&lt;D xsi:type="xsd:double"&gt;-20.368935&lt;/D&gt;&lt;D xsi:type="xsd:double"&gt;-32.769913&lt;/D&gt;&lt;D xsi:type="xsd:double"&gt;-35.211796&lt;/D&gt;&lt;D xsi:type="xsd:double"&gt;-27.754318&lt;/D&gt;&lt;D xsi:type="xsd:double"&gt;-31.453312&lt;/D&gt;&lt;D xsi:type="xsd:double"&gt;-35.230602&lt;/D&gt;&lt;D xsi:type="xsd:double"&gt;-37.07052&lt;/D&gt;&lt;D xsi:type="xsd:double"&gt;-29.036634&lt;/D&gt;&lt;D xsi:type="xsd:double"&gt;-10.531831&lt;/D&gt;&lt;D xsi:type="xsd:double"&gt;-1.2998104&lt;/D&gt;&lt;D xsi:type="xsd:double"&gt;-1.7022431&lt;/D&gt;&lt;D xsi:type="xsd:double"&gt;0.0056624413&lt;/D&gt;&lt;D xsi:type="xsd:double"&gt;16.90296&lt;/D&gt;&lt;D xsi:type="xsd:double"&gt;39.129425&lt;/D&gt;&lt;D xsi:type="xsd:double"&gt;45.655285&lt;/D&gt;&lt;D xsi:type="xsd:double"&gt;35.613144&lt;/D&gt;&lt;D xsi:type="xsd:double"&gt;48.199905&lt;/D&gt;&lt;D xsi:type="xsd:double"&gt;61.68821&lt;/D&gt;&lt;D xsi:type="xsd:double"&gt;86.39944&lt;/D&gt;&lt;D xsi:type="xsd:double"&gt;71.324005&lt;/D&gt;&lt;D xsi:type="xsd:double"&gt;31.013584&lt;/D&gt;&lt;D xsi:type="xsd:double"&gt;17.719162&lt;/D&gt;&lt;D xsi:type="xsd:double"&gt;18.611336&lt;/D&gt;&lt;D xsi:type="xsd:double"&gt;17.977356&lt;/D&gt;&lt;D xsi:type="xsd:double"&gt;6.8163514&lt;/D&gt;&lt;D xsi:type="xsd:double"&gt;4.1133165&lt;/D&gt;&lt;D xsi:type="xsd:double"&gt;18.956482&lt;/D&gt;&lt;D xsi:type="xsd:double"&gt;32.439304&lt;/D&gt;&lt;D xsi:type="xsd:double"&gt;28.38999&lt;/D&gt;&lt;D xsi:type="xsd:double"&gt;19.506979&lt;/D&gt;&lt;D xsi:type="xsd:double"&gt;31.720924&lt;/D&gt;&lt;D xsi:type="xsd:double"&gt;20.780909&lt;/D&gt;&lt;D xsi:type="xsd:double"&gt;33.353867&lt;/D&gt;&lt;D xsi:type="xsd:double"&gt;33.173454&lt;/D&gt;&lt;D xsi:type="xsd:double"&gt;29.624235&lt;/D&gt;&lt;D xsi:type="xsd:double"&gt;27.42027&lt;/D&gt;&lt;D xsi:type="xsd:double"&gt;16.59119&lt;/D&gt;&lt;D xsi:type="xsd:double"&gt;9.526026&lt;/D&gt;&lt;D xsi:type="xsd:double"&gt;-4.6322765&lt;/D&gt;&lt;D xsi:type="xsd:double"&gt;-8.554041&lt;/D&gt;&lt;D xsi:type="xsd:double"&gt;-11.941015&lt;/D&gt;&lt;D xsi:type="xsd:double"&gt;-4.93927&lt;/D&gt;&lt;D xsi:type="xsd:double"&gt;-13.484526&lt;/D&gt;&lt;D xsi:type="xsd:double"&gt;-9.061074&lt;/D&gt;&lt;D xsi:type="xsd:double"&gt;-5.1465273&lt;/D&gt;&lt;D xsi:type="xsd:double"&gt;-8.45108&lt;/D&gt;&lt;D xsi:type="xsd:double"&gt;-15.298128&lt;/D&gt;&lt;D xsi:type="xsd:double"&gt;-12.260687&lt;/D&gt;&lt;D xsi:type="xsd:double"&gt;-0.79339147&lt;/D&gt;&lt;D xsi:type="xsd:double"&gt;-11.485356&lt;/D&gt;&lt;D xsi:type="xsd:double"&gt;1.1433601&lt;/D&gt;&lt;D xsi:type="xsd:double"&gt;-2.6978552&lt;/D&gt;&lt;D xsi:type="xsd:double"&gt;0.3303647&lt;/D&gt;&lt;D xsi:type="xsd:double"&gt;0.86443424&lt;/D&gt;&lt;D xsi:type="xsd:double"&gt;2.7368784&lt;/D&gt;&lt;D xsi:type="xsd:double"&gt;-5.720359&lt;/D&gt;&lt;D xsi:type="xsd:double"&gt;-33.14801&lt;/D&gt;&lt;D xsi:type="xsd:double"&gt;-34.539913&lt;/D&gt;&lt;D xsi:type="xsd:double"&gt;-27.22863&lt;/D&gt;&lt;D xsi:type="xsd:double"&gt;-18.070251&lt;/D&gt;&lt;D xsi:type="xsd:double"&gt;-21.874624&lt;/D&gt;&lt;D xsi:type="xsd:double"&gt;-3.7086666&lt;/D&gt;&lt;D xsi:type="xsd:double"&gt;-11.188716&lt;/D&gt;&lt;D xsi:type="xsd:double"&gt;-11.464095&lt;/D&gt;&lt;D xsi:type="xsd:double"&gt;-8.536541&lt;/D&gt;&lt;D xsi:type="xsd:double"&gt;-2.1206439&lt;/D&gt;&lt;D xsi:type="xsd:double"&gt;-0.4752636&lt;/D&gt;&lt;D xsi:type="xsd:double"&gt;10.696566&lt;/D&gt;&lt;D xsi:type="xsd:double"&gt;51.680626&lt;/D&gt;&lt;D xsi:type="xsd:double"&gt;43.727577&lt;/D&gt;&lt;D xsi:type="xsd:double"&gt;41.721832&lt;/D&gt;&lt;D xsi:type="xsd:double"&gt;6.6061974&lt;/D&gt;&lt;D xsi:type="xsd:double"&gt;1.179874&lt;/D&gt;&lt;D xsi:type="xsd:double"&gt;-13.074809&lt;/D&gt;&lt;D xsi:type="xsd:double"&gt;-9.728855&lt;/D&gt;&lt;D xsi:type="xsd:double"&gt;-0.77593327&lt;/D&gt;&lt;D xsi:type="xsd:double"&gt;2.683711&lt;/D&gt;&lt;D xsi:type="xsd:double"&gt;-14.756733&lt;/D&gt;&lt;D xsi:type="xsd:double"&gt;-3.2450914&lt;/D&gt;&lt;D xsi:type="xsd:double"&gt;-6.4936457&lt;/D&gt;&lt;D xsi:type="xsd:double"&gt;0.4659772&lt;/D&gt;&lt;D xsi:type="xsd:double"&gt;2.5459766&lt;/D&gt;&lt;D xsi:type="xsd:double"&gt;-15.511078&lt;/D&gt;&lt;D xsi:type="xsd:double"&gt;-0.6660521&lt;/D&gt;&lt;D xsi:type="xsd:double"&gt;-12.31597&lt;/D&gt;&lt;D xsi:type="xsd:double"&gt;9.150303&lt;/D&gt;&lt;D xsi:type="xsd:double"&gt;0.96588135&lt;/D&gt;&lt;D xsi:type="xsd:double"&gt;-9.805525&lt;/D&gt;&lt;D xsi:type="xsd:double"&gt;4.645729&lt;/D&gt;&lt;D xsi:type="xsd:double"&gt;9.340441&lt;/D&gt;&lt;D xsi:type="xsd:double"&gt;1.7133236&lt;/D&gt;&lt;D xsi:type="xsd:double"&gt;-7.426369&lt;/D&gt;&lt;D xsi:type="xsd:double"&gt;-13.1603&lt;/D&gt;&lt;D xsi:type="xsd:double"&gt;-4.301161&lt;/D&gt;&lt;D xsi:type="xsd:double"&gt;15.614855&lt;/D&gt;&lt;D xsi:type="xsd:double"&gt;14.796352&lt;/D&gt;&lt;D xsi:type="xsd:double"&gt;43.528175&lt;/D&gt;&lt;D xsi:type="xsd:double"&gt;23.72346&lt;/D&gt;&lt;D xsi:type="xsd:double"&gt;28.223537&lt;/D&gt;&lt;D xsi:type="xsd:double"&gt;19.489693&lt;/D&gt;&lt;D xsi:type="xsd:double"&gt;4.485774&lt;/D&gt;&lt;D xsi:type="xsd:double"&gt;17.376339&lt;/D&gt;&lt;D xsi:type="xsd:double"&gt;11.306513&lt;/D&gt;&lt;D xsi:type="xsd:double"&gt;18.162811&lt;/D&gt;&lt;D xsi:type="xsd:double"&gt;35.838963&lt;/D&gt;&lt;/FQL&gt;&lt;FQL&gt;&lt;Q&gt;EPHE^FG_TOTAL_RETURNC(-10AY,0,AM)&lt;/Q&gt;&lt;R&gt;121&lt;/R&gt;&lt;C&gt;1&lt;/C&gt;&lt;D xsi:type="xsd:double"&gt;3.9233923&lt;/D&gt;&lt;D xsi:type="xsd:double"&gt;4.8751473&lt;/D&gt;&lt;D xsi:type="xsd:double"&gt;6.122446&lt;/D&gt;&lt;D xsi:type="xsd:double"&gt;-1.495719&lt;/D&gt;&lt;D xsi:type="xsd:double"&gt;1.5406847&lt;/D&gt;&lt;D xsi:type="xsd:double"&gt;3.3620238&lt;/D&gt;&lt;D xsi:type="xsd:double"&gt;-0.15613437&lt;/D&gt;&lt;D xsi:type="xsd:double"&gt;-5.0039052999999996&lt;/D&gt;&lt;D xsi:type="xsd:double"&gt;5.322361&lt;/D&gt;&lt;D xsi:type="xsd:double"&gt;-1.2242794&lt;/D&gt;&lt;D xsi:type="xsd:double"&gt;5.3759933&lt;/D&gt;&lt;D xsi:type="xsd:double"&gt;4.542041&lt;/D&gt;&lt;D xsi:type="xsd:double"&gt;-0.98415613&lt;/D&gt;&lt;D xsi:type="xsd:double"&gt;2.278781&lt;/D&gt;&lt;D xsi:type="xsd:double"&gt;-1.8013716&lt;/D&gt;&lt;D xsi:type="xsd:double"&gt;-6.9032135&lt;/D&gt;&lt;D xsi:type="xsd:double"&gt;1.0964751&lt;/D&gt;&lt;D xsi:type="xsd:double"&gt;-4.5653877&lt;/D&gt;&lt;D xsi:type="xsd:double"&gt;-5.9729695&lt;/D&gt;&lt;D xsi:type="xsd:double"&gt;2.012074&lt;/D&gt;&lt;D xsi:type="xsd:double"&gt;-5.522692&lt;/D&gt;&lt;D xsi:type="xsd:double"&gt;-1.0736644&lt;/D&gt;&lt;D xsi:type="xsd:double"&gt;-6.7178726&lt;/D&gt;&lt;D xsi:type="xsd:double"&gt;5.3843737&lt;/D&gt;&lt;D xsi:type="xsd:double"&gt;8.618032&lt;/D&gt;&lt;D xsi:type="xsd:double"&gt;5.100596&lt;/D&gt;&lt;D xsi:type="xsd:double"&gt;-0.053924322&lt;/D&gt;&lt;D xsi:type="xsd:double"&gt;1.2948513&lt;/D&gt;&lt;D xsi:type="xsd:double"&gt;7.2276115&lt;/D&gt;&lt;D xsi:type="xsd:double"&gt;-0.7976055&lt;/D&gt;&lt;D xsi:type="xsd:double"&gt;-7.96482&lt;/D&gt;&lt;D xsi:type="xsd:double"&gt;-3.7128031&lt;/D&gt;&lt;D xsi:type="xsd:double"&gt;-7.286644&lt;/D&gt;&lt;D xsi:type="xsd:double"&gt;-1.8042803&lt;/D&gt;&lt;D xsi:type="xsd:double"&gt;7.1564794&lt;/D&gt;&lt;D xsi:type="xsd:double"&gt;-0.8743882&lt;/D&gt;&lt;D xsi:type="xsd:double"&gt;-0.17641187&lt;/D&gt;&lt;D xsi:type="xsd:double"&gt;6.0382843&lt;/D&gt;&lt;D xsi:type="xsd:double"&gt;1.4999986&lt;/D&gt;&lt;D xsi:type="xsd:double"&gt;2.2441149&lt;/D&gt;&lt;D xsi:type="xsd:double"&gt;-1.9633412&lt;/D&gt;&lt;D xsi:type="xsd:double"&gt;-2.7115822&lt;/D&gt;&lt;D xsi:type="xsd:double"&gt;2.815318&lt;/D&gt;&lt;D xsi:type="xsd:double"&gt;3.50492&lt;/D&gt;&lt;D xsi:type="xsd:double"&gt;-2.671951&lt;/D&gt;&lt;D xsi:type="xsd:double"&gt;2.5550365&lt;/D&gt;&lt;D xsi:type="xsd:double"&gt;5.052912&lt;/D&gt;&lt;D xsi:type="xsd:double"&gt;-6.2105474&lt;/D&gt;&lt;D xsi:type="xsd:double"&gt;-3.8761854&lt;/D&gt;&lt;D xsi:type="xsd:double"&gt;-4.36852&lt;/D&gt;&lt;D xsi:type="xsd:double"&gt;-1.4348507&lt;/D&gt;&lt;D xsi:type="xsd:double"&gt;-6.12002&lt;/D&gt;&lt;D xsi:type="xsd:double"&gt;-1.5410364&lt;/D&gt;&lt;D xsi:type="xsd:double"&gt;2.0006537&lt;/D&gt;&lt;D xsi:type="xsd:double"&gt;-2.8155684&lt;/D&gt;&lt;D xsi:type="xsd:double"&gt;-6.1523438&lt;/D&gt;&lt;D xsi:type="xsd:double"&gt;0.34686327&lt;/D&gt;&lt;D xsi:type="xsd:double"&gt;9.92049&lt;/D&gt;&lt;D xsi:type="xsd:double"&gt;9.254015&lt;/D&gt;&lt;D xsi:type="xsd:double"&gt;-1.6993105&lt;/D&gt;&lt;D xsi:type="xsd:double"&gt;-2.4904847&lt;/D&gt;</t>
        </r>
      </text>
    </comment>
    <comment ref="A14" authorId="0" shapeId="0" xr:uid="{7328E2D4-C09C-4916-BA5E-663C615921D3}">
      <text>
        <r>
          <rPr>
            <b/>
            <sz val="9"/>
            <color indexed="81"/>
            <rFont val="Tahoma"/>
            <charset val="1"/>
          </rPr>
          <t>&lt;D xsi:type="xsd:double"&gt;4.387033&lt;/D&gt;&lt;D xsi:type="xsd:double"&gt;-4.8359275&lt;/D&gt;&lt;D xsi:type="xsd:double"&gt;4.143977&lt;/D&gt;&lt;D xsi:type="xsd:double"&gt;6.161046&lt;/D&gt;&lt;D xsi:type="xsd:double"&gt;-8.953166&lt;/D&gt;&lt;D xsi:type="xsd:double"&gt;4.9016595&lt;/D&gt;&lt;D xsi:type="xsd:double"&gt;-1.0672033&lt;/D&gt;&lt;D xsi:type="xsd:double"&gt;2.4198294&lt;/D&gt;&lt;D xsi:type="xsd:double"&gt;-1.3094306&lt;/D&gt;&lt;D xsi:type="xsd:double"&gt;-1.7278016&lt;/D&gt;&lt;D xsi:type="xsd:double"&gt;-5.7285547&lt;/D&gt;&lt;D xsi:type="xsd:double"&gt;-23.558743&lt;/D&gt;&lt;D xsi:type="xsd:double"&gt;0.7337928&lt;/D&gt;&lt;D xsi:type="xsd:double"&gt;-0.32375455&lt;/D&gt;&lt;D xsi:type="xsd:double"&gt;12.180269&lt;/D&gt;&lt;D xsi:type="xsd:double"&gt;0.01578331&lt;/D&gt;&lt;D xsi:type="xsd:double"&gt;-0.32762885&lt;/D&gt;&lt;D xsi:type="xsd:double"&gt;-1.716578&lt;/D&gt;&lt;D xsi:type="xsd:double"&gt;-1.7465591&lt;/D&gt;&lt;D xsi:type="xsd:double"&gt;19.515884&lt;/D&gt;&lt;D xsi:type="xsd:double"&gt;5.1659703&lt;/D&gt;&lt;D xsi:type="xsd:double"&gt;-0.09046793&lt;/D&gt;&lt;D xsi:type="xsd:double"&gt;-4.6181736&lt;/D&gt;&lt;D xsi:type="xsd:double"&gt;-5.094939&lt;/D&gt;&lt;D xsi:type="xsd:double"&gt;-1.8339396&lt;/D&gt;&lt;D xsi:type="xsd:double"&gt;-2.7173936&lt;/D&gt;&lt;D xsi:type="xsd:double"&gt;11.015165&lt;/D&gt;&lt;D xsi:type="xsd:double"&gt;-5.28816&lt;/D&gt;&lt;D xsi:type="xsd:double"&gt;-5.516547&lt;/D&gt;&lt;D xsi:type="xsd:double"&gt;9.44798&lt;/D&gt;&lt;D xsi:type="xsd:double"&gt;3.6857367&lt;/D&gt;&lt;D xsi:type="xsd:double"&gt;4.2719007&lt;/D&gt;&lt;D xsi:type="xsd:double"&gt;-2.963841&lt;/D&gt;&lt;D xsi:type="xsd:double"&gt;-1.6084194&lt;/D&gt;&lt;D xsi:type="xsd:double"&gt;1.5089631&lt;/D&gt;&lt;D xsi:type="xsd:double"&gt;-9.662437&lt;/D&gt;&lt;D xsi:type="xsd:double"&gt;2.2625923&lt;/D&gt;&lt;D xsi:type="xsd:double"&gt;-6.537044&lt;/D&gt;&lt;D xsi:type="xsd:double"&gt;-2.4512708&lt;/D&gt;&lt;D xsi:type="xsd:double"&gt;-8.333331&lt;/D&gt;&lt;D xsi:type="xsd:double"&gt;11.241889&lt;/D&gt;&lt;D xsi:type="xsd:double"&gt;-5.8008013&lt;/D&gt;&lt;D xsi:type="xsd:double"&gt;-13.400459&lt;/D&gt;&lt;D xsi:type="xsd:double"&gt;11.717343&lt;/D&gt;&lt;D xsi:type="xsd:double"&gt;6.1357737&lt;/D&gt;&lt;D xsi:type="xsd:double"&gt;8.829105&lt;/D&gt;&lt;D xsi:type="xsd:double"&gt;-2.298051&lt;/D&gt;&lt;D xsi:type="xsd:double"&gt;-6.8068447&lt;/D&gt;&lt;D xsi:type="xsd:double"&gt;0.11472702&lt;/D&gt;&lt;D xsi:type="xsd:double"&gt;0.5729556&lt;/D&gt;&lt;D xsi:type="xsd:double"&gt;-2.327323&lt;/D&gt;&lt;D xsi:type="xsd:double"&gt;6.139314&lt;/D&gt;&lt;D xsi:type="xsd:double"&gt;-7.5639544&lt;/D&gt;&lt;D xsi:type="xsd:double"&gt;-1.283592&lt;/D&gt;&lt;D xsi:type="xsd:double"&gt;0.28443336&lt;/D&gt;&lt;D xsi:type="xsd:double"&gt;-0.040519238&lt;/D&gt;&lt;D xsi:type="xsd:double"&gt;4.215646&lt;/D&gt;&lt;D xsi:type="xsd:double"&gt;4.3505073&lt;/D&gt;&lt;D xsi:type="xsd:double"&gt;2.9688&lt;/D&gt;&lt;D xsi:type="xsd:double"&gt;2.0802855&lt;/D&gt;&lt;/FQL&gt;&lt;FQL&gt;&lt;Q&gt;NI-FDS^FG_PRICE_CHANGE(0,-1AM)&lt;/Q&gt;&lt;R&gt;1&lt;/R&gt;&lt;C&gt;1&lt;/C&gt;&lt;D xsi:type="xsd:double"&gt;10.1768538628607&lt;/D&gt;&lt;/FQL&gt;&lt;FQL&gt;&lt;Q&gt;COPP-FDS^FG_PRICE_CHANGE(0,-3AM)&lt;/Q&gt;&lt;R&gt;1&lt;/R&gt;&lt;C&gt;1&lt;/C&gt;&lt;D xsi:type="xsd:double"&gt;3.81895332390381&lt;/D&gt;&lt;/FQL&gt;&lt;FQL&gt;&lt;Q&gt;ECH^FG_PRICE_MAVG(0,,,,60)&lt;/Q&gt;&lt;R&gt;1&lt;/R&gt;&lt;C&gt;1&lt;/C&gt;&lt;D xsi:type="xsd:double"&gt;26.112333&lt;/D&gt;&lt;/FQL&gt;&lt;FQL&gt;&lt;Q&gt;URTH^FG_TOTAL_RETURNC(0,-6AM)&lt;/Q&gt;&lt;R&gt;1&lt;/R&gt;&lt;C&gt;1&lt;/C&gt;&lt;D xsi:type="xsd:double"&gt;14.212143&lt;/D&gt;&lt;/FQL&gt;&lt;FQL&gt;&lt;Q&gt;EPHE^FMA_COS_DOWN("EPS","1M",+1,NOW,,,"PORTAGG","MEANR")&lt;/Q&gt;&lt;R&gt;1&lt;/R&gt;&lt;C&gt;1&lt;/C&gt;&lt;D xsi:type="xsd:double"&gt;11&lt;/D&gt;&lt;/FQL&gt;&lt;FQL&gt;&lt;Q&gt;MCHI^FMA_RBICS_REV_CURRENT(30, LOC, "PORTAGG")&lt;/Q&gt;&lt;R&gt;1&lt;/R&gt;&lt;C&gt;1&lt;/C&gt;&lt;D xsi:type="xsd:double"&gt;23.3465581141155&lt;/D&gt;&lt;/FQL&gt;&lt;FQL&gt;&lt;Q&gt;VGK^FG_PE(0)&lt;/Q&gt;&lt;R&gt;1&lt;/R&gt;&lt;C&gt;1&lt;/C&gt;&lt;D xsi:type="xsd:double"&gt;12.3190540866361&lt;/D&gt;&lt;/FQL&gt;&lt;FQL&gt;&lt;Q&gt;UAE^FMA_EVAL_EBITDA(NTMA,0,,,"PORTAGG","MEANR")&lt;/Q&gt;&lt;R&gt;1&lt;/R&gt;&lt;C&gt;1&lt;/C&gt;&lt;D xsi:type="xsd:double"&gt;6.76854884807004&lt;/D&gt;&lt;/FQL&gt;&lt;FQL&gt;&lt;Q&gt;USDVND^STD(FG_PRICE_CHANGE(0,-3AY,M))&lt;/Q&gt;&lt;R&gt;1&lt;/R&gt;&lt;C&gt;1&lt;/C&gt;&lt;D xsi:type="xsd:double"&gt;1.23729396290071&lt;/D&gt;&lt;/FQL&gt;&lt;FQL&gt;&lt;Q&gt;USDINR^FG_PRICE_CHANGE(0,-3AM)&lt;/Q&gt;&lt;R&gt;1&lt;/R&gt;&lt;C&gt;1&lt;/C&gt;&lt;D xsi:type="xsd:double"&gt;-0.60524344&lt;/D&gt;&lt;/FQL&gt;&lt;FQL&gt;&lt;Q&gt;USDBRL^FG_COMPANY_NAME&lt;/Q&gt;&lt;R&gt;1&lt;/R&gt;&lt;C&gt;1&lt;/C&gt;&lt;D xsi:type="xsd:string"&gt;Brazilian Real per U.S. Dollar&lt;/D&gt;&lt;/FQL&gt;&lt;FQL&gt;&lt;Q&gt;USDPHP^STD(FG_PRICE_CHANGE(0,-3AY,M))&lt;/Q&gt;&lt;R&gt;1&lt;/R&gt;&lt;C&gt;1&lt;/C&gt;&lt;D xsi:type="xsd:double"&gt;1.76743322777503&lt;/D&gt;&lt;/FQL&gt;&lt;FQL&gt;&lt;Q&gt;EPOL^P_PRICE_RETURNS_PR('52W',2,-10AY,0,AM)&lt;/Q&gt;&lt;R&gt;121&lt;/R&gt;&lt;C&gt;1&lt;/C&gt;&lt;D xsi:type="xsd:double"&gt;6.809616&lt;/D&gt;&lt;D xsi:type="xsd:double"&gt;14.91406&lt;/D&gt;&lt;D xsi:type="xsd:double"&gt;16.13716&lt;/D&gt;&lt;D xsi:type="xsd:double"&gt;11.731148&lt;/D&gt;&lt;D xsi:type="xsd:double"&gt;17.88256&lt;/D&gt;&lt;D xsi:type="xsd:double"&gt;4.050219&lt;/D&gt;&lt;D xsi:type="xsd:double"&gt;4.984832&lt;/D&gt;&lt;D xsi:type="xsd:double"&gt;-8.9085819999999991&lt;/D&gt;&lt;D xsi:type="xsd:double"&gt;-8.766645&lt;/D&gt;&lt;D xsi:type="xsd:double"&gt;-10.115284&lt;/D&gt;&lt;D xsi:type="xsd:double"&gt;-16.12336&lt;/D&gt;&lt;D xsi:type="xsd:double"&gt;-20.29686&lt;/D&gt;&lt;D xsi:type="xsd:double"&gt;-19.960648&lt;/D&gt;&lt;D xsi:type="xsd:double"&gt;-16.71965&lt;/D&gt;&lt;D xsi:type="xsd:double"&gt;-8.383232&lt;/D&gt;&lt;D xsi:type="xsd:double"&gt;-18.975521&lt;/D&gt;&lt;D xsi:type="xsd:double"&gt;-19.843334&lt;/D&gt;&lt;D xsi:type="xsd:double"&gt;-20.394444&lt;/D&gt;&lt;D xsi:type="xsd:double"&gt;-20.252865&lt;/D&gt;&lt;D xsi:type="xsd:double"&gt;-16.185219&lt;/D&gt;&lt;D xsi:type="xsd:double"&gt;-24.549562&lt;/D&gt;&lt;D xsi:type="xsd:double"&gt;-32.20886&lt;/D&gt;&lt;D xsi:type="xsd:double"&gt;-27.524448&lt;/D&gt;&lt;D xsi:type="xsd:double"&gt;-24.603975&lt;/D&gt;&lt;D xsi:type="xsd:double"&gt;-11.225289&lt;/D&gt;&lt;D xsi:type="xsd:double"&gt;-17.523687&lt;/D&gt;&lt;D xsi:type="xsd:double"&gt;-30.36843&lt;/D&gt;&lt;D xsi:type="xsd:double"&gt;-27.734447&lt;/D&gt;&lt;D xsi:type="xsd:double"&gt;-24.136538&lt;/D&gt;&lt;D xsi:type="xsd:double"&gt;-13.874668&lt;/D&gt;&lt;D xsi:type="xsd:double"&gt;-17.7566&lt;/D&gt;&lt;D xsi:type="xsd:double"&gt;-18.702543&lt;/D&gt;&lt;D xsi:type="xsd:double"&gt;-10.071278&lt;/D&gt;&lt;D xsi:type="xsd:double"&gt;5.7685256&lt;/D&gt;&lt;D xsi:type="xsd:double"&gt;16.132652&lt;/D&gt;&lt;D xsi:type="xsd:double"&gt;23.613548&lt;/D&gt;&lt;D xsi:type="xsd:double"&gt;15.979683&lt;/D&gt;&lt;D xsi:type="xsd:double"&gt;13.114762&lt;/D&gt;&lt;D xsi:type="xsd:double"&gt;36.830757&lt;/D&gt;&lt;D xsi:type="xsd:double"&gt;43.877007&lt;/D&gt;&lt;D xsi:type="xsd:double"&gt;52.20461&lt;/D&gt;&lt;D xsi:type="xsd:double"&gt;37.380825&lt;/D&gt;&lt;D xsi:type="xsd:double"&gt;55.579533&lt;/D&gt;&lt;D xsi:type="xsd:double"&gt;55.963768&lt;/D&gt;&lt;D xsi:type="xsd:double"&gt;59.838963&lt;/D&gt;&lt;D xsi:type="xsd:double"&gt;50.005486&lt;/D&gt;&lt;D xsi:type="xsd:double"&gt;50.948395&lt;/D&gt;&lt;D xsi:type="xsd:double"&gt;36.81171&lt;/D&gt;&lt;D xsi:type="xsd:double"&gt;26.174831&lt;/D&gt;&lt;D xsi:type="xsd:double"&gt;24.29862&lt;/D&gt;&lt;D xsi:type="xsd:double"&gt;6.1124682&lt;/D&gt;&lt;D xsi:type="xsd:double"&gt;-1.291883&lt;/D&gt;&lt;D xsi:type="xsd:double"&gt;-8.25786&lt;/D&gt;&lt;D xsi:type="xsd:double"&gt;-8.278561&lt;/D&gt;&lt;D xsi:type="xsd:double"&gt;-13.496942&lt;/D&gt;&lt;D xsi:type="xsd:double"&gt;-16.522486&lt;/D&gt;&lt;D xsi:type="xsd:double"&gt;-13.514882&lt;/D&gt;&lt;D xsi:type="xsd:double"&gt;-10.087466&lt;/D&gt;&lt;D xsi:type="xsd:double"&gt;-15.760666&lt;/D&gt;&lt;D xsi:type="xsd:double"&gt;-17.798912&lt;/D&gt;&lt;D xsi:type="xsd:double"&gt;-11.552673&lt;/D&gt;&lt;D xsi:type="xsd:double"&gt;-7.970822&lt;/D&gt;&lt;D xsi:type="xsd:double"&gt;-12.707365&lt;/D&gt;&lt;D xsi:type="xsd:double"&gt;0.32024384&lt;/D&gt;&lt;D xsi:type="xsd:double"&gt;5.2976727&lt;/D&gt;&lt;D xsi:type="xsd:double"&gt;-10.230947&lt;/D&gt;&lt;D xsi:type="xsd:double"&gt;-5.537498&lt;/D&gt;&lt;D xsi:type="xsd:double"&gt;-6.2147675&lt;/D&gt;&lt;D xsi:type="xsd:double"&gt;-2.2087097&lt;/D&gt;&lt;D xsi:type="xsd:double"&gt;-9.557045&lt;/D&gt;&lt;D xsi:type="xsd:double"&gt;-6.169921&lt;/D&gt;&lt;D xsi:type="xsd:double"&gt;-10.136837&lt;/D&gt;&lt;D xsi:type="xsd:double"&gt;-39.98121&lt;/D&gt;&lt;D xsi:type="xsd:double"&gt;-34.679615&lt;/D&gt;&lt;D xsi:type="xsd:double"&gt;-30.260355&lt;/D&gt;&lt;D xsi:type="xsd:double"&gt;-22.87109&lt;/D&gt;&lt;D xsi:type="xsd:double"&gt;-24.84957&lt;/D&gt;&lt;D xsi:type="xsd:double"&gt;-5.639738&lt;/D&gt;&lt;D xsi:type="xsd:double"&gt;-16.839272&lt;/D&gt;&lt;D xsi:type="xsd:double"&gt;-19.577307&lt;/D&gt;&lt;D xsi:type="xsd:double"&gt;-19.92008&lt;/D&gt;&lt;D xsi:type="xsd:double"&gt;-6.2521815&lt;/D&gt;&lt;D xsi:type="xsd:double"&gt;-7.685405&lt;/D&gt;&lt;D xsi:type="xsd:double"&gt;-5.2709937&lt;/D&gt;&lt;D xsi:type="xsd:double"&gt;53.210007&lt;/D&gt;&lt;D xsi:type="xsd:double"&gt;30.926525&lt;/D&gt;&lt;D xsi:type="xsd:double"&gt;46.309864&lt;/D&gt;&lt;D xsi:type="xsd:double"&gt;30.554342&lt;/D&gt;&lt;D xsi:type="xsd:double"&gt;28.91184&lt;/D&gt;&lt;D xsi:type="xsd:double"&gt;21.617353&lt;/D&gt;&lt;D xsi:type="xsd:double"&gt;35.448395&lt;/D&gt;&lt;D xsi:type="xsd:double"&gt;48.05198&lt;/D&gt;&lt;D xsi:type="xsd:double"&gt;35.448753&lt;/D&gt;&lt;D xsi:type="xsd:double"&gt;9.040869&lt;/D&gt;&lt;D xsi:type="xsd:double"&gt;16.899956&lt;/D&gt;&lt;D xsi:type="xsd:double"&gt;6.5870166&lt;/D&gt;&lt;D xsi:type="xsd:double"&gt;-10.200304&lt;/D&gt;&lt;D xsi:type="xsd:double"&gt;-4.219204&lt;/D&gt;&lt;D xsi:type="xsd:double"&gt;-25.862438&lt;/D&gt;&lt;D xsi:type="xsd:double"&gt;-33.414112&lt;/D&gt;&lt;D xsi:type="xsd:double"&gt;-38.88801&lt;/D&gt;&lt;D xsi:type="xsd:double"&gt;-31.001259&lt;/D&gt;&lt;D xsi:type="xsd:double"&gt;-45.414658&lt;/D&gt;&lt;D xsi:type="xsd:double"&gt;-53.23843&lt;/D&gt;&lt;D xsi:type="xsd:double"&gt;-34.396873&lt;/D&gt;&lt;D xsi:type="xsd:double"&gt;-23.12805&lt;/D&gt;&lt;D xsi:type="xsd:double"&gt;-23.788721&lt;/D&gt;&lt;D xsi:type="xsd:double"&gt;-18.732584&lt;/D&gt;&lt;D xsi:type="xsd:double"&gt;-8.29308&lt;/D&gt;&lt;D xsi:type="xsd:double"&gt;-6.968534&lt;/D&gt;&lt;D xsi:type="xsd:double"&gt;27.792858&lt;/D&gt;&lt;D xsi:type="xsd:double"&gt;33.166195&lt;/D&gt;&lt;D xsi:type="xsd:double"&gt;59.040142&lt;/D&gt;&lt;D xsi:type="xsd:double"&gt;36.218536&lt;/D&gt;&lt;D xsi:type="xsd:double"&gt;43.95615&lt;/D&gt;&lt;D xsi:type="xsd:double"&gt;63.592613&lt;/D&gt;&lt;D xsi:type="xsd:double"&gt;50.565742&lt;/D&gt;&lt;D xsi:type="xsd:double"&gt;51.505234&lt;/D&gt;&lt;D xsi:type="xsd:double"&gt;31.064833&lt;/D&gt;&lt;D xsi:type="xsd:double"&gt;44.76397&lt;/D&gt;&lt;D xsi:type="xsd:double"&gt;59.83206&lt;/D&gt;&lt;/FQL&gt;&lt;FQL&gt;&lt;Q&gt;EPOL^FMA_DIV_YLD(NTMA,-10AY,0,AM,"PORTAGG","MEANR")&lt;/Q&gt;&lt;R&gt;121&lt;/R&gt;&lt;C&gt;1&lt;/C&gt;&lt;D xsi:type="xsd:double"&gt;4.16023098994622&lt;/D&gt;&lt;D xsi:type="xsd:double"&gt;3.8371059387459&lt;/D&gt;&lt;D xsi:type="xsd:double"&gt;3.90165685518371&lt;/D&gt;&lt;D xsi:type="xsd:double"&gt;3.94428689151616&lt;/D&gt;&lt;D xsi:type="xsd:double"&gt;4.17201262295682&lt;/D&gt;&lt;D xsi:type="xsd:double"&gt;4.13628574269561&lt;/D&gt;&lt;D xsi:type="xsd:double"&gt;4.15621249074313&lt;/D&gt;&lt;D xsi:type="xsd:double"&gt;4.14046429897223&lt;/D&gt;&lt;D xsi:type="xsd:double"&gt;3.98967200108176&lt;/D&gt;&lt;D xsi:type="xsd:double"&gt;3.97874476882942&lt;/D&gt;&lt;D xsi:type="xsd:double"&gt;3.99619485568801&lt;/D&gt;&lt;D xsi:type="xsd:double"&gt;3.80380504594908&lt;/D&gt;&lt;D xsi:type="xsd:double"&gt;3.76547694046713&lt;/D&gt;&lt;D xsi:type="xsd:double"&gt;3.43371263522859&lt;/D&gt;&lt;D xsi:type="xsd:double"&gt;3.32926285445263&lt;/D&gt;&lt;D xsi:type="xsd:double"&gt;3.55471359240919&lt;/D&gt;&lt;D xsi:type="xsd:double"&gt;3.6644056474447&lt;/D&gt;&lt;D xsi:type="xsd:double"&gt;3.65894593541372&lt;/D&gt;&lt;D xsi:type="xsd:double"&gt;3.60806707991296&lt;/D&gt;&lt;D xsi:type="xsd:double"&gt;3.71096031707093&lt;/D&gt;&lt;D xsi:type="xsd:double"&gt;3.96165448249321&lt;/D&gt;&lt;D xsi:type="xsd:double"&gt;4.35106186496284&lt;/D&gt;&lt;D xsi:type="xsd:double"&gt;4.21832353537265&lt;/D&gt;&lt;D xsi:type="xsd:double"&gt;4.19524165241614&lt;/D&gt;&lt;D xsi:type="xsd:double"&gt;3.85733885160139&lt;/D&gt;&lt;D xsi:type="xsd:double"&gt;3.6132938747342&lt;/D&gt;&lt;D xsi:type="xsd:double"&gt;3.87866774925926&lt;/D&gt;&lt;D xsi:type="xsd:double"&gt;3.89517255444217&lt;/D&gt;&lt;D xsi:type="xsd:double"&gt;3.71361602217739&lt;/D&gt;&lt;D xsi:type="xsd:double"&gt;3.45405512664964&lt;/D&gt;&lt;D xsi:type="xsd:double"&gt;3.66007983281499&lt;/D&gt;&lt;D xsi:type="xsd:double"&gt;3.49393214005455&lt;/D&gt;&lt;D xsi:type="xsd:double"&gt;3.48223811611369&lt;/D&gt;&lt;D xsi:type="xsd:double"&gt;3.1125819785716&lt;/D&gt;&lt;D xsi:type="xsd:double"&gt;2.8854178635247&lt;/D&gt;&lt;D xsi:type="xsd:double"&gt;2.60876966429707&lt;/D&gt;&lt;D xsi:type="xsd:double"&gt;2.42767674893404&lt;/D&gt;&lt;D xsi:type="xsd:double"&gt;2.53129545560504&lt;/D&gt;&lt;D xsi:type="xsd:double"&gt;2.44835143989515&lt;/D&gt;&lt;D xsi:type="xsd:double"&gt;2.50349386456002&lt;/D&gt;&lt;D xsi:type="xsd:double"&gt;2.42150465916631&lt;/D&gt;&lt;D xsi:type="xsd:double"&gt;2.40285659469379&lt;/D&gt;&lt;D xsi:type="xsd:double"&gt;2.59059449904068&lt;/D&gt;&lt;D xsi:type="xsd:double"&gt;2.45604128109446&lt;/D&gt;&lt;D xsi:type="xsd:double"&gt;2.43804959867003&lt;/D&gt;&lt;D xsi:type="xsd:double"&gt;2.81973154662372&lt;/D&gt;&lt;D xsi:type="xsd:double"&gt;2.76722423764499&lt;/D&gt;&lt;D xsi:type="xsd:double"&gt;2.94968906304625&lt;/D&gt;&lt;D xsi:type="xsd:double"&gt;2.98986932856016&lt;/D&gt;&lt;D xsi:type="xsd:double"&gt;3.03274812114996&lt;/D&gt;&lt;D xsi:type="xsd:double"&gt;2.96848038393775&lt;/D&gt;&lt;D xsi:type="xsd:double"&gt;3.10549032887329&lt;/D&gt;&lt;D xsi:type="xsd:double"&gt;2.98458995878469&lt;/D&gt;&lt;D xsi:type="xsd:double"&gt;2.8564251105673&lt;/D&gt;&lt;D xsi:type="xsd:double"&gt;3.01677928940297&lt;/D&gt;&lt;D xsi:type="xsd:double"&gt;3.13813120041879&lt;/D&gt;&lt;D xsi:type="xsd:double"&gt;3.10721788277882&lt;/D&gt;&lt;D xsi:type="xsd:double"&gt;3.09488949813405&lt;/D&gt;&lt;D xsi:type="xsd:double"&gt;3.10386686832726&lt;/D&gt;&lt;D xsi:type="xsd:double"&gt;3.08201701399234&lt;/D&gt;&lt;D xsi:type="xsd:double"&gt;3.07249357273306&lt;/D&gt;&lt;D xsi:type="xsd:double"&gt;3.03570705022236&lt;/D&gt;&lt;D xsi:type="xsd:double"&gt;3.42896499765075&lt;/D&gt;&lt;D xsi:type="xsd:double"&gt;3.27390607308973&lt;/D&gt;&lt;D xsi:type="xsd:double"&gt;3.29071131524411&lt;/D&gt;&lt;D xsi:type="xsd:double"&gt;3.83674857818385&lt;/D&gt;&lt;D xsi:type="xsd:double"&gt;3.60345076692983&lt;/D&gt;&lt;D xsi:type="xsd:double"&gt;3.54256091517746&lt;/D&gt;&lt;D xsi:type="xsd:double"&gt;3.39019028958512&lt;/D&gt;&lt;D xsi:type="xsd:double"&gt;3.54121067488223&lt;/D&gt;&lt;D xsi:type="xsd:double"&gt;3.55277976571074&lt;/D&gt;&lt;D xsi:type="xsd:double"&gt;3.68718625575412&lt;/D&gt;&lt;D xsi:type="xsd:double"&gt;5.19327043545143&lt;/D&gt;&lt;D xsi:type="xsd:double"&gt;3.77164044169068&lt;/D&gt;&lt;D xsi:type="xsd:double"&gt;3.31757534574448&lt;/D&gt;&lt;D xsi:type="xsd:double"&gt;2.43695490048005&lt;/D&gt;&lt;D xsi:type="xsd:double"&gt;2.53707891155756&lt;/D&gt;&lt;D xsi:type="xsd:double"&gt;2.67145528272981&lt;/D&gt;&lt;D xsi:type="xsd:double"&gt;2.89001824495431&lt;/D&gt;&lt;D xsi:type="xsd:double"&gt;3.24819778669199&lt;/D&gt;&lt;D xsi:type="xsd:double"&gt;2.62912553747967&lt;/D&gt;&lt;D xsi:type="xsd:double"&gt;2.76731715524758&lt;/D&gt;&lt;D xsi:type="xsd:double"&gt;2.85699372680123&lt;/D&gt;&lt;D xsi:type="xsd:double"&gt;2.84406399846234&lt;/D&gt;&lt;D xsi:type="xsd:double"&gt;2.88111716854211&lt;/D&gt;&lt;D xsi:type="xsd:double"&gt;2.89435487184304&lt;/D&gt;&lt;D xsi:type="xsd:double"&gt;2.87834284393948&lt;/D&gt;&lt;D xsi:type="xsd:double"&gt;2.9713744431527&lt;/D&gt;&lt;D xsi:type="xsd:double"&gt;3.06162281690106&lt;/D&gt;&lt;D xsi:type="xsd:double"&gt;2.93955007861674&lt;/D&gt;&lt;D xsi:type="xsd:double"&gt;2.91905046258945&lt;/D&gt;&lt;D xsi:type="xsd:double"&gt;2.94447268532321&lt;/D&gt;&lt;D xsi:type="xsd:double"&gt;3.07321249115371&lt;/D&gt;&lt;D xsi:type="xsd:double"&gt;3.38670297062956&lt;/D&gt;&lt;D xsi:type="xsd:double"&gt;3.0415293767492&lt;/D&gt;&lt;D xsi:type="xsd:double"&gt;3.3772600846667&lt;/D&gt;&lt;D xsi:type="xsd:double"&gt;3.75206841019579&lt;/D&gt;&lt;D xsi:type="xsd:double"&gt;3.47112585916551&lt;/D&gt;&lt;D xsi:type="xsd:double"&gt;4.03597266171524&lt;/D&gt;&lt;D xsi:type="xsd:double"&gt;4.33363460333567&lt;/D&gt;&lt;D xsi:type="xsd:double"&gt;4.25149826877693&lt;/D&gt;&lt;D xsi:type="xsd:double"&gt;4.15624660536387&lt;/D&gt;&lt;D xsi:type="xsd:double"&gt;4.55117240404986&lt;/D&gt;&lt;D xsi:type="xsd:double"&gt;5.25702450230346&lt;/D&gt;&lt;D xsi:type="xsd:double"&gt;4.15438992573214&lt;/D&gt;&lt;D xsi:type="xsd:double"&gt;4.17162814284712&lt;/D&gt;&lt;D xsi:type="xsd:double"&gt;3.9247556258496&lt;/D&gt;&lt;D xsi:type="xsd:double"&gt;4.23538727594298&lt;/D&gt;&lt;D xsi:type="xsd:double"&gt;4.59462814540153&lt;/D&gt;&lt;D xsi:type="xsd:double"&gt;4.60760975949787&lt;/D&gt;&lt;D xsi:type="xsd:double"&gt;4.31343034108653&lt;/D&gt;&lt;D xsi:type="xsd:double"&gt;3.9466586279191&lt;/D&gt;&lt;D xsi:type="xsd:double"&gt;4.10161575360581&lt;/D&gt;&lt;D xsi:type="xsd:double"&gt;3.88979559602799&lt;/D&gt;&lt;D xsi:type="xsd:double"&gt;4.31611433233014&lt;/D&gt;&lt;D xsi:type="xsd:double"&gt;4.29457880955281&lt;/D&gt;&lt;D xsi:type="xsd:double"&gt;4.33587109690195&lt;/D&gt;&lt;D xsi:type="xsd:double"&gt;4.98353101567379&lt;/D&gt;&lt;D xsi:type="xsd:double"&gt;4.96377358931566&lt;/D&gt;&lt;D xsi:type="xsd:double"&gt;4.83016454799171&lt;/D&gt;&lt;D xsi:type="xsd:double"&gt;4.88638076773217&lt;/D&gt;&lt;/FQL&gt;&lt;FQL&gt;&lt;Q&gt;EPOL^FMA_PE(NTMA,-10AY,0,AM,"PORTAGG","MEANR")&lt;/Q&gt;&lt;R&gt;121&lt;/R&gt;&lt;C&gt;1&lt;/C&gt;&lt;D xsi:type="xsd:double"&gt;13.1753455757429&lt;/D&gt;&lt;D xsi:type="xsd:double"&gt;13.9632147591623&lt;/D&gt;&lt;D xsi:type="xsd:double"&gt;13.6067228180385&lt;/D&gt;&lt;D xsi:type="xsd:double"&gt;13.768958296613&lt;/D&gt;&lt;D xsi:type="xsd:double"&gt;13.1320477388638&lt;/D&gt;&lt;D xsi:type="xsd:double"&gt;13.147692835768&lt;/D&gt;&lt;D xsi:type="xsd:double"&gt;13.5142869730485&lt;/D&gt;&lt;D xsi:type="xsd:double"&gt;13.2609312743421&lt;/D&gt;&lt;D xsi:type="xsd:double"&gt;13.366613173408&lt;/D&gt;&lt;D xsi:type="xsd:double"&gt;13.5757926795832&lt;/D&gt;&lt;D xsi:type="xsd:double"&gt;13.474374031707&lt;/D&gt;&lt;D xsi:type="xsd:double"&gt;13.3718663570406&lt;/D&gt;&lt;D xsi:type="xsd:double"&gt;13.3829625098344&lt;/D&gt;&lt;D xsi:type="xsd:double"&gt;14.4447752745716&lt;/D&gt;&lt;D xsi:type="xsd:double"&gt;14.5932881169328&lt;/D&gt;&lt;D xsi:type="xsd:double"&gt;13.5100815663807&lt;/D&gt;&lt;D xsi:type="xsd:double"&gt;12.998359686909&lt;/D&gt;&lt;D xsi:type="xsd:double"&gt;12.8169027706886&lt;/D&gt;&lt;D xsi:type="xsd:double"&gt;12.6295208360755&lt;/D&gt;&lt;D xsi:type="xsd:double"&gt;12.3222538553316&lt;/D&gt;&lt;D xsi:type="xsd:double"&gt;11.7310932431841&lt;/D&gt;&lt;D xsi:type="xsd:double"&gt;11.2361088525017&lt;/D&gt;&lt;D xsi:type="xsd:double"&gt;12.2879520581184&lt;/D&gt;&lt;D xsi:type="xsd:double"&gt;12.4283458003054&lt;/D&gt;&lt;D xsi:type="xsd:double"&gt;13.3651513264162&lt;/D&gt;&lt;D xsi:type="xsd:double"&gt;13.3417937856644&lt;/D&gt;&lt;D xsi:type="xsd:double"&gt;12.007746890523&lt;/D&gt;&lt;D xsi:type="xsd:double"&gt;11.5983280898247&lt;/D&gt;&lt;D xsi:type="xsd:double"&gt;11.3516208332628&lt;/D&gt;&lt;D xsi:type="xsd:double"&gt;12.4820712779706&lt;/D&gt;&lt;D xsi:type="xsd:double"&gt;11.607408623418&lt;/D&gt;&lt;D xsi:type="xsd:double"&gt;11.4600371958011&lt;/D&gt;&lt;D xsi:type="xsd:double"&gt;11.3915547574089&lt;/D&gt;&lt;D xsi:type="xsd:double"&gt;12.0545463779751&lt;/D&gt;&lt;D xsi:type="xsd:double"&gt;12.2149840602551&lt;/D&gt;&lt;D xsi:type="xsd:double"&gt;12.9132274518834&lt;/D&gt;&lt;D xsi:type="xsd:double"&gt;12.627079903347&lt;/D&gt;&lt;D xsi:type="xsd:double"&gt;12.3259621662432&lt;/D&gt;&lt;D xsi:type="xsd:double"&gt;12.6803149172002&lt;/D&gt;&lt;D xsi:type="xsd:double"&gt;12.3960772469846&lt;/D&gt;&lt;D xsi:type="xsd:double"&gt;12.6652131647054&lt;/D&gt;&lt;D xsi:type="xsd:double"&gt;12.5893025844769&lt;/D&gt;&lt;D xsi:type="xsd:double"&gt;12.4977826900445&lt;/D&gt;&lt;D xsi:type="xsd:double"&gt;12.4089501610752&lt;/D&gt;&lt;D xsi:type="xsd:double"&gt;11.8682283422771&lt;/D&gt;&lt;D xsi:type="xsd:double"&gt;11.7657637721101&lt;/D&gt;&lt;D xsi:type="xsd:double"&gt;12.3661004339195&lt;/D&gt;&lt;D xsi:type="xsd:double"&gt;11.8507290514125&lt;/D&gt;&lt;D xsi:type="xsd:double"&gt;11.3506475232038&lt;/D&gt;&lt;D xsi:type="xsd:double"&gt;11.5038788052705&lt;/D&gt;&lt;D xsi:type="xsd:double"&gt;11.5220620326507&lt;/D&gt;&lt;D xsi:type="xsd:double"&gt;10.8848309677791&lt;/D&gt;&lt;D xsi:type="xsd:double"&gt;10.455807350579&lt;/D&gt;&lt;D xsi:type="xsd:double"&gt;10.921298992984&lt;/D&gt;&lt;D xsi:type="xsd:double"&gt;10.5887294845469&lt;/D&gt;&lt;D xsi:type="xsd:double"&gt;10.3904178949701&lt;/D&gt;&lt;D xsi:type="xsd:double"&gt;10.5256436453848&lt;/D&gt;&lt;D xsi:type="xsd:double"&gt;10.7828833182423&lt;/D&gt;&lt;D xsi:type="xsd:double"&gt;10.7114197450752&lt;/D&gt;&lt;D xsi:type="xsd:double"&gt;10.6232888098727&lt;/D&gt;&lt;D xsi:type="xsd:double"&gt;11.0764542506371&lt;/D&gt;&lt;D xsi:type="xsd:double"&gt;11.2083895964508&lt;/D&gt;&lt;D xsi:type="xsd:double"&gt;10.1607747919885&lt;/D&gt;&lt;D xsi:type="xsd:double"&gt;10.596852482115&lt;/D&gt;&lt;D xsi:type="xsd:double"&gt;10.7980279139811&lt;/D&gt;&lt;D xsi:type="xsd:double"&gt;9.55116941414088&lt;/D&gt;&lt;D xsi:type="xsd:double"&gt;10.0462205544773&lt;/D&gt;&lt;D xsi:type="xsd:double"&gt;9.77274960693302&lt;/D&gt;&lt;D xsi:type="xsd:double"&gt;10.2572363570079&lt;/D&gt;&lt;D xsi:type="xsd:double"&gt;10.0645078122637&lt;/D&gt;&lt;D xsi:type="xsd:double"&gt;10.5725853328866&lt;/D&gt;&lt;D xsi:type="xsd:double"&gt;10.63091807367&lt;/D&gt;&lt;D xsi:type="xsd:double"&gt;7.44262448653551&lt;/D&gt;&lt;D xsi:type="xsd:double"&gt;10.0875450727803&lt;/D&gt;&lt;D xsi:type="xsd:double"&gt;11.3739602981036&lt;/D&gt;&lt;D xsi:type="xsd:double"&gt;13.0904046535577&lt;/D&gt;&lt;D xsi:type="xsd:double"&gt;12.3051275785675&lt;/D&gt;&lt;D xsi:type="xsd:double"&gt;12.7692332731077&lt;/D&gt;&lt;D xsi:type="xsd:double"&gt;11.924678356662&lt;/D&gt;&lt;D xsi:type="xsd:double"&gt;11.6614464612518&lt;/D&gt;&lt;D xsi:type="xsd:double"&gt;13.2762664603642&lt;/D&gt;&lt;D xsi:type="xsd:double"&gt;13.5704666385841&lt;/D&gt;&lt;D xsi:type="xsd:double"&gt;14.0385617714524&lt;/D&gt;&lt;D xsi:type="xsd:double"&gt;11.0747359103528&lt;/D&gt;&lt;D xsi:type="xsd:double"&gt;11.816754908656&lt;/D&gt;&lt;D xsi:type="xsd:double"&gt;12.044018590034&lt;/D&gt;&lt;D xsi:type="xsd:double"&gt;12.6343511448916&lt;/D&gt;&lt;D xsi:type="xsd:double"&gt;12.7883034908713&lt;/D&gt;&lt;D xsi:type="xsd:double"&gt;12.0984314554791&lt;/D&gt;&lt;D xsi:type="xsd:double"&gt;12.0498167519721&lt;/D&gt;&lt;D xsi:type="xsd:double"&gt;11.7415027374118&lt;/D&gt;&lt;D xsi:type="xsd:double"&gt;12.2330507013361&lt;/D&gt;&lt;D xsi:type="xsd:double"&gt;11.8187774958507&lt;/D&gt;&lt;D xsi:type="xsd:double"&gt;10.1533887339478&lt;/D&gt;&lt;D xsi:type="xsd:double"&gt;11.0468011010795&lt;/D&gt;&lt;D xsi:type="xsd:double"&gt;9.89512421787961&lt;/D&gt;&lt;D xsi:type="xsd:double"&gt;9.00812901452011&lt;/D&gt;&lt;D xsi:type="xsd:double"&gt;8.69267058812509&lt;/D&gt;&lt;D xsi:type="xsd:double"&gt;6.88140491606758&lt;/D&gt;&lt;D xsi:type="xsd:double"&gt;6.5743775199549&lt;/D&gt;&lt;D xsi:type="xsd:double"&gt;5.86871757390175&lt;/D&gt;&lt;D xsi:type="xsd:double"&gt;6.42175564725924&lt;/D&gt;&lt;D xsi:type="xsd:double"&gt;6.08279442765727&lt;/D&gt;&lt;D xsi:type="xsd:double"&gt;6.39263237250844&lt;/D&gt;&lt;D xsi:type="xsd:double"&gt;7.54549799669397&lt;/D&gt;&lt;D xsi:type="xsd:double"&gt;7.4176064753675&lt;/D&gt;&lt;D xsi:type="xsd:double"&gt;8.01569698390576&lt;/D&gt;&lt;D xsi:type="xsd:double"&gt;7.6385258154968&lt;/D&gt;&lt;D xsi:type="xsd:double"&gt;6.99383332006167&lt;/D&gt;&lt;D xsi:type="xsd:double"&gt;7.05831856177713&lt;/D&gt;&lt;D xsi:type="xsd:double"&gt;7.26824831156494&lt;/D&gt;&lt;D xsi:type="xsd:double"&gt;8.0346528326648&lt;/D&gt;&lt;D xsi:type="xsd:double"&gt;7.79626449368239&lt;/D&gt;&lt;D xsi:type="xsd:double"&gt;8.28257868203063&lt;/D&gt;&lt;D xsi:type="xsd:double"&gt;8.10731878886429&lt;/D&gt;&lt;D xsi:type="xsd:double"&gt;8.05266240131933&lt;/D&gt;&lt;D xsi:type="xsd:double"&gt;8.46893354528983&lt;/D&gt;&lt;D xsi:type="xsd:double"&gt;9.01257391815105&lt;/D&gt;&lt;D xsi:type="xsd:double"&gt;8.23742121323409&lt;/D&gt;&lt;D xsi:type="xsd:double"&gt;8.94958345182106&lt;/D&gt;&lt;D xsi:type="xsd:double"&gt;9.38584718131197&lt;/D&gt;&lt;/FQL&gt;&lt;FQL&gt;&lt;Q&gt;EWM^FMA_PE(LTMA,-10AY,0,AM,"PORTAGG","MEANR")&lt;/Q&gt;&lt;R&gt;121&lt;/R&gt;&lt;C&gt;1&lt;/C&gt;&lt;D xsi:type="xsd:double"&gt;16.7255184026646&lt;/D&gt;&lt;D xsi:type="xsd:double"&gt;16.725171701319&lt;/D&gt;&lt;D xsi:type="xsd:double"&gt;16.7140651425455&lt;/D&gt;&lt;D xsi:type="xsd:double"&gt;16.7333160423935&lt;/D&gt;&lt;D xsi:type="xsd:double"&gt;16.7463266962735&lt;/D&gt;&lt;D xsi:type="xsd:double"&gt;16.6822378766065&lt;/D&gt;&lt;D xsi:type="xsd:double"&gt;16.8318784834401&lt;/D&gt;&lt;D xsi:type="xsd:double"&gt;16.3669998995916&lt;/D&gt;&lt;D xsi:type="xsd:double"&gt;16.3910913203438&lt;/D&gt;&lt;D xsi:type="xsd:double"&gt;16.0899458662807&lt;/D&gt;&lt;D xsi:type="xsd:double"&gt;16.1372256378259&lt;/D&gt;&lt;D xsi:type="xsd:double"&gt;16.5707128841081&lt;/D&gt;&lt;D xsi:type="xsd:double"&gt;16.9925370427246&lt;/D&gt;&lt;D xsi:type="xsd:double"&gt;17.0228430673316&lt;/D&gt;&lt;D xsi:type="xsd:double"&gt;16.8746259345574&lt;/D&gt;&lt;D xsi:type="xsd:double"&gt;16.6954901870487&lt;/D&gt;&lt;D xsi:type="xsd:double"&gt;16.590358010052&lt;/D&gt;&lt;D xsi:type="xsd:double"&gt;15.8045197987682&lt;/D&gt;&lt;D xsi:type="xsd:double"&gt;16.1960157834099&lt;/D&gt;&lt;D xsi:type="xsd:double"&gt;16.7728154225177&lt;/D&gt;&lt;D xsi:type="xsd:double"&gt;16.3796612965533&lt;/D&gt;&lt;D xsi:type="xsd:double"&gt;16.2896838747984&lt;/D&gt;&lt;D xsi:type="xsd:double"&gt;16.1984308469361&lt;/D&gt;&lt;D xsi:type="xsd:double"&gt;16.3694829477498&lt;/D&gt;&lt;D xsi:type="xsd:double"&gt;16.6372277433154&lt;/D&gt;&lt;D xsi:type="xsd:double"&gt;16.6884739627084&lt;/D&gt;&lt;D xsi:type="xsd:double"&gt;16.3672683152461&lt;/D&gt;&lt;D xsi:type="xsd:double"&gt;16.564669993945&lt;/D&gt;&lt;D xsi:type="xsd:double"&gt;16.7594532901323&lt;/D&gt;&lt;D xsi:type="xsd:double"&gt;16.9919646548784&lt;/D&gt;&lt;D xsi:type="xsd:double"&gt;17.1264974720476&lt;/D&gt;&lt;D xsi:type="xsd:double"&gt;17.2887334900816&lt;/D&gt;&lt;D xsi:type="xsd:double"&gt;16.8787422045437&lt;/D&gt;&lt;D xsi:type="xsd:double"&gt;17.1394948055904&lt;/D&gt;&lt;D xsi:type="xsd:double"&gt;17.2609795206531&lt;/D&gt;&lt;D xsi:type="xsd:double"&gt;17.3080623901106&lt;/D&gt;&lt;D xsi:type="xsd:double"&gt;17.0750137444335&lt;/D&gt;&lt;D xsi:type="xsd:double"&gt;17.1251770082761&lt;/D&gt;&lt;D xsi:type="xsd:double"&gt;17.3012007820481&lt;/D&gt;&lt;D xsi:type="xsd:double"&gt;17.2942038557981&lt;/D&gt;&lt;D xsi:type="xsd:double"&gt;17.1724036642704&lt;/D&gt;&lt;D xsi:type="xsd:double"&gt;17.2981154284722&lt;/D&gt;&lt;D xsi:type="xsd:double"&gt;17.5577273540578&lt;/D&gt;&lt;D xsi:type="xsd:double"&gt;17.3989222015448&lt;/D&gt;&lt;D xsi:type="xsd:double"&gt;17.2682242061034&lt;/D&gt;&lt;D xsi:type="xsd:double"&gt;17.8955184748734&lt;/D&gt;&lt;D xsi:type="xsd:double"&gt;18.6025034526418&lt;/D&gt;&lt;D xsi:type="xsd:double"&gt;18.4691900242822&lt;/D&gt;&lt;D xsi:type="xsd:double"&gt;18.4939264756216&lt;/D&gt;&lt;D xsi:type="xsd:double"&gt;18.3550812275373&lt;/D&gt;&lt;D xsi:type="xsd:double"&gt;18.133289176038&lt;/D&gt;&lt;D xsi:type="xsd:double"&gt;17.8985404308737&lt;/D&gt;&lt;D xsi:type="xsd:double"&gt;17.5442384038011&lt;/D&gt;&lt;D xsi:type="xsd:double"&gt;17.8099565377785&lt;/D&gt;&lt;D xsi:type="xsd:double"&gt;17.789742050284&lt;/D&gt;&lt;D xsi:type="xsd:double"&gt;17.0548456197253&lt;/D&gt;&lt;D xsi:type="xsd:double"&gt;16.5889950155694&lt;/D&gt;&lt;D xsi:type="xsd:double"&gt;16.6197031644003&lt;/D&gt;&lt;D xsi:type="xsd:double"&gt;16.7833515413632&lt;/D&gt;&lt;D xsi:type="xsd:double"&gt;16.9188133968622&lt;/D&gt;&lt;D xsi:type="xsd:double"&gt;17.0437931428491&lt;/D&gt;&lt;D xsi:type="xsd:double"&gt;16.9093782299674&lt;/D&gt;&lt;D xsi:type="xsd:double"&gt;16.714324324329&lt;/D&gt;&lt;D xsi:type="xsd:double"&gt;17.0645751903025&lt;/D&gt;&lt;D xsi:type="xsd:double"&gt;17.1921566610048&lt;/D&gt;&lt;D xsi:type="xsd:double"&gt;16.858497252378&lt;/D&gt;&lt;D xsi:type="xsd:double"&gt;16.9192033288859&lt;/D&gt;&lt;D xsi:type="xsd:double"&gt;16.6075340183883&lt;/D&gt;&lt;D xsi:type="xsd:double"&gt;16.8441401290321&lt;/D&gt;&lt;D xsi:type="xsd:double"&gt;16.7705309511967&lt;/D&gt;&lt;D xsi:type="xsd:double"&gt;16.8805429111916&lt;/D&gt;&lt;D xsi:type="xsd:double"&gt;16.4397943667225&lt;/D&gt;&lt;D xsi:type="xsd:double"&gt;16.1237365599428&lt;/D&gt;&lt;D xsi:type="xsd:double"&gt;16.3493017565547&lt;/D&gt;&lt;D xsi:type="xsd:double"&gt;16.6883210888654&lt;/D&gt;&lt;D xsi:type="xsd:double"&gt;18.6299736282481&lt;/D&gt;&lt;D xsi:type="xsd:double"&gt;19.5112186152101&lt;/D&gt;&lt;D xsi:type="xsd:double"&gt;19.6082703126364&lt;/D&gt;&lt;D xsi:type="xsd:double"&gt;20.3722690096183&lt;/D&gt;&lt;D xsi:type="xsd:double"&gt;20.6726928222729&lt;/D&gt;&lt;D xsi:type="xsd:double"&gt;20.8310346504179&lt;/D&gt;&lt;D xsi:type="xsd:double"&gt;21.4780926954462&lt;/D&gt;&lt;D xsi:type="xsd:double"&gt;21.0249500428836&lt;/D&gt;&lt;D xsi:type="xsd:double"&gt;19.6888105150425&lt;/D&gt;&lt;D xsi:type="xsd:double"&gt;19.6231325050927&lt;/D&gt;&lt;D xsi:type="xsd:double"&gt;18.9862728793276&lt;/D&gt;&lt;D xsi:type="xsd:double"&gt;18.3140445766805&lt;/D&gt;&lt;D xsi:type="xsd:double"&gt;17.7534051329212&lt;/D&gt;&lt;D xsi:type="xsd:double"&gt;16.8679071567267&lt;/D&gt;&lt;D xsi:type="xsd:double"&gt;16.2239921412733&lt;/D&gt;&lt;D xsi:type="xsd:double"&gt;15.7983021940973&lt;/D&gt;&lt;D xsi:type="xsd:double"&gt;15.6717299048018&lt;/D&gt;&lt;D xsi:type="xsd:double"&gt;14.7795180810395&lt;/D&gt;&lt;D xsi:type="xsd:double"&gt;14.9452333667975&lt;/D&gt;&lt;D xsi:type="xsd:double"&gt;15.4267766079835&lt;/D&gt;&lt;D xsi:type="xsd:double"&gt;15.6982694298655&lt;/D&gt;&lt;D xsi:type="xsd:double"&gt;15.8673800806556&lt;/D&gt;&lt;D xsi:type="xsd:double"&gt;15.8697510194246&lt;/D&gt;&lt;D xsi:type="xsd:double"&gt;15.6303076212619&lt;/D&gt;&lt;D xsi:type="xsd:double"&gt;15.31693700492&lt;/D&gt;&lt;D xsi:type="xsd:double"&gt;14.9214088671656&lt;/D&gt;&lt;D xsi:type="xsd:double"&gt;15.3292716243589&lt;/D&gt;&lt;D xsi:type="xsd:double"&gt;15.0169436848088&lt;/D&gt;&lt;D xsi:type="xsd:double"&gt;14.293710201382&lt;/D&gt;&lt;D xsi:type="xsd:double"&gt;14.8251562194027&lt;/D&gt;&lt;D xsi:type="xsd:double"&gt;14.9441301319146&lt;/D&gt;&lt;D xsi:type="xsd:double"&gt;14.9972463172748&lt;/D&gt;&lt;D xsi:type="xsd:double"&gt;14.7501277157088&lt;/D&gt;&lt;D xsi:type="xsd:double"&gt;14.7060657604128&lt;/D&gt;&lt;D xsi:type="xsd:double"&gt;14.6776493582694&lt;/D&gt;&lt;D xsi:type="xsd:double"&gt;14.5333268927177&lt;/D&gt;&lt;D xsi:type="xsd:double"&gt;14.528010985166&lt;/D&gt;&lt;D xsi:type="xsd:double"&gt;14.6221665768372&lt;/D&gt;&lt;D xsi:type="xsd:double"&gt;14.7933558423971&lt;/D&gt;&lt;D xsi:type="xsd:double"&gt;14.8921930913029&lt;/D&gt;&lt;D xsi:type="xsd:double"&gt;14.8837481394045&lt;/D&gt;&lt;D xsi:type="xsd:double"&gt;14.9115292897675&lt;/D&gt;&lt;D xsi:type="xsd:double"&gt;15.1551762633011&lt;/D&gt;&lt;D xsi:type="xsd:double"&gt;15.2599169581674&lt;/D&gt;&lt;D xsi:type="xsd:double"&gt;15.4882768833421&lt;/D&gt;&lt;D xsi:type="xsd:double"&gt;15.7582962600724&lt;/D&gt;&lt;/FQL&gt;&lt;FQL&gt;&lt;Q&gt;WL-FDS^FG_PRICE_CHANGE(0,-6AM)&lt;/Q&gt;&lt;R&gt;1&lt;/R&gt;&lt;C&gt;1&lt;/C&gt;&lt;D xsi:type="xsd:double"&gt;-18.827567995775&lt;/D&gt;&lt;/FQL&gt;&lt;FQL&gt;&lt;Q&gt;W-FDS^FG_PRICE(0)/MAX(FG_PRICE(0,-1AY))&lt;/Q&gt;&lt;R&gt;1&lt;/R&gt;&lt;C&gt;1&lt;/C&gt;&lt;D xsi:type="xsd:double"&gt;0.683327852680039&lt;/D&gt;&lt;/FQL&gt;&lt;FQL&gt;&lt;Q&gt;FC0000CN^FG_PRICE(0)&lt;/Q&gt;&lt;R&gt;1&lt;/R&gt;&lt;C&gt;1&lt;/C&gt;&lt;D xsi:type="xsd:double"&gt;257.08047&lt;/D&gt;&lt;/FQL&gt;&lt;FQL&gt;&lt;Q&gt;FC0000CL^FG_PRICE(0)&lt;/Q&gt;&lt;R&gt;1&lt;/R&gt;&lt;C&gt;1&lt;/C&gt;&lt;D xsi:type="xsd:double"&gt;206.7326&lt;/D&gt;&lt;/FQL&gt;&lt;FQL&gt;&lt;Q&gt;UAE^FG_PRICE_MAVG(0,,,,60)&lt;/Q&gt;&lt;R&gt;1&lt;/R&gt;&lt;C&gt;1&lt;/C&gt;&lt;D xsi:type="xsd:double"&gt;14.7659235&lt;/D&gt;&lt;/FQL&gt;&lt;FQL&gt;&lt;Q&gt;MCHI^FG_PRICE_MAVG(0,,,,30)&lt;/Q&gt;&lt;R&gt;1&lt;/R&gt;&lt;C&gt;1&lt;/C&gt;&lt;D xsi:type="xsd:double"&gt;38.722668&lt;/D&gt;&lt;/FQL&gt;&lt;FQL&gt;&lt;Q&gt;EWZ^FG_PRICE(0)&lt;/Q&gt;&lt;R&gt;1&lt;/R&gt;&lt;C&gt;1&lt;/C&gt;&lt;D xsi:type="xsd:double"&gt;32.4&lt;/D&gt;&lt;/FQL&gt;&lt;FQL&gt;&lt;Q&gt;EPU^FG_PRICE_MAVG(0,,,,200)&lt;/Q&gt;&lt;R&gt;1&lt;/R&gt;&lt;C&gt;1&lt;/C&gt;&lt;D xsi:type="xsd:double"&gt;31.99016&lt;/D&gt;&lt;/FQL&gt;&lt;FQL&gt;&lt;Q&gt;URTH^FG_TOTAL_RETURNC(0,-3AM)&lt;/Q&gt;&lt;R&gt;1&lt;/R&gt;&lt;C&gt;1&lt;/C&gt;&lt;D xsi:type="xsd:double"&gt;8.482552&lt;/D&gt;&lt;/FQL&gt;&lt;FQL&gt;&lt;Q&gt;UAE^P_PRICE(0)/P_PRICE_LOW_PR(0,,,USD,,,"PRICE","INTRA","52W")-1&lt;/Q&gt;&lt;R&gt;1&lt;/R&gt;&lt;C&gt;1&lt;/C&gt;&lt;D xsi:type="xsd:double"&gt;0.0954169&lt;/D&gt;&lt;/FQL&gt;&lt;FQL&gt;&lt;Q&gt;MCHI^P_PRICE(0)/P_PRICE_HIGH_PR(0,,,USD,,,"PRICE","INTRA","52W")&lt;/Q&gt;&lt;R&gt;1&lt;/R&gt;&lt;C&gt;1&lt;/C&gt;&lt;D xsi:type="xsd:double"&gt;0.79450154&lt;/D&gt;&lt;/FQL&gt;&lt;FQL&gt;&lt;Q&gt;EWZ^FG_TOTAL_RETURNC(0,-6AM)&lt;/Q&gt;&lt;R&gt;1&lt;/R&gt;&lt;C&gt;1&lt;/C&gt;&lt;D xsi:type="xsd:double"&gt;3.6144733&lt;/D&gt;&lt;/FQL&gt;&lt;FQL&gt;&lt;Q&gt;EWM^FG_TOTAL_RETURNC(0,-3AM)&lt;/Q&gt;&lt;R&gt;1&lt;/R&gt;&lt;C&gt;1&lt;/C&gt;&lt;D xsi:type="xsd:double"&gt;4.380572&lt;/D&gt;&lt;/FQL&gt;&lt;FQL&gt;&lt;Q&gt;ECH^P_PRICE(0)/P_PRICE_LOW_PR(0,,,USD,,,"PRICE","INTRA","52W")-1&lt;/Q&gt;&lt;R&gt;1&lt;/R&gt;&lt;C&gt;1&lt;/C&gt;&lt;D xsi:type="xsd:double"&gt;0.1457541&lt;/D&gt;&lt;/FQL&gt;&lt;FQL&gt;&lt;Q&gt;VWO^PERCENT_CHANGE(FMA_EPS(+1,0,,,,"PORTAGG","MEAN"),FMA_EPS(+1,-3AM,,,,"PORTAGG","MEAN"))&lt;/Q&gt;&lt;R&gt;1&lt;/R&gt;&lt;C&gt;1&lt;/C&gt;&lt;D xsi:type="xsd:double"&gt;-4.3408333882002&lt;/D&gt;&lt;/FQL&gt;&lt;FQL&gt;&lt;Q&gt;TRYBR10Y-FDS^FG_YIELD(-10AY,0,Y,,"YTM")&lt;/Q&gt;&lt;R&gt;10&lt;/R&gt;&lt;C&gt;1&lt;/C&gt;&lt;D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xsi:type="xsd:double"&gt;10.455909&lt;/D&gt;&lt;/FQL&gt;&lt;FQL&gt;&lt;Q&gt;CAGDPY@ZA^EE_ACTUAL_ANNUAL(MED,+1)&lt;/Q&gt;&lt;R&gt;1&lt;/R&gt;&lt;C&gt;1&lt;/C&gt;&lt;D xsi:type="xsd:double"&gt;-2.2&lt;/D&gt;&lt;/FQL&gt;&lt;FQL&gt;&lt;Q&gt;USDTHB^FG_PRICE_CHANGE(0,-1AY)&lt;/Q&gt;&lt;R&gt;1&lt;/R&gt;&lt;C&gt;1&lt;/C&gt;&lt;D xsi:type="xsd:double"&gt;3.2015085&lt;/D&gt;&lt;/FQL&gt;&lt;FQL&gt;&lt;Q&gt;USDMYR^STD(FG_PRICE_CHANGE(0,-3AY,M))&lt;/Q&gt;&lt;R&gt;1&lt;/R&gt;&lt;C&gt;1&lt;/C&gt;&lt;D xsi:type="xsd:double"&gt;2.21991720891639&lt;/D&gt;&lt;/FQL&gt;&lt;FQL&gt;&lt;Q&gt;FC0000PL^FMA_EPS(NTMA,-20AY,0,CY,,"PORTAGG","MEANR")&lt;/Q&gt;&lt;R&gt;20&lt;/R&gt;&lt;C&gt;1&lt;/C&gt;&lt;D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xsi:type="xsd:double"&gt;23.3955887248491&lt;/D&gt;&lt;/FQL&gt;&lt;FQL&gt;&lt;Q&gt;EPHE^FMA_PE(NTMA,-10AY,0,AM,"PORTAGG","MEANR")&lt;/Q&gt;&lt;R&gt;121&lt;/R&gt;&lt;C&gt;1&lt;/C&gt;&lt;D xsi:type="xsd:double"&gt;17.3050645043366&lt;/D&gt;&lt;D xsi:type="xsd:double"&gt;17.4084428057444&lt;/D&gt;&lt;D xsi:type="xsd:double"&gt;17.9587684981326&lt;/D&gt;&lt;D xsi:type="xsd:double"&gt;17.580425561278&lt;/D&gt;&lt;D xsi:type="xsd:double"&gt;17.2320419004732&lt;/D&gt;&lt;D xsi:type="xsd:double"&gt;17.4946803873639&lt;/D&gt;&lt;D xsi:type="xsd:double"&gt;17.6844282572489&lt;/D&gt;&lt;D xsi:type="xsd:double"&gt;16.7875027768113&lt;/D&gt;&lt;D xsi:type="xsd:double"&gt;17.6608559711847&lt;/D&gt;&lt;D xsi:type="xsd:double"&gt;17.2186350608186&lt;/D&gt;&lt;D xsi:type="xsd:double"&gt;17.731721597447&lt;/D&gt;&lt;D xsi:type="xsd:double"&gt;18.1585637668681&lt;/D&gt;&lt;D xsi:type="xsd:double"&gt;18.2038499469512&lt;/D&gt;&lt;D xsi:type="xsd:double"&gt;18.5754802533659&lt;/D&gt;&lt;D xsi:type="xsd:double"&gt;18.1778653905363&lt;/D&gt;&lt;D xsi:type="xsd:double"&gt;17.2957565693506&lt;/D&gt;&lt;D xsi:type="xsd:double"&gt;17.4597869352378&lt;/D&gt;&lt;D xsi:type="xsd:double"&gt;17.2875423986721&lt;/D&gt;&lt;D xsi:type="xsd:double"&gt;16.4928996650623&lt;/D&gt;&lt;D xsi:type="xsd:double"&gt;16.3629807232561&lt;/D&gt;&lt;D xsi:type="xsd:double"&gt;15.9381513629862&lt;/D&gt;&lt;D xsi:type="xsd:double"&gt;15.9004692146278&lt;/D&gt;&lt;D xsi:type="xsd:double"&gt;14.7894617275702&lt;/D&gt;&lt;D xsi:type="xsd:double"&gt;15.3507292199019&lt;/D&gt;&lt;D xsi:type="xsd:double"&gt;16.2275085561432&lt;/D&gt;&lt;D xsi:type="xsd:double"&gt;17.1034957155682&lt;/D&gt;&lt;D xsi:type="xsd:double"&gt;16.3529909174482&lt;/D&gt;&lt;D xsi:type="xsd:double"&gt;16.7983488803564&lt;/D&gt;&lt;D xsi:type="xsd:double"&gt;17.8460584576698&lt;/D&gt;&lt;D xsi:type="xsd:double"&gt;18.27155046693&lt;/D&gt;&lt;D xsi:type="xsd:double"&gt;16.9022013429336&lt;/D&gt;&lt;D xsi:type="xsd:double"&gt;16.384679034158&lt;/D&gt;&lt;D xsi:type="xsd:double"&gt;15.3195532643685&lt;/D&gt;&lt;D xsi:type="xsd:double"&gt;15.5526084081033&lt;/D&gt;&lt;D xsi:type="xsd:double"&gt;16.5591553131206&lt;/D&gt;&lt;D xsi:type="xsd:double"&gt;16.4879413436424&lt;/D&gt;&lt;D xsi:type="xsd:double"&gt;16.8250458998902&lt;/D&gt;&lt;D xsi:type="xsd:double"&gt;17.5596939082238&lt;/D&gt;&lt;D xsi:type="xsd:double"&gt;17.6192696028662&lt;/D&gt;&lt;D xsi:type="xsd:double"&gt;17.7826044334859&lt;/D&gt;&lt;D xsi:type="xsd:double"&gt;16.7956055354362&lt;/D&gt;&lt;D xsi:type="xsd:double"&gt;16.4806795486437&lt;/D&gt;&lt;D xsi:type="xsd:double"&gt;17.016741533195&lt;/D&gt;&lt;D xsi:type="xsd:double"&gt;17.8318615713029&lt;/D&gt;&lt;D xsi:type="xsd:double"&gt;17.5956096671284&lt;/D&gt;&lt;D xsi:type="xsd:double"&gt;17.3969995417632&lt;/D&gt;&lt;D xsi:type="xsd:double"&gt;18.0066213739911&lt;/D&gt;&lt;D xsi:type="xsd:double"&gt;17.2450528583675&lt;/D&gt;&lt;D xsi:type="xsd:double"&gt;16.9348354970993&lt;/D&gt;&lt;D xsi:type="xsd:double"&gt;15.9321287296176&lt;/D&gt;&lt;D xsi:type="xsd:double"&gt;16.107398535288&lt;/D&gt;&lt;D xsi:type="xsd:double"&gt;15.7559044256809&lt;/D&gt;&lt;D xsi:type="xsd:double"&gt;15.0927890730956&lt;/D&gt;&lt;D xsi:type="xsd:double"&gt;15.2910441281718&lt;/D&gt;&lt;D xsi:type="xsd:double"&gt;14.2713016890544&lt;/D&gt;&lt;D xsi:type="xsd:double"&gt;13.5858165120624&lt;/D&gt;&lt;D xsi:type="xsd:double"&gt;13.2873654801151&lt;/D&gt;&lt;D xsi:type="xsd:double"&gt;14.9128398614679&lt;/D&gt;&lt;D xsi:type="xsd:double"&gt;15.8330629462007&lt;/D&gt;&lt;D xsi:type="xsd:double"&gt;15.4658648022709&lt;/D&gt;&lt;D xsi:type="xsd:double"&gt;15.0201519707557&lt;/D&gt;&lt;D xsi:type="xsd:double"&gt;15.2533943827368&lt;/D&gt;&lt;D xsi:type="xsd:double"&gt;14.9113788388452&lt;/D&gt;&lt;D xsi:type="xsd:double"&gt;15.441583109457&lt;/D&gt;&lt;D xsi:type="xsd:double"&gt;15.619704646245&lt;/D&gt;&lt;D xsi:type="xsd:double"&gt;14.6236117233244&lt;/D&gt;&lt;D xsi:type="xsd:double"&gt;14.1608741957532&lt;/D&gt;&lt;D xsi:type="xsd:double"&gt;13.9227101233536&lt;/D&gt;&lt;D xsi:type="xsd:double"&gt;13.9487892436842&lt;/D&gt;&lt;D xsi:type="xsd:double"&gt;14.2609109491827&lt;/D&gt;&lt;D xsi:type="xsd:double"&gt;13.8870237876932&lt;/D&gt;&lt;D xsi:type="xsd:double"&gt;13.0652902046032&lt;/D&gt;&lt;D xsi:type="xsd:double"&gt;10.4692126224157&lt;/D&gt;&lt;D xsi:type="xsd:double"&gt;11.2706375748007&lt;/D&gt;&lt;D xsi:type="xsd:double"&gt;12.9665916351819&lt;/D&gt;&lt;D xsi:type="xsd:double"&gt;16.0802239772712&lt;/D&gt;&lt;D xsi:type="xsd:double"&gt;15.4981722739179&lt;/D&gt;&lt;D xsi:type="xsd:double"&gt;16.3701282560681&lt;/D&gt;&lt;D xsi:type="xsd:double"&gt;16.0360315865614&lt;/D&gt;&lt;D xsi:type="xsd:double"&gt;15.7191777781908&lt;/D&gt;&lt;D xsi:type="xsd:double"&gt;17.8058269439677&lt;/D&gt;&lt;D xsi:type="xsd:double"&gt;17.1283357264237&lt;/D&gt;&lt;D xsi:type="xsd:double"&gt;16.7582635298132&lt;/D&gt;&lt;D xsi:type="xsd:double"&gt;16.1075190164301&lt;/D&gt;&lt;D xsi:type="xsd:double"&gt;15.4956481363073&lt;/D&gt;&lt;D xsi:type="xsd:double"&gt;14.8418032642407&lt;/D&gt;&lt;D xsi:type="xsd:double"&gt;14.3619900302325&lt;/D&gt;&lt;D xsi:type="xsd:double"&gt;16.5482718101874&lt;/D&gt;&lt;D xsi:type="xsd:double"&gt;15.9096619021814&lt;/D&gt;&lt;D xsi:type="xsd:double"&gt;14.5810409815286&lt;/D&gt;&lt;D xsi:type="xsd:double"&gt;15.9584470816754&lt;/D&gt;&lt;D xsi:type="xsd:double"&gt;16.6315014642099&lt;/D&gt;&lt;D xsi:type="xsd:double"&gt;16.6705108768755&lt;/D&gt;&lt;D xsi:type="xsd:double"&gt;15.568364515821&lt;/D&gt;&lt;D xsi:type="xsd:double"&gt;15.3006342360258&lt;/D&gt;&lt;D xsi:type="xsd:double"&gt;15.2196801532389&lt;/D&gt;&lt;D xsi:type="xsd:double"&gt;13.8432152125114&lt;/D&gt;&lt;D xsi:type="xsd:double</t>
        </r>
      </text>
    </comment>
    <comment ref="A15" authorId="0" shapeId="0" xr:uid="{DD447036-E77E-49DD-ACC7-6005296927E2}">
      <text>
        <r>
          <rPr>
            <b/>
            <sz val="9"/>
            <color indexed="81"/>
            <rFont val="Tahoma"/>
            <charset val="1"/>
          </rPr>
          <t>"&gt;14.1742684462511&lt;/D&gt;&lt;D xsi:type="xsd:double"&gt;12.6484699476677&lt;/D&gt;&lt;D xsi:type="xsd:double"&gt;13.0842867274866&lt;/D&gt;&lt;D xsi:type="xsd:double"&gt;12.60905959291&lt;/D&gt;&lt;D xsi:type="xsd:double"&gt;13.0950831232779&lt;/D&gt;&lt;D xsi:type="xsd:double"&gt;12.7241422871949&lt;/D&gt;&lt;D xsi:type="xsd:double"&gt;11.3822545151003&lt;/D&gt;&lt;D xsi:type="xsd:double"&gt;11.9511868556267&lt;/D&gt;&lt;D xsi:type="xsd:double"&gt;12.5560645437746&lt;/D&gt;&lt;D xsi:type="xsd:double"&gt;13.2497454509336&lt;/D&gt;&lt;D xsi:type="xsd:double"&gt;12.7374941175087&lt;/D&gt;&lt;D xsi:type="xsd:double"&gt;11.4542296221737&lt;/D&gt;&lt;D xsi:type="xsd:double"&gt;11.4306200999304&lt;/D&gt;&lt;D xsi:type="xsd:double"&gt;11.2388593974824&lt;/D&gt;&lt;D xsi:type="xsd:double"&gt;10.1309415362645&lt;/D&gt;&lt;D xsi:type="xsd:double"&gt;10.2989626036437&lt;/D&gt;&lt;D xsi:type="xsd:double"&gt;9.72278514659219&lt;/D&gt;&lt;D xsi:type="xsd:double"&gt;9.70915521786847&lt;/D&gt;&lt;D xsi:type="xsd:double"&gt;9.90022977721835&lt;/D&gt;&lt;D xsi:type="xsd:double"&gt;9.43921594952124&lt;/D&gt;&lt;D xsi:type="xsd:double"&gt;9.30956824200155&lt;/D&gt;&lt;D xsi:type="xsd:double"&gt;9.57237363839762&lt;/D&gt;&lt;D xsi:type="xsd:double"&gt;9.82796595707897&lt;/D&gt;&lt;D xsi:type="xsd:double"&gt;9.95168335742049&lt;/D&gt;&lt;/FQL&gt;&lt;FQL&gt;&lt;Q&gt;NI-FDS^FG_PRICE_MAVG(0,,,,30)&lt;/Q&gt;&lt;R&gt;1&lt;/R&gt;&lt;C&gt;1&lt;/C&gt;&lt;D xsi:type="xsd:double"&gt;16786&lt;/D&gt;&lt;/FQL&gt;&lt;FQL&gt;&lt;Q&gt;COPP-FDS^FG_PRICE_CHANGE(0,-1AM)&lt;/Q&gt;&lt;R&gt;1&lt;/R&gt;&lt;C&gt;1&lt;/C&gt;&lt;D xsi:type="xsd:double"&gt;9.0933657613836&lt;/D&gt;&lt;/FQL&gt;&lt;FQL&gt;&lt;Q&gt;FC0000AE^FG_PRICE(0)&lt;/Q&gt;&lt;R&gt;1&lt;/R&gt;&lt;C&gt;1&lt;/C&gt;&lt;D xsi:type="xsd:double"&gt;146.87386&lt;/D&gt;&lt;/FQL&gt;&lt;FQL&gt;&lt;Q&gt;TRYVN10Y-FDS^FG_YIELD(-10AY,0,Y,,"YTM")&lt;/Q&gt;&lt;R&gt;10&lt;/R&gt;&lt;C&gt;1&lt;/C&gt;&lt;D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xsi:type="xsd:double"&gt;2.9473283&lt;/D&gt;&lt;/FQL&gt;&lt;FQL&gt;&lt;Q&gt;CC_SA^FG_COMPANY_NAME&lt;/Q&gt;&lt;R&gt;1&lt;/R&gt;&lt;C&gt;1&lt;/C&gt;&lt;D xsi:type="xsd:string"&gt;Saudi Arabia&lt;/D&gt;&lt;/FQL&gt;&lt;FQL&gt;&lt;Q&gt;USDVND^STD(FG_PRICE_CHANGE(0,-1AY,AM))&lt;/Q&gt;&lt;R&gt;1&lt;/R&gt;&lt;C&gt;1&lt;/C&gt;&lt;D xsi:type="xsd:double"&gt;0.749944543579716&lt;/D&gt;&lt;/FQL&gt;&lt;FQL&gt;&lt;Q&gt;USDINR^FG_PRICE_CHANGE(0,-1AY)&lt;/Q&gt;&lt;R&gt;1&lt;/R&gt;&lt;C&gt;1&lt;/C&gt;&lt;D xsi:type="xsd:double"&gt;0.41145086&lt;/D&gt;&lt;/FQL&gt;&lt;FQL&gt;&lt;Q&gt;USDKRW^STD(FG_PRICE_CHANGE(0,-3AY,M))&lt;/Q&gt;&lt;R&gt;1&lt;/R&gt;&lt;C&gt;1&lt;/C&gt;&lt;D xsi:type="xsd:double"&gt;3.0108874403505&lt;/D&gt;&lt;/FQL&gt;&lt;FQL&gt;&lt;Q&gt;USDMYR^FG_PRICE_CHANGE(0,-3AM)&lt;/Q&gt;&lt;R&gt;1&lt;/R&gt;&lt;C&gt;1&lt;/C&gt;&lt;D xsi:type="xsd:double"&gt;0.28891563&lt;/D&gt;&lt;/FQL&gt;&lt;FQL&gt;&lt;Q&gt;USDPHP^STD(FG_PRICE_CHANGE(0,-1AY,AM))&lt;/Q&gt;&lt;R&gt;1&lt;/R&gt;&lt;C&gt;1&lt;/C&gt;&lt;D xsi:type="xsd:double"&gt;1.62887317565024&lt;/D&gt;&lt;/FQL&gt;&lt;FQL&gt;&lt;Q&gt;EIDO^P_PRICE_RETURNS_PR('52W',2,-10AY,0,AM)&lt;/Q&gt;&lt;R&gt;121&lt;/R&gt;&lt;C&gt;1&lt;/C&gt;&lt;D xsi:type="xsd:double"&gt;-15.535217&lt;/D&gt;&lt;D xsi:type="xsd:double"&gt;-17.106987&lt;/D&gt;&lt;D xsi:type="xsd:double"&gt;-16.695494&lt;/D&gt;&lt;D xsi:type="xsd:double"&gt;-11.9847355&lt;/D&gt;&lt;D xsi:type="xsd:double"&gt;-4.5138&lt;/D&gt;&lt;D xsi:type="xsd:double"&gt;-0.9901464&lt;/D&gt;&lt;D xsi:type="xsd:double"&gt;15.896106&lt;/D&gt;&lt;D xsi:type="xsd:double"&gt;-2.257967&lt;/D&gt;&lt;D xsi:type="xsd:double"&gt;11.958086&lt;/D&gt;&lt;D xsi:type="xsd:double"&gt;20.373714&lt;/D&gt;&lt;D xsi:type="xsd:double"&gt;14.447821&lt;/D&gt;&lt;D xsi:type="xsd:double"&gt;14.120221&lt;/D&gt;&lt;D xsi:type="xsd:double"&gt;1.0541439&lt;/D&gt;&lt;D xsi:type="xsd:double"&gt;-0.34986138&lt;/D&gt;&lt;D xsi:type="xsd:double"&gt;-9.12416&lt;/D&gt;&lt;D xsi:type="xsd:double"&gt;-12.086069&lt;/D&gt;&lt;D xsi:type="xsd:double"&gt;-15.63046&lt;/D&gt;&lt;D xsi:type="xsd:double"&gt;-27.14873&lt;/D&gt;&lt;D xsi:type="xsd:double"&gt;-31.257374&lt;/D&gt;&lt;D xsi:type="xsd:double"&gt;-18.856632&lt;/D&gt;&lt;D xsi:type="xsd:double"&gt;-24.523342&lt;/D&gt;&lt;D xsi:type="xsd:double"&gt;-25.045187&lt;/D&gt;&lt;D xsi:type="xsd:double"&gt;-20.137983&lt;/D&gt;&lt;D xsi:type="xsd:double"&gt;-16.722233&lt;/D&gt;&lt;D xsi:type="xsd:double"&gt;-8.036881&lt;/D&gt;&lt;D xsi:type="xsd:double"&gt;-13.224965&lt;/D&gt;&lt;D xsi:type="xsd:double"&gt;-12.986058&lt;/D&gt;&lt;D xsi:type="xsd:double"&gt;-2.2753775&lt;/D&gt;&lt;D xsi:type="xsd:double"&gt;7.958269&lt;/D&gt;&lt;D xsi:type="xsd:double"&gt;31.269884&lt;/D&gt;&lt;D xsi:type="xsd:double"&gt;31.60038&lt;/D&gt;&lt;D xsi:type="xsd:double"&gt;27.797377&lt;/D&gt;&lt;D xsi:type="xsd:double"&gt;17.797482&lt;/D&gt;&lt;D xsi:type="xsd:double"&gt;23.299503&lt;/D&gt;&lt;D xsi:type="xsd:double"&gt;20.936954&lt;/D&gt;&lt;D xsi:type="xsd:double"&gt;11.799192&lt;/D&gt;&lt;D xsi:type="xsd:double"&gt;4.8772573&lt;/D&gt;&lt;D xsi:type="xsd:double"&gt;10.868061&lt;/D&gt;&lt;D xsi:type="xsd:double"&gt;19.39957&lt;/D&gt;&lt;D xsi:type="xsd:double"&gt;21.724546&lt;/D&gt;&lt;D xsi:type="xsd:double"&gt;9.985006&lt;/D&gt;&lt;D xsi:type="xsd:double"&gt;3.3394694&lt;/D&gt;&lt;D xsi:type="xsd:double"&gt;10.793316&lt;/D&gt;&lt;D xsi:type="xsd:double"&gt;5.233407&lt;/D&gt;&lt;D xsi:type="xsd:double"&gt;15.247273&lt;/D&gt;&lt;D xsi:type="xsd:double"&gt;16.670406&lt;/D&gt;&lt;D xsi:type="xsd:double"&gt;20.947765&lt;/D&gt;&lt;D xsi:type="xsd:double"&gt;20.279085&lt;/D&gt;&lt;D xsi:type="xsd:double"&gt;14.021921&lt;/D&gt;&lt;D xsi:type="xsd:double"&gt;6.4383626&lt;/D&gt;&lt;D xsi:type="xsd:double"&gt;-4.3984413&lt;/D&gt;&lt;D xsi:type="xsd:double"&gt;-6.2293234&lt;/D&gt;&lt;D xsi:type="xsd:double"&gt;-11.439568&lt;/D&gt;&lt;D xsi:type="xsd:double"&gt;-13.909316&lt;/D&gt;&lt;D xsi:type="xsd:double"&gt;-12.905657&lt;/D&gt;&lt;D xsi:type="xsd:double"&gt;-18.029625&lt;/D&gt;&lt;D xsi:type="xsd:double"&gt;-10.209656&lt;/D&gt;&lt;D xsi:type="xsd:double"&gt;-7.546532&lt;/D&gt;&lt;D xsi:type="xsd:double"&gt;-8.092171&lt;/D&gt;&lt;D xsi:type="xsd:double"&gt;-10.530096&lt;/D&gt;&lt;D xsi:type="xsd:double"&gt;-7.6393185&lt;/D&gt;&lt;D xsi:type="xsd:double"&gt;-4.6860456&lt;/D&gt;&lt;D xsi:type="xsd:double"&gt;-3.7678063&lt;/D&gt;&lt;D xsi:type="xsd:double"&gt;1.2218118&lt;/D&gt;&lt;D xsi:type="xsd:double"&gt;13.665366&lt;/D&gt;&lt;D xsi:type="xsd:double"&gt;9.560644&lt;/D&gt;&lt;D xsi:type="xsd:double"&gt;15.052533&lt;/D&gt;&lt;D xsi:type="xsd:double"&gt;15.3476&lt;/D&gt;&lt;D xsi:type="xsd:double"&gt;6.885791&lt;/D&gt;&lt;D xsi:type="xsd:double"&gt;1.6638875&lt;/D&gt;&lt;D xsi:type="xsd:double"&gt;2.0498633&lt;/D&gt;&lt;D xsi:type="xsd:double"&gt;-5.5898547&lt;/D&gt;&lt;D xsi:type="xsd:double"&gt;-26.799606&lt;/D&gt;&lt;D xsi:type="xsd:double"&gt;-37.395023&lt;/D&gt;&lt;D xsi:type="xsd:double"&gt;-31.523693&lt;/D&gt;&lt;D xsi:type="xsd:double"&gt;-26.126158&lt;/D&gt;&lt;D xsi:type="xsd:double"&gt;-25.790417&lt;/D&gt;&lt;D xsi:type="xsd:double"&gt;-19.265837&lt;/D&gt;&lt;D xsi:type="xsd:double"&gt;-27.241898&lt;/D&gt;&lt;D xsi:type="xsd:double"&gt;-22.680473&lt;/D&gt;&lt;D xsi:type="xsd:double"&gt;-12.362152&lt;/D&gt;&lt;D xsi:type="xsd:double"&gt;-6.080085&lt;/D&gt;&lt;D xsi:type="xsd:double"&gt;-3.8883567&lt;/D&gt;&lt;D xsi:type="xsd:double"&gt;-0.9882331&lt;/D&gt;&lt;D xsi:type="xsd:double"&gt;39.36987&lt;/D&gt;&lt;D xsi:type="xsd:double"&gt;38.67302&lt;/D&gt;&lt;D xsi:type="xsd:double"&gt;38.84728&lt;/D&gt;&lt;D xsi:type="xsd:double"&gt;21.616722&lt;/D&gt;&lt;D xsi:type="xsd:double"&gt;4.9568176&lt;/D&gt;&lt;D xsi:type="xsd:double"&gt;8.826769&lt;/D&gt;&lt;D xsi:type="xsd:double"&gt;18.417025&lt;/D&gt;&lt;D xsi:type="xsd:double"&gt;34.249126&lt;/D&gt;&lt;D xsi:type="xsd:double"&gt;15.028787&lt;/D&gt;&lt;D xsi:type="xsd:double"&gt;0.95107555&lt;/D&gt;&lt;D xsi:type="xsd:double"&gt;-3.7396789&lt;/D&gt;&lt;D xsi:type="xsd:double"&gt;0.66775084&lt;/D&gt;&lt;D xsi:type="xsd:double"&gt;8.471811&lt;/D&gt;&lt;D xsi:type="xsd:double"&gt;14.32457&lt;/D&gt;&lt;D xsi:type="xsd:double"&gt;9.940982&lt;/D&gt;&lt;D xsi:type="xsd:double"&gt;6.314492&lt;/D&gt;&lt;D xsi:type="xsd:double"&gt;9.849226&lt;/D&gt;&lt;D xsi:type="xsd:double"&gt;20.17281&lt;/D&gt;&lt;D xsi:type="xsd:double"&gt;16.534424&lt;/D&gt;&lt;D xsi:type="xsd:double"&gt;-6.3039303&lt;/D&gt;&lt;D xsi:type="xsd:double"&gt;-0.304538&lt;/D&gt;&lt;D xsi:type="xsd:double"&gt;1.5884757&lt;/D&gt;&lt;D xsi:type="xsd:double"&gt;-2.50175&lt;/D&gt;&lt;D xsi:type="xsd:double"&gt;1.3991833&lt;/D&gt;&lt;D xsi:type="xsd:double"&gt;-8.781129&lt;/D&gt;&lt;D xsi:type="xsd:double"&gt;1.552701&lt;/D&gt;&lt;D xsi:type="xsd:double"&gt;5.15697&lt;/D&gt;&lt;D xsi:type="xsd:double"&gt;5.856335&lt;/D&gt;&lt;D xsi:type="xsd:double"&gt;13.327896&lt;/D&gt;&lt;D xsi:type="xsd:double"&gt;-2.0853221&lt;/D&gt;&lt;D xsi:type="xsd:double"&gt;-4.9622&lt;/D&gt;&lt;D xsi:type="xsd:double"&gt;-2.9268801&lt;/D&gt;&lt;D xsi:type="xsd:double"&gt;-4.837352&lt;/D&gt;&lt;D xsi:type="xsd:double"&gt;-1.326108&lt;/D&gt;&lt;D xsi:type="xsd:double"&gt;4.467392&lt;/D&gt;&lt;D xsi:type="xsd:double"&gt;-0.6466687&lt;/D&gt;&lt;D xsi:type="xsd:double"&gt;7.5374246&lt;/D&gt;&lt;/FQL&gt;&lt;FQL&gt;&lt;Q&gt;ECH^FG_TOTAL_RETURNC(-10AY,0,AM)&lt;/Q&gt;&lt;R&gt;121&lt;/R&gt;&lt;C&gt;1&lt;/C&gt;&lt;D xsi:type="xsd:double"&gt;-5.6182265&lt;/D&gt;&lt;D xsi:type="xsd:double"&gt;11.977041&lt;/D&gt;&lt;D xsi:type="xsd:double"&gt;1.5157938&lt;/D&gt;&lt;D xsi:type="xsd:double"&gt;-3.659302&lt;/D&gt;&lt;D xsi:type="xsd:double"&gt;3.1815052&lt;/D&gt;&lt;D xsi:type="xsd:double"&gt;-5.577004&lt;/D&gt;&lt;D xsi:type="xsd:double"&gt;-1.9536614&lt;/D&gt;&lt;D xsi:type="xsd:double"&gt;-3.1742334&lt;/D&gt;&lt;D xsi:type="xsd:double"&gt;0.6460905&lt;/D&gt;&lt;D xsi:type="xsd:double"&gt;-7.465535&lt;/D&gt;&lt;D xsi:type="xsd:double"&gt;-2.3760974&lt;/D&gt;&lt;D xsi:type="xsd:double"&gt;8.118081&lt;/D&gt;&lt;D xsi:type="xsd:double"&gt;-7.1184816&lt;/D&gt;&lt;D xsi:type="xsd:double"&gt;9.632551&lt;/D&gt;&lt;D xsi:type="xsd:double"&gt;5.3866386&lt;/D&gt;&lt;D xsi:type="xsd:double"&gt;-9.154928&lt;/D&gt;&lt;D xsi:type="xsd:double"&gt;-3.3987641&lt;/D&gt;&lt;D xsi:type="xsd:double"&gt;-9.27239&lt;/D&gt;&lt;D xsi:type="xsd:double"&gt;-0.60798526&lt;/D&gt;&lt;D xsi:type="xsd:double"&gt;2.4177074&lt;/D&gt;&lt;D xsi:type="xsd:double"&gt;-5.0056815&lt;/D&gt;&lt;D xsi:type="xsd:double"&gt;-7.6047955&lt;/D&gt;&lt;D xsi:type="xsd:double"&gt;-1.2047529&lt;/D&gt;&lt;D xsi:type="xsd:double"&gt;7.9328537&lt;/D&gt;&lt;D xsi:type="xsd:double"&gt;8.295202&lt;/D&gt;&lt;D xsi:type="xsd:double"&gt;4.5057774&lt;/D&gt;&lt;D xsi:type="xsd:double"&gt;-3.3144712&lt;/D&gt;&lt;D xsi:type="xsd:double"&gt;-1.0869563&lt;/D&gt;&lt;D xsi:type="xsd:double"&gt;9.587622&lt;/D&gt;&lt;D xsi:type="xsd:double"&gt;2.2001028&lt;/D&gt;&lt;D xsi:type="xsd:double"&gt;-7.457715&lt;/D&gt;&lt;D xsi:type="xsd:double"&gt;3.544724&lt;/D&gt;&lt;D xsi:type="xsd:double"&gt;-1.604706&lt;/D&gt;&lt;D xsi:type="xsd:double"&gt;4.3218255&lt;/D&gt;&lt;D xsi:type="xsd:double"&gt;0.9523034&lt;/D&gt;&lt;D xsi:type="xsd:double"&gt;6.5582275&lt;/D&gt;&lt;D xsi:type="xsd:double"&gt;-1.0176957&lt;/D&gt;&lt;D xsi:type="xsd:double"&gt;10.477364&lt;/D&gt;&lt;D xsi:type="xsd:double"&gt;-4.7418537&lt;/D&gt;&lt;D xsi:type="xsd:double"&gt;2.2563338&lt;/D&gt;&lt;D xsi:type="xsd:double"&gt;2.9670238&lt;/D&gt;&lt;D xsi:type="xsd:double"&gt;2.3130536&lt;/D&gt;&lt;D xsi:type="xsd:double"&gt;6.1457396&lt;/D&gt;&lt;D xsi:type="xsd:double"&gt;5.7071924&lt;/D&gt;&lt;D xsi:type="xsd:double"&gt;-5.1838756&lt;/D&gt;&lt;D xsi:type="xsd:double"&gt;-4.0024815&lt;/D&gt;&lt;D xsi:type="xsd:double"&gt;18.35848&lt;/D&gt;&lt;D xsi:type="xsd:double"&gt;-1.9810975&lt;/D&gt;&lt;D xsi:type="xsd:double"&gt;-0.2410531&lt;/D&gt;&lt;D xsi:type="xsd:double"&gt;1.6542792&lt;/D&gt;&lt;D xsi:type="xsd:double"&gt;-3.6752582&lt;/D&gt;&lt;D xsi:type="xsd:double"&gt;-5.410022&lt;/D&gt;&lt;D xsi:type="xsd:double"&gt;-5.4735184&lt;/D&gt;&lt;D xsi:type="xsd:double"&gt;-3.1811237&lt;/D&gt;&lt;D xsi:type="xsd:double"&gt;-1.0952234&lt;/D&gt;&lt;D xsi:type="xsd:double"&gt;-2.6892602&lt;/D&gt;&lt;D xsi:type="xsd:double"&gt;-0.60381293&lt;/D&gt;&lt;D xsi:type="xsd:double"&gt;-0.09346008&lt;/D&gt;&lt;D xsi:type="xsd:double"&gt;4.877317&lt;/D&gt;&lt;D xsi:type="xsd:double"&gt;1.3175488&lt;/D&gt;&lt;D xsi:type="xsd:double"&gt;-2.1820545&lt;/D&gt;&lt;D xsi:type="xsd:double"&gt;0.63091516&lt;/D&gt;&lt;D xsi:type="xsd:double"&gt;-9.807438&lt;/D&gt;&lt;D xsi:type="xsd:double"&gt;-0.94338655&lt;/D&gt;&lt;D xsi:type="xsd:double"&gt;3.9595008&lt;/D&gt;&lt;D xsi:type="xsd:double"&gt;-11.081087&lt;/D&gt;&lt;D xsi:type="xsd:double"&gt;5.775082&lt;/D&gt;&lt;D xsi:type="xsd:double"&gt;0.9535074&lt;/D&gt;&lt;D xsi:type="xsd:double"&gt;-22.240913&lt;/D&gt;&lt;D xsi:type="xsd:double"&gt;12.945091&lt;/D&gt;&lt;D xsi:type="xsd:double"&gt;0.80908537&lt;/D&gt;&lt;D xsi:type="xsd:double"&gt;-8.582312&lt;/D&gt;&lt;D xsi:type="xsd:double"&gt;-24.767702&lt;/D&gt;&lt;D xsi:type="xsd:double"&gt;4.0034056&lt;/D&gt;&lt;D xsi:type="xsd:double"&gt;-2.702701&lt;/D&gt;&lt;D xsi:type="xsd:double"&gt;12.28956&lt;/D&gt;&lt;D xsi:type="xsd:double"&gt;6.1162114&lt;/D&gt;&lt;D xsi:type="xsd:double"&gt;-5.2934885&lt;/D&gt;&lt;D xsi:type="xsd:double"&gt;-3.7642598&lt;/D&gt;&lt;D xsi:type="xsd:double"&gt;-6.6771984&lt;/D&gt;&lt;D xsi:type="xsd:double"&gt;14.225233&lt;/D&gt;&lt;D xsi:type="xsd:double"&gt;5.623579&lt;/D&gt;&lt;D xsi:type="xsd:double"&gt;15.20282&lt;/D&gt;&lt;D xsi:type="xsd:double"&gt;-0.7348478&lt;/D&gt;&lt;D xsi:type="xsd:double"&gt;5.0586104&lt;/D&gt;&lt;D xsi:type="xsd:double"&gt;1.9671082&lt;/D&gt;&lt;D xsi:type="xsd:double"&gt;-6.2769947&lt;/D&gt;&lt;D xsi:type="xsd:double"&gt;-6.5490365&lt;/D&gt;&lt;D xsi:type="xsd:double"&gt;-8.692747&lt;/D&gt;&lt;D xsi:type="xsd:double"&gt;2.4166942&lt;/D&gt;&lt;D xsi:type="xsd:double"&gt;-1.6446173&lt;/D&gt;&lt;D xsi:type="xsd:double"&gt;-14.031261&lt;/D&gt;&lt;D xsi:type="xsd:double"&gt;15.0105715&lt;/D&gt;&lt;D xsi:type="xsd:double"&gt;-12.125528&lt;/D&gt;&lt;D xsi:type="xsd:double"&gt;8.68113&lt;/D&gt;&lt;D xsi:type="xsd:double"&gt;3.4194827&lt;/D&gt;&lt;D xsi:type="xsd:double"&gt;-0.1922369&lt;/D&gt;&lt;D xsi:type="xsd:double"&gt;7.2419167&lt;/D&gt;&lt;D xsi:type="xsd:double"&gt;-5.818969&lt;/D&gt;&lt;D xsi:type="xsd:double"&gt;5.0430655&lt;/D&gt;&lt;D xsi:type="xsd:double"&gt;-16.276432&lt;/D&gt;&lt;D xsi:type="xsd:double"&gt;27.086151&lt;/D&gt;&lt;D xsi:type="xsd:double"&gt;-1.1534989&lt;/D&gt;&lt;D xsi:type="xsd:double"&gt;-16.876125&lt;/D&gt;&lt;D xsi:type="xsd:double"&gt;17.365015&lt;/D&gt;&lt;D xsi:type="xsd:double"&gt;-1.3151228&lt;/D&gt;&lt;D xsi:type="xsd:double"&gt;4.6671867&lt;/D&gt;&lt;D xsi:type="xsd:double"&gt;7.529235&lt;/D&gt;&lt;D xsi:type="xsd:double"&gt;-3.0251503&lt;/D&gt;&lt;D xsi:type="xsd:double"&gt;2.5236607&lt;/D&gt;&lt;D xsi:type="xsd:double"&gt;3.7264943&lt;/D&gt;&lt;D xsi:type="xsd:double"&gt;-0.914526&lt;/D&gt;&lt;D xsi:type="xsd:double"&gt;6.295395&lt;/D&gt;&lt;D xsi:type="xsd:double"&gt;-4.978842&lt;/D&gt;&lt;D xsi:type="xsd:double"&gt;-7.0205507&lt;/D&gt;&lt;D xsi:type="xsd:double"&gt;-8.176792&lt;/D&gt;&lt;D xsi:type="xsd:double"&gt;3.4496665&lt;/D&gt;&lt;D xsi:type="xsd:double"&gt;10.779369&lt;/D&gt;&lt;D xsi:type="xsd:double"&gt;-8.163386&lt;/D&gt;&lt;D xsi:type="xsd:double"&gt;-3.7207484&lt;/D&gt;&lt;D xsi:type="xsd:double"&gt;8.047808&lt;/D&gt;&lt;/FQL&gt;&lt;FQL&gt;&lt;Q&gt;EPHE^FMA_DIV_YLD(NTMA,-10AY,0,AM,"PORTAGG","MEANR")&lt;/Q&gt;&lt;R&gt;121&lt;/R&gt;&lt;C&gt;1&lt;/C&gt;&lt;D xsi:type="xsd:double"&gt;2.18138345708671&lt;/D&gt;&lt;D xsi:type="xsd:double"&gt;2.13244805079998&lt;/D&gt;&lt;D xsi:type="xsd:double"&gt;2.03643970330743&lt;/D&gt;&lt;D xsi:type="xsd:double"&gt;2.16276278846143&lt;/D&gt;&lt;D xsi:type="xsd:double"&gt;2.07410780676299&lt;/D&gt;&lt;D xsi:type="xsd:double"&gt;2.03426693171094&lt;/D&gt;&lt;D xsi:type="xsd:double"&gt;1.95890486614023&lt;/D&gt;&lt;D xsi:type="xsd:double"&gt;2.30338762347253&lt;/D&gt;&lt;D xsi:type="xsd:double"&gt;2.15619108381836&lt;/D&gt;&lt;D xsi:type="xsd:double"&gt;2.15784695373281&lt;/D&gt;&lt;D xsi:type="xsd:double"&gt;2.10445952096627&lt;/D&gt;&lt;D xsi:type="xsd:double"&gt;1.99080450942468&lt;/D&gt;&lt;D xsi:type="xsd:double"&gt;1.92104392222499&lt;/D&gt;&lt;D xsi:type="xsd:double"&gt;1.86868311201929&lt;/D&gt;&lt;D xsi:type="xsd:double"&gt;1.92747372038269&lt;/D&gt;&lt;D xsi:type="xsd:double"&gt;1.99422394541449&lt;/D&gt;&lt;D xsi:type="xsd:double"&gt;1.91887504856528&lt;/D&gt;&lt;D xsi:type="xsd:double"&gt;1.96304128679347&lt;/D&gt;&lt;D xsi:type="xsd:double"&gt;2.05422104499902&lt;/D&gt;&lt;D xsi:type="xsd:double"&gt;2.03444042123465&lt;/D&gt;&lt;D xsi:type="xsd:double"&gt;2.06116511603316&lt;/D&gt;&lt;D xsi:type="xsd:double"&gt;2.00089442730103&lt;/D&gt;&lt;D xsi:type="xsd:double"&gt;2.13220987942659&lt;/D&gt;&lt;D xsi:type="xsd:double"&gt;2.04372261787286&lt;/D&gt;&lt;D xsi:type="xsd:double"&gt;1.84976986311215&lt;/D&gt;&lt;D xsi:type="xsd:double"&gt;1.75652560309055&lt;/D&gt;&lt;D xsi:type="xsd:double"&gt;1.7517300098161&lt;/D&gt;&lt;D xsi:type="xsd:double"&gt;1.72073608749341&lt;/D&gt;&lt;D xsi:type="xsd:double"&gt;1.6429720830747&lt;/D&gt;&lt;D xsi:type="xsd:double"&gt;1.60313826580536&lt;/D&gt;&lt;D xsi:type="xsd:double"&gt;1.68153922497004&lt;/D&gt;&lt;D xsi:type="xsd:double"&gt;1.69396684167683&lt;/D&gt;&lt;D xsi:type="xsd:double"&gt;1.80710848201868&lt;/D&gt;&lt;D xsi:type="xsd:double"&gt;1.73687068033329&lt;/D&gt;&lt;D xsi:type="xsd:double"&gt;1.65894247901503&lt;/D&gt;&lt;D xsi:type="xsd:double"&gt;1.65093889248938&lt;/D&gt;&lt;D xsi:type="xsd:double"&gt;1.65791717289251&lt;/D&gt;&lt;D xsi:type="xsd:double"&gt;1.58840968966835&lt;/D&gt;&lt;D xsi:type="xsd:double"&gt;1.55123049851669&lt;/D&gt;&lt;D xsi:type="xsd:double"&gt;1.54451123972985&lt;/D&gt;&lt;D xsi:type="xsd:double"&gt;1.57005520871676&lt;/D&gt;&lt;D xsi:type="xsd:double"&gt;1.56774245149322&lt;/D&gt;&lt;D xsi:type="xsd:double"&gt;1.5252436901477&lt;/D&gt;&lt;D xsi:type="xsd:double"&gt;1.43644880079153&lt;/D&gt;&lt;D xsi:type="xsd:double"&gt;1.47642201963087&lt;/D&gt;&lt;D xsi:type="xsd:double"&gt;1.55281945969447&lt;/D&gt;&lt;D xsi:type="xsd:double"&gt;1.53550079769237&lt;/D&gt;&lt;D xsi:type="xsd:double"&gt;1.55346845865577&lt;/D&gt;&lt;D xsi:type="xsd:double"&gt;1.59073742189264&lt;/D&gt;&lt;D xsi:type="xsd:double"&gt;1.7064504456016&lt;/D&gt;&lt;D xsi:type="xsd:double"&gt;1.73109056732053&lt;/D&gt;&lt;D xsi:type="xsd:double"&gt;1.78031483072682&lt;/D&gt;&lt;D xsi:type="xsd:double"&gt;1.79731711986914&lt;/D&gt;&lt;D xsi:type="xsd:double"&gt;1.78329373857917&lt;/D&gt;&lt;D xsi:type="xsd:double"&gt;1.81033279646144&lt;/D&gt;&lt;D xsi:type="xsd:double"&gt;1.93514785891136&lt;/D&gt;&lt;D xsi:type="xsd:double"&gt;1.9546525165296&lt;/D&gt;&lt;D xsi:type="xsd:double"&gt;1.77488847846328&lt;/D&gt;&lt;D xsi:type="xsd:double"&gt;1.65738192732421&lt;/D&gt;&lt;D xsi:type="xsd:double"&gt;1.67414286145061&lt;/D&gt;&lt;D xsi:type="xsd:double"&gt;1.77533679416119&lt;/D&gt;&lt;D xsi:type="xsd:double"&gt;1.73712667477661&lt;/D&gt;&lt;D xsi:type="xsd:double"&gt;1.82408821337547&lt;/D&gt;&lt;D xsi:type="xsd:double"&gt;1.76364887903574&lt;/D&gt;&lt;D xsi:type="xsd:double"&gt;1.7081022837338&lt;/D&gt;&lt;D xsi:type="xsd:double"&gt;1.81821429492302&lt;/D&gt;&lt;D xsi:type="xsd:double"&gt;1.8317530586677&lt;/D&gt;&lt;D xsi:type="xsd:double"&gt;1.85707545288131&lt;/D&gt;&lt;D xsi:type="xsd:double"&gt;1.84715272286744&lt;/D&gt;&lt;D xsi:type="xsd:double"&gt;1.85782256688956&lt;/D&gt;&lt;D xsi:type="xsd:double"&gt;1.82609133530367&lt;/D&gt;&lt;D xsi:type="xsd:double"&gt;1.9315739022098&lt;/D&gt;&lt;D xsi:type="xsd:double"&gt;2.44403335458799&lt;/D&gt;&lt;D xsi:type="xsd:double"&gt;2.4338551958801&lt;/D&gt;&lt;D xsi:type="xsd:double"&gt;2.38178941608848&lt;/D&gt;&lt;D xsi:type="xsd:double"&gt;2.03401804547849&lt;/D&gt;&lt;D xsi:type="xsd:double"&gt;2.08551747722282&lt;/D&gt;&lt;D xsi:type="xsd:double"&gt;2.06110934674623&lt;/D&gt;&lt;D xsi:type="xsd:double"&gt;2.06838811929994&lt;/D&gt;&lt;D xsi:type="xsd:double"&gt;1.96900543287073&lt;/D&gt;&lt;D xsi:type="xsd:double"&gt;1.65573658398506&lt;/D&gt;&lt;D xsi:type="xsd:double"&gt;1.66380971675815&lt;/D&gt;&lt;D xsi:type="xsd:double"&gt;1.67703957578948&lt;/D&gt;&lt;D xsi:type="xsd:double"&gt;1.76804908195132&lt;/D&gt;&lt;D xsi:type="xsd:double"&gt;1.83467969148008&lt;/D&gt;&lt;D xsi:type="xsd:double"&gt;1.95230121148054&lt;/D&gt;&lt;D xsi:type="xsd:double"&gt;2.04362057751147&lt;/D&gt;&lt;D xsi:type="xsd:double"&gt;1.88780827764356&lt;/D&gt;&lt;D xsi:type="xsd:double"&gt;1.94440707807609&lt;/D&gt;&lt;D xsi:type="xsd:double"&gt;2.08841519130329&lt;/D&gt;&lt;D xsi:type="xsd:double"&gt;1.87832352647471&lt;/D&gt;&lt;D xsi:type="xsd:double"&gt;1.79471864158188&lt;/D&gt;&lt;D xsi:type="xsd:double"&gt;1.74271855135768&lt;/D&gt;&lt;D xsi:type="xsd:double"&gt;1.76527671855964&lt;/D&gt;&lt;D xsi:type="xsd:double"&gt;1.79100317071483&lt;/D&gt;&lt;D xsi:type="xsd:double"&gt;1.82214914733783&lt;/D&gt;&lt;D xsi:type="xsd:double"&gt;2.04317152690987&lt;/D&gt;&lt;D xsi:type="xsd:double"&gt;2.08304755105084&lt;/D&gt;&lt;D xsi:type="xsd:double"&gt;2.46111608573564&lt;/D&gt;&lt;D xsi:type="xsd:double"&gt;2.26481470986465&lt;/D&gt;&lt;D xsi:type="xsd:double"&gt;2.4595259823996&lt;/D&gt;&lt;D xsi:type="xsd:double"&gt;2.26765589181357&lt;/D&gt;&lt;D xsi:type="xsd:double"&gt;2.31940430951464&lt;/D&gt;&lt;D xsi:type="xsd:double"&gt;2.70572348327675&lt;/D&gt;&lt;D xsi:type="xsd:double"&gt;2.5220793885851&lt;/D&gt;&lt;D xsi:type="xsd:double"&gt;2.35088841186767&lt;/D&gt;&lt;D xsi:type="xsd:double"&gt;2.24275401725529&lt;/D&gt;&lt;D xsi:type="xsd:double"&gt;2.34351859787104&lt;/D&gt;&lt;D xsi:type="xsd:double"&gt;2.74580558270966&lt;/D&gt;&lt;D xsi:type="xsd:double"&gt;2.80681746141577&lt;/D&gt;&lt;D xsi:type="xsd:double"&gt;2.75461363134428&lt;/D&gt;&lt;D xsi:type="xsd:double"&gt;2.96735435073481&lt;/D&gt;&lt;D xsi:type="xsd:double"&gt;2.94669526334803&lt;/D&gt;&lt;D xsi:type="xsd:double"&gt;3.01638112947621&lt;/D&gt;&lt;D xsi:type="xsd:double"&gt;2.82711506996167&lt;/D&gt;&lt;D xsi:type="xsd:double"&gt;2.87116153018775&lt;/D&gt;&lt;D xsi:type="xsd:double"&gt;3.11656407785107&lt;/D&gt;&lt;D xsi:type="xsd:double"&gt;3.22311966761569&lt;/D&gt;&lt;D xsi:type="xsd:double"&gt;3.10465950442047&lt;/D&gt;&lt;D xsi:type="xsd:double"&gt;2.82602935718279&lt;/D&gt;&lt;D xsi:type="xsd:double"&gt;2.80687894614455&lt;/D&gt;&lt;/FQL&gt;&lt;FQL&gt;&lt;Q&gt;EPU^FMA_PE(LTMA,-10AY,0,AM,"PORTAGG","MEANR")&lt;/Q&gt;&lt;R&gt;121&lt;/R&gt;&lt;C&gt;1&lt;/C&gt;&lt;D xsi:type="xsd:double"&gt;15.0240960553656&lt;/D&gt;&lt;D xsi:type="xsd:double"&gt;14.8954066115138&lt;/D&gt;&lt;D xsi:type="xsd:double"&gt;14.8153446516463&lt;/D&gt;&lt;D xsi:type="xsd:double"&gt;15.2789182722147&lt;/D&gt;&lt;D xsi:type="xsd:double"&gt;15.869913583202&lt;/D&gt;&lt;D xsi:type="xsd:double"&gt;15.9050990521584&lt;/D&gt;&lt;D xsi:type="xsd:double"&gt;15.5809507897675&lt;/D&gt;&lt;D xsi:type="xsd:double"&gt;14.4093225089934&lt;/D&gt;&lt;D xsi:type="xsd:double"&gt;14.2099685613996&lt;/D&gt;&lt;D xsi:type="xsd:double"&gt;14.0191901977786&lt;/D&gt;&lt;D xsi:type="xsd:double"&gt;13.1443421663962&lt;/D&gt;&lt;D xsi:type="xsd:double"&gt;15.9852003026889&lt;/D&gt;&lt;D xsi:type="xsd:double"&gt;16.1226597420188&lt;/D&gt;&lt;D xsi:type="xsd:double"&gt;16.0582154451809&lt;/D&gt;&lt;D xsi:type="xsd:double"&gt;15.7398424739443&lt;/D&gt;&lt;D xsi:type="xsd:double"&gt;16.2646008095989&lt;/D&gt;&lt;D xsi:type="xsd:double"&gt;15.8505208209321&lt;/D&gt;&lt;D xsi:type="xsd:double"&gt;15.2261266887866&lt;/D&gt;&lt;D xsi:type="xsd:double"&gt;14.4915415600277&lt;/D&gt;&lt;D xsi:type="xsd:double"&gt;15.3369069746653&lt;/D&gt;&lt;D xsi:type="xsd:double"&gt;11.2553024185526&lt;/D&gt;&lt;D xsi:type="xsd:double"&gt;10.6042335953171&lt;/D&gt;&lt;D xsi:type="xsd:double"&gt;14.450221257603&lt;/D&gt;&lt;D xsi:type="xsd:double"&gt;17.4090939019229&lt;/D&gt;&lt;D xsi:type="xsd:double"&gt;22.4042555009758&lt;/D&gt;&lt;D xsi:type="xsd:double"&gt;21.8337181029603&lt;/D&gt;&lt;D xsi:type="xsd:double"&gt;21.3167437795646&lt;/D&gt;&lt;D xsi:type="xsd:double"&gt;20.1495336571957&lt;/D&gt;&lt;D xsi:type="xsd:double"&gt;20.0660252753317&lt;/D&gt;&lt;D xsi:type="xsd:double"&gt;19.1564718518958&lt;/D&gt;&lt;D xsi:type="xsd:double"&gt;17.9048983079689&lt;/D&gt;&lt;D xsi:type="xsd:double"&gt;16.2311746481236&lt;/D&gt;&lt;D xsi:type="xsd:double"&gt;15.8870948267502&lt;/D&gt;&lt;D xsi:type="xsd:double"&gt;15.4678175909455&lt;/D&gt;&lt;D xsi:type="xsd:double"&gt;15.5840171572964&lt;/D&gt;&lt;D xsi:type="xsd:double"&gt;17.4518005091964&lt;/D&gt;&lt;D xsi:type="xsd:double"&gt;16.1126649157154&lt;/D&gt;&lt;D xsi:type="xsd:double"&gt;15.6143586439665&lt;/D&gt;&lt;D xsi:type="xsd:double"&gt;15.2970148112132&lt;/D&gt;&lt;D xsi:type="xsd:double"&gt;14.9377128480559&lt;/D&gt;&lt;D xsi:type="xsd:double"&gt;14.9370982482691&lt;/D&gt;&lt;D xsi:type="xsd:double"&gt;15.1021325944976&lt;/D&gt;&lt;D xsi:type="xsd:double"&gt;16.580267947803&lt;/D&gt;&lt;D xsi:type="xsd:double"&gt;16.6613755480888&lt;/D&gt;&lt;D xsi:type="xsd:double"&gt;16.424122876051&lt;/D&gt;&lt;D xsi:type="xsd:double"&gt;15.8866855868162&lt;/D&gt;&lt;D xsi:type="xsd:double"&gt;17.9345708756861&lt;/D&gt;&lt;D xsi:type="xsd:double"&gt;18.3709777095651&lt;/D&gt;&lt;D xsi:type="xsd:double"&gt;19.5813846921364&lt;/D&gt;&lt;D xsi:type="xsd:double"&gt;19.1265949229683&lt;/D&gt;&lt;D xsi:type="xsd:double"&gt;18.5196832939877&lt;/D&gt;&lt;D xsi:type="xsd:double"&gt;18.3039819935786&lt;/D&gt;&lt;D xsi:type="xsd:double"&gt;17.392777775481&lt;/D&gt;&lt;D xsi:type="xsd:double"&gt;17.5993502698749&lt;/D&gt;&lt;D xsi:type="xsd:double"&gt;16.2505666980345&lt;/D&gt;&lt;D xsi:type="xsd:double"&gt;16.3929623355828&lt;/D&gt;&lt;D xsi:type="xsd:double"&gt;16.550276604769&lt;/D&gt;&lt;D xsi:type="xsd:double"&gt;17.1080045479477&lt;/D&gt;&lt;D xsi:type="xsd:double"&gt;17.520935672547&lt;/D&gt;&lt;D xsi:type="xsd:double"&gt;19.1680275402379&lt;/D&gt;&lt;D xsi:type="xsd:double"&gt;20.0363807300693&lt;/D&gt;&lt;D xsi:type="xsd:double"&gt;19.6351587138312&lt;/D&gt;&lt;D xsi:type="xsd:double"&gt;18.4193409418358&lt;/D&gt;&lt;D xsi:type="xsd:double"&gt;17.8678109573202&lt;/D&gt;&lt;D xsi:type="xsd:double"&gt;17.7003564480013&lt;/D&gt;&lt;D xsi:type="xsd:double"&gt;17.6191680099467&lt;/D&gt;&lt;D xsi:type="xsd:double"&gt;17.2821289174754&lt;/D&gt;&lt;D xsi:type="xsd:double"&gt;17.0258782496984&lt;/D&gt;&lt;D xsi:type="xsd:double"&gt;16.8078492724638&lt;/D&gt;&lt;D xsi:type="xsd:double"&gt;16.4093265516075&lt;/D&gt;&lt;D xsi:type="xsd:double"&gt;16.8129108073595&lt;/D&gt;&lt;D xsi:type="xsd:double"&gt;16.7107849861128&lt;/D&gt;&lt;D xsi:type="xsd:double"&gt;16.1094737601918&lt;/D&gt;&lt;D xsi:type="xsd:double"&gt;15.8124159584061&lt;/D&gt;&lt;D xsi:type="xsd:double"&gt;16.7390275501659&lt;/D&gt;&lt;D xsi:type="xsd:double"&gt;19.3050128765989&lt;/D&gt;&lt;D xsi:type="xsd:double"&gt;22.6296672259483&lt;/D&gt;&lt;D xsi:type="xsd:double"&gt;25.3328986035862&lt;/D&gt;&lt;D xsi:type="xsd:double"&gt;32.633054487496&lt;/D&gt;&lt;D xsi:type="xsd:double"&gt;37.0306921499487&lt;/D&gt;&lt;D xsi:type="xsd:double"&gt;43.4505094530119&lt;/D&gt;&lt;D xsi:type="xsd:double"&gt;50.8650897770738&lt;/D&gt;&lt;D xsi:type="xsd:double"&gt;49.2807348788729&lt;/D&gt;&lt;D xsi:type="xsd:double"&gt;45.4910602993254&lt;/D&gt;&lt;D xsi:type="xsd:double"&gt;65.7340422299194&lt;/D&gt;&lt;D xsi:type="xsd:double"&gt;59.2796393390633&lt;/D&gt;&lt;D xsi:type="xsd:double"&gt;53.9666035739776&lt;/D&gt;&lt;D xsi:type="xsd:double"&gt;47.179431864763&lt;/D&gt;&lt;D xsi:type="xsd:double"&gt;41.1336934780414&lt;/D&gt;&lt;D xsi:type="xsd:double"&gt;34.980656386956&lt;/D&gt;&lt;D xsi:type="xsd:double"&gt;30.0031194612669&lt;/D&gt;&lt;D xsi:type="xsd:double"&gt;25.1814272216088&lt;/D&gt;&lt;D xsi:type="xsd:double"&gt;20.0612961002556&lt;/D&gt;&lt;D xsi:type="xsd:double"&gt;13.8074965392578&lt;/D&gt;&lt;D xsi:type="xsd:double"&gt;12.5971457071836&lt;/D&gt;&lt;D xsi:type="xsd:double"&gt;11.6997198717489&lt;/D&gt;&lt;D xsi:type="xsd:double"&gt;13.4855727929345&lt;/D&gt;&lt;D xsi:type="xsd:double"&gt;12.895175470514&lt;/D&gt;&lt;D xsi:type="xsd:double"&gt;11.8026107248787&lt;/D&gt;&lt;D xsi:type="xsd:double"&gt;11.2502001595586&lt;/D&gt;&lt;D xsi:type="xsd:double"&gt;10.1715741034657&lt;/D&gt;&lt;D xsi:type="xsd:double"&gt;10.1950166047164&lt;/D&gt;&lt;D xsi:type="xsd:double"&gt;9.48897708920063&lt;/D&gt;&lt;D xsi:type="xsd:double"&gt;9.17860166614142&lt;/D&gt;&lt;D xsi:type="xsd:double"&gt;10.2493984412439&lt;/D&gt;&lt;D xsi:type="xsd:double"&gt;9.45718253558773&lt;/D&gt;&lt;D xsi:type="xsd:double"&gt;10.6923843406093&lt;/D&gt;&lt;D xsi:type="xsd:double"&gt;9.76011273847798&lt;/D&gt;&lt;D xsi:type="xsd:double"&gt;9.42346195878669&lt;/D&gt;&lt;D xsi:type="xsd:double"&gt;9.63495173014208&lt;/D&gt;&lt;D xsi:type="xsd:double"&gt;9.66807805258934&lt;/D&gt;&lt;D xsi:type="xsd:double"&gt;9.99863077570954&lt;/D&gt;&lt;D xsi:type="xsd:double"&gt;10.4478208273408&lt;/D&gt;&lt;D xsi:type="xsd:double"&gt;11.0613612789602&lt;/D&gt;&lt;D xsi:type="xsd:double"&gt;11.0534582563937&lt;/D&gt;&lt;D xsi:type="xsd:double"&gt;10.7261066303772&lt;/D&gt;&lt;D xsi:type="xsd:double"&gt;11.4852352541947&lt;/D&gt;&lt;D xsi:type="xsd:double"&gt;13.7934663573135&lt;/D&gt;&lt;D xsi:type="xsd:double"&gt;15.0308540548432&lt;/D&gt;&lt;D xsi:type="xsd:double"&gt;14.6655407470267&lt;/D&gt;&lt;D xsi:type="xsd:double"&gt;15.1667627811672&lt;/D&gt;&lt;/FQL&gt;&lt;FQL&gt;&lt;Q&gt;WL-FDS^FG_PRICE_CHANGE(0,-3AM)&lt;/Q&gt;&lt;R&gt;1&lt;/R&gt;&lt;C&gt;1&lt;/C&gt;&lt;D xsi:type="xsd:double"&gt;-2.50555026958453&lt;/D&gt;&lt;/FQL&gt;&lt;FQL&gt;&lt;Q&gt;W-FDS^FG_PRICE_CHANGE(0,-1AY)&lt;/Q&gt;&lt;R&gt;1&lt;/R&gt;&lt;C&gt;1&lt;/C&gt;&lt;D xsi:type="xsd:double"&gt;-24.326292789512&lt;/D&gt;&lt;/FQL&gt;&lt;FQL&gt;&lt;Q&gt;FC0000PE^FG_PRICE(0)&lt;/Q&gt;&lt;R&gt;1&lt;/R&gt;&lt;C&gt;1&lt;/C&gt;&lt;D xsi:type="xsd:double"&gt;882.77136&lt;/D&gt;&lt;/FQL&gt;&lt;FQL&gt;&lt;Q&gt;UAE^FG_PRICE_MAVG(0,,,,30)&lt;/Q&gt;&lt;R&gt;1&lt;/R&gt;&lt;C&gt;1&lt;/C&gt;&lt;D xsi:type="xsd:double"&gt;14.62018&lt;/D&gt;&lt;/FQL&gt;&lt;FQL&gt;&lt;Q&gt;MCHI^FG_PRICE(0)&lt;/Q&gt;&lt;R&gt;1&lt;/R&gt;&lt;C&gt;1&lt;/C&gt;&lt;D xsi:type="xsd:double"&gt;40.17&lt;/D&gt;&lt;/FQL&gt;&lt;FQL&gt;&lt;Q&gt;EWY^FG_PRICE_MAVG(0,,,,200)&lt;/Q&gt;&lt;R&gt;1&lt;/R&gt;&lt;C&gt;1&lt;/C&gt;&lt;D xsi:type="xsd:double"&gt;62.635&lt;/D&gt;&lt;/FQL&gt;&lt;FQL&gt;&lt;Q&gt;ECH^FG_PRICE(0)&lt;/Q&gt;&lt;R&gt;1&lt;/R&gt;&lt;C&gt;1&lt;/C&gt;&lt;D xsi:type="xsd:double"&gt;27.12&lt;/D&gt;&lt;/FQL&gt;&lt;FQL&gt;&lt;Q&gt;VWO^P_PRICE(0)/P_PRICE_LOW_PR(0,,,USD,,,"PRICE","INTRA","52W")-1&lt;/Q&gt;&lt;R&gt;1&lt;/R&gt;&lt;C&gt;1&lt;/C&gt;&lt;D xsi:type="xsd:double"&gt;0.11493778&lt;/D&gt;&lt;/FQL&gt;&lt;FQL&gt;&lt;Q&gt;UAE^P_PRICE(0)/P_PRICE_HIGH_PR(0,,,USD,,,"PRICE","INTRA","52W")&lt;/Q&gt;&lt;R&gt;1&lt;/R&gt;&lt;C&gt;1&lt;/C&gt;&lt;D xsi:type="xsd:double"&gt;0.92953867&lt;/D&gt;&lt;/FQL&gt;&lt;FQL&gt;&lt;Q&gt;MCHI^FG_TOTAL_RETURNC(0,-6AM)&lt;/Q&gt;&lt;R&gt;1&lt;/R&gt;&lt;C&gt;1&lt;/C&gt;&lt;D xsi:type="xsd:double"&gt;-7.466507&lt;/D&gt;&lt;/FQL&gt;&lt;FQL&gt;&lt;Q&gt;EWZ^FG_TOTAL_RETURNC(0,-3AM)&lt;/Q&gt;&lt;R&gt;1&lt;/R&gt;&lt;C&gt;1&lt;/C&gt;&lt;D xsi:type="xsd:double"&gt;-4.2467475&lt;/D&gt;&lt;/FQL&gt;&lt;FQL&gt;&lt;Q&gt;EPU^P_PRICE(0)/P_PRICE_LOW_PR(0,,,USD,,,"PRICE","INTRA","52W")-1&lt;/Q&gt;&lt;R&gt;1&lt;/R&gt;&lt;C&gt;1&lt;/C&gt;&lt;D xsi:type="xsd:double"&gt;0.35461068&lt;/D&gt;&lt;/FQL&gt;&lt;FQL&gt;&lt;Q&gt;ECH^P_PRICE(0)/P_PRICE_HIGH_PR(0,,,USD,,,"PRICE","INTRA","52W")&lt;/Q&gt;&lt;R&gt;1&lt;/R&gt;&lt;C&gt;1&lt;/C&gt;&lt;D xsi:type="xsd:double"&gt;0.8459139&lt;/D&gt;&lt;/FQL&gt;&lt;FQL&gt;&lt;Q&gt;VWO^PERCENT_CHANGE(FMA_EPS(+1,0,,,,"PORTAGG","MEAN"),FMA_EPS(+1,-1AM,,,,"PORTAGG","MEAN"))&lt;/Q&gt;&lt;R&gt;1&lt;/R&gt;&lt;C&gt;1&lt;/C&gt;&lt;D xsi:type="xsd:double"&gt;0&lt;/D&gt;&lt;/FQL&gt;&lt;FQL&gt;&lt;Q&gt;SET-BKK^PERCENT_CHANGE(FMA_EPS(+1,0,,,,"PORTAGG","MEAN"),FMA_EPS(+1,-3AM,,,,"PORTAGG","MEAN"))&lt;/Q&gt;&lt;R&gt;1&lt;/R&gt;&lt;C&gt;1&lt;/C&gt;&lt;D xsi:type="xsd:double"&gt;-3.04623197170081&lt;/D&gt;&lt;/FQL&gt;&lt;FQL&gt;&lt;Q&gt;CAGDPY@ZA^EE_ACTUAL_ANNUAL(MED,0)&lt;/Q&gt;&lt;R&gt;1&lt;/R&gt;&lt;C&gt;1&lt;/C&gt;&lt;D xsi:type="xsd:double"&gt;-1.5&lt;/D&gt;&lt;/FQL&gt;&lt;FQL&gt;&lt;Q&gt;USDINR^FG_PRICE(0)&lt;/Q&gt;&lt;R&gt;1&lt;/R&gt;&lt;C&gt;1&lt;/C&gt;&lt;D xsi:type="xsd:double"&gt;82.8269&lt;/D&gt;&lt;/FQL&gt;&lt;FQL&gt;&lt;Q&gt;FC0000PH^FMA_EPS(NTMA,-20AY,0,CY,,"PORTAGG","MEANR")&lt;/Q&gt;&lt;R&gt;20&lt;/R&gt;&lt;C&gt;1&lt;/C&gt;&lt;D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xsi:type="xsd:double"&gt;25.6257109261131&lt;/D&gt;&lt;D xsi:type="xsd:double"&gt;24.8900071994994&lt;/D&gt;&lt;D xsi:type="xsd:double"&gt;26.8368786417054&lt;/D&gt;&lt;D xsi:type="xsd:double"&gt;30.8315679475752&lt;/D&gt;&lt;/FQL&gt;&lt;FQL&gt;&lt;Q&gt;CNYA^P_PRICE_RETURNS_PR('52W',2,-10AY,0,AM)&lt;/Q&gt;&lt;R&gt;121&lt;/R&gt;&lt;C&gt;1&lt;/C&gt;&lt;D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xsi:type="xsd:double"&gt;11.181855&lt;/D&gt;&lt;D xsi:type="xsd:double"&gt;11.69442&lt;/D&gt;&lt;D xsi:type="xsd:double"&gt;21.91&lt;/D&gt;&lt;D xsi:type="xsd:double"&gt;22.624302&lt;/D&gt;&lt;D xsi:type="xsd:double"&gt;22.31574&lt;/D&gt;&lt;D xsi:type="xsd:double"&gt;23.586119&lt;/D&gt;&lt;D xsi:type="xsd:double"&gt;34.523464&lt;/D&gt;&lt;D xsi:type="xsd:double"&gt;25.534927&lt;/D&gt;&lt;D xsi:type="xsd:double"&gt;26.697517&lt;/D&gt;&lt;D xsi:type="xsd:double"&gt;16.55594&lt;/D&gt;&lt;D xsi:type="xsd:double"&gt;26.167822&lt;/D&gt;&lt;D xsi:type="xsd:double"&gt;14.180112&lt;/D&gt;&lt;D xsi:type="xsd:double"&gt;-2.4220228&lt;/D&gt;&lt;D xsi:type="xsd:double"&gt;-10.184914&lt;/D&gt;&lt;D xsi:type="xsd:double"&gt;-18.89773&lt;/D&gt;&lt;D xsi:type="xsd:double"&gt;-21.699917&lt;/D&gt;&lt;D xsi:type="xsd:double"&gt;-22.998518&lt;/D&gt;&lt;D xsi:type="xsd:double"&gt;-21.619946&lt;/D&gt;&lt;D xsi:type="xsd:double"&gt;-27.835155&lt;/D&gt;&lt;D xsi:type="xsd:double"&gt;-16.838837&lt;/D&gt;&lt;D xsi:type="xsd:double"&gt;-11.379689&lt;/D&gt;&lt;D xsi:type="xsd:double"&gt;-0.6314993&lt;/D&gt;&lt;D xsi:type="xsd:double"&gt;-12.638736&lt;/D&gt;&lt;D xsi:type="xsd:double"&gt;-9.650725&lt;/D&gt;&lt;D xsi:type="xsd:double"&gt;6.5398097&lt;/D&gt;&lt;D xsi:type="xsd:double"&gt;6.660402&lt;/D&gt;&lt;D xsi:type="xsd:double"&gt;19.516945&lt;/D&gt;&lt;D xsi:type="xsd:double"&gt;23.571503&lt;/D&gt;&lt;D xsi:type="xsd:double"&gt;22.362041&lt;/D&gt;&lt;D xsi:type="xsd:double"&gt;21.682762&lt;/D&gt;&lt;D xsi:type="xsd:double"&gt;36.175335&lt;/D&gt;&lt;D xsi:type="xsd:double"&gt;15.600861&lt;/D&gt;&lt;D xsi:type="xsd:double"&gt;5.757332&lt;/D&gt;&lt;D xsi:type="xsd:double"&gt;-6.2692046&lt;/D&gt;&lt;D xsi:type="xsd:double"&gt;9.901786&lt;/D&gt;&lt;D xsi:type="xsd:double"&gt;12.662005&lt;/D&gt;&lt;D xsi:type="xsd:double"&gt;34.767044&lt;/D&gt;&lt;D xsi:type="xsd:double"&gt;38.81843&lt;/D&gt;&lt;D xsi:type="xsd:double"&gt;26.7797&lt;/D&gt;&lt;D xsi:type="xsd:double"&gt;34.39847&lt;/D&gt;&lt;D xsi:type="xsd:double"&gt;38.884903&lt;/D&gt;&lt;D xsi:type="xsd:double"&gt;40.5097&lt;/D&gt;&lt;D xsi:type="xsd:double"&gt;44.4651&lt;/D&gt;&lt;D xsi:type="xsd:double"&gt;64.43925&lt;/D&gt;&lt;D xsi:type="xsd:double"&gt;47.494186&lt;/D&gt;&lt;D xsi:type="xsd:double"&gt;43.602276&lt;/D&gt;&lt;D xsi:type="xsd:double"&gt;46.856163&lt;/D&gt;&lt;D xsi:type="xsd:double"&gt;48.17245&lt;/D&gt;&lt;D xsi:type="xsd:double"&gt;17.47091&lt;/D&gt;&lt;D xsi:type="xsd:double"&gt;19.71072&lt;/D&gt;&lt;D xsi:type="xsd:double"&gt;18.659138&lt;/D&gt;&lt;D xsi:type="xsd:double"&gt;12.702143&lt;/D&gt;&lt;D xsi:type="xsd:double"&gt;11.316717&lt;/D&gt;&lt;D xsi:type="xsd:double"&gt;10.964179&lt;/D&gt;&lt;D xsi:type="xsd:double"&gt;-6.86363&lt;/D&gt;&lt;D xsi:type="xsd:double"&gt;-17.761076&lt;/D&gt;&lt;D xsi:type="xsd:double"&gt;-12.8856125&lt;/D&gt;&lt;D xsi:type="xsd:double"&gt;-9.434313&lt;/D&gt;&lt;D xsi:type="xsd:double"&gt;-20.045345&lt;/D&gt;&lt;D xsi:type="xsd:double"&gt;-19.127697&lt;/D&gt;&lt;D xsi:type="xsd:double"&gt;-15.880621&lt;/D&gt;&lt;D xsi:type="xsd:double"&gt;-15.859074&lt;/D&gt;&lt;D xsi:type="xsd:double"&gt;-21.288418&lt;/D&gt;&lt;D xsi:type="xsd:double"&gt;-28.125107&lt;/D&gt;&lt;D xsi:type="xsd:double"&gt;-27.605612&lt;/D&gt;&lt;D xsi:type="xsd:double"&gt;-26.19189&lt;/D&gt;&lt;D xsi:type="xsd:double"&gt;-16.233122&lt;/D&gt;&lt;D xsi:type="xsd:double"&gt;-12.0564165&lt;/D&gt;&lt;D xsi:type="xsd:double"&gt;-7.2972775&lt;/D&gt;&lt;D xsi:type="xsd:double"&gt;-7.237858&lt;/D&gt;&lt;D xsi:type="xsd:double"&gt;-1.6373217&lt;/D&gt;&lt;D xsi:type="xsd:double"&gt;-13.423377&lt;/D&gt;&lt;D xsi:type="xsd:double"&gt;-15.030259&lt;/D&gt;&lt;D xsi:type="xsd:double"&gt;-15.8718405&lt;/D&gt;&lt;D xsi:type="xsd:double"&gt;-13.024771&lt;/D&gt;&lt;D xsi:type="xsd:double"&gt;-6.298518&lt;/D&gt;&lt;D xsi:type="xsd:double"&gt;-8.023018&lt;/D&gt;&lt;D xsi:type="xsd:double"&gt;-16.132069&lt;/D&gt;&lt;D xsi:type="xsd:double"&gt;-23.690151&lt;/D&gt;&lt;D xsi:type="xsd:double"&gt;-23.349953&lt;/D&gt;&lt;D xsi:type="xsd:double"&gt;-14.932662&lt;/D&gt;&lt;/FQL&gt;&lt;FQL&gt;&lt;Q&gt;EIDO^FMA_PE(NTMA,-10AY,0,AM,"PORTAGG","MEANR")&lt;/Q&gt;&lt;R&gt;121&lt;/R&gt;&lt;C&gt;1&lt;/C&gt;&lt;D xsi:type="xsd:double"&gt;14.5034501027376&lt;/D&gt;&lt;D xsi:type="xsd:double"&gt;14.4711646817569&lt;/D&gt;&lt;D xsi:type="xsd:double"&gt;14.6140568987204&lt;/D&gt;&lt;D xsi:type="xsd:double"&gt;14.2308812778217&lt;/D&gt;&lt;D xsi:type="xsd:double"&gt;14.41745216256&lt;/D&gt;&lt;D xsi:type="xsd:double"&gt;14.8676159827189&lt;/D&gt;&lt;D xsi:type="xsd:double"&gt;14.631191039521&lt;/D&gt;&lt;D xsi:type="xsd:double"&gt;13.8527192751235&lt;/D&gt;&lt;D xsi:type="xsd:double"&gt;14.5248236468108&lt;/D&gt;&lt;D xsi:type="xsd:double"&gt;14.9403207752096&lt;/D&gt;&lt;D xsi:type="xsd:double"&gt;14.7808236460209&lt;/D&gt;&lt;D xsi:type="xsd:double"&gt;15.8912854970183&lt;/D&gt;&lt;D xsi:type="xsd:double"&gt;15.8379501396154&lt;/D&gt;&lt;D xsi:type="xsd:double"&gt;15.9209668307857&lt;/D&gt;&lt;D xsi:type="xsd:double"&gt;15.3438109415422&lt;/D&gt;&lt;D xsi:type="xsd:double"&gt;14.343344208298&lt;/D&gt;&lt;D xsi:type="xsd:double"&gt;14.4892376958534&lt;/D&gt;&lt;D xsi:type="xsd:double"&gt;13.8017768337669&lt;/D&gt;&lt;D xsi:type="xsd:double"&gt;13.3863770033621&lt;/D&gt;&lt;D xsi:type="xsd:double"&gt;13.9194582079835&lt;/D&gt;&lt;D xsi:type="xsd:double"&gt;13.9709988262319&lt;/D&gt;&lt;D xsi:type="xsd:double"&gt;13.6326644838964&lt;/D&gt;&lt;D xsi:type="xsd:double"&gt;14.3376142730701&lt;/D&gt;&lt;D xsi:type="xsd:double"&gt;14.9115120887027&lt;/D&gt;&lt;D xsi:type="xsd:double"&gt;15.364034049559&lt;/D&gt;&lt;D xsi:type="xsd:double"&gt;14.8748309800405&lt;/D&gt;&lt;D xsi:type="xsd:double"&gt;14.3659318091098&lt;/D&gt;&lt;D xsi:type="xsd:double"&gt;14.7668670337763&lt;/D&gt;&lt;D xsi:type="xsd:double"&gt;15.8685114932639&lt;/D&gt;&lt;D xsi:type="xsd:double"&gt;16.7320347488668&lt;/D&gt;&lt;D xsi:type="xsd:double"&gt;15.5454985643686&lt;/D&gt;&lt;D xsi:type="xsd:double"&gt;16.4651110025176&lt;/D&gt;&lt;D xsi:type="xsd:double"&gt;14.7745506206187&lt;/D&gt;&lt;D xsi:type="xsd:double"&gt;15.0758325145635&lt;/D&gt;&lt;D xsi:type="xsd:double"&gt;15.1844776012703&lt;/D&gt;&lt;D xsi:type="xsd:double"&gt;15.3151217209455&lt;/D&gt;&lt;D xsi:type="xsd:double"&gt;15.038981179789&lt;/D&gt;&lt;D xsi:type="xsd:double"&gt;15.4220682775621&lt;/D&gt;&lt;D xsi:type="xsd:double"&gt;15.7103478345577&lt;/D&gt;&lt;D xsi:type="xsd:double"&gt;15.790141474408&lt;/D&gt;&lt;D xsi:type="xsd:double"&gt;15.7517049081662&lt;/D&gt;&lt;D xsi:type="xsd:double"&gt;15.5656114430299&lt;/D&gt;&lt;D xsi:type="xsd:double"&gt;15.3557593789431&lt;/D&gt;&lt;D xsi:type="xsd:double"&gt;15.6869905250316&lt;/D&gt;&lt;D xsi:type="xsd:double"&gt;15.2229626811433&lt;/D&gt;&lt;D xsi:type="xsd:double"&gt;15.4237344934217&lt;/D&gt;&lt;D xsi:type="xsd:double"&gt;15.8212163966398&lt;/D&gt;&lt;D xsi:type="xsd:double"&gt;15.603640522134&lt;/D&gt;&lt;D xsi:type="xsd:double"&gt;14.8894775344773&lt;/D&gt;&lt;D xsi:type="xsd:double"&gt;14.7252149739515&lt;/D&gt;&lt;D xsi:type="xsd:double"&gt;13.7035664954515&lt;/D&gt;&lt;D xsi:type="xsd:double"&gt;13.4250573404117&lt;/D&gt;&lt;D xsi:type="xsd:double"&gt;12.9626657969133&lt;/D&gt;&lt;D xsi:type="xsd:double"&gt;13.1319107620388&lt;/D&gt;&lt;D xsi:typ</t>
        </r>
      </text>
    </comment>
    <comment ref="A16" authorId="0" shapeId="0" xr:uid="{DC487006-CC25-452F-A101-100AC51148FE}">
      <text>
        <r>
          <rPr>
            <b/>
            <sz val="9"/>
            <color indexed="81"/>
            <rFont val="Tahoma"/>
            <charset val="1"/>
          </rPr>
          <t>e="xsd:double"&gt;13.3917330266913&lt;/D&gt;&lt;D xsi:type="xsd:double"&gt;13.1013891444328&lt;/D&gt;&lt;D xsi:type="xsd:double"&gt;13.2699744944953&lt;/D&gt;&lt;D xsi:type="xsd:double"&gt;14.1236455393636&lt;/D&gt;&lt;D xsi:type="xsd:double"&gt;14.423244459506&lt;/D&gt;&lt;D xsi:type="xsd:double"&gt;14.3068530184578&lt;/D&gt;&lt;D xsi:type="xsd:double"&gt;14.3756350758291&lt;/D&gt;&lt;D xsi:type="xsd:double"&gt;13.989930750688&lt;/D&gt;&lt;D xsi:type="xsd:double"&gt;13.1855440248061&lt;/D&gt;&lt;D xsi:type="xsd:double"&gt;13.7533655897631&lt;/D&gt;&lt;D xsi:type="xsd:double"&gt;14.2305978360497&lt;/D&gt;&lt;D xsi:type="xsd:double"&gt;14.6649175702689&lt;/D&gt;&lt;D xsi:type="xsd:double"&gt;14.7573099461508&lt;/D&gt;&lt;D xsi:type="xsd:double"&gt;14.2392748725063&lt;/D&gt;&lt;D xsi:type="xsd:double"&gt;14.3014543202323&lt;/D&gt;&lt;D xsi:type="xsd:double"&gt;14.849110500475&lt;/D&gt;&lt;D xsi:type="xsd:double"&gt;15.6016720197651&lt;/D&gt;&lt;D xsi:type="xsd:double"&gt;14.5343073132308&lt;/D&gt;&lt;D xsi:type="xsd:double"&gt;11.8079582020477&lt;/D&gt;&lt;D xsi:type="xsd:double"&gt;11.3542572408248&lt;/D&gt;&lt;D xsi:type="xsd:double"&gt;11.6960437992338&lt;/D&gt;&lt;D xsi:type="xsd:double"&gt;15.2780697130956&lt;/D&gt;&lt;D xsi:type="xsd:double"&gt;16.5659896686953&lt;/D&gt;&lt;D xsi:type="xsd:double"&gt;16.9755117264748&lt;/D&gt;&lt;D xsi:type="xsd:double"&gt;16.307225258086&lt;/D&gt;&lt;D xsi:type="xsd:double"&gt;16.026604407283&lt;/D&gt;&lt;D xsi:type="xsd:double"&gt;16.9748569982397&lt;/D&gt;&lt;D xsi:type="xsd:double"&gt;18.2076027055924&lt;/D&gt;&lt;D xsi:type="xsd:double"&gt;18.4100218422411&lt;/D&gt;&lt;D xsi:type="xsd:double"&gt;17.4402729391577&lt;/D&gt;&lt;D xsi:type="xsd:double"&gt;16.9827962186581&lt;/D&gt;&lt;D xsi:type="xsd:double"&gt;16.1522063411944&lt;/D&gt;&lt;D xsi:type="xsd:double"&gt;15.6365226108873&lt;/D&gt;&lt;D xsi:type="xsd:double"&gt;15.8078668994187&lt;/D&gt;&lt;D xsi:type="xsd:double"&gt;14.4137077497939&lt;/D&gt;&lt;D xsi:type="xsd:double"&gt;14.9246297143758&lt;/D&gt;&lt;D xsi:type="xsd:double"&gt;15.0830703472226&lt;/D&gt;&lt;D xsi:type="xsd:double"&gt;15.9353816863071&lt;/D&gt;&lt;D xsi:type="xsd:double"&gt;15.2249570404139&lt;/D&gt;&lt;D xsi:type="xsd:double"&gt;14.6620886475603&lt;/D&gt;&lt;D xsi:type="xsd:double"&gt;14.8784904749161&lt;/D&gt;&lt;D xsi:type="xsd:double"&gt;15.0393275316449&lt;/D&gt;&lt;D xsi:type="xsd:double"&gt;14.8898818970842&lt;/D&gt;&lt;D xsi:type="xsd:double"&gt;14.4594301665455&lt;/D&gt;&lt;D xsi:type="xsd:double"&gt;13.2240062712714&lt;/D&gt;&lt;D xsi:type="xsd:double"&gt;12.8655445885655&lt;/D&gt;&lt;D xsi:type="xsd:double"&gt;12.0836403949101&lt;/D&gt;&lt;D xsi:type="xsd:double"&gt;12.9252913661772&lt;/D&gt;&lt;D xsi:type="xsd:double"&gt;13.181526763496&lt;/D&gt;&lt;D xsi:type="xsd:double"&gt;12.2523262102988&lt;/D&gt;&lt;D xsi:type="xsd:double"&gt;12.6438422345104&lt;/D&gt;&lt;D xsi:type="xsd:double"&gt;12.3854875079333&lt;/D&gt;&lt;D xsi:type="xsd:double"&gt;11.7698425041642&lt;/D&gt;&lt;D xsi:type="xsd:double"&gt;12.3907920918405&lt;/D&gt;&lt;D xsi:type="xsd:double"&gt;11.476083102588&lt;/D&gt;&lt;D xsi:type="xsd:double"&gt;12.184042190366&lt;/D&gt;&lt;D xsi:type="xsd:double"&gt;11.8809410218353&lt;/D&gt;&lt;D xsi:type="xsd:double"&gt;13.5596756300815&lt;/D&gt;&lt;D xsi:type="xsd:double"&gt;13.5650139972295&lt;/D&gt;&lt;D xsi:type="xsd:double"&gt;13.6451558247375&lt;/D&gt;&lt;D xsi:type="xsd:double"&gt;13.4480971715978&lt;/D&gt;&lt;D xsi:type="xsd:double"&gt;12.9451686823172&lt;/D&gt;&lt;D xsi:type="xsd:double"&gt;12.3756038900351&lt;/D&gt;&lt;D xsi:type="xsd:double"&gt;12.6353436100555&lt;/D&gt;&lt;D xsi:type="xsd:double"&gt;13.0150122847711&lt;/D&gt;&lt;D xsi:type="xsd:double"&gt;12.9829782642429&lt;/D&gt;&lt;D xsi:type="xsd:double"&gt;13.1860387719241&lt;/D&gt;&lt;/FQL&gt;&lt;FQL&gt;&lt;Q&gt;NI-FDS^FG_PRICE(0)&lt;/Q&gt;&lt;R&gt;1&lt;/R&gt;&lt;C&gt;1&lt;/C&gt;&lt;D xsi:type="xsd:double"&gt;17755&lt;/D&gt;&lt;/FQL&gt;&lt;FQL&gt;&lt;Q&gt;COPP-FDS^FG_PRICE_MAVG(0,,,,30)&lt;/Q&gt;&lt;R&gt;1&lt;/R&gt;&lt;C&gt;1&lt;/C&gt;&lt;D xsi:type="xsd:double"&gt;3.8365166&lt;/D&gt;&lt;/FQL&gt;&lt;FQL&gt;&lt;Q&gt;EWY^FG_PRICE_MAVG(0,,,,60)&lt;/Q&gt;&lt;R&gt;1&lt;/R&gt;&lt;C&gt;1&lt;/C&gt;&lt;D xsi:type="xsd:double"&gt;63.0795&lt;/D&gt;&lt;/FQL&gt;&lt;FQL&gt;&lt;Q&gt;EPU^FG_PRICE_MAVG(0,,,,30)&lt;/Q&gt;&lt;R&gt;1&lt;/R&gt;&lt;C&gt;1&lt;/C&gt;&lt;D xsi:type="xsd:double"&gt;35.161163&lt;/D&gt;&lt;/FQL&gt;&lt;FQL&gt;&lt;Q&gt;MCHI^FMA_COS_UP("EPS","1M",+1,NOW,,,"PORTAGG","MEANR")&lt;/Q&gt;&lt;R&gt;1&lt;/R&gt;&lt;C&gt;1&lt;/C&gt;&lt;D xsi:type="xsd:double"&gt;119&lt;/D&gt;&lt;/FQL&gt;&lt;FQL&gt;&lt;Q&gt;EWW^FMA_COS_DOWN("EPS","1M",+1,NOW,,,"PORTAGG","MEANR")&lt;/Q&gt;&lt;R&gt;1&lt;/R&gt;&lt;C&gt;1&lt;/C&gt;&lt;D xsi:type="xsd:double"&gt;17&lt;/D&gt;&lt;/FQL&gt;&lt;FQL&gt;&lt;Q&gt;CC_VN^IMF_IFS_RCPI_Q(0)&lt;/Q&gt;&lt;R&gt;1&lt;/R&gt;&lt;C&gt;1&lt;/C&gt;&lt;D xsi:type="xsd:double"&gt;3.5401578&lt;/D&gt;&lt;/FQL&gt;&lt;FQL&gt;&lt;Q&gt;CC_ID^IMF_IFS_RCPI_Q(0)&lt;/Q&gt;&lt;R&gt;1&lt;/R&gt;&lt;C&gt;1&lt;/C&gt;&lt;D xsi:type="xsd:double"&gt;2.681245&lt;/D&gt;&lt;/FQL&gt;&lt;FQL&gt;&lt;Q&gt;USDTHB^FG_COMPANY_NAME&lt;/Q&gt;&lt;R&gt;1&lt;/R&gt;&lt;C&gt;1&lt;/C&gt;&lt;D xsi:type="xsd:string"&gt;Thailand Baht per U.S. Dollar&lt;/D&gt;&lt;/FQL&gt;&lt;FQL&gt;&lt;Q&gt;USDKRW^STD(FG_PRICE_CHANGE(0,-1AY,AM))&lt;/Q&gt;&lt;R&gt;1&lt;/R&gt;&lt;C&gt;1&lt;/C&gt;&lt;D xsi:type="xsd:double"&gt;2.6060546819912&lt;/D&gt;&lt;/FQL&gt;&lt;FQL&gt;&lt;Q&gt;USDMYR^FG_PRICE_CHANGE(0,-1AM)&lt;/Q&gt;&lt;R&gt;1&lt;/R&gt;&lt;C&gt;1&lt;/C&gt;&lt;D xsi:type="xsd:double"&gt;-2.0873845&lt;/D&gt;&lt;/FQL&gt;&lt;FQL&gt;&lt;Q&gt;USDPHP^FG_PRICE_CHANGE(0,-6AM)&lt;/Q&gt;&lt;R&gt;1&lt;/R&gt;&lt;C&gt;1&lt;/C&gt;&lt;D xsi:type="xsd:double"&gt;-2.3785353&lt;/D&gt;&lt;/FQL&gt;&lt;FQL&gt;&lt;Q&gt;CNYA^FG_TOTAL_RETURNC(-10AY,0,AM)&lt;/Q&gt;&lt;R&gt;121&lt;/R&gt;&lt;C&gt;1&lt;/C&gt;&lt;D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xsi:type="xsd:double"&gt;0.9878397&lt;/D&gt;&lt;D xsi:type="xsd:double"&gt;-2.7840495&lt;/D&gt;&lt;D xsi:type="xsd:double"&gt;2.0897746&lt;/D&gt;&lt;D xsi:type="xsd:double"&gt;1.4404893&lt;/D&gt;&lt;D xsi:type="xsd:double"&gt;-2.84006&lt;/D&gt;&lt;D xsi:type="xsd:double"&gt;-1.0090947&lt;/D&gt;&lt;D xsi:type="xsd:double"&gt;2.9527545&lt;/D&gt;&lt;D xsi:type="xsd:double"&gt;0.95602274&lt;/D&gt;&lt;D xsi:type="xsd:double"&gt;4.43182&lt;/D&gt;&lt;D xsi:type="xsd:double"&gt;-6.4562917&lt;/D&gt;&lt;D xsi:type="xsd:double"&gt;6.072116&lt;/D&gt;&lt;D xsi:type="xsd:double"&gt;5.5679917&lt;/D&gt;&lt;D xsi:type="xsd:double"&gt;1.4533997&lt;/D&gt;&lt;D xsi:type="xsd:double"&gt;6.1073422&lt;/D&gt;&lt;D xsi:type="xsd:double"&gt;1.7926335&lt;/D&gt;&lt;D xsi:type="xsd:double"&gt;2.0751953&lt;/D&gt;&lt;D xsi:type="xsd:double"&gt;-1.8309534&lt;/D&gt;&lt;D xsi:type="xsd:double"&gt;7.7091575&lt;/D&gt;&lt;D xsi:type="xsd:double"&gt;-3.888464&lt;/D&gt;&lt;D xsi:type="xsd:double"&gt;1.8909812&lt;/D&gt;&lt;D xsi:type="xsd:double"&gt;-3.927493&lt;/D&gt;&lt;D xsi:type="xsd:double"&gt;1.2578607&lt;/D&gt;&lt;D xsi:type="xsd:double"&gt;-4.006213&lt;/D&gt;&lt;D xsi:type="xsd:double"&gt;-11.137068&lt;/D&gt;&lt;D xsi:type="xsd:double"&gt;-5.193716&lt;/D&gt;&lt;D xsi:type="xsd:double"&gt;-4.1859684&lt;/D&gt;&lt;D xsi:type="xsd:double"&gt;-2.1454036&lt;/D&gt;&lt;D xsi:type="xsd:double"&gt;0.81413984&lt;/D&gt;&lt;D xsi:type="xsd:double"&gt;-0.07341504&lt;/D&gt;&lt;D xsi:type="xsd:double"&gt;-0.8317292&lt;/D&gt;&lt;D xsi:type="xsd:double"&gt;10.756803&lt;/D&gt;&lt;D xsi:type="xsd:double"&gt;8.579659&lt;/D&gt;&lt;D xsi:type="xsd:double"&gt;9.537565&lt;/D&gt;&lt;D xsi:type="xsd:double"&gt;-12.451142&lt;/D&gt;&lt;D xsi:type="xsd:double"&gt;-0.7229507&lt;/D&gt;&lt;D xsi:type="xsd:double"&gt;5.051005&lt;/D&gt;&lt;D xsi:type="xsd:double"&gt;-5.324811&lt;/D&gt;&lt;D xsi:type="xsd:double"&gt;9.854889&lt;/D&gt;&lt;D xsi:type="xsd:double"&gt;-1.1205435&lt;/D&gt;&lt;D xsi:type="xsd:double"&gt;-0.17259121&lt;/D&gt;&lt;D xsi:type="xsd:double"&gt;1.2793899&lt;/D&gt;&lt;D xsi:type="xsd:double"&gt;8.889103&lt;/D&gt;&lt;D xsi:type="xsd:double"&gt;-5.977231&lt;/D&gt;&lt;D xsi:type="xsd:double"&gt;0.3700018&lt;/D&gt;&lt;D xsi:type="xsd:double"&gt;-3.9209127&lt;/D&gt;&lt;D xsi:type="xsd:double"&gt;2.6533008&lt;/D&gt;&lt;D xsi:type="xsd:double"&gt;2.6441813&lt;/D&gt;&lt;D xsi:type="xsd:double"&gt;24.59302&lt;/D&gt;&lt;D xsi:type="xsd:double"&gt;-2.478677&lt;/D&gt;&lt;D xsi:type="xsd:double"&gt;0.32795668&lt;/D&gt;&lt;D xsi:type="xsd:double"&gt;4.8215747&lt;/D&gt;&lt;D xsi:type="xsd:double"&gt;2.6247501&lt;/D&gt;&lt;D xsi:type="xsd:double"&gt;2.9984713&lt;/D&gt;&lt;D xsi:type="xsd:double"&gt;11.954367&lt;/D&gt;&lt;D xsi:type="xsd:double"&gt;7.8865767&lt;/D&gt;&lt;D xsi:type="xsd:double"&gt;-14.531827&lt;/D&gt;&lt;D xsi:type="xsd:double"&gt;-2.2554874&lt;/D&gt;&lt;D xsi:type="xsd:double"&gt;4.9793243&lt;/D&gt;&lt;D xsi:type="xsd:double"&gt;3.564179&lt;/D&gt;&lt;D xsi:type="xsd:double"&gt;-1.222831&lt;/D&gt;&lt;D xsi:type="xsd:double"&gt;-1.3525903&lt;/D&gt;&lt;D xsi:type="xsd:double"&gt;0.18591881&lt;/D&gt;&lt;D xsi:type="xsd:double"&gt;-0.4407406&lt;/D&gt;&lt;D xsi:type="xsd:double"&gt;1.2348652&lt;/D&gt;&lt;D xsi:type="xsd:double"&gt;2.8024435&lt;/D&gt;&lt;D xsi:type="xsd:double"&gt;-6.0325327&lt;/D&gt;&lt;D xsi:type="xsd:double"&gt;-4.7367153&lt;/D&gt;&lt;D xsi:type="xsd:double"&gt;-9.46492&lt;/D&gt;&lt;D xsi:type="xsd:double"&gt;1.6169548&lt;/D&gt;&lt;D xsi:type="xsd:double"&gt;-9.794235&lt;/D&gt;&lt;D xsi:type="xsd:double"&gt;7.6255083&lt;/D&gt;&lt;D xsi:type="xsd:double"&gt;2.743125&lt;/D&gt;&lt;D xsi:type="xsd:double"&gt;-1.3502359&lt;/D&gt;&lt;D xsi:type="xsd:double"&gt;-6.25698&lt;/D&gt;&lt;D xsi:type="xsd:double"&gt;-9.088201&lt;/D&gt;&lt;D xsi:type="xsd:double"&gt;1.9665718&lt;/D&gt;&lt;D xsi:type="xsd:double"&gt;4.8099756&lt;/D&gt;&lt;D xsi:type="xsd:double"&gt;6.723225&lt;/D&gt;&lt;D xsi:type="xsd:double"&gt;-0.058877468&lt;/D&gt;&lt;D xsi:type="xsd:double"&gt;-4.565537&lt;/D&gt;&lt;D xsi:type="xsd:double"&gt;1.6820908&lt;/D&gt;&lt;D xsi:type="xsd:double"&gt;-5.569887&lt;/D&gt;&lt;D xsi:type="xsd:double"&gt;-4.044729&lt;/D&gt;&lt;D xsi:type="xsd:double"&gt;0.83618164&lt;/D&gt;&lt;D xsi:type="xsd:double"&gt;-2.327299&lt;/D&gt;&lt;D xsi:type="xsd:double"&gt;-3.0845284&lt;/D&gt;&lt;D xsi:type="xsd:double"&gt;-2.7958512&lt;/D&gt;&lt;D xsi:type="xsd:double"&gt;0.8502245&lt;/D&gt;&lt;D xsi:type="xsd:double"&gt;-4.4304967&lt;/D&gt;&lt;D xsi:type="xsd:double"&gt;-4.180908&lt;/D&gt;&lt;D xsi:type="xsd:double"&gt;1.7343402&lt;/D&gt;&lt;D xsi:type="xsd:double"&gt;5.914557&lt;/D&gt;&lt;/FQL&gt;&lt;FQL&gt;&lt;Q&gt;ECH^FMA_PE(NTMA,-10AY,0,AM,"PORTAGG","MEANR")&lt;/Q&gt;&lt;R&gt;121&lt;/R&gt;&lt;C&gt;1&lt;/C&gt;&lt;D xsi:type="xsd:double"&gt;12.8113778795536&lt;/D&gt;&lt;D xsi:type="xsd:double"&gt;14.0951962476429&lt;/D&gt;&lt;D xsi:type="xsd:double"&gt;14.4531060159992&lt;/D&gt;&lt;D xsi:type="xsd:double"&gt;14.151915285923&lt;/D&gt;&lt;D xsi:type="xsd:double"&gt;14.8535154981788&lt;/D&gt;&lt;D xsi:type="xsd:double"&gt;14.6110340741537&lt;/D&gt;&lt;D xsi:type="xsd:double"&gt;14.5214874329464&lt;/D&gt;&lt;D xsi:type="xsd:double"&gt;13.6809105577756&lt;/D&gt;&lt;D xsi:type="xsd:double"&gt;14.3225926399941&lt;/D&gt;&lt;D xsi:type="xsd:double"&gt;13.5226232798806&lt;/D&gt;&lt;D xsi:type="xsd:double"&gt;12.7216636826458&lt;/D&gt;&lt;D xsi:type="xsd:double"&gt;13.4724894964994&lt;/D&gt;&lt;D xsi:type="xsd:double"&gt;12.998377631764&lt;/D&gt;&lt;D xsi:type="xsd:double"&gt;13.8695610223225&lt;/D&gt;&lt;D xsi:type="xsd:double"&gt;14.2040841489868&lt;/D&gt;&lt;D xsi:type="xsd:double"&gt;13.7232378360478&lt;/D&gt;&lt;D xsi:type="xsd:double"&gt;12.8859190759901&lt;/D&gt;&lt;D xsi:type="xsd:double"&gt;12.3970624064999&lt;/D&gt;&lt;D xsi:type="xsd:double"&gt;12.5464828021915&lt;/D&gt;&lt;D xsi:type="xsd:double"&gt;12.7373751630922&lt;/D&gt;&lt;D xsi:type="xsd:double"&gt;13.4350533005029&lt;/D&gt;&lt;D xsi:type="xsd:double"&gt;12.2729581171907&lt;/D&gt;&lt;D xsi:type="xsd:double"&gt;11.8084518074001&lt;/D&gt;&lt;D xsi:type="xsd:double"&gt;12.062936192335&lt;/D&gt;&lt;D xsi:type="xsd:double"&gt;12.7598741356664&lt;/D&gt;&lt;D xsi:type="xsd:double"&gt;13.3341853290965&lt;/D&gt;&lt;D xsi:type="xsd:double"&gt;13.6926017592842&lt;/D&gt;&lt;D xsi:type="xsd:double"&gt;13.5174835509712&lt;/D&gt;&lt;D xsi:type="xsd:double"&gt;15.0975955772491&lt;/D&gt;&lt;D xsi:type="xsd:double"&gt;15.673098388706&lt;/D&gt;&lt;D xsi:type="xsd:double"&gt;15.28805844006&lt;/D&gt;&lt;D xsi:type="xsd:double"&gt;16.0370054207974&lt;/D&gt;&lt;D xsi:type="xsd:double"&gt;15.8615961496176&lt;/D&gt;&lt;D xsi:type="xsd:double"&gt;15.840353171696&lt;/D&gt;&lt;D xsi:type="xsd:double"&gt;15.6546372891342&lt;/D&gt;&lt;D xsi:type="xsd:double"&gt;16.01443529149&lt;/D&gt;&lt;D xsi:type="xsd:double"&gt;16.0543059696619&lt;/D&gt;&lt;D xsi:type="xsd:double"&gt;17.2250206803237&lt;/D&gt;&lt;D xsi:type="xsd:double"&gt;17.5058163054044&lt;/D&gt;&lt;D xsi:type="xsd:double"&gt;17.0081427873803&lt;/D&gt;&lt;D xsi:type="xsd:double"&gt;17.6134957121411&lt;/D&gt;&lt;D xsi:type="xsd:double"&gt;17.6589487725781&lt;/D&gt;&lt;D xsi:type="xsd:double"&gt;18.7883837989737&lt;/D&gt;&lt;D xsi:type="xsd:double"&gt;15.4841598056535&lt;/D&gt;&lt;D xsi:type="xsd:double"&gt;14.2432857694728&lt;/D&gt;&lt;D xsi:type="xsd:double"&gt;13.0533104848085&lt;/D&gt;&lt;D xsi:type="xsd:double"&gt;14.4438371248916&lt;/D&gt;&lt;D xsi:type="xsd:double"&gt;14.0570885469094&lt;/D&gt;&lt;D xsi:type="xsd:double"&gt;14.0935034077192&lt;/D&gt;&lt;D xsi:type="xsd:double"&gt;13.8005147777788&lt;/D&gt;&lt;D xsi:type="xsd:double"&gt;13.3284595295084&lt;/D&gt;&lt;D xsi:type="xsd:double"&gt;12.3052327692995&lt;/D&gt;&lt;D xsi:type="xsd:double"&gt;11.6249812498428&lt;/D&gt;&lt;D xsi:type="xsd:double"&gt;11.6662752415903&lt;/D&gt;&lt;D xsi:type="xsd:double"&gt;11.9311911662644&lt;/D&gt;&lt;D xsi:type="xsd:double"&gt;15.1511562307042&lt;/D&gt;&lt;D xsi:type="xsd:double"&gt;14.91283906173&lt;/D&gt;&lt;D xsi:type="xsd:double"&gt;14.7944617357012&lt;/D&gt;&lt;D xsi:type="xsd:double"&gt;15.476012946829&lt;/D&gt;&lt;D xsi:type="xsd:double"&gt;15.6569914294171&lt;/D&gt;&lt;D xsi:type="xsd:double"&gt;15.3294732366651&lt;/D&gt;&lt;D xsi:type="xsd:double"&gt;15.0133790591503&lt;/D&gt;&lt;D xsi:type="xsd:double"&gt;14.3417474543172&lt;/D&gt;&lt;D xsi:type="xsd:double"&gt;14.7030279658395&lt;/D&gt;&lt;D xsi:type="xsd:double"&gt;14.9506446260338&lt;/D&gt;&lt;D xsi:type="xsd:double"&gt;13.6505896119311&lt;/D&gt;&lt;D xsi:type="xsd:double"&gt;14.9818676151889&lt;/D&gt;&lt;D xsi:type="xsd:double"&gt;15.4529737759059&lt;/D&gt;&lt;D xsi:type="xsd:double"&gt;13.043383491055&lt;/D&gt;&lt;D xsi:type="xsd:double"&gt;13.8526206919436&lt;/D&gt;&lt;D xsi:type="xsd:double"&gt;14.0495699202201&lt;/D&gt;&lt;D xsi:type="xsd:double"&gt;13.1651125546446&lt;/D&gt;&lt;D xsi:type="xsd:double"&gt;10.5810572242137&lt;/D&gt;&lt;D xsi:type="xsd:double"&gt;11.454306130013&lt;/D&gt;&lt;D xsi:type="xsd:double"&gt;12.0080982031428&lt;/D&gt;&lt;D xsi:type="xsd:double"&gt;14.1356211211954&lt;/D&gt;&lt;D xsi:type="xsd:double"&gt;15.580936773175&lt;/D&gt;&lt;D xsi:type="xsd:double"&gt;15.7431205461665&lt;/D&gt;&lt;D xsi:type="xsd:double"&gt;14.4590749452435&lt;/D&gt;&lt;D xsi:type="xsd:double"&gt;13.954042302438&lt;/D&gt;&lt;D xsi:type="xsd:double"&gt;14.7348730907691&lt;/D&gt;&lt;D xsi:type="xsd:double"&gt;13.7028226268233&lt;/D&gt;&lt;D xsi:type="xsd:double"&gt;15.0677670140434&lt;/D&gt;&lt;D xsi:type="xsd:double"&gt;14.6508607572562&lt;/D&gt;&lt;D xsi:type="xsd:double"&gt;15.0858873669451&lt;/D&gt;&lt;D xsi:type="xsd:double"&gt;13.9338252750059&lt;/D&gt;&lt;D xsi:type="xsd:double"&gt;12.5617592158247&lt;/D&gt;&lt;D xsi:type="xsd:double"&gt;11.5810817501096&lt;/D&gt;&lt;D xsi:type="xsd:double"&gt;10.5314257022675&lt;/D&gt;&lt;D xsi:type="xsd:double"&gt;10.2841946169635&lt;/D&gt;&lt;D xsi:type="xsd:double"&gt;10.1944819484766&lt;/D&gt;&lt;D xsi:type="xsd:double"&gt;9.12034463319568&lt;/D&gt;&lt;D xsi:type="xsd:double"&gt;9.85136663989918&lt;/D&gt;&lt;D xsi:type="xsd:double"&gt;9.06591513017385&lt;/D&gt;&lt;D xsi:type="xsd:double"&gt;9.72541912854987&lt;/D&gt;&lt;D xsi:type="xsd:double"&gt;10.1193557006469&lt;/D&gt;&lt;D xsi:type="xsd:double"&gt;9.1897610310115&lt;/D&gt;&lt;D xsi:type="xsd:double"&gt;9.34225231499497&lt;/D&gt;&lt;D xsi:type="xsd:double"&gt;8.58272909945813&lt;/D&gt;&lt;D xsi:type="xsd:double"&gt;6.72273112213301&lt;/D&gt;&lt;D xsi:type="xsd:double"&gt;6.27239095240684&lt;/D&gt;&lt;D xsi:type="xsd:double"&gt;6.82899997176213&lt;/D&gt;&lt;D xsi:type="xsd:double"&gt;7.79805674688654&lt;/D&gt;&lt;D xsi:type="xsd:double"&gt;6.97309827020069&lt;/D&gt;&lt;D xsi:type="xsd:double"&gt;7.18487450566922&lt;/D&gt;&lt;D xsi:type="xsd:double"&gt;7.26520076672469&lt;/D&gt;&lt;D xsi:type="xsd:double"&gt;7.28500074698493&lt;/D&gt;&lt;D xsi:type="xsd:double"&gt;7.86305194820698&lt;/D&gt;&lt;D xsi:type="xsd:double"&gt;7.70375079774258&lt;/D&gt;&lt;D xsi:type="xsd:double"&gt;7.62401286985405&lt;/D&gt;&lt;D xsi:type="xsd:double"&gt;8.5455811188322&lt;/D&gt;&lt;D xsi:type="xsd:double"&gt;8.36285533448355&lt;/D&gt;&lt;D xsi:type="xsd:double"&gt;9.11241267789037&lt;/D&gt;&lt;D xsi:type="xsd:double"&gt;9.16563942284347&lt;/D&gt;&lt;D xsi:type="xsd:double"&gt;8.87451944663719&lt;/D&gt;&lt;D xsi:type="xsd:double"&gt;8.67021225571263&lt;/D&gt;&lt;D xsi:type="xsd:double"&gt;8.5322069935423&lt;/D&gt;&lt;D xsi:type="xsd:double"&gt;8.16616375040949&lt;/D&gt;&lt;D xsi:type="xsd:double"&gt;8.06828601744718&lt;/D&gt;&lt;D xsi:type="xsd:double"&gt;7.46727792072182&lt;/D&gt;&lt;D xsi:type="xsd:double"&gt;7.65865238570531&lt;/D&gt;&lt;/FQL&gt;&lt;FQL&gt;&lt;Q&gt;EPOL^FMA_PE(LTMA,-10AY,0,AM,"PORTAGG","MEANR")&lt;/Q&gt;&lt;R&gt;121&lt;/R&gt;&lt;C&gt;1&lt;/C&gt;&lt;D xsi:type="xsd:double"&gt;15.2526672087178&lt;/D&gt;&lt;D xsi:type="xsd:double"&gt;15.3554342325741&lt;/D&gt;&lt;D xsi:type="xsd:double"&gt;15.1777879309951&lt;/D&gt;&lt;D xsi:type="xsd:double"&gt;15.1687139790616&lt;/D&gt;&lt;D xsi:type="xsd:double"&gt;14.7956813737768&lt;/D&gt;&lt;D xsi:type="xsd:double"&gt;14.7070106386637&lt;/D&gt;&lt;D xsi:type="xsd:double"&gt;14.7382427494322&lt;/D&gt;&lt;D xsi:type="xsd:double"&gt;14.5012780442353&lt;/D&gt;&lt;D xsi:type="xsd:double"&gt;14.6695357584379&lt;/D&gt;&lt;D xsi:type="xsd:double"&gt;14.5900412204763&lt;/D&gt;&lt;D xsi:type="xsd:double"&gt;14.5677955000167&lt;/D&gt;&lt;D xsi:type="xsd:double"&gt;18.3915650134616&lt;/D&gt;&lt;D xsi:type="xsd:double"&gt;20.1005197723448&lt;/D&gt;&lt;D xsi:type="xsd:double"&gt;19.7119242807574&lt;/D&gt;&lt;D xsi:type="xsd:double"&gt;19.1904913578265&lt;/D&gt;&lt;D xsi:type="xsd:double"&gt;18.143625242057&lt;/D&gt;&lt;D xsi:type="xsd:double"&gt;17.1768773464057&lt;/D&gt;&lt;D xsi:type="xsd:double"&gt;16.0523781331494&lt;/D&gt;&lt;D xsi:type="xsd:double"&gt;15.1067431884227&lt;/D&gt;&lt;D xsi:type="xsd:double"&gt;14.1584938810124&lt;/D&gt;&lt;D xsi:type="xsd:double"&gt;12.7331596409071&lt;/D&gt;&lt;D xsi:type="xsd:double"&gt;10.8551461020686&lt;/D&gt;&lt;D xsi:type="xsd:double"&gt;11.0239355912576&lt;/D&gt;&lt;D xsi:type="xsd:double"&gt;11.734344304518&lt;/D&gt;&lt;D xsi:type="xsd:double"&gt;12.3383505044071&lt;/D&gt;&lt;D xsi:type="xsd:double"&gt;12.4567064814724&lt;/D&gt;&lt;D xsi:type="xsd:double"&gt;12.0783379774097&lt;/D&gt;&lt;D xsi:type="xsd:double"&gt;11.9590466832686&lt;/D&gt;&lt;D xsi:type="xsd:double"&gt;11.7503210838918&lt;/D&gt;&lt;D xsi:type="xsd:double"&gt;12.4071646746641&lt;/D&gt;&lt;D xsi:type="xsd:double"&gt;12.0408743279722&lt;/D&gt;&lt;D xsi:type="xsd:double"&gt;12.242374548467&lt;/D&gt;&lt;D xsi:type="xsd:double"&gt;12.4922441171323&lt;/D&gt;&lt;D xsi:type="xsd:double"&gt;13.4483491392442&lt;/D&gt;&lt;D xsi:type="xsd:double"&gt;14.192262716434&lt;/D&gt;&lt;D xsi:type="xsd:double"&gt;16.0876548844062&lt;/D&gt;&lt;D xsi:type="xsd:double"&gt;15.6612422059007&lt;/D&gt;&lt;D xsi:type="xsd:double"&gt;15.3138484554435&lt;/D&gt;&lt;D xsi:type="xsd:double"&gt;15.158389186216&lt;/D&gt;&lt;D xsi:type="xsd:double"&gt;14.744263293074&lt;/D&gt;&lt;D xsi:type="xsd:double"&gt;14.5526432872402&lt;/D&gt;&lt;D xsi:type="xsd:double"&gt;14.3347967168349&lt;/D&gt;&lt;D xsi:type="xsd:double"&gt;14.0339562070983&lt;/D&gt;&lt;D xsi:type="xsd:double"&gt;13.6355277264089&lt;/D&gt;&lt;D xsi:type="xsd:double"&gt;12.8371646571569&lt;/D&gt;&lt;D xsi:type="xsd:double"&gt;12.4658642825908&lt;/D&gt;&lt;D xsi:type="xsd:double"&gt;12.6878421811984&lt;/D&gt;&lt;D xsi:type="xsd:double"&gt;12.3445528026181&lt;/D&gt;&lt;D xsi:type="xsd:double"&gt;11.7552790817795&lt;/D&gt;&lt;D xsi:type="xsd:double"&gt;11.8027494612671&lt;/D&gt;&lt;D xsi:type="xsd:double"&gt;11.8431777025206&lt;/D&gt;&lt;D xsi:type="xsd:double"&gt;11.6036894050416&lt;/D&gt;&lt;D xsi:type="xsd:double"&gt;11.3324669409302&lt;/D&gt;&lt;D xsi:type="xsd:double"&gt;11.6137128223541&lt;/D&gt;&lt;D xsi:type="xsd:double"&gt;11.3861383804776&lt;/D&gt;&lt;D xsi:type="xsd:double"&gt;11.2567395054208&lt;/D&gt;&lt;D xsi:type="xsd:double"&gt;11.3199598713487&lt;/D&gt;&lt;D xsi:type="xsd:double"&gt;11.6248236991829&lt;/D&gt;&lt;D xsi:type="xsd:double"&gt;11.6651868925705&lt;/D&gt;&lt;D xsi:type="xsd:double"&gt;11.4315313975035&lt;/D&gt;&lt;D xsi:type="xsd:double"&gt;11.5809160934861&lt;/D&gt;&lt;D xsi:type="xsd:double"&gt;11.6324437555272&lt;/D&gt;&lt;D xsi:type="xsd:double"&gt;11.3060790453395&lt;/D&gt;&lt;D xsi:type="xsd:double"&gt;11.4414586672209&lt;/D&gt;&lt;D xsi:type="xsd:double"&gt;11.5698954727966&lt;/D&gt;&lt;D xsi:type="xsd:double"&gt;10.8295074410475&lt;/D&gt;&lt;D xsi:type="xsd:double"&gt;11.097189547257&lt;/D&gt;&lt;D xsi:type="xsd:double"&gt;10.8207475001871&lt;/D&gt;&lt;D xsi:type="xsd:double"&gt;11.0556266640023&lt;/D&gt;&lt;D xsi:type="xsd:double"&gt;10.7824430213288&lt;/D&gt;&lt;D xsi:type="xsd:double"&gt;11.1491618264901&lt;/D&gt;&lt;D xsi:type="xsd:double"&gt;11.3018507034562&lt;/D&gt;&lt;D xsi:type="xsd:double"&gt;9.32170195371182&lt;/D&gt;&lt;D xsi:type="xsd:double"&gt;10.0098691704487&lt;/D&gt;&lt;D xsi:type="xsd:double"&gt;10.8133991607998&lt;/D&gt;&lt;D xsi:type="xsd:double"&gt;11.9588246579745&lt;/D&gt;&lt;D xsi:type="xsd:double"&gt;11.8097788103529&lt;/D&gt;&lt;D xsi:type="xsd:double"&gt;12.5564552561604&lt;/D&gt;&lt;D xsi:type="xsd:double"&gt;12.8614099692094&lt;/D&gt;&lt;D xsi:type="xsd:double"&gt;14.2049654495428&lt;/D&gt;&lt;D xsi:type="xsd:double"&gt;18.324882346998&lt;/D&gt;&lt;D xsi:type="xsd:double"&gt;21.5506690438235&lt;/D&gt;&lt;D xsi:type="xsd:double"&gt;22.8612817755463&lt;/D&gt;&lt;D xsi:type="xsd:double"&gt;15.3244416487162&lt;/D&gt;&lt;D xsi:type="xsd:double"&gt;17.0210552753362&lt;/D&gt;&lt;D xsi:type="xsd:double"&gt;16.5403435093489&lt;/D&gt;&lt;D xsi:type="xsd:double"&gt;16.3375228950024&lt;/D&gt;&lt;D xsi:type="xsd:double"&gt;15.9304208292198&lt;/D&gt;&lt;D xsi:type="xsd:double"&gt;15.1230877246345&lt;/D&gt;&lt;D xsi:type="xsd:double"&gt;14.5384719830193&lt;/D&gt;&lt;D xsi:type="xsd:double"&gt;13.9853784723238&lt;/D&gt;&lt;D xsi:type="xsd:double"&gt;14.1378584572294&lt;/D&gt;&lt;D xsi:type="xsd:double"&gt;13.0507082910805&lt;/D&gt;&lt;D xsi:type="xsd:double"&gt;10.7728601896953&lt;/D&gt;&lt;D xsi:type="xsd:double"&gt;11.0745459609684&lt;/D&gt;&lt;D xsi:type="xsd:double"&gt;10.6500858175744&lt;/D&gt;&lt;D xsi:type="xsd:double"&gt;9.74888558079465&lt;/D&gt;&lt;D xsi:type="xsd:double"&gt;9.52557547461468&lt;/D&gt;&lt;D xsi:type="xsd:double"&gt;8.76190123344043&lt;/D&gt;&lt;D xsi:type="xsd:double"&gt;8.27396124428117&lt;/D&gt;&lt;D xsi:type="xsd:double"&gt;7.44136799563973&lt;/D&gt;&lt;D xsi:type="xsd:double"&gt;7.18420897865582&lt;/D&gt;&lt;D xsi:type="xsd:double"&gt;6.6996849592317&lt;/D&gt;&lt;D xsi:type="xsd:double"&gt;6.4953929772262&lt;/D&gt;&lt;D xsi:type="xsd:double"&gt;6.65251130243461&lt;/D&gt;&lt;D xsi:type="xsd:double"&gt;6.05653301448747&lt;/D&gt;&lt;D xsi:type="xsd:double"&gt;6.27996111429163&lt;/D&gt;&lt;D xsi:type="xsd:double"&gt;5.43654501064171&lt;/D&gt;&lt;D xsi:type="xsd:double"&gt;5.96609253511541&lt;/D&gt;&lt;D xsi:type="xsd:double"&gt;6.01815728922106&lt;/D&gt;&lt;D xsi:type="xsd:double"&gt;6.18023626422704&lt;/D&gt;&lt;D xsi:type="xsd:double"&gt;6.57538804925234&lt;/D&gt;&lt;D xsi:type="xsd:double"&gt;6.48857251053046&lt;/D&gt;&lt;D xsi:type="xsd:double"&gt;6.85732817638676&lt;/D&gt;&lt;D xsi:type="xsd:double"&gt;6.95267258387234&lt;/D&gt;&lt;D xsi:type="xsd:double"&gt;7.08654718740485&lt;/D&gt;&lt;D xsi:type="xsd:double"&gt;7.74288489460988&lt;/D&gt;&lt;D xsi:type="xsd:double"&gt;9.44812878065527&lt;/D&gt;&lt;D xsi:type="xsd:double"&gt;8.61245891289657&lt;/D&gt;&lt;D xsi:type="xsd:double"&gt;8.96299704502611&lt;/D&gt;&lt;D xsi:type="xsd:double"&gt;8.99518336207268&lt;/D&gt;&lt;/FQL&gt;&lt;FQL&gt;&lt;Q&gt;WL-FDS^FG_PRICE_CHANGE(0,-1AM)&lt;/Q&gt;&lt;R&gt;1&lt;/R&gt;&lt;C&gt;1&lt;/C&gt;&lt;D xsi:type="xsd:double"&gt;-6.66464247760742&lt;/D&gt;&lt;/FQL&gt;&lt;FQL&gt;&lt;Q&gt;W-FDS^FG_PRICE_CHANGE(0,-3AM)&lt;/Q&gt;&lt;R&gt;1&lt;/R&gt;&lt;C&gt;1&lt;/C&gt;&lt;D xsi:type="xsd:double"&gt;-12.5420875420875&lt;/D&gt;&lt;/FQL&gt;&lt;FQL&gt;&lt;Q&gt;COPP-FDS^FG_PRICE(0)&lt;/Q&gt;&lt;R&gt;1&lt;/R&gt;&lt;C&gt;1&lt;/C&gt;&lt;D xsi:type="xsd:double"&gt;4.037&lt;/D&gt;&lt;/FQL&gt;&lt;FQL&gt;&lt;Q&gt;FC0000KR^FG_PRICE(0)&lt;/Q&gt;&lt;R&gt;1&lt;/R&gt;&lt;C&gt;1&lt;/C&gt;&lt;D xsi:type="xsd:double"&gt;487.53073&lt;/D&gt;&lt;/FQL&gt;&lt;FQL&gt;&lt;Q&gt;UAE^FG_PRICE(0)&lt;/Q&gt;&lt;R&gt;1&lt;/R&gt;&lt;C&gt;1&lt;/C&gt;&lt;D xsi:type="xsd:double"&gt;14.58&lt;/D&gt;&lt;/FQL&gt;&lt;FQL&gt;&lt;Q&gt;INDA^FG_PRICE_MAVG(0,,,,200)&lt;/Q&gt;&lt;R&gt;1&lt;/R&gt;&lt;C&gt;1&lt;/C&gt;&lt;D xsi:type="xsd:double"&gt;46.012123&lt;/D&gt;&lt;/FQL&gt;&lt;FQL&gt;&lt;Q&gt;EPU^FG_PRICE(0)&lt;/Q&gt;&lt;R&gt;1&lt;/R&gt;&lt;C&gt;1&lt;/C&gt;&lt;D xsi:type="xsd:double"&gt;38.3749&lt;/D&gt;&lt;/FQL&gt;&lt;FQL&gt;&lt;Q&gt;CNYA^FG_PRICE_MAVG(0,,,,200)&lt;/Q&gt;&lt;R&gt;1&lt;/R&gt;&lt;C&gt;1&lt;/C&gt;&lt;D xsi:type="xsd:double"&gt;27.485825&lt;/D&gt;&lt;/FQL&gt;&lt;FQL&gt;&lt;Q&gt;VWO^P_PRICE(0)/P_PRICE_HIGH_PR(0,,,USD,,,"PRICE","INTRA","52W")&lt;/Q&gt;&lt;R&gt;1&lt;/R&gt;&lt;C&gt;1&lt;/C&gt;&lt;D xsi:type="xsd:double"&gt;0.9689095&lt;/D&gt;&lt;/FQL&gt;&lt;FQL&gt;&lt;Q&gt;^FG_YIELD(-10AY,0,Y,,"YTM")&lt;/Q&gt;&lt;R&gt;10&lt;/R&gt;&lt;C&gt;1&lt;/C&gt;&lt;D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xsi:type="xsd:double"&gt;1.211&lt;/D&gt;&lt;/FQL&gt;&lt;FQL&gt;&lt;Q&gt;USDVND^FG_PRICE_CHANGE(0,-6AM)&lt;/Q&gt;&lt;R&gt;1&lt;/R&gt;&lt;C&gt;1&lt;/C&gt;&lt;D xsi:type="xsd:double"&gt;1.9397497&lt;/D&gt;&lt;/FQL&gt;&lt;FQL&gt;&lt;Q&gt;ECH^JULIAN(P_PRICE_RETURNS_PR('52W',2,-10AY,0,AM).DATES)&lt;/Q&gt;&lt;R&gt;121&lt;/R&gt;&lt;C&gt;1&lt;/C&gt;&lt;D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xsi:type="xsd:long"&gt;45365&lt;/D&gt;&lt;/FQL&gt;&lt;FQL&gt;&lt;Q&gt;ECH^FMA_DIV_YLD(NTMA,-10AY,0,AM,"PORTAGG","MEANR")&lt;/Q&gt;&lt;R&gt;121&lt;/R&gt;&lt;C&gt;1&lt;/C&gt;&lt;D xsi:type="xsd:double"&gt;3.41415907943409&lt;/D&gt;&lt;D xsi:type="xsd:double"&gt;3.02773710851239&lt;/D&gt;&lt;D xsi:type="xsd:double"&gt;3.0042718762461&lt;/D&gt;&lt;D xsi:type="xsd:double"&gt;3.09411052833087&lt;/D&gt;&lt;D xsi:type="xsd:double"&gt;3.05412814610077&lt;/D&gt;&lt;D xsi:type="xsd:double"&gt;3.04719821052677&lt;/D&gt;&lt;D xsi:type="xsd:double"&gt;3.07023434988713&lt;/D&gt;&lt;D xsi:type="xsd:double"&gt;3.21952713319522&lt;/D&gt;&lt;D xsi:type="xsd:double"&gt;2.98752647403528&lt;/D&gt;&lt;D xsi:type="xsd:double"&gt;3.17620014522376&lt;/D&gt;&lt;D xsi:type="xsd:double"&gt;3.35135812952527&lt;/D&gt;&lt;D xsi:type="xsd:double"&gt;3.13552894469853&lt;/D&gt;&lt;D xsi:type="xsd:double"&gt;3.34323514720744&lt;/D&gt;&lt;D xsi:type="xsd:double"&gt;3.14370575657358&lt;/D&gt;&lt;D xsi:type="xsd:double"&gt;3.20083139056154&lt;/D&gt;&lt;D xsi:type="xsd:double"&gt;3.3991696983354&lt;/D&gt;&lt;D xsi:type="xsd:double"&gt;3.53364679399052&lt;/D&gt;&lt;D xsi:type="xsd:double"&gt;3.58619314235141&lt;/D&gt;&lt;D xsi:type="xsd:double"&gt;3.65212785297279&lt;/D&gt;&lt;D xsi:type="xsd:double"&gt;3.72567931614924&lt;/D&gt;&lt;D xsi:type="xsd:double"&gt;3.75534399888243&lt;/D&gt;&lt;D xsi:type="xsd:double"&gt;3.87756577531415&lt;/D&gt;&lt;D xsi:type="xsd:double"&gt;3.97821094751796&lt;/D&gt;&lt;D xsi:type="xsd:double"&gt;3.74508624572072&lt;/D&gt;&lt;D xsi:type="xsd:double"&gt;3.48911722272204&lt;/D&gt;&lt;D xsi:type="xsd:double"&gt;3.48859976599244&lt;/D&gt;&lt;D xsi:type="xsd:double"&gt;3.24454313515989&lt;/D&gt;&lt;D xsi:type="xsd:double"&gt;3.26350391299674&lt;/D&gt;&lt;D xsi:type="xsd:double"&gt;2.93074736499811&lt;/D&gt;&lt;D xsi:type="xsd:double"&gt;2.86593937815706&lt;/D&gt;&lt;D xsi:type="xsd:double"&gt;3.10462610469741&lt;/D&gt;&lt;D xsi:type="xsd:double"&gt;2.76134365904752&lt;/D&gt;&lt;D xsi:type="xsd:double"&gt;2.7642160259229&lt;/D&gt;&lt;D xsi:type="xsd:double"&gt;2.80689346362077&lt;/D&gt;&lt;D xsi:type="xsd:double"&gt;2.93080782379569&lt;/D&gt;&lt;D xsi:type="xsd:double"&gt;2.76588884529927&lt;/D&gt;&lt;D xsi:type="xsd:double"&gt;2.75290276218854&lt;/D&gt;&lt;D xsi:type="xsd:double"&gt;2.42581616014015&lt;/D&gt;&lt;D xsi:type="xsd:double"&gt;2.47331107811701&lt;/D&gt;&lt;D xsi:type="xsd:double"&gt;2.62117742421193&lt;/D&gt;&lt;D xsi:type="xsd:double"&gt;2.58758136113299&lt;/D&gt;&lt;D xsi:type="xsd:double"&gt;2.6181495775588&lt;/D&gt;&lt;D xsi:type="xsd:double"&gt;2.46987458517924&lt;/D&gt;&lt;D xsi:type="xsd:double"&gt;2.8685136964114&lt;/D&gt;&lt;D xsi:type="xsd:double"&gt;2.96193664745254&lt;/D&gt;&lt;D xsi:type="xsd:double"&gt;3.20825172654348&lt;/D&gt;&lt;D xsi:type="xsd:double"&gt;2.80589035597438&lt;/D&gt;&lt;D xsi:type="xsd:double"&gt;3.02962629307573&lt;/D&gt;&lt;D xsi:type="xsd:double"&gt;3.18536865634175&lt;/D&gt;&lt;D xsi:type="xsd:double"&gt;3.11349310362051&lt;/D&gt;&lt;D xsi:type="xsd:double"&gt;3.22277683798914&lt;/D&gt;&lt;D xsi:type="xsd:double"&gt;3.19676549123455&lt;/D&gt;&lt;D xsi:type="xsd:double"&gt;3.37078462126235&lt;/D&gt;&lt;D xsi:type="xsd:double"&gt;3.38901730495219&lt;/D&gt;&lt;D xsi:type="xsd:double"&gt;3.40867725868962&lt;/D&gt;&lt;D xsi:type="xsd:double"&gt;3.05130619016134&lt;/D&gt;&lt;D xsi:type="xsd:double"&gt;3.06342647924099&lt;/D&gt;&lt;D xsi:type="xsd:double"&gt;3.07303155527615&lt;/D&gt;&lt;D xsi:type="xsd:double"&gt;3.00615258751441&lt;/D&gt;&lt;D xsi:type="xsd:double"&gt;2.98549166369206&lt;/D&gt;&lt;D xsi:type="xsd:double"&gt;3.01970050648693&lt;/D&gt;&lt;D xsi:type="xsd:double"&gt;3.00603139303163&lt;/D&gt;&lt;D xsi:type="xsd:double"&gt;3.16613440463102&lt;/D&gt;&lt;D xsi:type="xsd:double"&gt;3.31083827509583&lt;/D&gt;&lt;D xsi:type="xsd:double"&gt;3.18283547342206&lt;/D&gt;&lt;D xsi:type="xsd:double"&gt;3.49984105732084&lt;/D&gt;&lt;D xsi:type="xsd:double"&gt;3.30024318598059&lt;/D&gt;&lt;D xsi:type="xsd:double"&gt;3.2083114618155&lt;/D&gt;&lt;D xsi:type="xsd:double"&gt;3.81556987265392&lt;/D&gt;&lt;D xsi:type="xsd:double"&gt;3.60814968249113&lt;/D&gt;&lt;D xsi:type="xsd:double"&gt;3.57460916131897&lt;/D&gt;&lt;D xsi:type="xsd:double"&gt;3.73038017126505&lt;/D&gt;&lt;D xsi:type="xsd:double"&gt;4.6899184437551&lt;/D&gt;&lt;D xsi:type="xsd:double"&gt;4.13834410840742&lt;/D&gt;&lt;D xsi:type="xsd:double"&gt;4.0278693244176&lt;/D&gt;&lt;D xsi:type="xsd:double"&gt;3.29071222359807&lt;/D&gt;&lt;D xsi:type="xsd:double"&gt;3.17374125352724&lt;/D&gt;&lt;D xsi:type="xsd:double"&gt;3.38478963378834&lt;/D&gt;&lt;D xsi:type="xsd:double"&gt;3.82822708916627&lt;/D&gt;&lt;D xsi:type="xsd:double"&gt;3.82278436677487&lt;/D&gt;&lt;D xsi:type="xsd:double"&gt;3.4093291995415&lt;/D&gt;&lt;D xsi:type="xsd:double"&gt;3.30088280127517&lt;/D&gt;&lt;D xsi:type="xsd:double"&gt;3.00262227401142&lt;/D&gt;&lt;D xsi:type="xsd:double"&gt;3.0778821051931&lt;/D&gt;&lt;D xsi:type="xsd:double"&gt;2.78342595192029&lt;/D&gt;&lt;D xsi:type="xsd:double"&gt;3.08246599826549&lt;/D&gt;&lt;D xsi:type="xsd:double"&gt;3.56721582507804&lt;/D&gt;&lt;D xsi:type="xsd:double"&gt;3.78904311992989&lt;/D&gt;&lt;D xsi:type="xsd:double"&gt;4.25635584711244&lt;/D&gt;&lt;D xsi:type="xsd:double"&gt;4.64642415216278&lt;/D&gt;&lt;D xsi:type="xsd:double"&gt;4.62461908177312&lt;/D&gt;&lt;D xsi:type="xsd:double"&gt;5.14751374577593&lt;/D&gt;&lt;D xsi:type="xsd:double"&gt;4.61179571756629&lt;/D&gt;&lt;D xsi:type="xsd:double"&gt;5.43599846216583&lt;/D&gt;&lt;D xsi:type="xsd:double"&gt;4.78872757876006&lt;/D&gt;&lt;D xsi:type="xsd:double"&gt;4.76670887624748&lt;/D&gt;&lt;D xsi:type="xsd:double"&gt;4.89715934954273&lt;/D&gt;&lt;D xsi:type="xsd:double"&gt;4.80000585315617&lt;/D&gt;&lt;D xsi:type="xsd:double"&gt;5.35740841760512&lt;/D&gt;&lt;D xsi:type="xsd:double"&gt;6.80897830622579&lt;/D&gt;&lt;D xsi:type="xsd:double"&gt;7.74703393138568&lt;/D&gt;&lt;D xsi:type="xsd:double"&gt;6.99493293446721&lt;/D&gt;&lt;D xsi:type="xsd:double"&gt;6.36586918549167&lt;/D&gt;&lt;D xsi:type="xsd:double"&gt;7.37602944029443&lt;/D&gt;&lt;D xsi:type="xsd:double"&gt;8.58005421823391&lt;/D&gt;&lt;D xsi:type="xsd:double"&gt;8.69976318441399&lt;/D&gt;&lt;D xsi:type="xsd:double"&gt;7.97170930493424&lt;/D&gt;&lt;D xsi:type="xsd:double"&gt;7.85728949833685&lt;/D&gt;&lt;D xsi:type="xsd:double"&gt;8.21847591807707&lt;/D&gt;&lt;D xsi:type="xsd:double"&gt;8.36103720535075&lt;/D&gt;&lt;D xsi:type="xsd:double"&gt;7.38641327691851&lt;/D&gt;&lt;D xsi:type="xsd:double"&gt;7.00619581961412&lt;/D&gt;&lt;D xsi:type="xsd:double"&gt;6.3588666597079&lt;/D&gt;&lt;D xsi:type="xsd:double"&gt;6.34572721013419&lt;/D&gt;&lt;D xsi:type="xsd:double"&gt;10.8766968030262&lt;/D&gt;&lt;D xsi:type="xsd:double"&gt;6.9281178832456&lt;/D&gt;&lt;D xsi:type="xsd:double"&gt;6.74460801322311&lt;/D&gt;&lt;D xsi:type="xsd:double"&gt;6.60097048584307&lt;/D&gt;&lt;D xsi:type="xsd:double"&gt;7.00651983180683&lt;/D&gt;&lt;D xsi:type="xsd:double"&gt;6.82305862389152&lt;/D&gt;&lt;D xsi:type="xsd:double"&gt;6.99710663440434&lt;/D&gt;&lt;/FQL&gt;&lt;FQL&gt;&lt;Q&gt;CAGDPY@BR^EE_ACTUAL_ANNUAL(MED,+1)&lt;/Q&gt;&lt;R&gt;1&lt;/R&gt;&lt;C&gt;1&lt;/C&gt;&lt;D xsi:type="xsd:double"&gt;-1.54&lt;/D&gt;&lt;/FQL&gt;&lt;FQL&gt;&lt;Q&gt;CC_GR^FG_COMPANY_NAME&lt;/Q&gt;&lt;R&gt;1&lt;/R&gt;&lt;C&gt;1&lt;/C&gt;&lt;D xsi:type="xsd:string"&gt;Greece&lt;/D&gt;&lt;/FQL&gt;&lt;FQL&gt;&lt;Q&gt;USDEUR^FG_PRICE_CHANGE(0,-3AM)&lt;/Q&gt;&lt;R&gt;1&lt;/R&gt;&lt;C&gt;1&lt;/C&gt;&lt;D xsi:type="xsd:double"&gt;0.978148&lt;/D&gt;&lt;/FQL&gt;&lt;FQL&gt;&lt;Q&gt;FC0000ID^FMA_EPS(NTMA,-20AY,0,CY,,"PORTAGG","MEANR")&lt;/Q&gt;&lt;R&gt;20&lt;/R&gt;&lt;C&gt;1&lt;/C&gt;&lt;D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xsi:type="xsd:double"&gt;67.9891833110655&lt;/D&gt;&lt;/FQL&gt;&lt;FQL&gt;&lt;Q&gt;CNYA^FMA_DIV_YLD(NTMA,-10AY,0,AM,"PORTAGG","MEANR")&lt;/Q&gt;&lt;R&gt;121&lt;/R&gt;&lt;C&gt;1&lt;/C&gt;&lt;D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</t>
        </r>
      </text>
    </comment>
    <comment ref="A17" authorId="0" shapeId="0" xr:uid="{94D9B958-6B02-46DC-9D88-9F22B19324CB}">
      <text>
        <r>
          <rPr>
            <b/>
            <sz val="9"/>
            <color indexed="81"/>
            <rFont val="Tahoma"/>
            <charset val="1"/>
          </rPr>
          <t>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xsi:type="xsd:double"&gt;2.18094229164735&lt;/D&gt;&lt;D xsi:type="xsd:double"&gt;2.21629701531387&lt;/D&gt;&lt;D xsi:type="xsd:double"&gt;2.25966789062602&lt;/D&gt;&lt;D xsi:type="xsd:double"&gt;2.27834006643354&lt;/D&gt;&lt;D xsi:type="xsd:double"&gt;2.22277114047846&lt;/D&gt;&lt;D xsi:type="xsd:double"&gt;2.25616135035053&lt;/D&gt;&lt;D xsi:type="xsd:double"&gt;2.31455827056313&lt;/D&gt;&lt;D xsi:type="xsd:double"&gt;2.3126980469434&lt;/D&gt;&lt;D xsi:type="xsd:double"&gt;2.30824360922249&lt;/D&gt;&lt;D xsi:type="xsd:double"&gt;2.23839695655606&lt;/D&gt;&lt;D xsi:type="xsd:double"&gt;2.26848458360577&lt;/D&gt;&lt;D xsi:type="xsd:double"&gt;2.1478500533634&lt;/D&gt;&lt;D xsi:type="xsd:double"&gt;2.13023081138495&lt;/D&gt;&lt;D xsi:type="xsd:double"&gt;2.20880942393864&lt;/D&gt;&lt;D xsi:type="xsd:double"&gt;2.14159598898844&lt;/D&gt;&lt;D xsi:type="xsd:double"&gt;2.14042270517904&lt;/D&gt;&lt;D xsi:type="xsd:double"&gt;2.07696951509551&lt;/D&gt;&lt;D xsi:type="xsd:double"&gt;2.19658930139856&lt;/D&gt;&lt;D xsi:type="xsd:double"&gt;2.11208906057998&lt;/D&gt;&lt;D xsi:type="xsd:double"&gt;2.32110531441055&lt;/D&gt;&lt;D xsi:type="xsd:double"&gt;2.28416506341739&lt;/D&gt;&lt;D xsi:type="xsd:double"&gt;2.46459692642692&lt;/D&gt;&lt;D xsi:type="xsd:double"&gt;2.6346848946828&lt;/D&gt;&lt;D xsi:type="xsd:double"&gt;2.73542947249878&lt;/D&gt;&lt;D xsi:type="xsd:double"&gt;2.99618918590889&lt;/D&gt;&lt;D xsi:type="xsd:double"&gt;3.16918467658423&lt;/D&gt;&lt;D xsi:type="xsd:double"&gt;3.24379337155151&lt;/D&gt;&lt;D xsi:type="xsd:double"&gt;3.33990029916588&lt;/D&gt;&lt;D xsi:type="xsd:double"&gt;3.28484274834249&lt;/D&gt;&lt;D xsi:type="xsd:double"&gt;3.21500732944745&lt;/D&gt;&lt;D xsi:type="xsd:double"&gt;3.32754902065673&lt;/D&gt;&lt;D xsi:type="xsd:double"&gt;3.0031184600416&lt;/D&gt;&lt;D xsi:type="xsd:double"&gt;2.84277220491275&lt;/D&gt;&lt;D xsi:type="xsd:double"&gt;2.65439585114208&lt;/D&gt;&lt;D xsi:type="xsd:double"&gt;2.89386502618094&lt;/D&gt;&lt;D xsi:type="xsd:double"&gt;2.79913733245777&lt;/D&gt;&lt;D xsi:type="xsd:double"&gt;2.69788911922098&lt;/D&gt;&lt;D xsi:type="xsd:double"&gt;2.81619745299818&lt;/D&gt;&lt;D xsi:type="xsd:double"&gt;2.62711760745068&lt;/D&gt;&lt;D xsi:type="xsd:double"&gt;2.66518282919214&lt;/D&gt;&lt;D xsi:type="xsd:double"&gt;2.77570302905469&lt;/D&gt;&lt;D xsi:type="xsd:double"&gt;2.50967977099184&lt;/D&gt;&lt;D xsi:type="xsd:double"&gt;2.40804787119834&lt;/D&gt;&lt;D xsi:type="xsd:double"&gt;2.49230047734775&lt;/D&gt;&lt;D xsi:type="xsd:double"&gt;2.51569009918999&lt;/D&gt;&lt;D xsi:type="xsd:double"&gt;2.47823991338569&lt;/D&gt;&lt;D xsi:type="xsd:double"&gt;2.3280200524133&lt;/D&gt;&lt;D xsi:type="xsd:double"&gt;2.22204546409909&lt;/D&gt;&lt;D xsi:type="xsd:double"&gt;1.86406109606951&lt;/D&gt;&lt;D xsi:type="xsd:double"&gt;1.97155192039328&lt;/D&gt;&lt;D xsi:type="xsd:double"&gt;1.94976748398275&lt;/D&gt;&lt;D xsi:type="xsd:double"&gt;1.92549505684964&lt;/D&gt;&lt;D xsi:type="xsd:double"&gt;1.94726116844478&lt;/D&gt;&lt;D xsi:type="xsd:double"&gt;1.87212808283302&lt;/D&gt;&lt;D xsi:type="xsd:double"&gt;1.68784319288085&lt;/D&gt;&lt;D xsi:type="xsd:double"&gt;1.59207488690095&lt;/D&gt;&lt;D xsi:type="xsd:double"&gt;1.85112538258586&lt;/D&gt;&lt;D xsi:type="xsd:double"&gt;1.94289385408618&lt;/D&gt;&lt;D xsi:type="xsd:double"&gt;1.89895352205566&lt;/D&gt;&lt;D xsi:type="xsd:double"&gt;1.8214577799496&lt;/D&gt;&lt;D xsi:type="xsd:double"&gt;1.85026521660104&lt;/D&gt;&lt;D xsi:type="xsd:double"&gt;1.95634677136337&lt;/D&gt;&lt;D xsi:type="xsd:double"&gt;1.95945582305481&lt;/D&gt;&lt;D xsi:type="xsd:double"&gt;1.99341852267285&lt;/D&gt;&lt;D xsi:type="xsd:double"&gt;1.98993645910594&lt;/D&gt;&lt;D xsi:type="xsd:double"&gt;1.9331225145961&lt;/D&gt;&lt;D xsi:type="xsd:double"&gt;2.09493966759368&lt;/D&gt;&lt;D xsi:type="xsd:double"&gt;2.23391286095067&lt;/D&gt;&lt;D xsi:type="xsd:double"&gt;2.4230062095269&lt;/D&gt;&lt;D xsi:type="xsd:double"&gt;2.42778332585229&lt;/D&gt;&lt;D xsi:type="xsd:double"&gt;2.47658443373165&lt;/D&gt;&lt;D xsi:type="xsd:double"&gt;2.36039264172937&lt;/D&gt;&lt;D xsi:type="xsd:double"&gt;2.34528102216339&lt;/D&gt;&lt;D xsi:type="xsd:double"&gt;2.37406408243553&lt;/D&gt;&lt;D xsi:type="xsd:double"&gt;2.49247239352049&lt;/D&gt;&lt;D xsi:type="xsd:double"&gt;2.65835831651434&lt;/D&gt;&lt;D xsi:type="xsd:double"&gt;2.61150068975627&lt;/D&gt;&lt;D xsi:type="xsd:double"&gt;2.50238808250002&lt;/D&gt;&lt;D xsi:type="xsd:double"&gt;2.43081241774447&lt;/D&gt;&lt;D xsi:type="xsd:double"&gt;2.38649651115718&lt;/D&gt;&lt;D xsi:type="xsd:double"&gt;2.50776572339491&lt;/D&gt;&lt;D xsi:type="xsd:double"&gt;2.45185886348042&lt;/D&gt;&lt;D xsi:type="xsd:double"&gt;2.54777649210133&lt;/D&gt;&lt;D xsi:type="xsd:double"&gt;2.56924491499683&lt;/D&gt;&lt;D xsi:type="xsd:double"&gt;2.57011283222859&lt;/D&gt;&lt;D xsi:type="xsd:double"&gt;2.59508759777954&lt;/D&gt;&lt;D xsi:type="xsd:double"&gt;2.61199039627663&lt;/D&gt;&lt;D xsi:type="xsd:double"&gt;2.67720511185227&lt;/D&gt;&lt;D xsi:type="xsd:double"&gt;2.68845278025582&lt;/D&gt;&lt;D xsi:type="xsd:double"&gt;2.82084533390265&lt;/D&gt;&lt;D xsi:type="xsd:double"&gt;2.88738599297893&lt;/D&gt;&lt;D xsi:type="xsd:double"&gt;2.8214548972389&lt;/D&gt;&lt;D xsi:type="xsd:double"&gt;2.6926040381604&lt;/D&gt;&lt;/FQL&gt;&lt;FQL&gt;&lt;Q&gt;PLATI-FDS^FG_PRICE(0)/MAX(FG_PRICE(0,-1AY))&lt;/Q&gt;&lt;R&gt;1&lt;/R&gt;&lt;C&gt;1&lt;/C&gt;&lt;D xsi:type="xsd:double"&gt;0.827312775330396&lt;/D&gt;&lt;/FQL&gt;&lt;FQL&gt;&lt;Q&gt;INDA^FG_PRICE_MAVG(0,,,,60)&lt;/Q&gt;&lt;R&gt;1&lt;/R&gt;&lt;C&gt;1&lt;/C&gt;&lt;D xsi:type="xsd:double"&gt;50.09525&lt;/D&gt;&lt;/FQL&gt;&lt;FQL&gt;&lt;Q&gt;EWY^FG_PRICE_MAVG(0,,,,30)&lt;/Q&gt;&lt;R&gt;1&lt;/R&gt;&lt;C&gt;1&lt;/C&gt;&lt;D xsi:type="xsd:double"&gt;64.403&lt;/D&gt;&lt;/FQL&gt;&lt;FQL&gt;&lt;Q&gt;VNM^FMA_COS_DOWN("EPS","1M",+1,NOW,,,"PORTAGG","MEANR")&lt;/Q&gt;&lt;R&gt;1&lt;/R&gt;&lt;C&gt;1&lt;/C&gt;&lt;D xsi:type="xsd:double"&gt;8&lt;/D&gt;&lt;/FQL&gt;&lt;FQL&gt;&lt;Q&gt;INDA^SIZE(FG_CONSTITUENTS)&lt;/Q&gt;&lt;R&gt;1&lt;/R&gt;&lt;C&gt;1&lt;/C&gt;&lt;D xsi:type="xsd:long"&gt;137&lt;/D&gt;&lt;/FQL&gt;&lt;FQL&gt;&lt;Q&gt;TRYTW10Y-FDS^FG_YIELD_NAME&lt;/Q&gt;&lt;R&gt;1&lt;/R&gt;&lt;C&gt;1&lt;/C&gt;&lt;D xsi:type="xsd:string"&gt;Taiwan China Benchmark Bond - 10 Year&lt;/D&gt;&lt;/FQL&gt;&lt;FQL&gt;&lt;Q&gt;CC_AE^IMF_IFS_RCPI_Q(0)&lt;/Q&gt;&lt;R&gt;0&lt;/R&gt;&lt;C&gt;0&lt;/C&gt;&lt;/FQL&gt;&lt;FQL&gt;&lt;Q&gt;VGK^PERCENT_CHANGE(FMA_EPS(+1,0,,,,"PORTAGG","MEAN"),FMA_EPS(+1,-3AM,,,,"PORTAGG","MEAN"))&lt;/Q&gt;&lt;R&gt;1&lt;/R&gt;&lt;C&gt;1&lt;/C&gt;&lt;D xsi:type="xsd:double"&gt;-3.71271239633812&lt;/D&gt;&lt;/FQL&gt;&lt;FQL&gt;&lt;Q&gt;SET-BKK^FMA_PCT_ABOVE_MAVG(200,0,,,,"PORTAGG")&lt;/Q&gt;&lt;R&gt;1&lt;/R&gt;&lt;C&gt;1&lt;/C&gt;&lt;D xsi:type="xsd:double"&gt;31.2688821752266&lt;/D&gt;&lt;/FQL&gt;&lt;FQL&gt;&lt;Q&gt;EWZ^PERCENT_CHANGE(FMA_EPS(+1,0,,,,"PORTAGG","MEAN"),FMA_EPS(+1,-1AM,,,,"PORTAGG","MEAN"))&lt;/Q&gt;&lt;R&gt;1&lt;/R&gt;&lt;C&gt;1&lt;/C&gt;&lt;D xsi:type="xsd:double"&gt;-0.625345973290771&lt;/D&gt;&lt;/FQL&gt;&lt;FQL&gt;&lt;Q&gt;EPOL^PERCENT_CHANGE(FMA_EPS(+1,0,,,,"PORTAGG","MEAN"),FMA_EPS(+1,-3AM,,,,"PORTAGG","MEAN"))&lt;/Q&gt;&lt;R&gt;1&lt;/R&gt;&lt;C&gt;1&lt;/C&gt;&lt;D xsi:type="xsd:double"&gt;-3.94949261670389&lt;/D&gt;&lt;/FQL&gt;&lt;FQL&gt;&lt;Q&gt;SPY^FMA_COS_UP("EPS","1M",+1,NOW,,,"PORTAGG","MEANR")&lt;/Q&gt;&lt;R&gt;1&lt;/R&gt;&lt;C&gt;1&lt;/C&gt;&lt;D xsi:type="xsd:double"&gt;181&lt;/D&gt;&lt;/FQL&gt;&lt;FQL&gt;&lt;Q&gt;INDA^FMA_COS_DOWN("EPS","1M",+1,NOW,,,"PORTAGG","MEANR")&lt;/Q&gt;&lt;R&gt;1&lt;/R&gt;&lt;C&gt;1&lt;/C&gt;&lt;D xsi:type="xsd:double"&gt;53&lt;/D&gt;&lt;/FQL&gt;&lt;FQL&gt;&lt;Q&gt;EWT^SIZE(FG_CONSTITUENTS)&lt;/Q&gt;&lt;R&gt;1&lt;/R&gt;&lt;C&gt;1&lt;/C&gt;&lt;D xsi:type="xsd:long"&gt;91&lt;/D&gt;&lt;/FQL&gt;&lt;FQL&gt;&lt;Q&gt;EWZ^FMA_RBICS_REV_CURRENT(30, LOC, "PORTAGG")&lt;/Q&gt;&lt;R&gt;1&lt;/R&gt;&lt;C&gt;1&lt;/C&gt;&lt;D xsi:type="xsd:double"&gt;26.7817392728117&lt;/D&gt;&lt;/FQL&gt;&lt;FQL&gt;&lt;Q&gt;MCHI^FG_ROE(0)&lt;/Q&gt;&lt;R&gt;1&lt;/R&gt;&lt;C&gt;1&lt;/C&gt;&lt;D xsi:type="xsd:double"&gt;11.3933441419936&lt;/D&gt;&lt;/FQL&gt;&lt;FQL&gt;&lt;Q&gt;CC_CN^IMF_IFS_RCPI_Q(0)&lt;/Q&gt;&lt;R&gt;1&lt;/R&gt;&lt;C&gt;1&lt;/C&gt;&lt;D xsi:type="xsd:double"&gt;-0.322581&lt;/D&gt;&lt;/FQL&gt;&lt;FQL&gt;&lt;Q&gt;INDA^FMA_PE(NTMA,0,,,"PORTAGG","MEANR")&lt;/Q&gt;&lt;R&gt;1&lt;/R&gt;&lt;C&gt;1&lt;/C&gt;&lt;D xsi:type="xsd:double"&gt;21.9167286089049&lt;/D&gt;&lt;/FQL&gt;&lt;FQL&gt;&lt;Q&gt;ECH^FMA_PE(LTM,0,,,"PORTAGG","MEANR")&lt;/Q&gt;&lt;R&gt;1&lt;/R&gt;&lt;C&gt;1&lt;/C&gt;&lt;D xsi:type="xsd:double"&gt;9.34781031596225&lt;/D&gt;&lt;/FQL&gt;&lt;FQL&gt;&lt;Q&gt;INDA^FG_COMPANY_NAME&lt;/Q&gt;&lt;R&gt;1&lt;/R&gt;&lt;C&gt;1&lt;/C&gt;&lt;D xsi:type="xsd:string"&gt;iShares MSCI India ETF&lt;/D&gt;&lt;/FQL&gt;&lt;FQL&gt;&lt;Q&gt;TUR^P_PRICE(0)/P_PRICE_LOW_PR(0,,,USD,,,"PRICE","INTRA","52W")-1&lt;/Q&gt;&lt;R&gt;1&lt;/R&gt;&lt;C&gt;1&lt;/C&gt;&lt;D xsi:type="xsd:double"&gt;0.27308953&lt;/D&gt;&lt;/FQL&gt;&lt;FQL&gt;&lt;Q&gt;TRYSA10Y-FDS^FG_YIELD(-10AY,0,Y,,"YTM")&lt;/Q&gt;&lt;R&gt;10&lt;/R&gt;&lt;C&gt;1&lt;/C&gt;&lt;D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xsi:type="xsd:double"&gt;2.004&lt;/D&gt;&lt;/FQL&gt;&lt;FQL&gt;&lt;Q&gt;USDVND^FG_PRICE_CHANGE(0,-3AM)&lt;/Q&gt;&lt;R&gt;1&lt;/R&gt;&lt;C&gt;1&lt;/C&gt;&lt;D xsi:type="xsd:double"&gt;1.8766761&lt;/D&gt;&lt;/FQL&gt;&lt;FQL&gt;&lt;Q&gt;USDQAR^STD(FG_PRICE_CHANGE(0,-3AY,M))&lt;/Q&gt;&lt;R&gt;1&lt;/R&gt;&lt;C&gt;1&lt;/C&gt;&lt;D xsi:type="xsd:double"&gt;0.0113855499090638&lt;/D&gt;&lt;/FQL&gt;&lt;FQL&gt;&lt;Q&gt;USDKRW^FG_PRICE_CHANGE(0,-6AM)&lt;/Q&gt;&lt;R&gt;1&lt;/R&gt;&lt;C&gt;1&lt;/C&gt;&lt;D xsi:type="xsd:double"&gt;-0.60720444&lt;/D&gt;&lt;/FQL&gt;&lt;FQL&gt;&lt;Q&gt;USDMYR^FG_PRICE_CHANGE(0,-1AY)&lt;/Q&gt;&lt;R&gt;1&lt;/R&gt;&lt;C&gt;1&lt;/C&gt;&lt;D xsi:type="xsd:double"&gt;4.4350266&lt;/D&gt;&lt;/FQL&gt;&lt;FQL&gt;&lt;Q&gt;USDPHP^FG_PRICE_CHANGE(0,-3AM)&lt;/Q&gt;&lt;R&gt;1&lt;/R&gt;&lt;C&gt;1&lt;/C&gt;&lt;D xsi:type="xsd:double"&gt;-0.7034004&lt;/D&gt;&lt;/FQL&gt;&lt;FQL&gt;&lt;Q&gt;KSA^FG_TOTAL_RETURNC(-10AY,0,AM)&lt;/Q&gt;&lt;R&gt;121&lt;/R&gt;&lt;C&gt;1&lt;/C&gt;&lt;D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xsi:type="xsd:double"&gt;-8.477121&lt;/D&gt;&lt;D xsi:type="xsd:double"&gt;-2.4999976&lt;/D&gt;&lt;D xsi:type="xsd:double"&gt;-12.325758&lt;/D&gt;&lt;D xsi:type="xsd:double"&gt;-2.206242&lt;/D&gt;&lt;D xsi:type="xsd:double"&gt;8.925939&lt;/D&gt;&lt;D xsi:type="xsd:double"&gt;3.5114884&lt;/D&gt;&lt;D xsi:type="xsd:double"&gt;4.219675&lt;/D&gt;&lt;D xsi:type="xsd:double"&gt;-0.500828&lt;/D&gt;&lt;D xsi:type="xsd:double"&gt;-0.4415691&lt;/D&gt;&lt;D xsi:type="xsd:double"&gt;-1.8299282&lt;/D&gt;&lt;D xsi:type="xsd:double"&gt;-5.657893&lt;/D&gt;&lt;D xsi:type="xsd:double"&gt;-2.8358936&lt;/D&gt;&lt;D xsi:type="xsd:double"&gt;13.875591&lt;/D&gt;&lt;D xsi:type="xsd:double"&gt;4.57983&lt;/D&gt;&lt;D xsi:type="xsd:double"&gt;-0.2469182&lt;/D&gt;&lt;D xsi:type="xsd:double"&gt;1.3430953&lt;/D&gt;&lt;D xsi:type="xsd:double"&gt;-3.4176707&lt;/D&gt;&lt;D xsi:type="xsd:double"&gt;5.2850485&lt;/D&gt;&lt;D xsi:type="xsd:double"&gt;-1.447469&lt;/D&gt;&lt;D xsi:type="xsd:double"&gt;-1.536864&lt;/D&gt;&lt;D xsi:type="xsd:double"&gt;9.121442&lt;/D&gt;&lt;D xsi:type="xsd:double"&gt;-4.506004&lt;/D&gt;&lt;D xsi:type="xsd:double"&gt;3.90687&lt;/D&gt;&lt;D xsi:type="xsd:double"&gt;-2.5256336&lt;/D&gt;&lt;D xsi:type="xsd:double"&gt;-2.026105&lt;/D&gt;&lt;D xsi:type="xsd:double"&gt;1.2129664&lt;/D&gt;&lt;D xsi:type="xsd:double"&gt;10.111976&lt;/D&gt;&lt;D xsi:type="xsd:double"&gt;-3.0018091&lt;/D&gt;&lt;D xsi:type="xsd:double"&gt;6.5995574&lt;/D&gt;&lt;D xsi:type="xsd:double"&gt;1.4690399&lt;/D&gt;&lt;D xsi:type="xsd:double"&gt;4.239917&lt;/D&gt;&lt;D xsi:type="xsd:double"&gt;2.5793672&lt;/D&gt;&lt;D xsi:type="xsd:double"&gt;1.2210965&lt;/D&gt;&lt;D xsi:type="xsd:double"&gt;-7.007396&lt;/D&gt;&lt;D xsi:type="xsd:double"&gt;-3.6640167&lt;/D&gt;&lt;D xsi:type="xsd:double"&gt;-0.17940998&lt;/D&gt;&lt;D xsi:type="xsd:double"&gt;3.0912995&lt;/D&gt;&lt;D xsi:type="xsd:double"&gt;2.3361206&lt;/D&gt;&lt;D xsi:type="xsd:double"&gt;6.2222004&lt;/D&gt;&lt;D xsi:type="xsd:double"&gt;5.177462&lt;/D&gt;&lt;D xsi:type="xsd:double"&gt;-0.68110824&lt;/D&gt;&lt;D xsi:type="xsd:double"&gt;7.793021&lt;/D&gt;&lt;D xsi:type="xsd:double"&gt;-7.8658223&lt;/D&gt;&lt;D xsi:type="xsd:double"&gt;6.936598&lt;/D&gt;&lt;D xsi:type="xsd:double"&gt;-0.6525099&lt;/D&gt;&lt;D xsi:type="xsd:double"&gt;-6.140089&lt;/D&gt;&lt;D xsi:type="xsd:double"&gt;-5.68434&lt;/D&gt;&lt;D xsi:type="xsd:double"&gt;-4.1414204&lt;/D&gt;&lt;D xsi:type="xsd:double"&gt;4.4959664&lt;/D&gt;&lt;D xsi:type="xsd:double"&gt;1.9831896&lt;/D&gt;&lt;D xsi:type="xsd:double"&gt;3.359592&lt;/D&gt;&lt;D xsi:type="xsd:double"&gt;-7.359582&lt;/D&gt;&lt;D xsi:type="xsd:double"&gt;-21.045298&lt;/D&gt;&lt;D xsi:type="xsd:double"&gt;10.238302&lt;/D&gt;&lt;D xsi:type="xsd:double"&gt;-0.5604446&lt;/D&gt;&lt;D xsi:type="xsd:double"&gt;8.051527&lt;/D&gt;&lt;D xsi:type="xsd:double"&gt;3.0936599&lt;/D&gt;&lt;D xsi:type="xsd:double"&gt;3.19736&lt;/D&gt;&lt;D xsi:type="xsd:double"&gt;5.3418756&lt;/D&gt;&lt;D xsi:type="xsd:double"&gt;4.1582108&lt;/D&gt;&lt;D xsi:type="xsd:double"&gt;-1.8825054&lt;/D&gt;&lt;D xsi:type="xsd:double"&gt;2.3956418&lt;/D&gt;&lt;D xsi:type="xsd:double"&gt;4.147756&lt;/D&gt;&lt;D xsi:type="xsd:double"&gt;-0.3733635&lt;/D&gt;&lt;D xsi:type="xsd:double"&gt;7.026863&lt;/D&gt;&lt;D xsi:type="xsd:double"&gt;4.668796&lt;/D&gt;&lt;D xsi:type="xsd:double"&gt;4.293287&lt;/D&gt;&lt;D xsi:type="xsd:double"&gt;5.3141117&lt;/D&gt;&lt;D xsi:type="xsd:double"&gt;-0.20496249&lt;/D&gt;&lt;D xsi:type="xsd:double"&gt;5.673933&lt;/D&gt;&lt;D xsi:type="xsd:double"&gt;1.0689974&lt;/D&gt;&lt;D xsi:type="xsd:double"&gt;3.6538482&lt;/D&gt;&lt;D xsi:type="xsd:double"&gt;2.133584&lt;/D&gt;&lt;D xsi:type="xsd:double"&gt;-9.298724&lt;/D&gt;&lt;D xsi:type="xsd:double"&gt;11.590158&lt;/D&gt;&lt;D xsi:type="xsd:double"&gt;0.9263396&lt;/D&gt;&lt;D xsi:type="xsd:double"&gt;3.11172&lt;/D&gt;&lt;D xsi:type="xsd:double"&gt;8.792877&lt;/D&gt;&lt;D xsi:type="xsd:double"&gt;-5.467975&lt;/D&gt;&lt;D xsi:type="xsd:double"&gt;-8.7683735&lt;/D&gt;&lt;D xsi:type="xsd:double"&gt;-6.456876&lt;/D&gt;&lt;D xsi:type="xsd:double"&gt;13.954639&lt;/D&gt;&lt;D xsi:type="xsd:double"&gt;-5.423135&lt;/D&gt;&lt;D xsi:type="xsd:double"&gt;-3.884393&lt;/D&gt;&lt;D xsi:type="xsd:double"&gt;-2.4536908&lt;/D&gt;&lt;D xsi:type="xsd:double"&gt;-7.500839&lt;/D&gt;&lt;D xsi:type="xsd:double"&gt;5.9283257&lt;/D&gt;&lt;D xsi:type="xsd:double"&gt;-4.2737246&lt;/D&gt;&lt;D xsi:type="xsd:double"&gt;-2.4182856&lt;/D&gt;&lt;D xsi:type="xsd:double"&gt;9.068621&lt;/D&gt;&lt;D xsi:type="xsd:double"&gt;2.147317&lt;/D&gt;&lt;D xsi:type="xsd:double"&gt;3.3887744&lt;/D&gt;&lt;D xsi:type="xsd:double"&gt;1.435411&lt;/D&gt;&lt;D xsi:type="xsd:double"&gt;-3.396231&lt;/D&gt;&lt;D xsi:type="xsd:double"&gt;-3.0029297&lt;/D&gt;&lt;D xsi:type="xsd:double"&gt;-7.626474&lt;/D&gt;&lt;D xsi:type="xsd:double"&gt;6.5940022&lt;/D&gt;&lt;D xsi:type="xsd:double"&gt;5.853784&lt;/D&gt;&lt;D xsi:type="xsd:double"&gt;4.6307683&lt;/D&gt;&lt;D xsi:type="xsd:double"&gt;3.0168414&lt;/D&gt;&lt;D xsi:type="xsd:double"&gt;0.90806484&lt;/D&gt;&lt;/FQL&gt;&lt;FQL&gt;&lt;Q&gt;ECH^JULIAN(FG_TOTAL_RETURNC(-10AY,0,AM).DATES)&lt;/Q&gt;&lt;R&gt;121&lt;/R&gt;&lt;C&gt;1&lt;/C&gt;&lt;D xsi:type="xsd:long"&gt;41712&lt;/D&gt;&lt;D xsi:type="xsd:long"&gt;41743&lt;/D&gt;&lt;D xsi:type="xsd:long"&gt;41773&lt;/D&gt;&lt;D xsi:type="xsd:long"&gt;41803&lt;/D&gt;&lt;D xsi:type="xsd:long"&gt;41834&lt;/D&gt;&lt;D xsi:type="xsd:long"&gt;41865&lt;/D&gt;&lt;D xsi:type="xsd:long"&gt;41894&lt;/D&gt;&lt;D xsi:type="xsd:long"&gt;41926&lt;/D&gt;&lt;D xsi:type="xsd:long"&gt;41957&lt;/D&gt;&lt;D xsi:type="xsd:long"&gt;41985&lt;/D&gt;&lt;D xsi:type="xsd:long"&gt;42018&lt;/D&gt;&lt;D xsi:type="xsd:long"&gt;42048&lt;/D&gt;&lt;D xsi:type="xsd:long"&gt;42076&lt;/D&gt;&lt;D xsi:type="xsd:long"&gt;42108&lt;/D&gt;&lt;D xsi:type="xsd:long"&gt;42138&lt;/D&gt;&lt;D xsi:type="xsd:long"&gt;42167&lt;/D&gt;&lt;D xsi:type="xsd:long"&gt;42199&lt;/D&gt;&lt;D xsi:type="xsd:long"&gt;42230&lt;/D&gt;&lt;D xsi:type="xsd:long"&gt;42261&lt;/D&gt;&lt;D xsi:type="xsd:long"&gt;42291&lt;/D&gt;&lt;D xsi:type="xsd:long"&gt;42321&lt;/D&gt;&lt;D xsi:type="xsd:long"&gt;42352&lt;/D&gt;&lt;D xsi:type="xsd:long"&gt;42383&lt;/D&gt;&lt;D xsi:type="xsd:long"&gt;42412&lt;/D&gt;&lt;D xsi:type="xsd:long"&gt;42443&lt;/D&gt;&lt;D xsi:type="xsd:long"&gt;42474&lt;/D&gt;&lt;D xsi:type="xsd:long"&gt;42503&lt;/D&gt;&lt;D xsi:type="xsd:long"&gt;42535&lt;/D&gt;&lt;D xsi:type="xsd:long"&gt;42565&lt;/D&gt;&lt;D xsi:type="xsd:long"&gt;42594&lt;/D&gt;&lt;D xsi:type="xsd:long"&gt;42627&lt;/D&gt;&lt;D xsi:type="xsd:long"&gt;42657&lt;/D&gt;&lt;D xsi:type="xsd:long"&gt;42688&lt;/D&gt;&lt;D xsi:type="xsd:long"&gt;42718&lt;/D&gt;&lt;D xsi:type="xsd:long"&gt;42748&lt;/D&gt;&lt;D xsi:type="xsd:long"&gt;42780&lt;/D&gt;&lt;D xsi:type="xsd:long"&gt;42808&lt;/D&gt;&lt;D xsi:type="xsd:long"&gt;42838&lt;/D&gt;&lt;D xsi:type="xsd:long"&gt;42867&lt;/D&gt;&lt;D xsi:type="xsd:long"&gt;42900&lt;/D&gt;&lt;D xsi:type="xsd:long"&gt;42930&lt;/D&gt;&lt;D xsi:type="xsd:long"&gt;42961&lt;/D&gt;&lt;D xsi:type="xsd:long"&gt;42992&lt;/D&gt;&lt;D xsi:type="xsd:long"&gt;43021&lt;/D&gt;&lt;D xsi:type="xsd:long"&gt;43053&lt;/D&gt;&lt;D xsi:type="xsd:long"&gt;43083&lt;/D&gt;&lt;D xsi:type="xsd:long"&gt;43112&lt;/D&gt;&lt;D xsi:type="xsd:long"&gt;43145&lt;/D&gt;&lt;D xsi:type="xsd:long"&gt;43173&lt;/D&gt;&lt;D xsi:type="xsd:long"&gt;43203&lt;/D&gt;&lt;D xsi:type="xsd:long"&gt;43234&lt;/D&gt;&lt;D xsi:type="xsd:long"&gt;43265&lt;/D&gt;&lt;D xsi:type="xsd:long"&gt;43294&lt;/D&gt;&lt;D xsi:type="xsd:long"&gt;43326&lt;/D&gt;&lt;D xsi:type="xsd:long"&gt;43357&lt;/D&gt;&lt;D xsi:type="xsd:long"&gt;43385&lt;/D&gt;&lt;D xsi:type="xsd:long"&gt;43418&lt;/D&gt;&lt;D xsi:type="xsd:long"&gt;43448&lt;/D&gt;&lt;D xsi:type="xsd:long"&gt;43479&lt;/D&gt;&lt;D xsi:type="xsd:long"&gt;43510&lt;/D&gt;&lt;D xsi:type="xsd:long"&gt;43538&lt;/D&gt;&lt;D xsi:type="xsd:long"&gt;43567&lt;/D&gt;&lt;D xsi:type="xsd:long"&gt;43599&lt;/D&gt;&lt;D xsi:type="xsd:long"&gt;43630&lt;/D&gt;&lt;D xsi:type="xsd:long"&gt;43658&lt;/D&gt;&lt;D xsi:type="xsd:long"&gt;43691&lt;/D&gt;&lt;D xsi:type="xsd:long"&gt;43721&lt;/D&gt;&lt;D xsi:type="xsd:long"&gt;43752&lt;/D&gt;&lt;D xsi:type="xsd:long"&gt;43783&lt;/D&gt;&lt;D xsi:type="xsd:long"&gt;43812&lt;/D&gt;&lt;D xsi:type="xsd:long"&gt;43844&lt;/D&gt;&lt;D xsi:type="xsd:long"&gt;43875&lt;/D&gt;&lt;D xsi:type="xsd:long"&gt;43903&lt;/D&gt;&lt;D xsi:type="xsd:long"&gt;43935&lt;/D&gt;&lt;D xsi:type="xsd:long"&gt;43965&lt;/D&gt;&lt;D xsi:type="xsd:long"&gt;43994&lt;/D&gt;&lt;D xsi:type="xsd:long"&gt;44026&lt;/D&gt;&lt;D xsi:type="xsd:long"&gt;44057&lt;/D&gt;&lt;D xsi:type="xsd:long"&gt;44088&lt;/D&gt;&lt;D xsi:type="xsd:long"&gt;44118&lt;/D&gt;&lt;D xsi:type="xsd:long"&gt;44148&lt;/D&gt;&lt;D xsi:type="xsd:long"&gt;44179&lt;/D&gt;&lt;D xsi:type="xsd:long"&gt;44210&lt;/D&gt;&lt;D xsi:type="xsd:long"&gt;44239&lt;/D&gt;&lt;D xsi:type="xsd:long"&gt;44267&lt;/D&gt;&lt;D xsi:type="xsd:long"&gt;44300&lt;/D&gt;&lt;D xsi:type="xsd:long"&gt;44330&lt;/D&gt;&lt;D xsi:type="xsd:long"&gt;44361&lt;/D&gt;&lt;D xsi:type="xsd:long"&gt;44391&lt;/D&gt;&lt;D xsi:type="xsd:long"&gt;44421&lt;/D&gt;&lt;D xsi:type="xsd:long"&gt;44453&lt;/D&gt;&lt;D xsi:type="xsd:long"&gt;44483&lt;/D&gt;&lt;D xsi:type="xsd:long"&gt;44512&lt;/D&gt;&lt;D xsi:type="xsd:long"&gt;44544&lt;/D&gt;&lt;D xsi:type="xsd:long"&gt;44575&lt;/D&gt;&lt;D xsi:type="xsd:long"&gt;44606&lt;/D&gt;&lt;D xsi:type="xsd:long"&gt;44634&lt;/D&gt;&lt;D xsi:type="xsd:long"&gt;44665&lt;/D&gt;&lt;D xsi:type="xsd:long"&gt;44694&lt;/D&gt;&lt;D xsi:type="xsd:long"&gt;44726&lt;/D&gt;&lt;D xsi:type="xsd:long"&gt;44756&lt;/D&gt;&lt;D xsi:type="xsd:long"&gt;44785&lt;/D&gt;&lt;D xsi:type="xsd:long"&gt;44818&lt;/D&gt;&lt;D xsi:type="xsd:long"&gt;44848&lt;/D&gt;&lt;D xsi:type="xsd:long"&gt;44879&lt;/D&gt;&lt;D xsi:type="xsd:long"&gt;44909&lt;/D&gt;&lt;D xsi:type="xsd:long"&gt;44939&lt;/D&gt;&lt;D xsi:type="xsd:long"&gt;44971&lt;/D&gt;&lt;D xsi:type="xsd:long"&gt;44999&lt;/D&gt;&lt;D xsi:type="xsd:long"&gt;45030&lt;/D&gt;&lt;D xsi:type="xsd:long"&gt;45058&lt;/D&gt;&lt;D xsi:type="xsd:long"&gt;45091&lt;/D&gt;&lt;D xsi:type="xsd:long"&gt;45121&lt;/D&gt;&lt;D xsi:type="xsd:long"&gt;45152&lt;/D&gt;&lt;D xsi:type="xsd:long"&gt;45183&lt;/D&gt;&lt;D xsi:type="xsd:long"&gt;45212&lt;/D&gt;&lt;D xsi:type="xsd:long"&gt;45244&lt;/D&gt;&lt;D xsi:type="xsd:long"&gt;45274&lt;/D&gt;&lt;D xsi:type="xsd:long"&gt;45303&lt;/D&gt;&lt;D xsi:type="xsd:long"&gt;45336&lt;/D&gt;&lt;D xsi:type="xsd:long"&gt;45365&lt;/D&gt;&lt;/FQL&gt;&lt;FQL&gt;&lt;Q&gt;CNYA^FMA_PE(NTMA,-10AY,0,AM,"PORTAGG","MEANR")&lt;/Q&gt;&lt;R&gt;121&lt;/R&gt;&lt;C&gt;1&lt;/C&gt;&lt;D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xsi:type="xsd:double"&gt;13.9014321007891&lt;/D&gt;&lt;D xsi:type="xsd:double"&gt;13.8155389417599&lt;/D&gt;&lt;D xsi:type="xsd:double"&gt;13.5710694888798&lt;/D&gt;&lt;D xsi:type="xsd:double"&gt;13.6998862939201&lt;/D&gt;&lt;D xsi:type="xsd:double"&gt;14.0863150465823&lt;/D&gt;&lt;D xsi:type="xsd:double"&gt;13.5934281608752&lt;/D&gt;&lt;D xsi:type="xsd:double"&gt;13.1015668328296&lt;/D&gt;&lt;D xsi:type="xsd:double"&gt;13.1334028867428&lt;/D&gt;&lt;D xsi:type="xsd:double"&gt;13.2583864701454&lt;/D&gt;&lt;D xsi:type="xsd:double"&gt;13.5871661078621&lt;/D&gt;&lt;D xsi:type="xsd:double"&gt;13.1809635461511&lt;/D&gt;&lt;D xsi:type="xsd:double"&gt;13.8782084919178&lt;/D&gt;&lt;D xsi:type="xsd:double"&gt;14.2077406596912&lt;/D&gt;&lt;D xsi:type="xsd:double"&gt;13.8376461187831&lt;/D&gt;&lt;D xsi:type="xsd:double"&gt;14.373433378839&lt;/D&gt;&lt;D xsi:type="xsd:double"&gt;14.3967849634874&lt;/D&gt;&lt;D xsi:type="xsd:double"&gt;14.7427827946537&lt;/D&gt;&lt;D xsi:type="xsd:double"&gt;13.9189624874959&lt;/D&gt;&lt;D xsi:type="xsd:double"&gt;14.3154383415176&lt;/D&gt;&lt;D xsi:type="xsd:double"&gt;13.1288746542354&lt;/D&gt;&lt;D xsi:type="xsd:double"&gt;13.3156915830385&lt;/D&gt;&lt;D xsi:type="xsd:double"&gt;12.6450107933283&lt;/D&gt;&lt;D xsi:type="xsd:double"&gt;12.0221073315982&lt;/D&gt;&lt;D xsi:type="xsd:double"&gt;11.708633265346&lt;/D&gt;&lt;D xsi:type="xsd:double"&gt;10.6844318908971&lt;/D&gt;&lt;D xsi:type="xsd:double"&gt;10.1296154768283&lt;/D&gt;&lt;D xsi:type="xsd:double"&gt;9.98691014246743&lt;/D&gt;&lt;D xsi:type="xsd:double"&gt;9.7176025797587&lt;/D&gt;&lt;D xsi:type="xsd:double"&gt;9.84293290902773&lt;/D&gt;&lt;D xsi:type="xsd:double"&gt;9.92029158467003&lt;/D&gt;&lt;D xsi:type="xsd:double"&gt;9.63229334095667&lt;/D&gt;&lt;D xsi:type="xsd:double"&gt;10.6574241406899&lt;/D&gt;&lt;D xsi:type="xsd:double"&gt;11.284875788529&lt;/D&gt;&lt;D xsi:type="xsd:double"&gt;12.0600578165841&lt;/D&gt;&lt;D xsi:type="xsd:double"&gt;10.961203180371&lt;/D&gt;&lt;D xsi:type="xsd:double"&gt;11.3709647623996&lt;/D&gt;&lt;D xsi:type="xsd:double"&gt;11.5722337252501&lt;/D&gt;&lt;D xsi:type="xsd:double"&gt;11.1533241301863&lt;/D&gt;&lt;D xsi:type="xsd:double"&gt;12.0710929571841&lt;/D&gt;&lt;D xsi:type="xsd:double"&gt;11.8634062320739&lt;/D&gt;&lt;D xsi:type="xsd:double"&gt;11.579414990669&lt;/D&gt;&lt;D xsi:type="xsd:double"&gt;12.4261032362584&lt;/D&gt;&lt;D xsi:type="xsd:double"&gt;13.0078594155092&lt;/D&gt;&lt;D xsi:type="xsd:double"&gt;12.4759166736022&lt;/D&gt;&lt;D xsi:type="xsd:double"&gt;12.2662965731959&lt;/D&gt;&lt;D xsi:type="xsd:double"&gt;12.3635525712686&lt;/D&gt;&lt;D xsi:type="xsd:double"&gt;13.1557801436077&lt;/D&gt;&lt;D xsi:type="xsd:double"&gt;13.7048534242091&lt;/D&gt;&lt;D xsi:type="xsd:double"&gt;16.4948240512315&lt;/D&gt;&lt;D xsi:type="xsd:double"&gt;15.8269651183919&lt;/D&gt;&lt;D xsi:type="xsd:double"&gt;15.9660968335766&lt;/D&gt;&lt;D xsi:type="xsd:double"&gt;16.3039700586877&lt;/D&gt;&lt;D xsi:type="xsd:double"&gt;16.0206954808859&lt;/D&gt;&lt;D xsi:type="xsd:double"&gt;16.3646574912959&lt;/D&gt;&lt;D xsi:type="xsd:double"&gt;18.0310781330737&lt;/D&gt;&lt;D xsi:type="xsd:double"&gt;19.0328398567119&lt;/D&gt;&lt;D xsi:type="xsd:double"&gt;16.4604200006361&lt;/D&gt;&lt;D xsi:type="xsd:double"&gt;15.8453306292868&lt;/D&gt;&lt;D xsi:type="xsd:double"&gt;16.0720728081571&lt;/D&gt;&lt;D xsi:type="xsd:double"&gt;16.6991177979978&lt;/D&gt;&lt;D xsi:type="xsd:double"&gt;16.1248189339363&lt;/D&gt;&lt;D xsi:type="xsd:double"&gt;15.5792880928241&lt;/D&gt;&lt;D xsi:type="xsd:double"&gt;15.5610434133625&lt;/D&gt;&lt;D xsi:type="xsd:double"&gt;15.3450291687551&lt;/D&gt;&lt;D xsi:type="xsd:double"&gt;15.272505382155&lt;/D&gt;&lt;D xsi:type="xsd:double"&gt;15.75984411434&lt;/D&gt;&lt;D xsi:type="xsd:double"&gt;14.505732305064&lt;/D&gt;&lt;D xsi:type="xsd:double"&gt;13.646518735704&lt;/D&gt;&lt;D xsi:type="xsd:double"&gt;12.6022746628187&lt;/D&gt;&lt;D xsi:type="xsd:double"&gt;12.6374806310039&lt;/D&gt;&lt;D xsi:type="xsd:double"&gt;12.4813258299386&lt;/D&gt;&lt;D xsi:type="xsd:double"&gt;13.0597759250447&lt;/D&gt;&lt;D xsi:type="xsd:double"&gt;13.2453972791498&lt;/D&gt;&lt;D xsi:type="xsd:double"&gt;12.8654553704426&lt;/D&gt;&lt;D xsi:type="xsd:double"&gt;12.4903505960361&lt;/D&gt;&lt;D xsi:type="xsd:double"&gt;11.6995186765718&lt;/D&gt;&lt;D xsi:type="xsd:double"&gt;11.7690496176066&lt;/D&gt;&lt;D xsi:type="xsd:double"&gt;12.1204481186861&lt;/D&gt;&lt;D xsi:type="xsd:double"&gt;12.3627673216768&lt;/D&gt;&lt;D xsi:type="xsd:double"&gt;12.520424629158&lt;/D&gt;&lt;D xsi:type="xsd:double"&gt;11.8795399009986&lt;/D&gt;&lt;D xsi:type="xsd:double"&gt;12.3414285387489&lt;/D&gt;&lt;D xsi:type="xsd:double"&gt;11.9967307446083&lt;/D&gt;&lt;D xsi:type="xsd:double"&gt;11.920523384442&lt;/D&gt;&lt;D xsi:type="xsd:double"&gt;11.9305747509625&lt;/D&gt;&lt;D xsi:type="xsd:double"&gt;11.8930646471854&lt;/D&gt;&lt;D xsi:type="xsd:double"&gt;11.8551377111921&lt;/D&gt;&lt;D xsi:type="xsd:double"&gt;11.4969915917036&lt;/D&gt;&lt;D xsi:type="xsd:double"&gt;11.6471995268325&lt;/D&gt;&lt;D xsi:type="xsd:double"&gt;11.2069566445402&lt;/D&gt;&lt;D xsi:type="xsd:double"&gt;10.8264310215857&lt;/D&gt;&lt;D xsi:type="xsd:double"&gt;11.0540394810326&lt;/D&gt;&lt;D xsi:type="xsd:double"&gt;11.7066303882655&lt;/D&gt;&lt;/FQL&gt;&lt;FQL&gt;&lt;Q&gt;EPHE^FMA_PE(LTMA,-10AY,0,AM,"PORTAGG","MEANR")&lt;/Q&gt;&lt;R&gt;121&lt;/R&gt;&lt;C&gt;1&lt;/C&gt;&lt;D xsi:type="xsd:double"&gt;19.3132941449778&lt;/D&gt;&lt;D xsi:type="xsd:double"&gt;19.2605816588959&lt;/D&gt;&lt;D xsi:type="xsd:double"&gt;19.419028586042&lt;/D&gt;&lt;D xsi:type="xsd:double"&gt;19.2391991260596&lt;/D&gt;&lt;D xsi:type="xsd:double"&gt;19.1877605901625&lt;/D&gt;&lt;D xsi:type="xsd:double"&gt;19.4659050581493&lt;/D&gt;&lt;D xsi:type="xsd:double"&gt;19.7738191734068&lt;/D&gt;&lt;D xsi:type="xsd:double"&gt;19.0090618975777&lt;/D&gt;&lt;D xsi:type="xsd:double"&gt;19.9825912887945&lt;/D&gt;&lt;D xsi:type="xsd:double"&gt;19.955160550041&lt;/D&gt;&lt;D xsi:type="xsd:double"&gt;20.5463667977157&lt;/D&gt;&lt;D xsi:type="xsd:double"&gt;21.0214199832662&lt;/D&gt;&lt;D xsi:type="xsd:double"&gt;20.9799434842519&lt;/D&gt;&lt;D xsi:type="xsd:double"&gt;20.9091712367175&lt;/D&gt;&lt;D xsi:type="xsd:double"&gt;20.6067138045644&lt;/D&gt;&lt;D xsi:type="xsd:double"&gt;20.120025708928&lt;/D&gt;&lt;D xsi:type="xsd:double"&gt;20.0586424338637&lt;/D&gt;&lt;D xsi:type="xsd:double"&gt;19.790753089147&lt;/D&gt;&lt;D xsi:type="xsd:double"&gt;19.0565399852411&lt;/D&gt;&lt;D xsi:type="xsd:double"&gt;18.8588075946972&lt;/D&gt;&lt;D xsi:type="xsd:double"&gt;18.2893298786613&lt;/D&gt;&lt;D xsi:type="xsd:double"&gt;17.9608720153898&lt;/D&gt;&lt;D xsi:type="xsd:double"&gt;16.6255900208739&lt;/D&gt;&lt;D xsi:type="xsd:double"&gt;17.1990730339448&lt;/D&gt;&lt;D xsi:type="xsd:double"&gt;16.7872368752448&lt;/D&gt;&lt;D xsi:type="xsd:double"&gt;17.0699511752594&lt;/D&gt;&lt;D xsi:type="xsd:double"&gt;16.8893862782818&lt;/D&gt;&lt;D xsi:type="xsd:double"&gt;17.2141356548046&lt;/D&gt;&lt;D xsi:type="xsd:double"&gt;17.9507664289928&lt;/D&gt;&lt;D xsi:type="xsd:double"&gt;18.4152543073338&lt;/D&gt;&lt;D xsi:type="xsd:double"&gt;17.6465711327892&lt;/D&gt;&lt;D xsi:type="xsd:double"&gt;17.4391020495086&lt;/D&gt;&lt;D xsi:type="xsd:double"&gt;16.4834757087497&lt;/D&gt;&lt;D xsi:type="xsd:double"&gt;17.0558367494565&lt;/D&gt;&lt;D xsi:type="xsd:double"&gt;18.0381372859771&lt;/D&gt;&lt;D xsi:type="xsd:double"&gt;17.8748419093203&lt;/D&gt;&lt;D xsi:type="xsd:double"&gt;17.8546952008642&lt;/D&gt;&lt;D xsi:type="xsd:double"&gt;18.0276617187306&lt;/D&gt;&lt;D xsi:type="xsd:double"&gt;18.134806813199&lt;/D&gt;&lt;D xsi:type="xsd:double"&gt;18.2989180865437&lt;/D&gt;&lt;D xsi:type="xsd:double"&gt;17.8861087880014&lt;/D&gt;&lt;D xsi:type="xsd:double"&gt;17.7728563714316&lt;/D&gt;&lt;D xsi:type="xsd:double"&gt;18.5615247456432&lt;/D&gt;&lt;D xsi:type="xsd:double"&gt;19.3724753338916&lt;/D&gt;&lt;D xsi:type="xsd:double"&gt;19.3789924406673&lt;/D&gt;&lt;D xsi:type="xsd:double"&gt;19.5399538468784&lt;/D&gt;&lt;D xsi:type="xsd:double"&gt;20.2587352539303&lt;/D&gt;&lt;D xsi:type="xsd:double"&gt;19.4325074927221&lt;/D&gt;&lt;D xsi:type="xsd:double"&gt;19.2758001058214&lt;/D&gt;&lt;D xsi:type="xsd:double"&gt;18.8365280524274&lt;/D&gt;&lt;D xsi:type="xsd:double"&gt;18.6604724295465&lt;/D&gt;&lt;D xsi:type="xsd:double"&gt;18.3189521522591&lt;/D&gt;&lt;D xsi:type="xsd:double"&gt;17.7655742095945&lt;/D&gt;&lt;D xsi:type="xsd:double"&gt;17.6833657813306&lt;/D&gt;&lt;D xsi:type="xsd:double"&gt;16.7734428243543&lt;/D&gt;&lt;D xsi:type="xsd:double"&gt;15.9883057991846&lt;/D&gt;&lt;D xsi:type="xsd:double"&gt;15.4066556635044&lt;/D&gt;&lt;D xsi:type="xsd:double"&gt;16.8004097027104&lt;/D&gt;&lt;D xsi:type="xsd:double"&gt;17.7754254885478&lt;/D&gt;&lt;D xsi:type="xsd:double"&gt;17.467662124791&lt;/D&gt;&lt;D xsi:type="xsd:double"&gt;16.7536919206871&lt;/D&gt;&lt;D xsi:type="xsd:double"&gt;16.7164322080323&lt;/D&gt;&lt;D xsi:type="xsd:double"&gt;16.5230420540921&lt;/D&gt;&lt;D xsi:type="xsd:double"&gt;16.6899628517049&lt;/D&gt;&lt;D xsi:type="xsd:double"&gt;16.7774285515711&lt;/D&gt;&lt;D xsi:type="xsd:double"&gt;16.0340858465562&lt;/D&gt;&lt;D xsi:type="xsd:double"&gt;15.5855364499701&lt;/D&gt;&lt;D xsi:type="xsd:double"&gt;15.2353311818414&lt;/D&gt;&lt;D xsi:type="xsd:double"&gt;15.1215036826957&lt;/D&gt;&lt;D xsi:type="xsd:double"&gt;15.2001717286894&lt;/D&gt;&lt;D xsi:type="xsd:double"&gt;14.9381719692324&lt;/D&gt;&lt;D xsi:type="xsd:double"&gt;13.9227446411941&lt;/D&gt;&lt;D xsi:type="xsd:double"&gt;12.6486327224884&lt;/D&gt;&lt;D xsi:type="xsd:double"&gt;12.7148115638077&lt;/D&gt;&lt;D xsi:type="xsd:double"&gt;13.4435368734763&lt;/D&gt;&lt;D xsi:type="xsd:double"&gt;15.3496368548074&lt;/D&gt;&lt;D xsi:type="xsd:double"&gt;15.8111796240687&lt;/D&gt;&lt;D xsi:type="xsd:double"&gt;17.7745623065496&lt;/D&gt;&lt;D xsi:type="xsd:double"&gt;18.7320080029252&lt;/D&gt;&lt;D xsi:type="xsd:double"&gt;19.7531078091957&lt;/D&gt;&lt;D xsi:type="xsd:double"&gt;23.9801603036071&lt;/D&gt;&lt;D xsi:type="xsd:double"&gt;25.1484324296533&lt;/D&gt;&lt;D xsi:type="xsd:double"&gt;25.9321393043828&lt;/D&gt;&lt;D xsi:type="xsd:double"&gt;24.8259295936399&lt;/D&gt;&lt;D xsi:type="xsd:double"&gt;22.7060008212108&lt;/D&gt;&lt;D xsi:type="xsd:double"&gt;21.8704137696653&lt;/D&gt;&lt;D xsi:type="xsd:double"&gt;21.1110766843444&lt;/D&gt;&lt;D xsi:type="xsd:double"&gt;21.6938296261428&lt;/D&gt;&lt;D xsi:type="xsd:double"&gt;20.9989862902294&lt;/D&gt;&lt;D xsi:type="xsd:double"&gt;19.7732829787831&lt;/D&gt;&lt;D xsi:type="xsd:double"&gt;20.5182047205408&lt;/D&gt;&lt;D xsi:type="xsd:double"&gt;21.0553996336786&lt;/D&gt;&lt;D xsi:type="xsd:double"&gt;20.9817709073284&lt;/D&gt;&lt;D xsi:type="xsd:double"&gt;20.0258596797475&lt;/D&gt;&lt;D xsi:type="xsd:double"&gt;19.6732089474839&lt;/D&gt;&lt;D xsi:type="xsd:double"&gt;19.5830296879114&lt;/D&gt;&lt;D xsi:type="xsd:double"&gt;18.9571040816682&lt;/D&gt;&lt;D xsi:type="xsd:double"&gt;18.6026938519435&lt;/D&gt;&lt;D xsi:type="xsd:double"&gt;17.6767826655919&lt;/D&gt;&lt;D xsi:type="xsd:double"&gt;17.3652238114977&lt;/D&gt;&lt;D xsi:type="xsd:double"&gt;16.5830834934148&lt;/D&gt;&lt;D xsi:type="xsd:double"&gt;16.5609006613272&lt;/D&gt;&lt;D xsi:type="xsd:double"&gt;15.7128748036631&lt;/D&gt;&lt;D xsi:type="xsd:double"&gt;14.0906567556174&lt;/D&gt;&lt;D xsi:type="xsd:double"&gt;13.9897845943207&lt;/D&gt;&lt;D xsi:type="xsd:double"&gt;14.0798599392291&lt;/D&gt;&lt;D xsi:type="xsd:double"&gt;14.5679661684452&lt;/D&gt;&lt;D xsi:type="xsd:double"&gt;13.9427795347062&lt;/D&gt;&lt;D xsi:type="xsd:double"&gt;13.1170926172671&lt;/D&gt;&lt;D xsi:type="xsd:double"&gt;12.9885177748477&lt;/D&gt;&lt;D xsi:type="xsd:double"&gt;12.8067533250504&lt;/D&gt;&lt;D xsi:type="xsd:double"&gt;12.1376490875979&lt;/D&gt;&lt;D xsi:type="xsd:double"&gt;11.9955564892041&lt;/D&gt;&lt;D xsi:type="xsd:double"&gt;11.4194379285493&lt;/D&gt;&lt;D xsi:type="xsd:double"&gt;11.1965811091228&lt;/D&gt;&lt;D xsi:type="xsd:double"&gt;11.1507612244318&lt;/D&gt;&lt;D xsi:type="xsd:double"&gt;10.4904996422954&lt;/D&gt;&lt;D xsi:type="xsd:double"&gt;9.9564860482257&lt;/D&gt;&lt;D xsi:type="xsd:double"&gt;10.1647386181367&lt;/D&gt;&lt;D xsi:type="xsd:double"&gt;10.4075126509669&lt;/D&gt;&lt;D xsi:type="xsd:double"&gt;10.6498393651074&lt;/D&gt;&lt;/FQL&gt;&lt;FQL&gt;&lt;Q&gt;WL-FDS^FG_PRICE_MAVG(0,,,,30)&lt;/Q&gt;&lt;R&gt;1&lt;/R&gt;&lt;C&gt;1&lt;/C&gt;&lt;D xsi:type="xsd:double"&gt;629.9&lt;/D&gt;&lt;/FQL&gt;&lt;FQL&gt;&lt;Q&gt;W-FDS^FG_PRICE_CHANGE(0,-1AM)&lt;/Q&gt;&lt;R&gt;1&lt;/R&gt;&lt;C&gt;1&lt;/C&gt;&lt;D xsi:type="xsd:double"&gt;-11.2724167378309&lt;/D&gt;&lt;/FQL&gt;&lt;FQL&gt;&lt;Q&gt;TIOS-FDS^MAX(FG_PRICE(0,-5AY))&lt;/Q&gt;&lt;R&gt;1&lt;/R&gt;&lt;C&gt;1&lt;/C&gt;&lt;D xsi:type="xsd:double"&gt;219.77&lt;/D&gt;&lt;/FQL&gt;&lt;FQL&gt;&lt;Q&gt;FC0000IN^FG_PRICE(0)&lt;/Q&gt;&lt;R&gt;1&lt;/R&gt;&lt;C&gt;1&lt;/C&gt;&lt;D xsi:type="xsd:double"&gt;1249.2673&lt;/D&gt;&lt;/FQL&gt;&lt;FQL&gt;&lt;Q&gt;TUR^FG_PRICE_MAVG(0,,,,200)&lt;/Q&gt;&lt;R&gt;1&lt;/R&gt;&lt;C&gt;1&lt;/C&gt;&lt;D xsi:type="xsd:double"&gt;34.64745&lt;/D&gt;&lt;/FQL&gt;&lt;FQL&gt;&lt;Q&gt;EWY^FG_PRICE(0)&lt;/Q&gt;&lt;R&gt;1&lt;/R&gt;&lt;C&gt;1&lt;/C&gt;&lt;D xsi:type="xsd:double"&gt;67.05&lt;/D&gt;&lt;/FQL&gt;&lt;FQL&gt;&lt;Q&gt;EPOL^FG_PRICE_MAVG(0,,,,200)&lt;/Q&gt;&lt;R&gt;1&lt;/R&gt;&lt;C&gt;1&lt;/C&gt;&lt;D xsi:type="xsd:double"&gt;20.418024&lt;/D&gt;&lt;/FQL&gt;&lt;FQL&gt;&lt;Q&gt;CNYA^FG_PRICE_MAVG(0,,,,60)&lt;/Q&gt;&lt;R&gt;1&lt;/R&gt;&lt;C&gt;1&lt;/C&gt;&lt;D xsi:type="xsd:double"&gt;25.118742&lt;/D&gt;&lt;/FQL&gt;&lt;FQL&gt;&lt;Q&gt;VWO^FG_TOTAL_RETURNC(0,-6AM)&lt;/Q&gt;&lt;R&gt;1&lt;/R&gt;&lt;C&gt;1&lt;/C&gt;&lt;D xsi:type="xsd:double"&gt;5.5372357&lt;/D&gt;&lt;/FQL&gt;&lt;FQL&gt;&lt;Q&gt;UAE^FG_TOTAL_RETURNC(0,-3AM)&lt;/Q&gt;&lt;R&gt;1&lt;/R&gt;&lt;C&gt;1&lt;/C&gt;&lt;D xsi:type="xsd:double"&gt;0.17215014&lt;/D&gt;&lt;/FQL&gt;&lt;FQL&gt;&lt;Q&gt;INDA^P_PRICE(0)/P_PRICE_LOW_PR(0,,,USD,,,"PRICE","INTRA","52W")-1&lt;/Q&gt;&lt;R&gt;1&lt;/R&gt;&lt;C&gt;1&lt;/C&gt;&lt;D xsi:type="xsd:double"&gt;0.34277773&lt;/D&gt;&lt;/FQL&gt;&lt;FQL&gt;&lt;Q&gt;EWY^P_PRICE(0)/P_PRICE_HIGH_PR(0,,,USD,,,"PRICE","INTRA","52W")&lt;/Q&gt;&lt;R&gt;1&lt;/R&gt;&lt;C&gt;1&lt;/C&gt;&lt;D xsi:type="xsd:double"&gt;0.9867551&lt;/D&gt;&lt;/FQL&gt;&lt;FQL&gt;&lt;Q&gt;EPU^FG_TOTAL_RETURNC(0,-6AM)&lt;/Q&gt;&lt;R&gt;1&lt;/R&gt;&lt;C&gt;1&lt;/C&gt;&lt;D xsi:type="xsd:double"&gt;23.867369&lt;/D&gt;&lt;/FQL&gt;&lt;FQL&gt;&lt;Q&gt;ECH^FG_TOTAL_RETURNC(0,-3AM)&lt;/Q&gt;&lt;R&gt;1&lt;/R&gt;&lt;C&gt;1&lt;/C&gt;&lt;D xsi:type="xsd:double"&gt;-4.464555&lt;/D&gt;&lt;/FQL&gt;&lt;FQL&gt;&lt;Q&gt;EIDO^FMA_COS_UP("EPS","1M",+1,NOW,,,"PORTAGG","MEANR")&lt;/Q&gt;&lt;R&gt;1&lt;/R&gt;&lt;C&gt;1&lt;/C&gt;&lt;D xsi:type="xsd:double"&gt;20&lt;/D&gt;&lt;/FQL&gt;&lt;FQL&gt;&lt;Q&gt;TRYAE10Y-FDS^FG_YIELD_NAME&lt;/Q&gt;&lt;R&gt;1&lt;/R&gt;&lt;C&gt;1&lt;/C&gt;&lt;D xsi:type="xsd:string"&gt;Treasury - United Arab Emirates USD Benchmark Bond 10Y&lt;/D&gt;&lt;/FQL&gt;&lt;FQL&gt;&lt;Q&gt;TIPSCL10Y-FDS^FG_YIELD_NAME&lt;/Q&gt;&lt;R&gt;1&lt;/R&gt;&lt;C&gt;1&lt;/C&gt;&lt;D xsi:type="xsd:string"&gt;Treasury - Chile Inflation-Indexed (TIPS)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xsi:type="xsd:double"&gt;25&lt;/D&gt;&lt;/FQL&gt;&lt;FQL&gt;&lt;Q&gt;REFBRSELIC-FDS^PROPER_NAME(0,,,"SECURITY","NAME")&lt;/Q&gt;&lt;R&gt;1&lt;/R&gt;&lt;C&gt;1&lt;/C&gt;&lt;D xsi:type="xsd:string"&gt;Brazil Target Selic Rate&lt;/D&gt;&lt;/FQL&gt;&lt;FQL&gt;&lt;Q&gt;REFPL7D-FDS^FG_YIELD(NOW,,,0)&lt;/Q&gt;&lt;R&gt;1&lt;/R&gt;&lt;C&gt;1&lt;/C&gt;&lt;D xsi:type="xsd:double"&gt;5.75&lt;/D&gt;&lt;/FQL&gt;&lt;FQL&gt;&lt;Q&gt;TRYVN10Y-FDS^PCTCHG(FG_YIELD(0,,,,"YTM"),FG_YIELD(-1AM,,,,"YTM"))&lt;/Q&gt;&lt;R&gt;1&lt;/R&gt;&lt;C&gt;1&lt;/C&gt;&lt;D xsi:type="xsd:double"&gt;7.3488855&lt;/D&gt;&lt;/FQL&gt;&lt;FQL&gt;&lt;Q&gt;TRYBR10Y-FDS^PCTCHG(FG_YIELD(0,,,,"YTM"),FG_YIELD(-3AM,,,,"YTM"))&lt;/Q&gt;&lt;R&gt;1&lt;/R&gt;&lt;C&gt;1&lt;/C&gt;&lt;D xsi:type="xsd:double"&gt;2.3218768&lt;/D&gt;&lt;/FQL&gt;&lt;FQL&gt;&lt;Q&gt;TRYID10Y-FDS^PCTCHG(FG_YIELD(0,,,,"YTM"),FG_YIELD(-1AM,,,,"YTM"))&lt;/Q&gt;&lt;R&gt;1&lt;/R&gt;&lt;C&gt;1&lt;/C&gt;&lt;D xsi:type="xsd:double"&gt;0.819495&lt;/D&gt;&lt;/FQL&gt;&lt;FQL&gt;&lt;Q&gt;TRYQA10Y-FDS^FG_YIELD(0,,,,"YTM")&lt;/Q&gt;&lt;R&gt;0&lt;/R&gt;&lt;C&gt;0&lt;/C&gt;&lt;/FQL&gt;&lt;FQL&gt;&lt;Q&gt;CC_TR^IMF_IFS_RCPI_Q(0)&lt;/Q&gt;&lt;R&gt;1&lt;/R&gt;&lt;C&gt;1&lt;/C&gt;&lt;D xsi:type="xsd:double"&gt;62.72422&lt;/D&gt;&lt;/FQL&gt;&lt;FQL&gt;&lt;Q&gt;KSA^FG_FCF_YIELD_NTM(0)&lt;/Q&gt;&lt;R&gt;1&lt;/R&gt;&lt;C&gt;1&lt;/C&gt;&lt;D xsi:type="xsd:double"&gt;4.06546838834768&lt;/D&gt;&lt;/FQL&gt;&lt;FQL&gt;&lt;Q&gt;UAE^FMA_PE(LTM,0,,,"PORTAGG","MEANR")&lt;/Q&gt;&lt;R&gt;1&lt;/R&gt;&lt;C&gt;1&lt;/C&gt;&lt;D xsi:type="xsd:double"&gt;10.6876268366356&lt;/D&gt;&lt;/FQL&gt;&lt;FQL&gt;&lt;Q&gt;QAT^FMA_EVAL_EBITDA(NTMA,0,,,"PORTAGG","MEANR")&lt;/Q&gt;&lt;R&gt;1&lt;/R&gt;&lt;C&gt;1&lt;/C&gt;&lt;D xsi:type="xsd:double"&gt;9.14018466109956&lt;/D&gt;&lt;/FQL&gt;&lt;FQL&gt;&lt;Q&gt;EWZ^FMA_EVAL_EBIT(LTMA,NOW,NOW,M,"PORTAGG","MEANR")&lt;/Q&gt;&lt;R&gt;1&lt;/R&gt;&lt;C&gt;1&lt;/C&gt;&lt;D xsi:type="xsd:double"&gt;6.82051139434128&lt;/D&gt;&lt;/FQL&gt;&lt;FQL&gt;&lt;Q&gt;EWW^FMA_DIV_YLD(NTMA,NOW,NOW,M,"PORTAGG","MEANR")&lt;/Q&gt;&lt;R&gt;1&lt;/R&gt;&lt;C&gt;1&lt;/C&gt;&lt;D xsi:type="xsd:double"&gt;3.97864694144846&lt;/D&gt;&lt;/FQL&gt;&lt;FQL&gt;&lt;Q&gt;EWM^JULIAN(FMA_DIV_YLD(NTMA,NOW,NOW,M,"PORTAGG","MEANR").DATES)&lt;/Q&gt;&lt;R&gt;1&lt;/R&gt;&lt;C&gt;1&lt;/C&gt;&lt;D xsi:type="xsd:long"&gt;45351&lt;/D&gt;&lt;/FQL&gt;&lt;FQL&gt;&lt;Q&gt;EPHE^FG_FCF_YIELD_NTM(0)&lt;/Q&gt;&lt;R&gt;1&lt;/R&gt;&lt;C&gt;1&lt;/C&gt;&lt;D xsi:type="xsd:double"&gt;7.45849242482252&lt;/D&gt;&lt;/FQL&gt;&lt;FQL&gt;&lt;Q&gt;EWW^FG_PRICE_MAVG(0,,,,200)&lt;/Q&gt;&lt;R&gt;1&lt;/R&gt;&lt;C&gt;1&lt;/C&gt;&lt;D xsi:type="xsd:double"&gt;62.5954&lt;/D&gt;&lt;/FQL&gt;&lt;FQL&gt;&lt;Q&gt;USDEUR^FG_PRICE_CHANGE(0,-1AM)&lt;/Q&gt;&lt;R&gt;1&lt;/R&gt;&lt;C&gt;1&lt;/C&gt;&lt;D xsi:type="xsd:double"&gt;-1.5338004&lt;/D&gt;&lt;/FQL&gt;&lt;FQL&gt;&lt;Q&gt;FC0000CL^FMA_EPS(NTMA,-20AY,0,CY,,"PORTAGG","MEANR")&lt;/Q&gt;&lt;R&gt;20&lt;/R&gt;&lt;C&gt;1&lt;/C&gt;&lt;D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xsi:type="xsd:double"&gt;28.7106028961196&lt;/D&gt;&lt;/FQL&gt;&lt;FQL&gt;&lt;Q&gt;KSA^FMA_PE(NTMA,-10AY,0,AM,"PORTAGG","MEANR")&lt;/Q&gt;&lt;R&gt;121&lt;/R&gt;&lt;C&gt;1&lt;/C&gt;&lt;D xsi:type="xsd:string"&gt;@NA&lt;/D&gt;&lt;D xsi:type="xsd:string"&gt;@</t>
        </r>
      </text>
    </comment>
    <comment ref="A18" authorId="0" shapeId="0" xr:uid="{7E6718FC-5BF8-4A30-AE92-108F671986A0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xsi:type="xsd:double"&gt;12.8868090289145&lt;/D&gt;&lt;D xsi:type="xsd:double"&gt;12.3576370942206&lt;/D&gt;&lt;D xsi:type="xsd:double"&gt;12.2823339556379&lt;/D&gt;&lt;D xsi:type="xsd:double"&gt;11.0212951889068&lt;/D&gt;&lt;D xsi:type="xsd:double"&gt;11.0804193027128&lt;/D&gt;&lt;D xsi:type="xsd:double"&gt;12.7438664884364&lt;/D&gt;&lt;D xsi:type="xsd:double"&gt;12.9631199527692&lt;/D&gt;&lt;D xsi:type="xsd:double"&gt;13.5527431883915&lt;/D&gt;&lt;D xsi:type="xsd:double"&gt;13.7830327076509&lt;/D&gt;&lt;D xsi:type="xsd:double"&gt;13.6204244413881&lt;/D&gt;&lt;D xsi:type="xsd:double"&gt;12.9340037030751&lt;/D&gt;&lt;D xsi:type="xsd:double"&gt;12.5231774160047&lt;/D&gt;&lt;D xsi:type="xsd:double"&gt;11.7455802738245&lt;/D&gt;&lt;D xsi:type="xsd:double"&gt;13.407839577205&lt;/D&gt;&lt;D xsi:type="xsd:double"&gt;14.2038070611578&lt;/D&gt;&lt;D xsi:type="xsd:double"&gt;14.2559206479575&lt;/D&gt;&lt;D xsi:type="xsd:double"&gt;14.3126876307706&lt;/D&gt;&lt;D xsi:type="xsd:double"&gt;13.7929354672484&lt;/D&gt;&lt;D xsi:type="xsd:double"&gt;13.9387010922063&lt;/D&gt;&lt;D xsi:type="xsd:double"&gt;13.3456157017549&lt;/D&gt;&lt;D xsi:type="xsd:double"&gt;13.713854562201&lt;/D&gt;&lt;D xsi:type="xsd:double"&gt;14.6536397538586&lt;/D&gt;&lt;D xsi:type="xsd:double"&gt;14.0421596432204&lt;/D&gt;&lt;D xsi:type="xsd:double"&gt;14.0222691835867&lt;/D&gt;&lt;D xsi:type="xsd:double"&gt;13.0298230352202&lt;/D&gt;&lt;D xsi:type="xsd:double"&gt;13.1119188664613&lt;/D&gt;&lt;D xsi:type="xsd:double"&gt;13.0893717556129&lt;/D&gt;&lt;D xsi:type="xsd:double"&gt;13.5820974474182&lt;/D&gt;&lt;D xsi:type="xsd:double"&gt;13.5203458843084&lt;/D&gt;&lt;D xsi:type="xsd:double"&gt;14.4703293193306&lt;/D&gt;&lt;D xsi:type="xsd:double"&gt;14.5103901784995&lt;/D&gt;&lt;D xsi:type="xsd:double"&gt;14.8219008267238&lt;/D&gt;&lt;D xsi:type="xsd:double"&gt;15.1150028311187&lt;/D&gt;&lt;D xsi:type="xsd:double"&gt;14.9577723905791&lt;/D&gt;&lt;D xsi:type="xsd:double"&gt;13.9283568435551&lt;/D&gt;&lt;D xsi:type="xsd:double"&gt;13.3691504553225&lt;/D&gt;&lt;D xsi:type="xsd:double"&gt;13.3605856105179&lt;/D&gt;&lt;D xsi:type="xsd:double"&gt;13.4905108381277&lt;/D&gt;&lt;D xsi:type="xsd:double"&gt;14.4799829630745&lt;/D&gt;&lt;D xsi:type="xsd:double"&gt;15.3181856975354&lt;/D&gt;&lt;D xsi:type="xsd:double"&gt;16.2202601776949&lt;/D&gt;&lt;D xsi:type="xsd:double"&gt;16.1949655643786&lt;/D&gt;&lt;D xsi:type="xsd:double"&gt;17.0895365723709&lt;/D&gt;&lt;D xsi:type="xsd:double"&gt;15.6463963331476&lt;/D&gt;&lt;D xsi:type="xsd:double"&gt;16.8748749286284&lt;/D&gt;&lt;D xsi:type="xsd:double"&gt;17.0506208834528&lt;/D&gt;&lt;D xsi:type="xsd:double"&gt;16.6391567874831&lt;/D&gt;&lt;D xsi:type="xsd:double"&gt;16.6100529759285&lt;/D&gt;&lt;D xsi:type="xsd:double"&gt;16.0321696308306&lt;/D&gt;&lt;D xsi:type="xsd:double"&gt;16.5856293021688&lt;/D&gt;&lt;D xsi:type="xsd:double"&gt;16.1125117905671&lt;/D&gt;&lt;D xsi:type="xsd:double"&gt;17.2707466849604&lt;/D&gt;&lt;D xsi:type="xsd:double"&gt;15.844684053529&lt;/D&gt;&lt;D xsi:type="xsd:double"&gt;13.614715011837&lt;/D&gt;&lt;D xsi:type="xsd:double"&gt;15.8607073646669&lt;/D&gt;&lt;D xsi:type="xsd:double"&gt;17.6555660761785&lt;/D&gt;&lt;D xsi:type="xsd:double"&gt;19.4392593897556&lt;/D&gt;&lt;D xsi:type="xsd:double"&gt;19.6474026389675&lt;/D&gt;&lt;D xsi:type="xsd:double"&gt;19.9059760727005&lt;/D&gt;&lt;D xsi:type="xsd:double"&gt;21.6605549887224&lt;/D&gt;&lt;D xsi:type="xsd:double"&gt;21.8400763346859&lt;/D&gt;&lt;D xsi:type="xsd:double"&gt;20.9139220948255&lt;/D&gt;&lt;D xsi:type="xsd:double"&gt;19.5308154616888&lt;/D&gt;&lt;D xsi:type="xsd:double"&gt;19.1991324304179&lt;/D&gt;&lt;D xsi:type="xsd:double"&gt;18.7839827535169&lt;/D&gt;&lt;D xsi:type="xsd:double"&gt;19.0098652687882&lt;/D&gt;&lt;D xsi:type="xsd:double"&gt;18.9309064105691&lt;/D&gt;&lt;D xsi:type="xsd:double"&gt;19.0835815678234&lt;/D&gt;&lt;D xsi:type="xsd:double"&gt;19.5496152941258&lt;/D&gt;&lt;D xsi:type="xsd:double"&gt;18.9636380230676&lt;/D&gt;&lt;D xsi:type="xsd:double"&gt;19.2392208847487&lt;/D&gt;&lt;D xsi:type="xsd:double"&gt;18.9747539980543&lt;/D&gt;&lt;D xsi:type="xsd:double"&gt;19.2976792646095&lt;/D&gt;&lt;D xsi:type="xsd:double"&gt;19.0012440568563&lt;/D&gt;&lt;D xsi:type="xsd:double"&gt;17.2701180405506&lt;/D&gt;&lt;D xsi:type="xsd:double"&gt;18.9386564263945&lt;/D&gt;&lt;D xsi:type="xsd:double"&gt;18.7894164806125&lt;/D&gt;&lt;D xsi:type="xsd:double"&gt;18.8798320435908&lt;/D&gt;&lt;D xsi:type="xsd:double"&gt;19.5158598890288&lt;/D&gt;&lt;D xsi:type="xsd:double"&gt;17.5966858905672&lt;/D&gt;&lt;D xsi:type="xsd:double"&gt;16.2544626002219&lt;/D&gt;&lt;D xsi:type="xsd:double"&gt;15.2918792061311&lt;/D&gt;&lt;D xsi:type="xsd:double"&gt;16.5564932450575&lt;/D&gt;&lt;D xsi:type="xsd:double"&gt;15.548617198546&lt;/D&gt;&lt;D xsi:type="xsd:double"&gt;14.8325959569038&lt;/D&gt;&lt;D xsi:type="xsd:double"&gt;14.837646980644&lt;/D&gt;&lt;D xsi:type="xsd:double"&gt;14.0370459502867&lt;/D&gt;&lt;D xsi:type="xsd:double"&gt;14.9507929656253&lt;/D&gt;&lt;D xsi:type="xsd:double"&gt;14.5692606381352&lt;/D&gt;&lt;D xsi:type="xsd:double"&gt;14.2179058302784&lt;/D&gt;&lt;D xsi:type="xsd:double"&gt;16.0167216539786&lt;/D&gt;&lt;D xsi:type="xsd:double"&gt;16.6609582519919&lt;/D&gt;&lt;D xsi:type="xsd:double"&gt;17.1355102193406&lt;/D&gt;&lt;D xsi:type="xsd:double"&gt;17.5277542004505&lt;/D&gt;&lt;D xsi:type="xsd:double"&gt;17.2660327902572&lt;/D&gt;&lt;D xsi:type="xsd:double"&gt;16.4441232551712&lt;/D&gt;&lt;D xsi:type="xsd:double"&gt;15.5827042345949&lt;/D&gt;&lt;D xsi:type="xsd:double"&gt;16.0217730010582&lt;/D&gt;&lt;D xsi:type="xsd:double"&gt;17.2325272553755&lt;/D&gt;&lt;D xsi:type="xsd:double"&gt;18.4694192087416&lt;/D&gt;&lt;D xsi:type="xsd:double"&gt;18.7884894220701&lt;/D&gt;&lt;D xsi:type="xsd:double"&gt;18.3819171834072&lt;/D&gt;&lt;/FQL&gt;&lt;FQL&gt;&lt;Q&gt;PLATI-FDS^FG_PRICE_CHANGE(0,-1AY)&lt;/Q&gt;&lt;R&gt;1&lt;/R&gt;&lt;C&gt;1&lt;/C&gt;&lt;D xsi:type="xsd:double"&gt;-6.1&lt;/D&gt;&lt;/FQL&gt;&lt;FQL&gt;&lt;Q&gt;TUR^FG_PRICE_MAVG(0,,,,60)&lt;/Q&gt;&lt;R&gt;1&lt;/R&gt;&lt;C&gt;1&lt;/C&gt;&lt;D xsi:type="xsd:double"&gt;35.316334&lt;/D&gt;&lt;/FQL&gt;&lt;FQL&gt;&lt;Q&gt;INDA^FG_PRICE_MAVG(0,,,,30)&lt;/Q&gt;&lt;R&gt;1&lt;/R&gt;&lt;C&gt;1&lt;/C&gt;&lt;D xsi:type="xsd:double"&gt;51.186&lt;/D&gt;&lt;/FQL&gt;&lt;FQL&gt;&lt;Q&gt;EWJ^SIZE(FG_CONSTITUENTS)&lt;/Q&gt;&lt;R&gt;1&lt;/R&gt;&lt;C&gt;1&lt;/C&gt;&lt;D xsi:type="xsd:long"&gt;219&lt;/D&gt;&lt;/FQL&gt;&lt;FQL&gt;&lt;Q&gt;VNM^FMA_COS_UP("EPS","1M",+1,NOW,,,"PORTAGG","MEANR")&lt;/Q&gt;&lt;R&gt;1&lt;/R&gt;&lt;C&gt;1&lt;/C&gt;&lt;D xsi:type="xsd:double"&gt;12&lt;/D&gt;&lt;/FQL&gt;&lt;FQL&gt;&lt;Q&gt;TRYQA10Y-FDS^FG_YIELD_NAME&lt;/Q&gt;&lt;R&gt;1&lt;/R&gt;&lt;C&gt;1&lt;/C&gt;&lt;D xsi:type="xsd:string"&gt;Treasury - Qatar Benchmark Bond 10Y&lt;/D&gt;&lt;/FQL&gt;&lt;FQL&gt;&lt;Q&gt;TRYMY10Y-FDS^FG_YIELD(0,,,,"YTM")&lt;/Q&gt;&lt;R&gt;1&lt;/R&gt;&lt;C&gt;1&lt;/C&gt;&lt;D xsi:type="xsd:double"&gt;3.859414&lt;/D&gt;&lt;/FQL&gt;&lt;FQL&gt;&lt;Q&gt;INDA^FG_PRICE(0)&lt;/Q&gt;&lt;R&gt;1&lt;/R&gt;&lt;C&gt;1&lt;/C&gt;&lt;D xsi:type="xsd:double"&gt;50.71&lt;/D&gt;&lt;/FQL&gt;&lt;FQL&gt;&lt;Q&gt;EPOL^FG_PRICE_MAVG(0,,,,60)&lt;/Q&gt;&lt;R&gt;1&lt;/R&gt;&lt;C&gt;1&lt;/C&gt;&lt;D xsi:type="xsd:double"&gt;22.450417&lt;/D&gt;&lt;/FQL&gt;&lt;FQL&gt;&lt;Q&gt;CNYA^FG_PRICE_MAVG(0,,,,30)&lt;/Q&gt;&lt;R&gt;1&lt;/R&gt;&lt;C&gt;1&lt;/C&gt;&lt;D xsi:type="xsd:double"&gt;25.444927&lt;/D&gt;&lt;/FQL&gt;&lt;FQL&gt;&lt;Q&gt;VWO^FG_TOTAL_RETURNC(0,-3AM)&lt;/Q&gt;&lt;R&gt;1&lt;/R&gt;&lt;C&gt;1&lt;/C&gt;&lt;D xsi:type="xsd:double"&gt;3.2642484&lt;/D&gt;&lt;/FQL&gt;&lt;FQL&gt;&lt;Q&gt;TRYID10Y-FDS^FG_YIELD(-10AY,0,Y,,"YTM")&lt;/Q&gt;&lt;R&gt;10&lt;/R&gt;&lt;C&gt;1&lt;/C&gt;&lt;D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xsi:type="xsd:double"&gt;3.1928&lt;/D&gt;&lt;/FQL&gt;&lt;FQL&gt;&lt;Q&gt;CAGDPY@KR^EE_ACTUAL_ANNUAL(MED,+1)&lt;/Q&gt;&lt;R&gt;1&lt;/R&gt;&lt;C&gt;1&lt;/C&gt;&lt;D xsi:type="xsd:double"&gt;2.4&lt;/D&gt;&lt;/FQL&gt;&lt;FQL&gt;&lt;Q&gt;USDQAR^STD(FG_PRICE_CHANGE(0,-1AY,AM))&lt;/Q&gt;&lt;R&gt;1&lt;/R&gt;&lt;C&gt;1&lt;/C&gt;&lt;D xsi:type="xsd:double"&gt;0.0158925670416409&lt;/D&gt;&lt;/FQL&gt;&lt;FQL&gt;&lt;Q&gt;USDKRW^FG_PRICE_CHANGE(0,-3AM)&lt;/Q&gt;&lt;R&gt;1&lt;/R&gt;&lt;C&gt;1&lt;/C&gt;&lt;D xsi:type="xsd:double"&gt;1.7175555&lt;/D&gt;&lt;/FQL&gt;&lt;FQL&gt;&lt;Q&gt;USDPHP^FG_PRICE_CHANGE(0,-1AY)&lt;/Q&gt;&lt;R&gt;1&lt;/R&gt;&lt;C&gt;1&lt;/C&gt;&lt;D xsi:type="xsd:double"&gt;0.5671978&lt;/D&gt;&lt;/FQL&gt;&lt;FQL&gt;&lt;Q&gt;VNM^FG_TOTAL_RETURNC(-10AY,0,AM)&lt;/Q&gt;&lt;R&gt;121&lt;/R&gt;&lt;C&gt;1&lt;/C&gt;&lt;D xsi:type="xsd:double"&gt;-1.1241019&lt;/D&gt;&lt;D xsi:type="xsd:double"&gt;-2.2737622&lt;/D&gt;&lt;D xsi:type="xsd:double"&gt;-8.375984&lt;/D&gt;&lt;D xsi:type="xsd:double"&gt;5.73895&lt;/D&gt;&lt;D xsi:type="xsd:double"&gt;2.4015427&lt;/D&gt;&lt;D xsi:type="xsd:double"&gt;2.861166&lt;/D&gt;&lt;D xsi:type="xsd:double"&gt;4.240763&lt;/D&gt;&lt;D xsi:type="xsd:double"&gt;-6.2554717&lt;/D&gt;&lt;D xsi:type="xsd:double"&gt;-1.4932334&lt;/D&gt;&lt;D xsi:type="xsd:double"&gt;-7.484603&lt;/D&gt;&lt;D xsi:type="xsd:double"&gt;-2.0838082&lt;/D&gt;&lt;D xsi:type="xsd:double"&gt;4.9435735&lt;/D&gt;&lt;D xsi:type="xsd:double"&gt;-6.246805&lt;/D&gt;&lt;D xsi:type="xsd:double"&gt;-3.386122&lt;/D&gt;&lt;D xsi:type="xsd:double"&gt;-3.3917487&lt;/D&gt;&lt;D xsi:type="xsd:double"&gt;6.2024593&lt;/D&gt;&lt;D xsi:type="xsd:double"&gt;7.933891&lt;/D&gt;&lt;D xsi:type="xsd:double"&gt;-12.4553385&lt;/D&gt;&lt;D xsi:type="xsd:double"&gt;-9.329444&lt;/D&gt;&lt;D xsi:type="xsd:double"&gt;10.546625&lt;/D&gt;&lt;D xsi:type="xsd:double"&gt;-5.1774383&lt;/D&gt;&lt;D xsi:type="xsd:double"&gt;-9.570551&lt;/D&gt;&lt;D xsi:type="xsd:double"&gt;-4.143846&lt;/D&gt;&lt;D xsi:type="xsd:double"&gt;-2.3512125&lt;/D&gt;&lt;D xsi:type="xsd:double"&gt;6.8472505&lt;/D&gt;&lt;D xsi:type="xsd:double"&gt;0.9852171&lt;/D&gt;&lt;D xsi:type="xsd:double"&gt;-0.7663965&lt;/D&gt;&lt;D xsi:type="xsd:double"&gt;2.6704192&lt;/D&gt;&lt;D xsi:type="xsd:double"&gt;4.859686&lt;/D&gt;&lt;D xsi:type="xsd:double"&gt;-1.4360249&lt;/D&gt;&lt;D xsi:type="xsd:double"&gt;-4.9668846&lt;/D&gt;&lt;D xsi:type="xsd:double"&gt;3.2055736&lt;/D&gt;&lt;D xsi:type="xsd:double"&gt;-8.102637&lt;/D&gt;&lt;D xsi:type="xsd:double"&gt;-4.0411415&lt;/D&gt;&lt;D xsi:type="xsd:double"&gt;5.993712&lt;/D&gt;&lt;D xsi:type="xsd:double"&gt;3.7009597&lt;/D&gt;&lt;D xsi:type="xsd:double"&gt;-4.211277&lt;/D&gt;&lt;D xsi:type="xsd:double"&gt;4.6944857&lt;/D&gt;&lt;D xsi:type="xsd:double"&gt;-0.4982233&lt;/D&gt;&lt;D xsi:type="xsd:double"&gt;4.220319&lt;/D&gt;&lt;D xsi:type="xsd:double"&gt;2.0590305&lt;/D&gt;&lt;D xsi:type="xsd:double"&gt;-3.4969687&lt;/D&gt;&lt;D xsi:type="xsd:double"&gt;3.8327456&lt;/D&gt;&lt;D xsi:type="xsd:double"&gt;2.6845694&lt;/D&gt;&lt;D xsi:type="xsd:double"&gt;6.92811&lt;/D&gt;&lt;D xsi:type="xsd:double"&gt;2.7505994&lt;/D&gt;&lt;D xsi:type="xsd:double"&gt;14.810848&lt;/D&gt;&lt;D xsi:type="xsd:double"&gt;-2.5654435&lt;/D&gt;&lt;D xsi:type="xsd:double"&gt;2.2031188&lt;/D&gt;&lt;D xsi:type="xsd:double"&gt;3.1020045&lt;/D&gt;&lt;D xsi:type="xsd:double"&gt;-7.4451866&lt;/D&gt;&lt;D xsi:type="xsd:double"&gt;-6.2809887&lt;/D&gt;&lt;D xsi:type="xsd:double"&gt;-7.9953012&lt;/D&gt;&lt;D xsi:type="xsd:double"&gt;5.750799&lt;/D&gt;&lt;D xsi:type="xsd:double"&gt;0.48338175&lt;/D&gt;&lt;D xsi:type="xsd:double"&gt;-6.1334906&lt;/D&gt;&lt;D xsi:type="xsd:double"&gt;-3.2030761&lt;/D&gt;&lt;D xsi:type="xsd:double"&gt;2.911985&lt;/D&gt;&lt;D xsi:type="xsd:double"&gt;-1.2586236&lt;/D&gt;&lt;D xsi:type="xsd:double"&gt;7.4195743&lt;/D&gt;&lt;D xsi:type="xsd:double"&gt;3.7285924&lt;/D&gt;&lt;D xsi:type="xsd:double"&gt;1.2374878&lt;/D&gt;&lt;D xsi:type="xsd:double"&gt;-4.5401692&lt;/D&gt;&lt;D xsi:type="xsd:double"&gt;-0.73170066&lt;/D&gt;&lt;D xsi:type="xsd:double"&gt;0.9213686&lt;/D&gt;&lt;D xsi:type="xsd:double"&gt;-7.242852&lt;/D&gt;&lt;D xsi:type="xsd:double"&gt;4.0026307&lt;/D&gt;&lt;D xsi:type="xsd:double"&gt;1.3880134&lt;/D&gt;&lt;D xsi:type="xsd:double"&gt;1.7423868&lt;/D&gt;&lt;D xsi:type="xsd:double"&gt;-1.5902162&lt;/D&gt;&lt;D xsi:type="xsd:double"&gt;0.6403327&lt;/D&gt;&lt;D xsi:type="xsd:double"&gt;-4.9782157&lt;/D&gt;&lt;D xsi:type="xsd:double"&gt;-26.65357&lt;/D&gt;&lt;D xsi:type="xsd:double"&gt;7.6785803&lt;/D&gt;&lt;D xsi:type="xsd:double"&gt;6.9651723&lt;/D&gt;&lt;D xsi:type="xsd:double"&gt;6.5891504&lt;/D&gt;&lt;D xsi:type="xsd:double"&gt;4.581821&lt;/D&gt;&lt;D xsi:type="xsd:double"&gt;2.2253156&lt;/D&gt;&lt;D xsi:type="xsd:double"&gt;2.9251695&lt;/D&gt;&lt;D xsi:type="xsd:double"&gt;0.66093206&lt;/D&gt;&lt;D xsi:type="xsd:double"&gt;2.3637652&lt;/D&gt;&lt;D xsi:type="xsd:double"&gt;8.723545&lt;/D&gt;&lt;D xsi:type="xsd:double"&gt;9.598494&lt;/D&gt;&lt;D xsi:type="xsd:double"&gt;-2.6486456&lt;/D&gt;&lt;D xsi:type="xsd:double"&gt;-1.2770653&lt;/D&gt;&lt;D xsi:type="xsd:double"&gt;6.917882&lt;/D&gt;&lt;D xsi:type="xsd:double"&gt;-0.31561852&lt;/D&gt;&lt;D xsi:type="xsd:double"&gt;6.490767&lt;/D&gt;&lt;D xsi:type="xsd:double"&gt;-4.608524&lt;/D&gt;&lt;D xsi:type="xsd:double"&gt;3.0649304&lt;/D&gt;&lt;D xsi:type="xsd:double"&gt;-0.4536271&lt;/D&gt;&lt;D xsi:type="xsd:double"&gt;-0.6075978&lt;/D&gt;&lt;D xsi:type="xsd:double"&gt;5.501783&lt;/D&gt;&lt;D xsi:type="xsd:double"&gt;-0.096565485&lt;/D&gt;&lt;D xsi:type="xsd:double"&gt;0.74335337&lt;/D&gt;&lt;D xsi:type="xsd:double"&gt;-6.460947&lt;/D&gt;&lt;D xsi:type="xsd:double"&gt;-6.185561&lt;/D&gt;&lt;D xsi:type="xsd:double"&gt;1.8681288&lt;/D&gt;&lt;D xsi:type="xsd:double"&gt;-17.853296&lt;/D&gt;&lt;D xsi:type="xsd:double"&gt;-1.1818707&lt;/D&gt;&lt;D xsi:type="xsd:double"&gt;-4.7176065&lt;/D&gt;&lt;D xsi:type="xsd:double"&gt;9.274757&lt;/D&gt;&lt;D xsi:type="xsd:double"&gt;-5.679643&lt;/D&gt;&lt;D xsi:type="xsd:double"&gt;-16.91475&lt;/D&gt;&lt;D xsi:type="xsd:double"&gt;-10.912055&lt;/D&gt;&lt;D xsi:type="xsd:double"&gt;15.90494&lt;/D&gt;&lt;D xsi:type="xsd:double"&gt;-0.5732596&lt;/D&gt;&lt;D xsi:type="xsd:double"&gt;-5.284226&lt;/D&gt;&lt;D xsi:type="xsd:double"&gt;-1.8596828&lt;/D&gt;&lt;D xsi:type="xsd:double"&gt;4.04824&lt;/D&gt;&lt;D xsi:type="xsd:double"&gt;3.3940434&lt;/D&gt;&lt;D xsi:type="xsd:double"&gt;6.0047984&lt;/D&gt;&lt;D xsi:type="xsd:double"&gt;6.1178327&lt;/D&gt;&lt;D xsi:type="xsd:double"&gt;10.249102&lt;/D&gt;&lt;D xsi:type="xsd:double"&gt;-2.775979&lt;/D&gt;&lt;D xsi:type="xsd:double"&gt;-9.030551&lt;/D&gt;&lt;D xsi:type="xsd:double"&gt;-2.4087608&lt;/D&gt;&lt;D xsi:type="xsd:double"&gt;-0.5235553&lt;/D&gt;&lt;D xsi:type="xsd:double"&gt;0.9212136&lt;/D&gt;&lt;D xsi:type="xsd:double"&gt;2.3566365&lt;/D&gt;&lt;D xsi:type="xsd:double"&gt;4.0291667&lt;/D&gt;&lt;/FQL&gt;&lt;FQL&gt;&lt;Q&gt;KSA^FMA_DIV_YLD(NTMA,-10AY,0,AM,"PORTAGG","MEANR")&lt;/Q&gt;&lt;R&gt;121&lt;/R&gt;&lt;C&gt;1&lt;/C&gt;&lt;D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xsi:type="xsd:double"&gt;4.25713499146329&lt;/D&gt;&lt;D xsi:type="xsd:double"&gt;4.66190545441794&lt;/D&gt;&lt;D xsi:type="xsd:double"&gt;4.81671325848863&lt;/D&gt;&lt;D xsi:type="xsd:double"&gt;5.28574051607253&lt;/D&gt;&lt;D xsi:type="xsd:double"&gt;5.40210462049939&lt;/D&gt;&lt;D xsi:type="xsd:double"&gt;4.71459516664974&lt;/D&gt;&lt;D xsi:type="xsd:double"&gt;4.53065883497799&lt;/D&gt;&lt;D xsi:type="xsd:double"&gt;4.16411235279415&lt;/D&gt;&lt;D xsi:type="xsd:double"&gt;4.07238376630963&lt;/D&gt;&lt;D xsi:type="xsd:double"&gt;4.17535045277934&lt;/D&gt;&lt;D xsi:type="xsd:double"&gt;4.45119717673443&lt;/D&gt;&lt;D xsi:type="xsd:double"&gt;4.62642601706964&lt;/D&gt;&lt;D xsi:type="xsd:double"&gt;4.91240106495622&lt;/D&gt;&lt;D xsi:type="xsd:double"&gt;4.20086469135245&lt;/D&gt;&lt;D xsi:type="xsd:double"&gt;3.810958214994&lt;/D&gt;&lt;D xsi:type="xsd:double"&gt;3.86196657953695&lt;/D&gt;&lt;D xsi:type="xsd:double"&gt;3.78085793322621&lt;/D&gt;&lt;D xsi:type="xsd:double"&gt;3.97245974713874&lt;/D&gt;&lt;D xsi:type="xsd:double"&gt;3.96199493133457&lt;/D&gt;&lt;D xsi:type="xsd:double"&gt;4.10368341574049&lt;/D&gt;&lt;D xsi:type="xsd:double"&gt;3.96779710997465&lt;/D&gt;&lt;D xsi:type="xsd:double"&gt;3.69413485643167&lt;/D&gt;&lt;D xsi:type="xsd:double"&gt;3.8153067345897&lt;/D&gt;&lt;D xsi:type="xsd:double"&gt;4.22474092096007&lt;/D&gt;&lt;D xsi:type="xsd:double"&gt;4.39793037652748&lt;/D&gt;&lt;D xsi:type="xsd:double"&gt;4.33290028076169&lt;/D&gt;&lt;D xsi:type="xsd:double"&gt;4.34667604576764&lt;/D&gt;&lt;D xsi:type="xsd:double"&gt;4.29042756633115&lt;/D&gt;&lt;D xsi:type="xsd:double"&gt;4.27787992129329&lt;/D&gt;&lt;D xsi:type="xsd:double"&gt;3.99623413579021&lt;/D&gt;&lt;D xsi:type="xsd:double"&gt;3.94419423309737&lt;/D&gt;&lt;D xsi:type="xsd:double"&gt;3.83519286960263&lt;/D&gt;&lt;D xsi:type="xsd:double"&gt;3.7462177193099&lt;/D&gt;&lt;D xsi:type="xsd:double"&gt;3.80667561018963&lt;/D&gt;&lt;D xsi:type="xsd:double"&gt;4.09952232810814&lt;/D&gt;&lt;D xsi:type="xsd:double"&gt;4.42025782075623&lt;/D&gt;&lt;D xsi:type="xsd:double"&gt;4.45112576810075&lt;/D&gt;&lt;D xsi:type="xsd:double"&gt;4.4159923163743&lt;/D&gt;&lt;D xsi:type="xsd:double"&gt;4.20044188470073&lt;/D&gt;&lt;D xsi:type="xsd:double"&gt;4.0047183782862&lt;/D&gt;&lt;D xsi:type="xsd:double"&gt;3.88928862934569&lt;/D&gt;&lt;D xsi:type="xsd:double"&gt;3.87737075868874&lt;/D&gt;&lt;D xsi:type="xsd:double"&gt;3.69465670524151&lt;/D&gt;&lt;D xsi:type="xsd:double"&gt;4.01644431361575&lt;/D&gt;&lt;D xsi:type="xsd:double"&gt;3.79241952289182&lt;/D&gt;&lt;D xsi:type="xsd:double"&gt;3.8098456313885&lt;/D&gt;&lt;D xsi:type="xsd:double"&gt;3.99327857185195&lt;/D&gt;&lt;D xsi:type="xsd:double"&gt;4.29298766743263&lt;/D&gt;&lt;D xsi:type="xsd:double"&gt;4.4195829238537&lt;/D&gt;&lt;D xsi:type="xsd:double"&gt;4.12672836627265&lt;/D&gt;&lt;D xsi:type="xsd:double"&gt;4.17711237245662&lt;/D&gt;&lt;D xsi:type="xsd:double"&gt;3.98467490497796&lt;/D&gt;&lt;D xsi:type="xsd:double"&gt;4.391613210334&lt;/D&gt;&lt;D xsi:type="xsd:double"&gt;5.45633750959122&lt;/D&gt;&lt;D xsi:type="xsd:double"&gt;4.75846049833171&lt;/D&gt;&lt;D xsi:type="xsd:double"&gt;4.58084480895012&lt;/D&gt;&lt;D xsi:type="xsd:double"&gt;3.97232312259524&lt;/D&gt;&lt;D xsi:type="xsd:double"&gt;3.87621463266595&lt;/D&gt;&lt;D xsi:type="xsd:double"&gt;3.64748452803803&lt;/D&gt;&lt;D xsi:type="xsd:double"&gt;3.40153091511211&lt;/D&gt;&lt;D xsi:type="xsd:double"&gt;3.26137708397748&lt;/D&gt;&lt;D xsi:type="xsd:double"&gt;3.42320248552767&lt;/D&gt;&lt;D xsi:type="xsd:double"&gt;3.49381498016475&lt;/D&gt;&lt;D xsi:type="xsd:double"&gt;3.48823025900894&lt;/D&gt;&lt;D xsi:type="xsd:double"&gt;3.52716521982443&lt;/D&gt;&lt;D xsi:type="xsd:double"&gt;3.41457606755015&lt;/D&gt;&lt;D xsi:type="xsd:double"&gt;3.39514647979871&lt;/D&gt;&lt;D xsi:type="xsd:double"&gt;3.31961812998297&lt;/D&gt;&lt;D xsi:type="xsd:double"&gt;3.19214394608984&lt;/D&gt;&lt;D xsi:type="xsd:double"&gt;3.2830972231324&lt;/D&gt;&lt;D xsi:type="xsd:double"&gt;3.11931708306748&lt;/D&gt;&lt;D xsi:type="xsd:double"&gt;3.08012973857603&lt;/D&gt;&lt;D xsi:type="xsd:double"&gt;2.86486632717919&lt;/D&gt;&lt;D xsi:type="xsd:double"&gt;2.98119452329047&lt;/D&gt;&lt;D xsi:type="xsd:double"&gt;3.29209625727767&lt;/D&gt;&lt;D xsi:type="xsd:double"&gt;3.03524780574755&lt;/D&gt;&lt;D xsi:type="xsd:double"&gt;3.0506782818929&lt;/D&gt;&lt;D xsi:type="xsd:double"&gt;2.94859323362813&lt;/D&gt;&lt;D xsi:type="xsd:double"&gt;2.74639124536471&lt;/D&gt;&lt;D xsi:type="xsd:double"&gt;2.82044652207976&lt;/D&gt;&lt;D xsi:type="xsd:double"&gt;3.07686397826742&lt;/D&gt;&lt;D xsi:type="xsd:double"&gt;3.45599479072587&lt;/D&gt;&lt;D xsi:type="xsd:double"&gt;3.0755738400292&lt;/D&gt;&lt;D xsi:type="xsd:double"&gt;3.29509816475403&lt;/D&gt;&lt;D xsi:type="xsd:double"&gt;3.43994390554264&lt;/D&gt;&lt;D xsi:type="xsd:double"&gt;3.46720067527889&lt;/D&gt;&lt;D xsi:type="xsd:double"&gt;3.79880194364167&lt;/D&gt;&lt;D xsi:type="xsd:double"&gt;3.64311469232325&lt;/D&gt;&lt;D xsi:type="xsd:double"&gt;3.73217244749359&lt;/D&gt;&lt;D xsi:type="xsd:double"&gt;3.85352770199559&lt;/D&gt;&lt;D xsi:type="xsd:double"&gt;3.4789374298729&lt;/D&gt;&lt;D xsi:type="xsd:double"&gt;3.43732084744778&lt;/D&gt;&lt;D xsi:type="xsd:double"&gt;3.43741294649946&lt;/D&gt;&lt;D xsi:type="xsd:double"&gt;3.37402513979284&lt;/D&gt;&lt;D xsi:type="xsd:double"&gt;3.56642723376893&lt;/D&gt;&lt;D xsi:type="xsd:double"&gt;3.68083287973327&lt;/D&gt;&lt;D xsi:type="xsd:double"&gt;3.9241205123792&lt;/D&gt;&lt;D xsi:type="xsd:double"&gt;3.82840468438837&lt;/D&gt;&lt;D xsi:type="xsd:double"&gt;3.63850910972654&lt;/D&gt;&lt;D xsi:type="xsd:double"&gt;3.42295007248886&lt;/D&gt;&lt;D xsi:type="xsd:double"&gt;3.32514900957167&lt;/D&gt;&lt;D xsi:type="xsd:double"&gt;3.32900562020089&lt;/D&gt;&lt;/FQL&gt;&lt;FQL&gt;&lt;Q&gt;VNM^FMA_PE(NTMA,-10AY,0,AM,"PORTAGG","MEANR")&lt;/Q&gt;&lt;R&gt;121&lt;/R&gt;&lt;C&gt;1&lt;/C&gt;&lt;D xsi:type="xsd:double"&gt;11.5323501325398&lt;/D&gt;&lt;D xsi:type="xsd:double"&gt;12.1494245783257&lt;/D&gt;&lt;D xsi:type="xsd:double"&gt;11.982333202522&lt;/D&gt;&lt;D xsi:type="xsd:double"&gt;12.3537769739607&lt;/D&gt;&lt;D xsi:type="xsd:double"&gt;12.6707836931928&lt;/D&gt;&lt;D xsi:type="xsd:double"&gt;12.922482740659&lt;/D&gt;&lt;D xsi:type="xsd:double"&gt;13.6156289329143&lt;/D&gt;&lt;D xsi:type="xsd:double"&gt;12.1195414953715&lt;/D&gt;&lt;D xsi:type="xsd:double"&gt;12.0887934762683&lt;/D&gt;&lt;D xsi:type="xsd:double"&gt;11.9957967559367&lt;/D&gt;&lt;D xsi:type="xsd:double"&gt;12.0455449323158&lt;/D&gt;&lt;D xsi:type="xsd:double"&gt;12.9439166841244&lt;/D&gt;&lt;D xsi:type="xsd:double"&gt;11.9502612760077&lt;/D&gt;&lt;D xsi:type="xsd:double"&gt;13.3311834917003&lt;/D&gt;&lt;D xsi:type="xsd:double"&gt;13.4408140627998&lt;/D&gt;&lt;D xsi:type="xsd:double"&gt;13.834951945384&lt;/D&gt;&lt;D xsi:type="xsd:double"&gt;14.8363220884651&lt;/D&gt;&lt;D xsi:type="xsd:double"&gt;13.6214435147543&lt;/D&gt;&lt;D xsi:type="xsd:double"&gt;13.362602066166&lt;/D&gt;&lt;D xsi:type="xsd:double"&gt;14.2477528974516&lt;/D&gt;&lt;D xsi:type="xsd:double"&gt;14.4759210375813&lt;/D&gt;&lt;D xsi:type="xsd:double"&gt;11.9316714891067&lt;/D&gt;&lt;D xsi:type="xsd:string"&gt;@NA&lt;/D&gt;&lt;D xsi:type="xsd:double"&gt;14.1112055803979&lt;/D&gt;&lt;D xsi:type="xsd:double"&gt;15.3346534941361&lt;/D&gt;&lt;D xsi:type="xsd:double"&gt;12.7941790153219&lt;/D&gt;&lt;D xsi:type="xsd:double"&gt;12.5593920696413&lt;/D&gt;&lt;D xsi:type="xsd:double"&gt;12.4244015448306&lt;/D&gt;&lt;D xsi:type="xsd:double"&gt;12.5526304438857&lt;/D&gt;&lt;D xsi:type="xsd:double"&gt;11.7371413078711&lt;/D&gt;&lt;D xsi:type="xsd:double"&gt;11.3918032793644&lt;/D&gt;&lt;D xsi:type="xsd:double"&gt;13.4160878008826&lt;/D&gt;&lt;D xsi:type="xsd:double"&gt;12.5211489955855&lt;/D&gt;&lt;D xsi:type="xsd:double"&gt;12.3944847169292&lt;/D&gt;&lt;D xsi:type="xsd:double"&gt;12.6578748045529&lt;/D&gt;&lt;D xsi:type="xsd:double"&gt;13.2789731865785&lt;/D&gt;&lt;D xsi:type="xsd:double"&gt;12.8192626716484&lt;/D&gt;&lt;D xsi:type="xsd:double"&gt;14.1941343229574&lt;/D&gt;&lt;D xsi:type="xsd:double"&gt;14.9864013364748&lt;/D&gt;&lt;D xsi:type="xsd:double"&gt;14.5184518543381&lt;/D&gt;&lt;D xsi:type="xsd:double"&gt;15.1635812408077&lt;/D&gt;&lt;D xsi:type="xsd:double"&gt;15.9524702370007&lt;/D&gt;&lt;D xsi:type="xsd:double"&gt;16.1587444257765&lt;/D&gt;&lt;D xsi:type="xsd:double"&gt;16.2354874786703&lt;/D&gt;&lt;D xsi:type="xsd:double"&gt;16.0007477663975&lt;/D&gt;&lt;D xsi:type="xsd:double"&gt;18.1656681423417&lt;/D&gt;&lt;D xsi:type="xsd:double"&gt;20.5067517453401&lt;/D&gt;&lt;D xsi:type="xsd:double"&gt;19.6740510387691&lt;/D&gt;&lt;D xsi:type="xsd:double"&gt;20.8879646542086&lt;/D&gt;&lt;D xsi:type="xsd:double"&gt;21.431643947902&lt;/D&gt;&lt;D xsi:type="xsd:double"&gt;20.7038658960191&lt;/D&gt;&lt;D xsi:type="xsd:double"&gt;19.704448736013&lt;/D&gt;&lt;D xsi:type="xsd:double"&gt;16.625704951744&lt;/D&gt;&lt;D xsi:type="xsd:double"&gt;18.0008106381222&lt;/D&gt;&lt;D xsi:type="xsd:double"&gt;17.7405189840037&lt;/D&gt;&lt;D xsi:type="xsd:double"&gt;15.4276166380788&lt;/D&gt;&lt;D xsi:type="xsd:double"&gt;15.2012786071183&lt;/D&gt;&lt;D xsi:type="xsd:double"&gt;15.8620576680941&lt;/D&gt;&lt;D xsi:type="xsd:double"&gt;14.8847199996956&lt;/D&gt;&lt;D xsi:type="xsd:double"&gt;16.2486294988308&lt;/D&gt;&lt;D xsi:type="xsd:double"&gt;17.5322588619716&lt;/D&gt;&lt;D xsi:type="xsd:double"&gt;18.0765285918125&lt;/D&gt;&lt;D xsi:type="xsd:double"&gt;17.4335472972187&lt;/D&gt;&lt;D xsi:type="xsd:double"&gt;16.8651618624681&lt;/D&gt;&lt;D xsi:type="xsd:double"&gt;16.2744241027327&lt;/D&gt;&lt;D xsi:type="xsd:double"&gt;15.1606601176745&lt;/D&gt;&lt;D xsi:type="xsd:double"&gt;14.0918886601933&lt;/D&gt;&lt;D xsi:type="xsd:double"&gt;14.2216250549391&lt;/D&gt;&lt;D xsi:type="xsd:double"&gt;14.8099934589966&lt;/D&gt;&lt;D xsi:type="xsd:double"&gt;14.5396493559276&lt;/D&gt;&lt;D xsi:type="xsd:double"&gt;13.8492520487954&lt;/D&gt;&lt;D xsi:type="xsd:double"&gt;13.4600852130247&lt;/D&gt;&lt;D xsi:type="xsd:double"&gt;11.5761663145138&lt;/D&gt;&lt;D xsi:type="xsd:double"&gt;13.5949219831517&lt;/D&gt;&lt;D xsi:type="xsd:double"&gt;14.278838872606&lt;/D&gt;&lt;D xsi:type="xsd:double"&gt;15.4592798803578&lt;/D&gt;&lt;D xsi:type="xsd:double"&gt;14.9299910074304&lt;/D&gt;&lt;D xsi:type="xsd:double"&gt;14.747471536863&lt;/D&gt;&lt;D xsi:type="xsd:double"&gt;15.6234569590686&lt;/D&gt;&lt;D xsi:type="xsd:double"&gt;15.6548499667747&lt;/D&gt;&lt;D xsi:type="xsd:double"&gt;15.3081404403259&lt;/D&gt;&lt;D xsi:type="xsd:double"&gt;15.9433514276828&lt;/D&gt;&lt;D xsi:type="xsd:double"&gt;17.4174348852613&lt;/D&gt;&lt;D xsi:type="xsd:double"&gt;16.5387590525891&lt;/D&gt;&lt;D xsi:type="xsd:double"&gt;16.9332610398806&lt;/D&gt;&lt;D xsi:type="xsd:double"&gt;17.0760239169674&lt;/D&gt;&lt;D xsi:type="xsd:double"&gt;16.2606125813243&lt;/D&gt;&lt;D xsi:type="xsd:double"&gt;17.8547380986056&lt;/D&gt;&lt;D xsi:type="xsd:double"&gt;16.5028760916528&lt;/D&gt;&lt;D xsi:type="xsd:double"&gt;16.6818813639559&lt;/D&gt;&lt;D xsi:type="xsd:double"&gt;16.1397595529386&lt;/D&gt;&lt;D xsi:type="xsd:double"&gt;16.1435838832803&lt;/D&gt;&lt;D xsi:type="xsd:double"&gt;16.1185918852269&lt;/D&gt;&lt;D xsi:type="xsd:double"&gt;16.725507983682&lt;/D&gt;&lt;D xsi:type="xsd:double"&gt;15.6168745295791&lt;/D&gt;&lt;D xsi:type="xsd:double"&gt;14.6968040479803&lt;/D&gt;&lt;D xsi:type="xsd:double"&gt;13.862857586032&lt;/D&gt;&lt;D xsi:type="xsd:double"&gt;14.0927525074436&lt;/D&gt;&lt;D xsi:type="xsd:double"&gt;11.8817733878793&lt;/D&gt;&lt;D xsi:type="xsd:double"&gt;12.2861989410248&lt;/D&gt;&lt;D xsi:type="xsd:double"&gt;10.8643406707315&lt;/D&gt;&lt;D xsi:type="xsd:double"&gt;11.5435586247275&lt;/D&gt;&lt;D xsi:type="xsd:double"&gt;11.0874367528764&lt;/D&gt;&lt;D xsi:type="xsd:double"&gt;10.5561139949665&lt;/D&gt;&lt;D xsi:type="xsd:double"&gt;9.74276194879003&lt;/D&gt;&lt;D xsi:type="xsd:double"&gt;11.5348399650764&lt;/D&gt;&lt;D xsi:type="xsd:double"&gt;11.3345446608913&lt;/D&gt;&lt;D xsi:type="xsd:double"&gt;11.1172543782058&lt;/D&gt;&lt;D xsi:type="xsd:double"&gt;12.3449079738603&lt;/D&gt;&lt;D xsi:type="xsd:double"&gt;13.610554255164&lt;/D&gt;&lt;D xsi:type="xsd:double"&gt;14.2955954785148&lt;/D&gt;&lt;D xsi:type="xsd:double"&gt;14.0329605837519&lt;/D&gt;&lt;D xsi:type="xsd:double"&gt;13.6453562715416&lt;/D&gt;&lt;D xsi:type="xsd:double"&gt;14.931222620213&lt;/D&gt;&lt;D xsi:type="xsd:double"&gt;14.8071086846703&lt;/D&gt;&lt;D xsi:type="xsd:double"&gt;14.2766883403393&lt;/D&gt;&lt;D xsi:type="xsd:double"&gt;13.9616776070928&lt;/D&gt;&lt;D xsi:type="xsd:double"&gt;14.2672439377236&lt;/D&gt;&lt;D xsi:type="xsd:double"&gt;14.3244888160075&lt;/D&gt;&lt;D xsi:type="xsd:double"&gt;14.6497397064529&lt;/D&gt;&lt;D xsi:type="xsd:double"&gt;16.593747336516&lt;/D&gt;&lt;/FQL&gt;&lt;FQL&gt;&lt;Q&gt;EIDO^FMA_PE(LTMA,-10AY,0,AM,"PORTAGG","MEANR")&lt;/Q&gt;&lt;R&gt;121&lt;/R&gt;&lt;C&gt;1&lt;/C&gt;&lt;D xsi:type="xsd:double"&gt;15.7379401742396&lt;/D&gt;&lt;D xsi:type="xsd:double"&gt;15.6961439622404&lt;/D&gt;&lt;D xsi:type="xsd:double"&gt;15.7394980280971&lt;/D&gt;&lt;D xsi:type="xsd:double"&gt;15.6002008193564&lt;/D&gt;&lt;D xsi:type="xsd:double"&gt;15.6738928034457&lt;/D&gt;&lt;D xsi:type="xsd:double"&gt;15.9273522268808&lt;/D&gt;&lt;D xsi:type="xsd:double"&gt;15.7956980188894&lt;/D&gt;&lt;D xsi:type="xsd:double"&gt;15.358986255921&lt;/D&gt;&lt;D xsi:type="xsd:double"&gt;15.8924846226649&lt;/D&gt;&lt;D xsi:type="xsd:double"&gt;16.4693788203077&lt;/D&gt;&lt;D xsi:type="xsd:double"&gt;16.6274786960859&lt;/D&gt;&lt;D xsi:type="xsd:double"&gt;17.6882057156254&lt;/D&gt;&lt;D xsi:type="xsd:double"&gt;17.9094616823066&lt;/D&gt;&lt;D xsi:type="xsd:double"&gt;17.8163993322205&lt;/D&gt;&lt;D xsi:type="xsd:double"&gt;17.5294969004003&lt;/D&gt;&lt;D xsi:type="xsd:double"&gt;16.9773406639392&lt;/D&gt;&lt;D xsi:type="xsd:double"&gt;16.9161744192023&lt;/D&gt;&lt;D xsi:type="xsd:double"&gt;16.4052531045661&lt;/D&gt;&lt;D xsi:type="xsd:double"&gt;15.8727141104897&lt;/D&gt;&lt;D xsi:type="xsd:double"&gt;16.1414906395886&lt;/D&gt;&lt;D xsi:type="xsd:double"&gt;16.1023578380326&lt;/D&gt;&lt;D xsi:type="xsd:double"&gt;15.3606511382244&lt;/D&gt;&lt;D xsi:type="xsd:double"&gt;15.9943958194887&lt;/D&gt;&lt;D xsi:type="xsd:double"&gt;16.5719263892883&lt;/D&gt;&lt;D xsi:type="xsd:double"&gt;16.8374982117835&lt;/D&gt;&lt;D xsi:type="xsd:double"&gt;16.6263180528519&lt;/D&gt;&lt;D xsi:type="xsd:double"&gt;16.3507976267252&lt;/D&gt;&lt;D xsi:type="xsd:double"&gt;16.4612148777789&lt;/D&gt;&lt;D xsi:type="xsd:double"&gt;17.0928032531496&lt;/D&gt;&lt;D xsi:type="xsd:double"&gt;17.8831395950407&lt;/D&gt;&lt;D xsi:type="xsd:double"&gt;17.2473043654296&lt;/D&gt;&lt;D xsi:type="xsd:double"&gt;18.2461535300909&lt;/D&gt;&lt;D xsi:type="xsd:double"&gt;16.8418096066051&lt;/D&gt;&lt;D xsi:type="xsd:double"&gt;17.5116634494131&lt;/D&gt;&lt;D xsi:type="xsd:double"&gt;17.729283649646&lt;/D&gt;&lt;D xsi:type="xsd:double"&gt;17.7206577355459&lt;/D&gt;&lt;D xsi:type="xsd:double"&gt;17.4490001572989&lt;/D&gt;&lt;D xsi:type="xsd:double"&gt;17.4007553577252&lt;/D&gt;&lt;D xsi:type="xsd:double"&gt;17.41720500236&lt;/D&gt;&lt;D xsi:type="xsd:double"&gt;17.3963045175902&lt;/D&gt;&lt;D xsi:type="xsd:double"&gt;17.3748846627842&lt;/D&gt;&lt;D xsi:type="xsd:double"&gt;17.2162708781519&lt;/D&gt;&lt;D xsi:type="xsd:double"&gt;17.1438820129239&lt;/D&gt;&lt;D xsi:type="xsd:double"&gt;17.418527362946&lt;/D&gt;&lt;D xsi:type="xsd:double"&gt;17.1042854045105&lt;/D&gt;&lt;D xsi:type="xsd:double"&gt;17.3807644155206&lt;/D&gt;&lt;D xsi:type="xsd:double"&gt;18.0602167176276&lt;/D&gt;&lt;D xsi:type="xsd:double"&gt;17.8999474323268&lt;/D&gt;&lt;D xsi:type="xsd:double"&gt;17.503416354134&lt;/D&gt;&lt;D xsi:type="xsd:double"&gt;17.2607127020618&lt;/D&gt;&lt;D xsi:type="xsd:double"&gt;16.6800421039521&lt;/D&gt;&lt;D xsi:type="xsd:double"&gt;16.2962717826209&lt;/D&gt;&lt;D xsi:type="xsd:double"&gt;15.8040767804052&lt;/D&gt;&lt;D xsi:type="xsd:double"&gt;15.5807977143709&lt;/D&gt;&lt;D xsi:type="xsd:double"&gt;15.5905153347277&lt;/D&gt;&lt;D xsi:type="xsd:double"&gt;15.1713077560018&lt;/D&gt;&lt;D xsi:type="xsd:double"&gt;15.1134254897234&lt;/D&gt;&lt;D xsi:type="xsd:double"&gt;15.6659450029211&lt;/D&gt;&lt;D xsi:type="xsd:double"&gt;16.0267718644379&lt;/D&gt;&lt;D xsi:type="xsd:double"&gt;15.8645318117477&lt;/D&gt;&lt;D xsi:type="xsd:double"&gt;15.8586759031177&lt;/D&gt;&lt;D xsi:type="xsd:double"&gt;15.6644852194799&lt;/D&gt;&lt;D xsi:type="xsd:double"&gt;15.2644142603695&lt;/D&gt;&lt;D xsi:type="xsd:double"&gt;15.4021342313986&lt;/D&gt;&lt;D xsi:type="xsd:double"&gt;15.6286689424515&lt;/D&gt;&lt;D xsi:type="xsd:double"&gt;15.8852606348185&lt;/D&gt;&lt;D xsi:type="xsd:double"&gt;16.0515983404241&lt;/D&gt;&lt;D xsi:type="xsd:double"&gt;15.6887360764367&lt;/D&gt;&lt;D xsi:type="xsd:double"&gt;15.8120961163895&lt;/D&gt;&lt;D xsi:type="xsd:double"&gt;16.4236488369302&lt;/D&gt;&lt;D xsi:type="xsd:double"&gt;17.450033672162&lt;/D&gt;&lt;D xsi:type="xsd:double"&gt;16.4800077962123&lt;/D&gt;&lt;D xsi:type="xsd:double"&gt;14.6949259634451&lt;/D&gt;&lt;D xsi:type="xsd:double"&gt;14.3532754881472&lt;/D&gt;&lt;D xsi:type="xsd:double"&gt;14.2674360773618&lt;/D&gt;&lt;D xsi:type="xsd:double"&gt;16.106319263969&lt;/D&gt;&lt;D xsi:type="xsd:double"&gt;17.2731464372184&lt;/D&gt;&lt;D xsi:type="xsd:double"&gt;18.3630288970676&lt;/D&gt;&lt;D xsi:type="xsd:double"&gt;18.820278787722&lt;/D&gt;&lt;D xsi:type="xsd:double"&gt;19.6030008710046&lt;/D&gt;&lt;D xsi:type="xsd:double"&gt;21.6698973099708&lt;/D&gt;&lt;D xsi:type="xsd:double"&gt;25.0213916688436&lt;/D&gt;&lt;D xsi:type="xsd:double"&gt;26.1591043275262&lt;/D&gt;&lt;D xsi:type="xsd:double"&gt;24.4423560116563&lt;/D&gt;&lt;D xsi:type="xsd:double"&gt;23.8768598774172&lt;/D&gt;&lt;D xsi:type="xsd:double"&gt;23.0027368560057&lt;/D&gt;&lt;D xsi:type="xsd:double"&gt;22.1963739196388&lt;/D&gt;&lt;D xsi:type="xsd:double"&gt;21.6594693296451&lt;/D&gt;&lt;D xsi:type="xsd:double"&gt;20.2704655889633&lt;/D&gt;&lt;D xsi:type="xsd:double"&gt;19.9738571614036&lt;/D&gt;&lt;D xsi:type="xsd:double"&gt;19.4996376485128&lt;/D&gt;&lt;D xsi:type="xsd:double"&gt;19.7602840010149&lt;/D&gt;&lt;D xsi:type="xsd:double"&gt;18.3293986731455&lt;/D&gt;&lt;D xsi:type="xsd:double"&gt;17.1390448950544&lt;/D&gt;&lt;D xsi:type="xsd:double"&gt;17.0886900812218&lt;/D&gt;&lt;D xsi:type="xsd:double"&gt;17.0793474358787&lt;/D&gt;&lt;D xsi:type="xsd:double"&gt;17.3234768317571&lt;/D&gt;&lt;D xsi:type="xsd:double"&gt;16.9972750929388&lt;/D&gt;&lt;D xsi:type="xsd:double"&gt;16.259708466089&lt;/D&gt;&lt;D xsi:type="xsd:double"&gt;15.7064468789301&lt;/D&gt;&lt;D xsi:type="xsd:double"&gt;14.8974635971584&lt;/D&gt;&lt;D xsi:type="xsd:double"&gt;14.9966915088673&lt;/D&gt;&lt;D xsi:type="xsd:double"&gt;14.7327892423822&lt;/D&gt;&lt;D xsi:type="xsd:double"&gt;13.6174643067973&lt;/D&gt;&lt;D xsi:type="xsd:double"&gt;13.4707476433955&lt;/D&gt;&lt;D xsi:type="xsd:double"&gt;12.7670381403274&lt;/D&gt;&lt;D xsi:type="xsd:double"&gt;11.9170618780949&lt;/D&gt;&lt;D xsi:type="xsd:double"&gt;12.5072415003514&lt;/D&gt;&lt;D xsi:type="xsd:double"&gt;11.9588626309523&lt;/D&gt;&lt;D xsi:type="xsd:double"&gt;12.1535067213347&lt;/D&gt;&lt;D xsi:type="xsd:double"&gt;12.0856081317039&lt;/D&gt;&lt;D xsi:type="xsd:double"&gt;13.0221360419483&lt;/D&gt;&lt;D xsi:type="xsd:double"&gt;13.1914733585708&lt;/D&gt;&lt;D xsi:type="xsd:double"&gt;13.4821357061196&lt;/D&gt;&lt;D xsi:type="xsd:double"&gt;13.5963143646659&lt;/D&gt;&lt;D xsi:type="xsd:double"&gt;13.3855031082447&lt;/D&gt;&lt;D xsi:type="xsd:double"&gt;13.1608638227956&lt;/D&gt;&lt;D xsi:type="xsd:double"&gt;13.6444157329334&lt;/D&gt;&lt;D xsi:type="xsd:double"&gt;14.1737656634763&lt;/D&gt;&lt;D xsi:type="xsd:double"&gt;14.218875324325&lt;/D&gt;&lt;D xsi:type="xsd:double"&gt;14.1282817937878&lt;/D&gt;&lt;/FQL&gt;&lt;FQL&gt;&lt;Q&gt;WL-FDS^FG_PRICE(0)&lt;/Q&gt;&lt;R&gt;1&lt;/R&gt;&lt;C&gt;1&lt;/C&gt;&lt;D xsi:type="xsd:double"&gt;614.8&lt;/D&gt;&lt;/FQL&gt;&lt;FQL&gt;&lt;Q&gt;W-FDS^FG_PRICE_MAVG(0,,,,30)&lt;/Q&gt;&lt;R&gt;1&lt;/R&gt;&lt;C&gt;1&lt;/C&gt;&lt;D xsi:type="xsd:double"&gt;5.693&lt;/D&gt;&lt;/FQL&gt;&lt;FQL&gt;&lt;Q&gt;TIOS-FDS^FG_PRICE(0)/MAX(FG_PRICE(0,-1AY))&lt;/Q&gt;&lt;R&gt;1&lt;/R&gt;&lt;C&gt;1&lt;/C&gt;&lt;D xsi:type="xsd:double"&gt;0.769561598224195&lt;/D&gt;&lt;/FQL&gt;&lt;FQL&gt;&lt;Q&gt;CC_BR^FG_COMPANY_NAME&lt;/Q&gt;&lt;R&gt;1&lt;/R&gt;&lt;C&gt;1&lt;/C&gt;&lt;D xsi:type="xsd:string"&gt;Brazil&lt;/D&gt;&lt;/FQL&gt;&lt;FQL&gt;&lt;Q&gt;USDAED^FG_PRICE_CHANGE(0,-3AM)&lt;/Q&gt;&lt;R&gt;1&lt;/R&gt;&lt;C&gt;1&lt;/C&gt;&lt;D xsi:type="xsd:double"&gt;0&lt;/D&gt;&lt;/FQL&gt;&lt;FQL&gt;&lt;Q&gt;USDEUR^FG_PRICE_CHANGE(0,-1AY)&lt;/Q&gt;&lt;R&gt;1&lt;/R&gt;&lt;C&gt;1&lt;/C&gt;&lt;D xsi:type="xsd:double"&gt;-1.5108407&lt;/D&gt;&lt;/FQL&gt;&lt;FQL&gt;&lt;Q&gt;USDMYR^FG_COMPANY_NAME&lt;/Q&gt;&lt;R&gt;1&lt;/R&gt;&lt;C&gt;1&lt;/C&gt;&lt;D xsi:type="xsd:string"&gt;Malaysian Ringgit per U.S. Dollar&lt;/D&gt;&lt;/FQL&gt;&lt;FQL&gt;&lt;Q&gt;USDPHP^FG_PRICE(0)&lt;/Q&gt;&lt;R&gt;1&lt;/R&gt;&lt;C&gt;1&lt;/C&gt;&lt;D xsi:type="xsd:double"&gt;55.4075&lt;/D&gt;&lt;/FQL&gt;&lt;FQL&gt;&lt;Q&gt;FC0000CL^JULIAN(FMA_EPS(NTMA,-20AY,0,CY,,"PORTAGG","MEANR").DATES)&lt;/Q&gt;&lt;R&gt;20&lt;/R&gt;&lt;C&gt;1&lt;/C&gt;&lt;D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xsi:type="xsd:double"&gt;5.1912&lt;/D&gt;&lt;/FQL&gt;&lt;FQL&gt;&lt;Q&gt;CAGDPY@KR^EE_ACTUAL_ANNUAL(MED,0)&lt;/Q&gt;&lt;R&gt;1&lt;/R&gt;&lt;C&gt;1&lt;/C&gt;&lt;D xsi:type="xsd:double"&gt;2.04376201054732&lt;/D&gt;&lt;/FQL&gt;&lt;FQL&gt;&lt;Q&gt;USDAED^FG_PRICE_CHANGE(0,-1AM)&lt;/Q&gt;&lt;R&gt;1&lt;/R&gt;&lt;C&gt;1&lt;/C&gt;&lt;D xsi:type="xsd:double"&gt;-0.008165836&lt;/D&gt;&lt;/FQL&gt;&lt;FQL&gt;&lt;Q&gt;USDKRW^FG_PRICE(0)&lt;/Q&gt;&lt;R&gt;1&lt;/R&gt;&lt;C&gt;1&lt;/C&gt;&lt;D xsi:type="xsd:double"&gt;1317.7&lt;/D&gt;&lt;/FQL&gt;&lt;FQL&gt;&lt;Q&gt;USDPEN^STD(FG_PRICE_CHANGE(0,-3AY,M))&lt;/Q&gt;&lt;R&gt;1&lt;/R&gt;&lt;C&gt;1&lt;/C&gt;&lt;D xsi:type="xsd:double"&gt;2.41178542833103&lt;/D&gt;&lt;/FQL&gt;&lt;FQL&gt;&lt;Q&gt;USDIDR^STD(FG_PRICE_CHANGE(0,-3AY,M))&lt;/Q&gt;&lt;R&gt;1&lt;/R&gt;&lt;C&gt;1&lt;/C&gt;&lt;D xsi:type="xsd:double"&gt;1.54696564970394&lt;/D&gt;&lt;/FQL&gt;&lt;FQL&gt;&lt;Q&gt;FC0000SA^FMA_EPS(NTMA,-20AY,0,CY,,"PORTAGG","MEANR")&lt;/Q&gt;&lt;R&gt;20&lt;/R&gt;&lt;C&gt;1&lt;/C&gt;&lt;D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xsi:type="xsd:double"&gt;2.35319343646412&lt;/D&gt;&lt;D xsi:type="xsd:double"&gt;1.93303150117598&lt;/D&gt;&lt;D xsi:type="xsd:double"&gt;3.07367882715563&lt;/D&gt;&lt;D xsi:type="xsd:double"&gt;3.62877879573559&lt;/D&gt;&lt;D xsi:type="xsd:double"&gt;3.01151809254719&lt;/D&gt;&lt;/FQL&gt;&lt;FQL&gt;&lt;Q&gt;TUR^FG_TOTAL_RETURNC(-10AY,0,AM)&lt;/Q&gt;&lt;R&gt;121&lt;/R&gt;&lt;C&gt;1&lt;/C&gt;&lt;D xsi:type="xsd:double"&gt;-4.633546&lt;/D&gt;&lt;D xsi:type="xsd:double"&gt;22.6349&lt;/D&gt;&lt;D xsi:type="xsd:double"&gt;6.13333&lt;/D&gt;&lt;D xsi:type="xsd:double"&gt;1.8485308&lt;/D&gt;&lt;D xsi:type="xsd:double"&gt;2.5316358&lt;/D&gt;&lt;D xsi:type="xsd:double"&gt;-5.3247213&lt;/D&gt;&lt;D xsi:type="xsd:double"&gt;-3.5589159&lt;/D&gt;&lt;D xsi:type="xsd:double"&gt;-5.8508577&lt;/D&gt;&lt;D xsi:type="xsd:double"&gt;10.662067&lt;/D&gt;&lt;D xsi:ty</t>
        </r>
      </text>
    </comment>
    <comment ref="A19" authorId="0" shapeId="0" xr:uid="{8D02B162-962B-4785-819F-BEDB2A56D1C8}">
      <text>
        <r>
          <rPr>
            <b/>
            <sz val="9"/>
            <color indexed="81"/>
            <rFont val="Tahoma"/>
            <charset val="1"/>
          </rPr>
          <t>pe="xsd:double"&gt;-2.0003676&lt;/D&gt;&lt;D xsi:type="xsd:double"&gt;6.5730333&lt;/D&gt;&lt;D xsi:type="xsd:double"&gt;-8.627659&lt;/D&gt;&lt;D xsi:type="xsd:double"&gt;-17.01923&lt;/D&gt;&lt;D xsi:type="xsd:double"&gt;6.836605&lt;/D&gt;&lt;D xsi:type="xsd:double"&gt;10.303688&lt;/D&gt;&lt;D xsi:type="xsd:double"&gt;-11.5437565&lt;/D&gt;&lt;D xsi:type="xsd:double"&gt;5.987406&lt;/D&gt;&lt;D xsi:type="xsd:double"&gt;-13.248867&lt;/D&gt;&lt;D xsi:type="xsd:double"&gt;-14.158416&lt;/D&gt;&lt;D xsi:type="xsd:double"&gt;16.2053&lt;/D&gt;&lt;D xsi:type="xsd:double"&gt;4.789078&lt;/D&gt;&lt;D xsi:type="xsd:double"&gt;-17.238926&lt;/D&gt;&lt;D xsi:type="xsd:double"&gt;0.91603994&lt;/D&gt;&lt;D xsi:type="xsd:double"&gt;2.3255944&lt;/D&gt;&lt;D xsi:type="xsd:double"&gt;15.105307&lt;/D&gt;&lt;D xsi:type="xsd:double"&gt;9.270418&lt;/D&gt;&lt;D xsi:type="xsd:double"&gt;-13.992953&lt;/D&gt;&lt;D xsi:type="xsd:double"&gt;0.46118498&lt;/D&gt;&lt;D xsi:type="xsd:double"&gt;11.264753&lt;/D&gt;&lt;D xsi:type="xsd:double"&gt;-7.5697184&lt;/D&gt;&lt;D xsi:type="xsd:double"&gt;-5.3498926&lt;/D&gt;&lt;D xsi:type="xsd:double"&gt;-0.96437335&lt;/D&gt;&lt;D xsi:type="xsd:double"&gt;-9.89992&lt;/D&gt;&lt;D xsi:type="xsd:double"&gt;-5.2236614&lt;/D&gt;&lt;D xsi:type="xsd:double"&gt;3.3305526&lt;/D&gt;&lt;D xsi:type="xsd:double"&gt;8.934605&lt;/D&gt;&lt;D xsi:type="xsd:double"&gt;-1.5783608&lt;/D&gt;&lt;D xsi:type="xsd:double"&gt;4.1523457&lt;/D&gt;&lt;D xsi:type="xsd:double"&gt;8.798468&lt;/D&gt;&lt;D xsi:type="xsd:double"&gt;7.556236&lt;/D&gt;&lt;D xsi:type="xsd:double"&gt;4.525864&lt;/D&gt;&lt;D xsi:type="xsd:double"&gt;3.7105322&lt;/D&gt;&lt;D xsi:type="xsd:double"&gt;1.1555552&lt;/D&gt;&lt;D xsi:type="xsd:double"&gt;-7.623023&lt;/D&gt;&lt;D xsi:type="xsd:double"&gt;-3.1153321&lt;/D&gt;&lt;D xsi:type="xsd:double"&gt;-1.4236689&lt;/D&gt;&lt;D xsi:type="xsd:double"&gt;10.549747&lt;/D&gt;&lt;D xsi:type="xsd:double"&gt;-1.3779104&lt;/D&gt;&lt;D xsi:type="xsd:double"&gt;-0.34356713&lt;/D&gt;&lt;D xsi:type="xsd:double"&gt;-10.825098&lt;/D&gt;&lt;D xsi:type="xsd:double"&gt;-11.623705&lt;/D&gt;&lt;D xsi:type="xsd:double"&gt;-13.852435&lt;/D&gt;&lt;D xsi:type="xsd:double"&gt;-6.931323&lt;/D&gt;&lt;D xsi:type="xsd:double"&gt;-20.345348&lt;/D&gt;&lt;D xsi:type="xsd:double"&gt;3.581524&lt;/D&gt;&lt;D xsi:type="xsd:double"&gt;6.778884&lt;/D&gt;&lt;D xsi:type="xsd:double"&gt;5.1555276&lt;/D&gt;&lt;D xsi:type="xsd:double"&gt;-1.9448935999999999&lt;/D&gt;&lt;D xsi:type="xsd:double"&gt;1.4707565&lt;/D&gt;&lt;D xsi:type="xsd:double"&gt;13.725495&lt;/D&gt;&lt;D xsi:type="xsd:double"&gt;-3.8793087&lt;/D&gt;&lt;D xsi:type="xsd:double"&gt;-10.426015&lt;/D&gt;&lt;D xsi:type="xsd:double"&gt;-10.763454&lt;/D&gt;&lt;D xsi:type="xsd:double"&gt;5.6568503&lt;/D&gt;&lt;D xsi:type="xsd:double"&gt;10.886383&lt;/D&gt;&lt;D xsi:type="xsd:double"&gt;1.5151501&lt;/D&gt;&lt;D xsi:type="xsd:double"&gt;5.284381&lt;/D&gt;&lt;D xsi:type="xsd:double"&gt;-12.068963&lt;/D&gt;&lt;D xsi:type="xsd:double"&gt;12.984753&lt;/D&gt;&lt;D xsi:type="xsd:double"&gt;4.6278358&lt;/D&gt;&lt;D xsi:type="xsd:double"&gt;8.610428&lt;/D&gt;&lt;D xsi:type="xsd:double"&gt;-5.07893&lt;/D&gt;&lt;D xsi:type="xsd:double"&gt;-22.740417&lt;/D&gt;&lt;D xsi:type="xsd:double"&gt;-4.3051004&lt;/D&gt;&lt;D xsi:type="xsd:double"&gt;-1.2224913&lt;/D&gt;&lt;D xsi:type="xsd:double"&gt;11.188114&lt;/D&gt;&lt;D xsi:type="xsd:double"&gt;5.2006245&lt;/D&gt;&lt;D xsi:type="xsd:double"&gt;-14.103108&lt;/D&gt;&lt;D xsi:type="xsd:double"&gt;0.49602985&lt;/D&gt;&lt;D xsi:type="xsd:double"&gt;-1.2339592&lt;/D&gt;&lt;D xsi:type="xsd:double"&gt;13.593197&lt;/D&gt;&lt;D xsi:type="xsd:double"&gt;4.6530247&lt;/D&gt;&lt;D xsi:type="xsd:double"&gt;19.190216&lt;/D&gt;&lt;D xsi:type="xsd:double"&gt;3.3970237&lt;/D&gt;&lt;D xsi:type="xsd:double"&gt;-5.236137&lt;/D&gt;&lt;D xsi:type="xsd:double"&gt;-14.192849&lt;/D&gt;&lt;D xsi:type="xsd:double"&gt;-1.7255902&lt;/D&gt;&lt;D xsi:type="xsd:double"&gt;1.9156814&lt;/D&gt;&lt;D xsi:type="xsd:double"&gt;-7.74557&lt;/D&gt;&lt;D xsi:type="xsd:double"&gt;8.067549&lt;/D&gt;&lt;D xsi:type="xsd:double"&gt;-0.6944537&lt;/D&gt;&lt;D xsi:type="xsd:double"&gt;-9.746504&lt;/D&gt;&lt;D xsi:type="xsd:double"&gt;8.184028&lt;/D&gt;&lt;D xsi:type="xsd:double"&gt;-8.141309&lt;/D&gt;&lt;D xsi:type="xsd:double"&gt;1.2726426&lt;/D&gt;&lt;D xsi:type="xsd:double"&gt;-4.0599346&lt;/D&gt;&lt;D xsi:type="xsd:double"&gt;-5.1385403&lt;/D&gt;&lt;D xsi:type="xsd:double"&gt;22.729694&lt;/D&gt;&lt;D xsi:type="xsd:double"&gt;-8.394634&lt;/D&gt;&lt;D xsi:type="xsd:double"&gt;-6.8774643&lt;/D&gt;&lt;D xsi:type="xsd:double"&gt;-6.677103&lt;/D&gt;&lt;D xsi:type="xsd:double"&gt;17.551708&lt;/D&gt;&lt;D xsi:type="xsd:double"&gt;17.498802&lt;/D&gt;&lt;D xsi:type="xsd:double"&gt;0.68798065&lt;/D&gt;&lt;D xsi:type="xsd:double"&gt;23.110939&lt;/D&gt;&lt;D xsi:type="xsd:double"&gt;12.409139&lt;/D&gt;&lt;D xsi:type="xsd:double"&gt;-2.072388&lt;/D&gt;&lt;D xsi:type="xsd:double"&gt;-4.6795845&lt;/D&gt;&lt;D xsi:type="xsd:double"&gt;10.944343&lt;/D&gt;&lt;D xsi:type="xsd:double"&gt;-3.1848967&lt;/D&gt;&lt;D xsi:type="xsd:double"&gt;-5.6477427&lt;/D&gt;&lt;D xsi:type="xsd:double"&gt;-7.750225&lt;/D&gt;&lt;D xsi:type="xsd:double"&gt;8.419954&lt;/D&gt;&lt;D xsi:type="xsd:double"&gt;15.500153&lt;/D&gt;&lt;D xsi:type="xsd:double"&gt;5.7277203&lt;/D&gt;&lt;D xsi:type="xsd:double"&gt;-2.250719&lt;/D&gt;&lt;D xsi:type="xsd:double"&gt;-8.1659975&lt;/D&gt;&lt;D xsi:type="xsd:double"&gt;0.34985542&lt;/D&gt;&lt;D xsi:type="xsd:double"&gt;-0.73102117&lt;/D&gt;&lt;D xsi:type="xsd:double"&gt;10.9730835&lt;/D&gt;&lt;D xsi:type="xsd:double"&gt;-6.316626&lt;/D&gt;&lt;/FQL&gt;&lt;FQL&gt;&lt;Q&gt;TUR^FMA_PE(NTMA,-10AY,0,AM,"PORTAGG","MEANR")&lt;/Q&gt;&lt;R&gt;121&lt;/R&gt;&lt;C&gt;1&lt;/C&gt;&lt;D xsi:type="xsd:double"&gt;8.96228990618197&lt;/D&gt;&lt;D xsi:type="xsd:double"&gt;10.4622478440079&lt;/D&gt;&lt;D xsi:type="xsd:double"&gt;10.6601620919806&lt;/D&gt;&lt;D xsi:type="xsd:double"&gt;10.6586583894845&lt;/D&gt;&lt;D xsi:type="xsd:double"&gt;10.6811246514741&lt;/D&gt;&lt;D xsi:type="xsd:double"&gt;10.04444249592&lt;/D&gt;&lt;D xsi:type="xsd:double"&gt;9.8609189747392&lt;/D&gt;&lt;D xsi:type="xsd:double"&gt;9.37813266318494&lt;/D&gt;&lt;D xsi:type="xsd:double"&gt;10.1192264420513&lt;/D&gt;&lt;D xsi:type="xsd:double"&gt;10.2226496988501&lt;/D&gt;&lt;D xsi:type="xsd:double"&gt;10.7486029277988&lt;/D&gt;&lt;D xsi:type="xsd:double"&gt;10.5266955658642&lt;/D&gt;&lt;D xsi:type="xsd:double"&gt;9.41841697727336&lt;/D&gt;&lt;D xsi:type="xsd:double"&gt;10.0232377290372&lt;/D&gt;&lt;D xsi:type="xsd:double"&gt;10.6876250231802&lt;/D&gt;&lt;D xsi:type="xsd:double"&gt;9.80649986247429&lt;/D&gt;&lt;D xsi:type="xsd:double"&gt;10.0416664270544&lt;/D&gt;&lt;D xsi:type="xsd:double"&gt;9.21880323063629&lt;/D&gt;&lt;D xsi:type="xsd:double"&gt;8.449020160869&lt;/D&gt;&lt;D xsi:type="xsd:double"&gt;9.34054587210981&lt;/D&gt;&lt;D xsi:type="xsd:double"&gt;9.57048096822034&lt;/D&gt;&lt;D xsi:type="xsd:double"&gt;7.91037143753259&lt;/D&gt;&lt;D xsi:type="xsd:double"&gt;8.09183465928473&lt;/D&gt;&lt;D xsi:type="xsd:double"&gt;8.03076307577816&lt;/D&gt;&lt;D xsi:type="xsd:double"&gt;8.96217165954525&lt;/D&gt;&lt;D xsi:type="xsd:double"&gt;9.38103793872214&lt;/D&gt;&lt;D xsi:type="xsd:double"&gt;8.50513247981188&lt;/D&gt;&lt;D xsi:type="xsd:double"&gt;8.20881153919425&lt;/D&gt;&lt;D xsi:type="xsd:double"&gt;8.88792643930758&lt;/D&gt;&lt;D xsi:type="xsd:double"&gt;8.45975384108362&lt;/D&gt;&lt;D xsi:type="xsd:double"&gt;8.38042059384282&lt;/D&gt;&lt;D xsi:type="xsd:double"&gt;8.27275213374805&lt;/D&gt;&lt;D xsi:type="xsd:double"&gt;7.57270170262898&lt;/D&gt;&lt;D xsi:type="xsd:double"&gt;7.63117980291707&lt;/D&gt;&lt;D xsi:type="xsd:double"&gt;7.9871716307443&lt;/D&gt;&lt;D xsi:type="xsd:double"&gt;8.57152345531908&lt;/D&gt;&lt;D xsi:type="xsd:double"&gt;8.43010908644946&lt;/D&gt;&lt;D xsi:type="xsd:double"&gt;8.3554104003393&lt;/D&gt;&lt;D xsi:type="xsd:double"&gt;8.58628646805257&lt;/D&gt;&lt;D xsi:type="xsd:double"&gt;8.67670134825128&lt;/D&gt;&lt;D xsi:type="xsd:double"&gt;8.8704192672439&lt;/D&gt;&lt;D xsi:type="xsd:double"&gt;8.74899792074998&lt;/D&gt;&lt;D xsi:type="xsd:double"&gt;8.47997629431961&lt;/D&gt;&lt;D xsi:type="xsd:double"&gt;8.18622615426561&lt;/D&gt;&lt;D xsi:type="xsd:double"&gt;8.29524155810604&lt;/D&gt;&lt;D xsi:type="xsd:double"&gt;7.96756745161345&lt;/D&gt;&lt;D xsi:type="xsd:double"&gt;8.10137757945758&lt;/D&gt;&lt;D xsi:type="xsd:double"&gt;7.87193339595682&lt;/D&gt;&lt;D xsi:type="xsd:double"&gt;7.99331093596584&lt;/D&gt;&lt;D xsi:type="xsd:double"&gt;7.28731623064638&lt;/D&gt;&lt;D xsi:type="xsd:double"&gt;6.76662721898148&lt;/D&gt;&lt;D xsi:type="xsd:double"&gt;6.24624526826012&lt;/D&gt;&lt;D xsi:type="xsd:double"&gt;5.8444401985032&lt;/D&gt;&lt;D xsi:type="xsd:double"&gt;5.99312107445944&lt;/D&gt;&lt;D xsi:type="xsd:double"&gt;5.9977284118749&lt;/D&gt;&lt;D xsi:type="xsd:double"&gt;6.05369672951014&lt;/D&gt;&lt;D xsi:type="xsd:double"&gt;5.73515704465883&lt;/D&gt;&lt;D xsi:type="xsd:double"&gt;5.9019486398706&lt;/D&gt;&lt;D xsi:type="xsd:double"&gt;6.08548836673656&lt;/D&gt;&lt;D xsi:type="xsd:double"&gt;7.03741500484714&lt;/D&gt;&lt;D xsi:type="xsd:double"&gt;7.23714342352783&lt;/D&gt;&lt;D xsi:type="xsd:double"&gt;6.5169295507677&lt;/D&gt;&lt;D xsi:type="xsd:double"&gt;5.92243403066071&lt;/D&gt;&lt;D xsi:type="xsd:double"&gt;6.12448021986729&lt;/D&gt;&lt;D xsi:type="xsd:double"&gt;6.4657788777642&lt;/D&gt;&lt;D xsi:type="xsd:double"&gt;6.69685602705981&lt;/D&gt;&lt;D xsi:type="xsd:double"&gt;6.7166243126759&lt;/D&gt;&lt;D xsi:type="xsd:double"&gt;6.0240327330389&lt;/D&gt;&lt;D xsi:type="xsd:double"&gt;6.48695592799938&lt;/D&gt;&lt;D xsi:type="xsd:double"&gt;6.6131565693459&lt;/D&gt;&lt;D xsi:type="xsd:double"&gt;7.01066350188219&lt;/D&gt;&lt;D xsi:type="xsd:double"&gt;6.87061618079865&lt;/D&gt;&lt;D xsi:type="xsd:double"&gt;5.68994667447087&lt;/D&gt;&lt;D xsi:type="xsd:double"&gt;6.10605543922009&lt;/D&gt;&lt;D xsi:type="xsd:double"&gt;6.98541154096957&lt;/D&gt;&lt;D xsi:type="xsd:double"&gt;8.69848699684124&lt;/D&gt;&lt;D xsi:type="xsd:double"&gt;8.75878627088442&lt;/D&gt;&lt;D xsi:type="xsd:double"&gt;7.90024718456902&lt;/D&gt;&lt;D xsi:type="xsd:double"&gt;7.91978555167412&lt;/D&gt;&lt;D xsi:type="xsd:double"&gt;7.94485190626909&lt;/D&gt;&lt;D xsi:type="xsd:double"&gt;8.41521048938266&lt;/D&gt;&lt;D xsi:type="xsd:double"&gt;8.06150051575866&lt;/D&gt;&lt;D xsi:type="xsd:double"&gt;8.21979939307138&lt;/D&gt;&lt;D xsi:type="xsd:double"&gt;7.70988185221108&lt;/D&gt;&lt;D xsi:type="xsd:double"&gt;7.54688229611457&lt;/D&gt;&lt;D xsi:type="xsd:double"&gt;6.6043635123847&lt;/D&gt;&lt;D xsi:type="xsd:double"&gt;6.49972478423409&lt;/D&gt;&lt;D xsi:type="xsd:double"&gt;6.34794900120412&lt;/D&gt;&lt;D xsi:type="xsd:double"&gt;5.78898969542119&lt;/D&gt;&lt;D xsi:type="xsd:double"&gt;5.77166367963572&lt;/D&gt;&lt;D xsi:type="xsd:double"&gt;5.49582593642489&lt;/D&gt;&lt;D xsi:type="xsd:double"&gt;5.3236377610867&lt;/D&gt;&lt;D xsi:type="xsd:double"&gt;5.85006994418089&lt;/D&gt;&lt;D xsi:type="xsd:double"&gt;7.03654620563678&lt;/D&gt;&lt;D xsi:type="xsd:double"&gt;5.99727070761181&lt;/D&gt;&lt;D xsi:type="xsd:double"&gt;4.74716121840503&lt;/D&gt;&lt;D xsi:type="xsd:double"&gt;4.67132767607732&lt;/D&gt;&lt;D xsi:type="xsd:double"&gt;5.31374942667965&lt;/D&gt;&lt;D xsi:type="xsd:double"&gt;4.50055246460899&lt;/D&gt;&lt;D xsi:type="xsd:double"&gt;4.94225147997372&lt;/D&gt;&lt;D xsi:type="xsd:double"&gt;4.31214095786192&lt;/D&gt;&lt;D xsi:type="xsd:double"&gt;4.61400100363652&lt;/D&gt;&lt;D xsi:type="xsd:double"&gt;5.09381385619583&lt;/D&gt;&lt;D xsi:type="xsd:double"&gt;4.81779263883927&lt;/D&gt;&lt;D xsi:type="xsd:double"&gt;5.68251883269925&lt;/D&gt;&lt;D xsi:type="xsd:double"&gt;5.83562690423297&lt;/D&gt;&lt;D xsi:type="xsd:double"&gt;5.45091712704669&lt;/D&gt;&lt;D xsi:type="xsd:double"&gt;4.71320913243621&lt;/D&gt;&lt;D xsi:type="xsd:double"&gt;5.28094721514966&lt;/D&gt;&lt;D xsi:type="xsd:double"&gt;5.0706639173173&lt;/D&gt;&lt;D xsi:type="xsd:double"&gt;4.67507431378143&lt;/D&gt;&lt;D xsi:type="xsd:double"&gt;5.04462660726459&lt;/D&gt;&lt;D xsi:type="xsd:double"&gt;5.81290200629465&lt;/D&gt;&lt;D xsi:type="xsd:double"&gt;6.43931896115379&lt;/D&gt;&lt;D xsi:type="xsd:double"&gt;6.37350776260647&lt;/D&gt;&lt;D xsi:type="xsd:double"&gt;6.02724879328427&lt;/D&gt;&lt;D xsi:type="xsd:double"&gt;4.90916096250777&lt;/D&gt;&lt;D xsi:type="xsd:double"&gt;4.84254370610482&lt;/D&gt;&lt;D xsi:type="xsd:double"&gt;4.94658675340021&lt;/D&gt;&lt;D xsi:type="xsd:double"&gt;5.26660264311466&lt;/D&gt;&lt;D xsi:type="xsd:double"&gt;5.06701970741426&lt;/D&gt;&lt;/FQL&gt;&lt;FQL&gt;&lt;Q&gt;PLATI-FDS^FG_PRICE_CHANGE(0,-1AM)&lt;/Q&gt;&lt;R&gt;1&lt;/R&gt;&lt;C&gt;1&lt;/C&gt;&lt;D xsi:type="xsd:double"&gt;5.26905829596414&lt;/D&gt;&lt;/FQL&gt;&lt;FQL&gt;&lt;Q&gt;BRENT-FDS^MAX(FG_PRICE(0,-5AY))&lt;/Q&gt;&lt;R&gt;1&lt;/R&gt;&lt;C&gt;1&lt;/C&gt;&lt;D xsi:type="xsd:double"&gt;140.85&lt;/D&gt;&lt;/FQL&gt;&lt;FQL&gt;&lt;Q&gt;EWY^PERCENT_CHANGE(FMA_EPS(+1,0,,,,"PORTAGG","MEAN"),FMA_EPS(+1,-1AM,,,,"PORTAGG","MEAN"))&lt;/Q&gt;&lt;R&gt;1&lt;/R&gt;&lt;C&gt;1&lt;/C&gt;&lt;D xsi:type="xsd:double"&gt;2.57975857675873&lt;/D&gt;&lt;/FQL&gt;&lt;FQL&gt;&lt;Q&gt;EPHE^PERCENT_CHANGE(FMA_EPS(+1,0,,,,"PORTAGG","MEAN"),FMA_EPS(+1,-3AM,,,,"PORTAGG","MEAN"))&lt;/Q&gt;&lt;R&gt;1&lt;/R&gt;&lt;C&gt;1&lt;/C&gt;&lt;D xsi:type="xsd:double"&gt;-0.058840378186236&lt;/D&gt;&lt;/FQL&gt;&lt;FQL&gt;&lt;Q&gt;TRYKR10Y-FDS^PCTCHG(FG_YIELD(0,,,,"YTM"),FG_YIELD(-1AM,,,,"YTM"))&lt;/Q&gt;&lt;R&gt;1&lt;/R&gt;&lt;C&gt;1&lt;/C&gt;&lt;D xsi:type="xsd:double"&gt;-3.978019&lt;/D&gt;&lt;/FQL&gt;&lt;FQL&gt;&lt;Q&gt;TRYCN10Y-FDS^PCTCHG(FG_YIELD(0,,,,"YTM"),FG_YIELD(-3AM,,,,"YTM"))&lt;/Q&gt;&lt;R&gt;1&lt;/R&gt;&lt;C&gt;1&lt;/C&gt;&lt;D xsi:type="xsd:double"&gt;-11.014008&lt;/D&gt;&lt;/FQL&gt;&lt;FQL&gt;&lt;Q&gt;EWZ^FG_COMPANY_NAME&lt;/Q&gt;&lt;R&gt;1&lt;/R&gt;&lt;C&gt;1&lt;/C&gt;&lt;D xsi:type="xsd:string"&gt;iShares MSCI Brazil ETF&lt;/D&gt;&lt;/FQL&gt;&lt;FQL&gt;&lt;Q&gt;TRYZA10Y-FDS^FG_YIELD(-10AY,0,Y,,"YTM")&lt;/Q&gt;&lt;R&gt;10&lt;/R&gt;&lt;C&gt;1&lt;/C&gt;&lt;D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xsi:type="xsd:double"&gt;3.727505&lt;/D&gt;&lt;/FQL&gt;&lt;FQL&gt;&lt;Q&gt;USDAED^FG_PRICE_CHANGE(0,-1AY)&lt;/Q&gt;&lt;R&gt;1&lt;/R&gt;&lt;C&gt;1&lt;/C&gt;&lt;D xsi:type="xsd:double"&gt;-0.004082918&lt;/D&gt;&lt;/FQL&gt;&lt;FQL&gt;&lt;Q&gt;USDMXN^FG_PRICE_CHANGE(0,-3AM)&lt;/Q&gt;&lt;R&gt;1&lt;/R&gt;&lt;C&gt;1&lt;/C&gt;&lt;D xsi:type="xsd:double"&gt;-3.4251273&lt;/D&gt;&lt;/FQL&gt;&lt;FQL&gt;&lt;Q&gt;USDPEN^STD(FG_PRICE_CHANGE(0,-1AY,AM))&lt;/Q&gt;&lt;R&gt;1&lt;/R&gt;&lt;C&gt;1&lt;/C&gt;&lt;D xsi:type="xsd:double"&gt;2.92055303690155&lt;/D&gt;&lt;/FQL&gt;&lt;FQL&gt;&lt;Q&gt;VNM^FMA_EPS(NTMA,-20AY,0,CY,,"PORTAGG","MEANR")&lt;/Q&gt;&lt;R&gt;20&lt;/R&gt;&lt;C&gt;1&lt;/C&gt;&lt;D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xsi:type="xsd:double"&gt;1.1112749295062&lt;/D&gt;&lt;D xsi:type="xsd:double"&gt;0.886057282514537&lt;/D&gt;&lt;/FQL&gt;&lt;FQL&gt;&lt;Q&gt;SET-BKK^P_PRICE_RETURNS_PR('52W',2,-10AY,0,AM)&lt;/Q&gt;&lt;R&gt;121&lt;/R&gt;&lt;C&gt;1&lt;/C&gt;&lt;D xsi:type="xsd:double"&gt;-13.524789&lt;/D&gt;&lt;D xsi:type="xsd:double"&gt;-8.415688&lt;/D&gt;&lt;D xsi:type="xsd:double"&gt;-14.010024&lt;/D&gt;&lt;D xsi:type="xsd:double"&gt;3.7590742&lt;/D&gt;&lt;D xsi:type="xsd:double"&gt;5.194986&lt;/D&gt;&lt;D xsi:type="xsd:double"&gt;5.568826&lt;/D&gt;&lt;D xsi:type="xsd:double"&gt;13.123965&lt;/D&gt;&lt;D xsi:type="xsd:double"&gt;5.955446&lt;/D&gt;&lt;D xsi:type="xsd:double"&gt;11.315334&lt;/D&gt;&lt;D xsi:type="xsd:double"&gt;11.704672&lt;/D&gt;&lt;D xsi:type="xsd:double"&gt;17.545736&lt;/D&gt;&lt;D xsi:type="xsd:double"&gt;23.17455&lt;/D&gt;&lt;D xsi:type="xsd:double"&gt;12.480855&lt;/D&gt;&lt;D xsi:type="xsd:double"&gt;11.389923&lt;/D&gt;&lt;D xsi:type="xsd:double"&gt;7.2613&lt;/D&gt;&lt;D xsi:type="xsd:double"&gt;3.514707&lt;/D&gt;&lt;D xsi:type="xsd:double"&gt;-2.6699662&lt;/D&gt;&lt;D xsi:type="xsd:double"&gt;-8.30431&lt;/D&gt;&lt;D xsi:type="xsd:double"&gt;-12.913567&lt;/D&gt;&lt;D xsi:type="xsd:double"&gt;-9.160972&lt;/D&gt;&lt;D xsi:type="xsd:double"&gt;-12.347752&lt;/D&gt;&lt;D xsi:type="xsd:double"&gt;-16.326612&lt;/D&gt;&lt;D xsi:type="xsd:double"&gt;-17.065598&lt;/D&gt;&lt;D xsi:type="xsd:double"&gt;-20.881992&lt;/D&gt;&lt;D xsi:type="xsd:double"&gt;-9.554023&lt;/D&gt;&lt;D xsi:type="xsd:double"&gt;-10.492748&lt;/D&gt;&lt;D xsi:type="xsd:double"&gt;-6.768942&lt;/D&gt;&lt;D xsi:type="xsd:double"&gt;-5.312848&lt;/D&gt;&lt;D xsi:type="xsd:double"&gt;0.019478798&lt;/D&gt;&lt;D xsi:type="xsd:double"&gt;10.247671&lt;/D&gt;&lt;D xsi:type="xsd:double"&gt;5.8846116&lt;/D&gt;&lt;D xsi:type="xsd:double"&gt;5.1619887&lt;/D&gt;&lt;D xsi:type="xsd:double"&gt;6.2764883&lt;/D&gt;&lt;D xsi:type="xsd:double"&gt;20.009315&lt;/D&gt;&lt;D xsi:type="xsd:double"&gt;23.199415&lt;/D&gt;&lt;D xsi:type="xsd:double"&gt;23.169004&lt;/D&gt;&lt;D xsi:type="xsd:double"&gt;10.677994&lt;/D&gt;&lt;D xsi:type="xsd:double"&gt;14.730549&lt;/D&gt;&lt;D xsi:type="xsd:double"&gt;10.335803&lt;/D&gt;&lt;D xsi:type="xsd:double"&gt;10.426437&lt;/D&gt;&lt;D xsi:type="xsd:double"&gt;5.985129&lt;/D&gt;&lt;D xsi:type="xsd:double"&gt;0.5584121&lt;/D&gt;&lt;D xsi:type="xsd:double"&gt;13.778043&lt;/D&gt;&lt;D xsi:type="xsd:double"&gt;21.78241&lt;/D&gt;&lt;D xsi:type="xsd:double"&gt;15.885878&lt;/D&gt;&lt;D xsi:type="xsd:double"&gt;12.735581&lt;/D&gt;&lt;D xsi:type="xsd:double"&gt;15.383983&lt;/D&gt;&lt;D xsi:type="xsd:double"&gt;13.983238&lt;/D&gt;&lt;D xsi:type="xsd:double"&gt;17.512882&lt;/D&gt;&lt;D xsi:type="xsd:double"&gt;11.177731&lt;/D&gt;&lt;D xsi:type="xsd:double"&gt;14.842546&lt;/D&gt;&lt;D xsi:type="xsd:double"&gt;8.424854&lt;/D&gt;&lt;D xsi:type="xsd:double"&gt;4.059112&lt;/D&gt;&lt;D xsi:type="xsd:double"&gt;8.585095&lt;/D&gt;&lt;D xsi:type="xsd:double"&gt;3.803873&lt;/D&gt;&lt;D xsi:type="xsd:double"&gt;-0.9530008&lt;/D&gt;&lt;D xsi:type="xsd:double"&gt;-2.9560149&lt;/D&gt;&lt;D xsi:type="xsd:double"&gt;-6.153977&lt;/D&gt;&lt;D xsi:type="xsd:double"&gt;-12.5743685&lt;/D&gt;&lt;D xsi:type="xsd:double"&gt;-7.781416&lt;/D&gt;&lt;D xsi:type="xsd:double"&gt;-9.789348&lt;/D&gt;&lt;D xsi:type="xsd:double"&gt;-6.0390415&lt;/D&gt;&lt;D xsi:type="xsd:double"&gt;-7.8540444&lt;/D&gt;&lt;D xsi:type="xsd:double"&gt;-2.1949172&lt;/D&gt;&lt;D xsi:type="xsd:double"&gt;5.5249095&lt;/D&gt;&lt;D xsi:type="xsd:double"&gt;-4.4769526&lt;/D&gt;&lt;D xsi:type="xsd:double"&gt;-3.2596827&lt;/D&gt;&lt;D xsi:type="xsd:double"&gt;-3.3804953&lt;/D&gt;&lt;D xsi:type="xsd:double"&gt;-2.5921464&lt;/D&gt;&lt;D xsi:type="xsd:double"&gt;-2.543664&lt;/D&gt;&lt;D xsi:type="xsd:double"&gt;0.27360916&lt;/D&gt;&lt;D xsi:type="xsd:double"&gt;-7.644737&lt;/D&gt;&lt;D xsi:type="xsd:double"&gt;-31.150167&lt;/D&gt;&lt;D xsi:type="xsd:double"&gt;-24.336773&lt;/D&gt;&lt;D xsi:type="xsd:double"&gt;-21.63247&lt;/D&gt;&lt;D xsi:type="xsd:double"&gt;-17.266964&lt;/D&gt;&lt;D xsi:type="xsd:double"&gt;-22.552687&lt;/D&gt;&lt;D xsi:type="xsd:double"&gt;-18.055504&lt;/D&gt;&lt;D xsi:type="xsd:double"&gt;-23.443407&lt;/D&gt;&lt;D xsi:type="xsd:double"&gt;-22.263836&lt;/D&gt;&lt;D xsi:type="xsd:double"&gt;-16.634476&lt;/D&gt;&lt;D xsi:type="xsd:double"&gt;-6.2125564&lt;/D&gt;&lt;D xsi:type="xsd:double"&gt;-3.2087743&lt;/D&gt;&lt;D xsi:type="xsd:double"&gt;-1.0223627&lt;/D&gt;&lt;D xsi:type="xsd:double"&gt;40.656185&lt;/D&gt;&lt;D xsi:type="xsd:double"&gt;25.495302&lt;/D&gt;&lt;D xsi:type="xsd:double"&gt;21.015299&lt;/D&gt;&lt;D xsi:type="xsd:double"&gt;18.11856&lt;/D&gt;&lt;D xsi:type="xsd:double"&gt;17.048323&lt;/D&gt;&lt;D xsi:type="xsd:double"&gt;13.487148&lt;/D&gt;&lt;D xsi:type="xsd:double"&gt;27.626265&lt;/D&gt;&lt;D xsi:type="xsd:double"&gt;29.824602&lt;/D&gt;&lt;D xsi:type="xsd:double"&gt;22.272514&lt;/D&gt;&lt;D xsi:type="xsd:double"&gt;10.467232&lt;/D&gt;&lt;D xsi:type="xsd:double"&gt;8.896601&lt;/D&gt;&lt;D xsi:type="xsd:double"&gt;11.690914&lt;/D&gt;&lt;D xsi:type="xsd:double"&gt;5.8640957&lt;/D&gt;&lt;D xsi:type="xsd:double"&gt;8.644366&lt;/D&gt;&lt;D xsi:type="xsd:double"&gt;2.3415327&lt;/D&gt;&lt;D xsi:type="xsd:double"&gt;-1.8388808&lt;/D&gt;&lt;D xsi:type="xsd:double"&gt;-2.0946681&lt;/D&gt;&lt;D xsi:type="xsd:double"&gt;5.8425903&lt;/D&gt;&lt;D xsi:type="xsd:double"&gt;2.0162106&lt;/D&gt;&lt;D xsi:type="xsd:double"&gt;-5.0412474&lt;/D&gt;&lt;D xsi:type="xsd:double"&gt;-0.6462872&lt;/D&gt;&lt;D xsi:type="xsd:double"&gt;0.16680956&lt;/D&gt;&lt;D xsi:type="xsd:double"&gt;0.10178089&lt;/D&gt;&lt;D xsi:type="xsd:double"&gt;-1.8953025&lt;/D&gt;&lt;D xsi:type="xsd:double"&gt;-8.207691&lt;/D&gt;&lt;D xsi:type="xsd:double"&gt;-4.87774&lt;/D&gt;&lt;D xsi:type="xsd:double"&gt;-1.4622748&lt;/D&gt;&lt;D xsi:type="xsd:double"&gt;-2.612555&lt;/D&gt;&lt;D xsi:type="xsd:double"&gt;-1.2298048&lt;/D&gt;&lt;D xsi:type="xsd:double"&gt;-5.369049&lt;/D&gt;&lt;D xsi:type="xsd:double"&gt;-6.7271113&lt;/D&gt;&lt;D xsi:type="xsd:double"&gt;-7.0496798&lt;/D&gt;&lt;D xsi:type="xsd:double"&gt;-14.620113&lt;/D&gt;&lt;D xsi:type="xsd:double"&gt;-15.576482&lt;/D&gt;&lt;D xsi:type="xsd:double"&gt;-16.23277&lt;/D&gt;&lt;D xsi:type="xsd:double"&gt;-16.194122&lt;/D&gt;&lt;D xsi:type="xsd:double"&gt;-8.462548&lt;/D&gt;&lt;/FQL&gt;&lt;FQL&gt;&lt;Q&gt;SET-BKK^FG_TOTAL_RETURNC(-10AY,0,AM)&lt;/Q&gt;&lt;R&gt;121&lt;/R&gt;&lt;C&gt;1&lt;/C&gt;&lt;D xsi:type="xsd:double"&gt;4.5972586&lt;/D&gt;&lt;D xsi:type="xsd:double"&gt;1.2374401&lt;/D&gt;&lt;D xsi:type="xsd:double"&gt;0.49453974&lt;/D&gt;&lt;D xsi:type="xsd:double"&gt;4.297185&lt;/D&gt;&lt;D xsi:type="xsd:double"&gt;5.028093&lt;/D&gt;&lt;D xsi:type="xsd:double"&gt;0.8330941&lt;/D&gt;&lt;D xsi:type="xsd:double"&gt;2.554524&lt;/D&gt;&lt;D xsi:type="xsd:double"&gt;-2.1867216&lt;/D&gt;&lt;D xsi:type="xsd:double"&gt;1.8813252&lt;/D&gt;&lt;D xsi:type="xsd:double"&gt;-3.8664162&lt;/D&gt;&lt;D xsi:type="xsd:double"&gt;0.5472183&lt;/D&gt;&lt;D xsi:type="xsd:double"&gt;6.0824275&lt;/D&gt;&lt;D xsi:type="xsd:double"&gt;-4.6005607&lt;/D&gt;&lt;D xsi:type="xsd:double"&gt;0.4073739&lt;/D&gt;&lt;D xsi:type="xsd:double"&gt;-3.2581031&lt;/D&gt;&lt;D xsi:type="xsd:double"&gt;0.7232547&lt;/D&gt;&lt;D xsi:type="xsd:double"&gt;-1.3147831&lt;/D&gt;&lt;D xsi:type="xsd:double"&gt;-5.00403&lt;/D&gt;&lt;D xsi:type="xsd:double"&gt;-2.6005745&lt;/D&gt;&lt;D xsi:type="xsd:double"&gt;2.0280957&lt;/D&gt;&lt;D xsi:type="xsd:double"&gt;-1.6098738&lt;/D&gt;&lt;D xsi:type="xsd:double"&gt;-8.307653&lt;/D&gt;&lt;D xsi:type="xsd:double"&gt;-0.34079552&lt;/D&gt;&lt;D xsi:type="xsd:double"&gt;1.0448813&lt;/D&gt;&lt;D xsi:type="xsd:double"&gt;9.226871&lt;/D&gt;&lt;D xsi:type="xsd:double"&gt;-0.6347418&lt;/D&gt;&lt;D xsi:type="xsd:double"&gt;0.6690979&lt;/D&gt;&lt;D xsi:type="xsd:double"&gt;2.3955226&lt;/D&gt;&lt;D xsi:type="xsd:double"&gt;4.2426944&lt;/D&gt;&lt;D xsi:type="xsd:double"&gt;4.2957306&lt;/D&gt;&lt;D xsi:type="xsd:double"&gt;-6.0831904&lt;/D&gt;&lt;D xsi:type="xsd:double"&gt;1.3317943&lt;/D&gt;&lt;D xsi:type="xsd:double"&gt;-0.56713223&lt;/D&gt;&lt;D xsi:type="xsd:double"&gt;3.540635&lt;/D&gt;&lt;D xsi:type="xsd:double"&gt;3.5490513&lt;/D&gt;&lt;D xsi:type="xsd:double"&gt;-0.19044876&lt;/D&gt;&lt;D xsi:type="xsd:double"&gt;-1.8502235&lt;/D&gt;&lt;D xsi:type="xsd:double"&gt;3.0035973&lt;/D&gt;&lt;D xsi:type="xsd:double"&gt;-2.8663158&lt;/D&gt;&lt;D xsi:type="xsd:double"&gt;2.141273&lt;/D&gt;&lt;D xsi:type="xsd:double"&gt;0.050091743&lt;/D&gt;&lt;D xsi:type="xsd:double"&gt;-1.0444999&lt;/D&gt;&lt;D xsi:type="xsd:double"&gt;6.2633276&lt;/D&gt;&lt;D xsi:type="xsd:double"&gt;3.217411&lt;/D&gt;&lt;D xsi:type="xsd:double"&gt;-0.5751848&lt;/D&gt;&lt;D xsi:type="xsd:double"&gt;0.7259369&lt;/D&gt;&lt;D xsi:type="xsd:double"&gt;5.551052&lt;/D&gt;&lt;D xsi:type="xsd:double"&gt;-0.99989176&lt;/D&gt;&lt;D xsi:type="xsd:double"&gt;1.1891127&lt;/D&gt;&lt;D xsi:type="xsd:double"&gt;-2.5493562&lt;/D&gt;&lt;D xsi:type="xsd:double"&gt;0.33556223&lt;/D&gt;&lt;D xsi:type="xsd:double"&gt;-3.5666347&lt;/D&gt;&lt;D xsi:type="xsd:double"&gt;-3.8798451&lt;/D&gt;&lt;D xsi:type="xsd:double"&gt;3.1535983&lt;/D&gt;&lt;D xsi:type="xsd:double"&gt;1.5843272&lt;/D&gt;&lt;D xsi:type="xsd:double"&gt;-1.5125871&lt;/D&gt;&lt;D xsi:type="xsd:double"&gt;-2.5858402&lt;/D&gt;&lt;D xsi:type="xsd:double"&gt;-2.5933623&lt;/D&gt;&lt;D xsi:type="xsd:double"&gt;-1.6701341&lt;/D&gt;&lt;D xsi:type="xsd:double"&gt;4.427612&lt;/D&gt;&lt;D xsi:type="xsd:double"&gt;-1.0141373&lt;/D&gt;&lt;D xsi:type="xsd:double"&gt;1.5019417&lt;/D&gt;&lt;D xsi:type="xsd:double"&gt;-1.6025782&lt;/D&gt;&lt;D xsi:type="xsd:double"&gt;2.355802&lt;/D&gt;&lt;D xsi:type="xsd:double"&gt;3.5435557&lt;/D&gt;&lt;D xsi:type="xsd:double"&gt;-6.476128&lt;/D&gt;&lt;D xsi:type="xsd:double"&gt;2.6249647&lt;/D&gt;&lt;D xsi:type="xsd:double"&gt;-2.1637082&lt;/D&gt;&lt;D xsi:type="xsd:double"&gt;-1.0166049&lt;/D&gt;&lt;D xsi:type="xsd:double"&gt;-2.209419&lt;/D&gt;&lt;D xsi:type="xsd:double"&gt;0.8253336&lt;/D&gt;&lt;D xsi:type="xsd:double"&gt;-3.8187623&lt;/D&gt;&lt;D xsi:type="xsd:double"&gt;-26.036167&lt;/D&gt;&lt;D xsi:type="xsd:double"&gt;11.288762&lt;/D&gt;&lt;D xsi:type="xsd:double"&gt;1.9142747&lt;/D&gt;&lt;D xsi:type="xsd:double"&gt;7.978761&lt;/D&gt;&lt;D xsi:type="xsd:double"&gt;-3.0009627&lt;/D&gt;&lt;D xsi:type="xsd:double"&gt;-1.0454237&lt;/D&gt;&lt;D xsi:type="xsd:double"&gt;-4.1226864&lt;/D&gt;&lt;D xsi:type="xsd:double"&gt;-0.656271&lt;/D&gt;&lt;D xsi:type="xsd:double"&gt;6.5253615&lt;/D&gt;&lt;D xsi:type="xsd:double"&gt;9.629631&lt;/D&gt;&lt;D xsi:type="xsd:double"&gt;4.0545225&lt;/D&gt;&lt;D xsi:type="xsd:double"&gt;-1.7988503&lt;/D&gt;&lt;D xsi:type="xsd:double"&gt;3.9672494&lt;/D&gt;&lt;D xsi:type="xsd:double"&gt;-1.7261922&lt;/D&gt;&lt;D xsi:type="xsd:double"&gt;0.5424619&lt;/D&gt;&lt;D xsi:type="xsd:double"&gt;5.3940773&lt;/D&gt;&lt;D xsi:type="xsd:double"&gt;-3.8798392&lt;/D&gt;&lt;D xsi:type="xsd:double"&gt;-2.6361704&lt;/D&gt;&lt;D xsi:type="xsd:double"&gt;6.25&lt;/D&gt;&lt;D xsi:type="xsd:double"&gt;1.0549068&lt;/D&gt;&lt;D xsi:type="xsd:double"&gt;-0.42840838&lt;/D&gt;&lt;D xsi:type="xsd:double"&gt;-0.20195842&lt;/D&gt;&lt;D xsi:type="xsd:double"&gt;2.5750637&lt;/D&gt;&lt;D xsi:type="xsd:double"&gt;0.72101355&lt;/D&gt;&lt;D xsi:type="xsd:double"&gt;-1.4566422&lt;/D&gt;&lt;D xsi:type="xsd:double"&gt;0.8547425&lt;/D&gt;&lt;D xsi:type="xsd:double"&gt;-5.372864&lt;/D&gt;&lt;D xsi:type="xsd:double"&gt;1.1771202&lt;/D&gt;&lt;D xsi:type="xsd:double"&gt;-4.13031&lt;/D&gt;&lt;D xsi:type="xsd:double"&gt;5.55954&lt;/D&gt;&lt;D xsi:type="xsd:double"&gt;2.1155596&lt;/D&gt;&lt;D xsi:type="xsd:double"&gt;-5.7829914&lt;/D&gt;&lt;D xsi:type="xsd:double"&gt;4.0108085&lt;/D&gt;&lt;D xsi:type="xsd:double"&gt;0.6147623&lt;/D&gt;&lt;D xsi:type="xsd:double"&gt;2.9613853&lt;/D&gt;&lt;D xsi:type="xsd:double"&gt;-1.7226279&lt;/D&gt;&lt;D xsi:type="xsd:double"&gt;-7.7972593&lt;/D&gt;&lt;D xsi:type="xsd:double"&gt;4.5134544&lt;/D&gt;&lt;D xsi:type="xsd:double"&gt;-1.9665122&lt;/D&gt;&lt;D xsi:type="xsd:double"&gt;-0.012809038&lt;/D&gt;&lt;D xsi:type="xsd:double"&gt;-2.7691126&lt;/D&gt;&lt;D xsi:type="xsd:double"&gt;1.1357665&lt;/D&gt;&lt;D xsi:type="xsd:double"&gt;0.65009594&lt;/D&gt;&lt;D xsi:type="xsd:double"&gt;-6.1088324&lt;/D&gt;&lt;D xsi:type="xsd:double"&gt;-4.4604483&lt;/D&gt;&lt;D xsi:type="xsd:double"&gt;-0.5122602&lt;/D&gt;&lt;D xsi:type="xsd:double"&gt;2.5084496&lt;/D&gt;&lt;D xsi:type="xsd:double"&gt;-2.010572&lt;/D&gt;&lt;D xsi:type="xsd:double"&gt;0.7089734&lt;/D&gt;&lt;/FQL&gt;&lt;FQL&gt;&lt;Q&gt;SET-BKK^FMA_DIV_YLD(NTMA,-10AY,0,AM,"PORTAGG","MEANR")&lt;/Q&gt;&lt;R&gt;121&lt;/R&gt;&lt;C&gt;1&lt;/C&gt;&lt;D xsi:type="xsd:double"&gt;3.86663193018151&lt;/D&gt;&lt;D xsi:type="xsd:double"&gt;3.81061573180506&lt;/D&gt;&lt;D xsi:type="xsd:double"&gt;3.80169190686193&lt;/D&gt;&lt;D xsi:type="xsd:double"&gt;5.43618874267&lt;/D&gt;&lt;D xsi:type="xsd:double"&gt;5.50978745653098&lt;/D&gt;&lt;D xsi:type="xsd:double"&gt;3.43915673141137&lt;/D&gt;&lt;D xsi:type="xsd:double"&gt;3.34667717152892&lt;/D&gt;&lt;D xsi:type="xsd:double"&gt;3.45459802081625&lt;/D&gt;&lt;D xsi:type="xsd:double"&gt;3.35136356308064&lt;/D&gt;&lt;D xsi:type="xsd:double"&gt;3.49785842331912&lt;/D&gt;&lt;D xsi:type="xsd:double"&gt;3.42569752075946&lt;/D&gt;&lt;D xsi:type="xsd:double"&gt;3.13267861348521&lt;/D&gt;&lt;D xsi:type="xsd:double"&gt;3.3722864782483&lt;/D&gt;&lt;D xsi:type="xsd:double"&gt;3.36825612617659&lt;/D&gt;&lt;D xsi:type="xsd:double"&gt;3.4416838556153&lt;/D&gt;&lt;D xsi:type="xsd:double"&gt;3.42306466148899&lt;/D&gt;&lt;D xsi:type="xsd:double"&gt;3.4473736416386&lt;/D&gt;&lt;D xsi:type="xsd:double"&gt;3.58521114490451&lt;/D&gt;&lt;D xsi:type="xsd:double"&gt;3.66181559255019&lt;/D&gt;&lt;D xsi:type="xsd:double"&gt;3.60238077277399&lt;/D&gt;&lt;D xsi:type="xsd:double"&gt;3.64437209190181&lt;/D&gt;&lt;D xsi:type="xsd:double"&gt;4.00210785885933&lt;/D&gt;&lt;D xsi:type="xsd:double"&gt;3.84461135253641&lt;/D&gt;&lt;D xsi:type="xsd:double"&gt;3.73056688612531&lt;/D&gt;&lt;D xsi:type="xsd:double"&gt;3.37751827837196&lt;/D&gt;&lt;D xsi:type="xsd:double"&gt;3.4246529365589&lt;/D&gt;&lt;D xsi:type="xsd:double"&gt;3.43175547356375&lt;/D&gt;&lt;D xsi:type="xsd:double"&gt;3.33524786555172&lt;/D&gt;&lt;D xsi:type="xsd:double"&gt;3.20869722453512&lt;/D&gt;&lt;D xsi:type="xsd:double"&gt;3.08936402581512&lt;/D&gt;&lt;D xsi:type="xsd:double"&gt;3.35257377400874&lt;/D&gt;&lt;D xsi:type="xsd:double"&gt;3.33288700281347&lt;/D&gt;&lt;D xsi:type="xsd:double"&gt;3.34067966929936&lt;/D&gt;&lt;D xsi:type="xsd:double"&gt;3.25549280416898&lt;/D&gt;&lt;D xsi:type="xsd:double"&gt;3.14551048386566&lt;/D&gt;&lt;D xsi:type="xsd:double"&gt;3.13163667213008&lt;/D&gt;&lt;D xsi:type="xsd:double"&gt;3.19486623683008&lt;/D&gt;&lt;D xsi:type="xsd:double"&gt;3.1011646434194&lt;/D&gt;&lt;D xsi:type="xsd:double"&gt;3.21953862950721&lt;/D&gt;&lt;D xsi:type="xsd:double"&gt;3.196668773764&lt;/D&gt;&lt;D xsi:type="xsd:double"&gt;3.25066636014345&lt;/D&gt;&lt;D xsi:type="xsd:double"&gt;3.26363320494955&lt;/D&gt;&lt;D xsi:type="xsd:double"&gt;3.02622639303748&lt;/D&gt;&lt;D xsi:type="xsd:double"&gt;2.97763388841673&lt;/D&gt;&lt;D xsi:type="xsd:double"&gt;3.0244824916401&lt;/D&gt;&lt;D xsi:type="xsd:double"&gt;3.04346756853345&lt;/D&gt;&lt;D xsi:type="xsd:double"&gt;2.89411253566758&lt;/D&gt;&lt;D xsi:type="xsd:double"&gt;2.97870578268305&lt;/D&gt;&lt;D xsi:type="xsd:double"&gt;2.98660852708953&lt;/D&gt;&lt;D xsi:type="xsd:double"&gt;3.07793966761426&lt;/D&gt;&lt;D xsi:type="xsd:double"&gt;3.07246615209104&lt;/D&gt;&lt;D xsi:type="xsd:double"&gt;3.21787641307053&lt;/D&gt;&lt;D xsi:type="xsd:double"&gt;3.37127182810602&lt;/D&gt;&lt;D xsi:type="xsd:double"&gt;3.26883790733429&lt;/D&gt;&lt;D xsi:type="xsd:double"&gt;3.25816497077581&lt;/D&gt;&lt;D xsi:type="xsd:double"&gt;3.32035807001606&lt;/D&gt;&lt;D xsi:type="xsd:double"&gt;3.39703214475566&lt;/D&gt;&lt;D xsi:type="xsd:double"&gt;3.49875045109843&lt;/D&gt;&lt;D xsi:type="xsd:double"&gt;3.5102259208805&lt;/D&gt;&lt;D xsi:type="xsd:double"&gt;3.31731520170502&lt;/D&gt;&lt;D xsi:type="xsd:double"&gt;3.31444737634377&lt;/D&gt;&lt;D xsi:type="xsd:double"&gt;3.27313782790089&lt;/D&gt;&lt;D xsi:type="xsd:double"&gt;3.3294837459408&lt;/D&gt;&lt;D xsi:type="xsd:double"&gt;3.21865297974177&lt;/D&gt;&lt;D xsi:type="xsd:double"&gt;3.11508957039405&lt;/D&gt;&lt;D xsi:type="xsd:double"&gt;3.327102412625&lt;/D&gt;&lt;D xsi:type="xsd:double"&gt;3.2225131509966&lt;/D&gt;&lt;D xsi:type="xsd:double"&gt;3.26828998843141&lt;/D&gt;&lt;D xsi:type="xsd:double"&gt;3.2122790061521&lt;/D&gt;&lt;D xsi:type="xsd:double"&gt;3.22824293486135&lt;/D&gt;&lt;D xsi:type="xsd:double"&gt;3.21932521537647&lt;/D&gt;&lt;D xsi:type="xsd:double"&gt;3.34466431593233&lt;/D&gt;&lt;D xsi:type="xsd:double"&gt;4.2848281180329&lt;/D&gt;&lt;D xsi:type="xsd:double"&gt;3.52951746912799&lt;/D&gt;&lt;D xsi:type="xsd:double"&gt;3.27776425502184&lt;/D&gt;&lt;D xsi:type="xsd:double"&gt;3.00240991737951&lt;/D&gt;&lt;D xsi:type="xsd:double"&gt;3.06569352973065&lt;/D&gt;&lt;D xsi:type="xsd:double"&gt;3.08118272079177&lt;/D&gt;&lt;D xsi:type="xsd:double"&gt;3.19510778670926&lt;/D&gt;&lt;D xsi:type="xsd:double"&gt;3.1146641137126&lt;/D&gt;&lt;D xsi:type="xsd:double"&gt;2.91298065549056&lt;/D&gt;&lt;D xsi:type="xsd:double"&gt;2.74845314971394&lt;/D&gt;&lt;D xsi:type="xsd:double"&gt;2.66668682091425&lt;/D&gt;&lt;D xsi:type="xsd:double"&gt;2.74583432412208&lt;/D&gt;&lt;D xsi:type="xsd:double"&gt;2.7394359593183&lt;/D&gt;&lt;D xsi:type="xsd:double"&gt;2.87309940183991&lt;/D&gt;&lt;D xsi:type="xsd:double"&gt;2.94040692512742&lt;/D&gt;&lt;D xsi:type="xsd:double"&gt;2.79344382972126&lt;/D&gt;&lt;D xsi:type="xsd:double"&gt;2.94077470917454&lt;/D&gt;&lt;D xsi:type="xsd:double"&gt;3.01368666711624&lt;/D&gt;&lt;D xsi:type="xsd:double"&gt;2.84778559910738&lt;/D&gt;&lt;D xsi:type="xsd:double"&gt;2.82648853713135&lt;/D&gt;&lt;D xsi:type="xsd:double"&gt;2.81513472168505&lt;/D&gt;&lt;D xsi:type="xsd:double"&gt;2.89603887486558&lt;/D&gt;&lt;D xsi:type="xsd:double"&gt;2.82314521834134&lt;/D&gt;&lt;D xsi:type="xsd:double"&gt;2.87798973034145&lt;/D&gt;&lt;D xsi:type="xsd:double"&gt;2.9471955124913&lt;/D&gt;&lt;D xsi:type="xsd:double"&gt;2.98108781398561&lt;/D&gt;&lt;D xsi:type="xsd:double"&gt;3.13146590531684&lt;/D&gt;&lt;D xsi:type="xsd:double"&gt;3.10229388199851&lt;/D&gt;&lt;D xsi:type="xsd:double"&gt;3.21728608863914&lt;/D&gt;&lt;D xsi:type="xsd:double"&gt;3.10797914330552&lt;/D&gt;&lt;D xsi:type="xsd:double"&gt;3.05197355178878&lt;/D&gt;&lt;D xsi:type="xsd:double"&gt;3.2290953770594&lt;/D&gt;&lt;D xsi:type="xsd:double"&gt;3.06306455927748&lt;/D&gt;&lt;D xsi:type="xsd:double"&gt;3.02316910198945&lt;/D&gt;&lt;D xsi:type="xsd:double"&gt;2.9608860064455&lt;/D&gt;&lt;D xsi:type="xsd:double"&gt;3.03082568564704&lt;/D&gt;&lt;D xsi:type="xsd:double"&gt;3.28379346593973&lt;/D&gt;&lt;D xsi:type="xsd:double"&gt;3.10557648436651&lt;/D&gt;&lt;D xsi:type="xsd:double"&gt;3.13927331420856&lt;/D&gt;&lt;D xsi:type="xsd:double"&gt;3.10233292089876&lt;/D&gt;&lt;D xsi:type="xsd:double"&gt;3.13648913554625&lt;/D&gt;&lt;D xsi:type="xsd:double"&gt;3.1094732313051&lt;/D&gt;&lt;D xsi:type="xsd:double"&gt;3.1041275039193&lt;/D&gt;&lt;D xsi:type="xsd:double"&gt;3.31332831056415&lt;/D&gt;&lt;D xsi:type="xsd:double"&gt;3.43059424226833&lt;/D&gt;&lt;D xsi:type="xsd:double"&gt;3.44645450493414&lt;/D&gt;&lt;D xsi:type="xsd:double"&gt;3.41000611929354&lt;/D&gt;&lt;D xsi:type="xsd:double"&gt;3.49827527358343&lt;/D&gt;&lt;D xsi:type="xsd:double"&gt;3.45198280918081&lt;/D&gt;&lt;/FQL&gt;&lt;FQL&gt;&lt;Q&gt;SET-BKK^FMA_PE(NTMA,-10AY,0,AM,"PORTAGG","MEANR")&lt;/Q&gt;&lt;R&gt;121&lt;/R&gt;&lt;C&gt;1&lt;/C&gt;&lt;D xsi:type="xsd:double"&gt;13.6628539051972&lt;/D&gt;&lt;D xsi:type="xsd:double"&gt;13.8374147747972&lt;/D&gt;&lt;D xsi:type="xsd:double"&gt;14.0030414382637&lt;/D&gt;&lt;D xsi:type="xsd:double"&gt;14.0311788515952&lt;/D&gt;&lt;D xsi:type="xsd:double"&gt;14.522658344275&lt;/D&gt;&lt;D xsi:type="xsd:double"&gt;14.6241696325109&lt;/D&gt;&lt;D xsi:type="xsd:double"&gt;15.9998023367947&lt;/D&gt;&lt;D xsi:type="xsd:double"&gt;15.3157264660315&lt;/D&gt;&lt;D xsi:type="xsd:double"&gt;15.5958344647184&lt;/D&gt;&lt;D xsi:type="xsd:double"&gt;14.9029994131172&lt;/D&gt;&lt;D xsi:type="xsd:double"&gt;15.0384631821976&lt;/D&gt;&lt;D xsi:type="xsd:double"&gt;16.2426297985797&lt;/D&gt;&lt;D xsi:type="xsd:double"&gt;15.2551327713595&lt;/D&gt;&lt;D xsi:type="xsd:double"&gt;15.2990998843432&lt;/D&gt;&lt;D xsi:type="xsd:double"&gt;15.4435098873838&lt;/D&gt;&lt;D xsi:type="xsd:double"&gt;15.3176234383499&lt;/D&gt;&lt;D xsi:type="xsd:double"&gt;15.1992329154384&lt;/D&gt;&lt;D xsi:type="xsd:double"&gt;14.4263738469388&lt;/D&gt;&lt;D xsi:type="xsd:double"&gt;14.0926142046658&lt;/D&gt;&lt;D xsi:type="xsd:double"&gt;14.3401689783002&lt;/D&gt;&lt;D xsi:type="xsd:double"&gt;13.7473134247599&lt;/D&gt;&lt;D xsi:type="xsd:double"&gt;12.3522411213959&lt;/D&gt;&lt;D xsi:type="xsd:double"&gt;12.5613720090613&lt;/D&gt;&lt;D xsi:type="xsd:double"&gt;13.0841103085276&lt;/D&gt;&lt;D xsi:type="xsd:double"&gt;14.5782502053456&lt;/D&gt;&lt;D xsi:type="xsd:double"&gt;14.2748633486071&lt;/D&gt;&lt;D xsi:type="xsd:double"&gt;14.2246519648729&lt;/D&gt;&lt;D xsi:type="xsd:double"&gt;14.6220701246242&lt;/D&gt;&lt;D xsi:type="xsd:double"&gt;15.1677324286417&lt;/D&gt;&lt;D xsi:type="xsd:double"&gt;15.5318139932025&lt;/D&gt;&lt;D xsi:type="xsd:double"&gt;14.3275830399653&lt;/D&gt;&lt;D xsi:type="xsd:double"&gt;14.4756778304191&lt;/D&gt;&lt;D xsi:type="xsd:double"&gt;14.335699034121&lt;/D&gt;&lt;D xsi:type="xsd:double"&gt;14.7344278450264&lt;/D&gt;&lt;D xsi:type="xsd:double"&gt;15.1765332454794&lt;/D&gt;&lt;D xsi:type="xsd:double"&gt;15.0383489923765&lt;/D&gt;&lt;D xsi:type="xsd:double"&gt;14.7380333779622&lt;/D&gt;&lt;D xsi:type="xsd:double"&gt;15.0970988594634&lt;/D&gt;&lt;D xsi:type="xsd:double"&gt;14.5166658388732&lt;/D&gt;&lt;D xsi:type="xsd:double"&gt;14.776693289843&lt;/D&gt;&lt;D xsi:type="xsd:double"&gt;14.653939718427&lt;/D&gt;&lt;D xsi:type="xsd:double"&gt;14.610917206148&lt;/D&gt;&lt;D xsi:type="xsd:double"&gt;15.4315029517904&lt;/D&gt;&lt;D xsi:type="xsd:double"&gt;15.768206061853&lt;/D&gt;&lt;D xsi:type="xsd:double"&gt;15.6067807127366&lt;/D&gt;&lt;D xsi:type="xsd:double"&gt;15.5930480158499&lt;/D&gt;&lt;D xsi:type="xsd:double"&gt;16.3480058430502&lt;/D&gt;&lt;D xsi:type="xsd:double"&gt;15.9331866967478&lt;/D&gt;&lt;D xsi:type="xsd:double"&gt;15.6817363776629&lt;/D&gt;&lt;D xsi:type="xsd:double"&gt;15.1360084637058&lt;/D&gt;&lt;D xsi:type="xsd:double"&gt;15.1626170438259&lt;/D&gt;&lt;D xsi:type="xsd:double"&gt;14.891005176042&lt;/D&gt;&lt;D xsi:type="xsd:double"&gt;14.2336050675356&lt;/D&gt;&lt;D xsi:type="xsd:double"&gt;14.5711545546574&lt;/D&gt;&lt;D xsi:type="xsd:double"&gt;14.801812482345&lt;/D&gt;&lt;D xsi:type="xsd:double"&gt;14.477720930413&lt;/D&gt;&lt;D xsi:type="xsd:double"&gt;14.1743636652621&lt;/D&gt;&lt;D xsi:type="xsd:double"&gt;13.861585912579&lt;/D&gt;&lt;D xsi:type="xsd:double"&gt;13.7672619859127&lt;/D&gt;&lt;D xsi:type="xsd:double"&gt;14.6796598848451&lt;/D&gt;&lt;D xsi:type="xsd:double"&gt;14.8337454016372&lt;/D&gt;&lt;D xsi:type="xsd:double"&gt;14.9790780806217&lt;/D&gt;&lt;D xsi:type="xsd:double"&gt;14.7420783353105&lt;/D&gt;&lt;D xsi:type="xsd:double"&gt;15.285601682911&lt;/D&gt;&lt;D xsi:type="xsd:double"&gt;15.8150020215072&lt;/D&gt;&lt;D xsi:type="xsd:double"&gt;15.001415370466&lt;/D&gt;&lt;D xsi:type="xsd:double"&gt;15.4993801460203&lt;/D&gt;&lt;D xsi:type="xsd:double"&gt;15.4115534263348&lt;/D&gt;&lt;D xsi:type="xsd:double"&gt;15.7022353700587&lt;/D&gt;&lt;D xsi:type="xsd:double"&gt;15.3717147481904&lt;/D&gt;&lt;D xsi:type="xsd:double"&gt;15.5961374619291&lt;/D&gt;&lt;D xsi:type="xsd:double"&gt;15.3672089576686&lt;/D&gt;&lt;D xsi:type="xsd:double"&gt;12.1090739446606&lt;/D&gt;&lt;D xsi:type="xsd:double"&gt;15.1041011518217&lt;/D&gt;&lt;D xsi:type="xsd:double"&gt;17.596909192095&lt;/D&gt;&lt;D xsi:type="xsd:double"&gt;19.5025078193444&lt;/D&gt;&lt;D xsi:type="xsd:double"&gt;19.1292607933345&lt;/D&gt;&lt;D xsi:type="xsd:double"&gt;19.445850443169&lt;/D&gt;&lt;D xsi:type="xsd:double"&gt;18.518832901766&lt;/D&gt;&lt;D xsi:type="xsd:double"&gt;18.2909838835459&lt;/D&gt;&lt;D xsi:type="xsd:double"&gt;18.532884655298&lt;/D&gt;&lt;D xsi:type="xsd:double"&gt;19.425408786241&lt;/D&gt;&lt;D xsi:type="xsd:double"&gt;20.3157915457187&lt;/D&gt;&lt;D xsi:type="xsd:double"&gt;19.4078886115746&lt;/D&gt;&lt;D xsi:type="xsd:double"&gt;19.6431910945207&lt;/D&gt;&lt;D xsi:type="xsd:double"&gt;18.7276892433598&lt;/D&gt;&lt;D xsi:type="xsd:double"&gt;18.0371885267247&lt;/D&gt;&lt;D xsi:type="xsd:double"&gt;18.1146349506663&lt;/D&gt;&lt;D xsi:type="xsd:double"&gt;17.0859868113443&lt;/D&gt;&lt;D xsi:type="xsd:double"&gt;16.5755464946818&lt;/D&gt;&lt;D xsi:type="xsd:double"&gt;17.5383983030648&lt;/D&gt;&lt;D xsi:type="xsd:double"&gt;17.4279949841748&lt;/D&gt;&lt;D xsi:type="xsd:double"&gt;17.473126745553&lt;/D&gt;&lt;D xsi:type="xsd:double"&gt;17.0006864558478&lt;/D&gt;&lt;D xsi:type="xsd:double"&gt;17.4372731869254&lt;/D&gt;&lt;D xsi:type="xsd:double"&gt;17.2224937279594&lt;/D&gt;&lt;D xsi:type="xsd:double"&gt;16.8733932513155&lt;/D&gt;&lt;D xsi:type="xsd:double"&gt;16.7041047717946&lt;/D&gt;&lt;D xsi:type="xsd:double"&gt;15.7337364784647&lt;/D&gt;&lt;D xsi:type="xsd:double"&gt;15.5482265645522&lt;/D&gt;&lt;D xsi:type="xsd:double"&gt;14.9049295982127&lt;/D&gt;&lt;D xsi:type="xsd:double"&gt;15.4607989020018&lt;/D&gt;&lt;D xsi:type="xsd:double"&gt;15.6628538611062&lt;/D&gt;&lt;D xsi:type="xsd:double"&gt;14.8414005700875&lt;/D&gt;&lt;D xsi:type="xsd:double"&gt;15.5735608998925&lt;/D&gt;&lt;D xsi:type="xsd:double"&gt;15.6579844843269&lt;/D&gt;&lt;D xsi:type="xsd:double"&gt;15.9831003256151&lt;/D&gt;&lt;D xsi:type="xsd:double"&gt;15.8697121730609&lt;/D&gt;&lt;D xsi:type="xsd:double"&gt;14.9317395236914&lt;/D&gt;&lt;D xsi:type="</t>
        </r>
      </text>
    </comment>
    <comment ref="A20" authorId="0" shapeId="0" xr:uid="{DD733C2D-EE8C-4205-8AAA-8F1BA6E6BC1D}">
      <text>
        <r>
          <rPr>
            <b/>
            <sz val="9"/>
            <color indexed="81"/>
            <rFont val="Tahoma"/>
            <charset val="1"/>
          </rPr>
          <t>xsd:double"&gt;15.786869448317&lt;/D&gt;&lt;D xsi:type="xsd:double"&gt;15.6853559240021&lt;/D&gt;&lt;D xsi:type="xsd:double"&gt;15.8697547552855&lt;/D&gt;&lt;D xsi:type="xsd:double"&gt;15.7044688013229&lt;/D&gt;&lt;D xsi:type="xsd:double"&gt;15.8392290414941&lt;/D&gt;&lt;D xsi:type="xsd:double"&gt;15.8987902010529&lt;/D&gt;&lt;D xsi:type="xsd:double"&gt;14.8377810245588&lt;/D&gt;&lt;D xsi:type="xsd:double"&gt;14.3179201538557&lt;/D&gt;&lt;D xsi:type="xsd:double"&gt;14.2490131721646&lt;/D&gt;&lt;D xsi:type="xsd:double"&gt;14.5431932343428&lt;/D&gt;&lt;D xsi:type="xsd:double"&gt;14.2912739401697&lt;/D&gt;&lt;D xsi:type="xsd:double"&gt;14.4787934966795&lt;/D&gt;&lt;/FQL&gt;&lt;FQL&gt;&lt;Q&gt;PLATI-FDS^FG_PRICE_MAVG(0,,,,30)&lt;/Q&gt;&lt;R&gt;1&lt;/R&gt;&lt;C&gt;1&lt;/C&gt;&lt;D xsi:type="xsd:double"&gt;903.8&lt;/D&gt;&lt;/FQL&gt;&lt;FQL&gt;&lt;Q&gt;BRENT-FDS^FG_PRICE(0)/MAX(FG_PRICE(0,-1AY))&lt;/Q&gt;&lt;R&gt;1&lt;/R&gt;&lt;C&gt;1&lt;/C&gt;&lt;D xsi:type="xsd:double"&gt;0.870614479821537&lt;/D&gt;&lt;/FQL&gt;&lt;FQL&gt;&lt;Q&gt;MCHI^PERCENT_CHANGE(FMA_EPS(+1,0,,,,"PORTAGG","MEAN"),FMA_EPS(+1,-3AM,,,,"PORTAGG","MEAN"))&lt;/Q&gt;&lt;R&gt;1&lt;/R&gt;&lt;C&gt;1&lt;/C&gt;&lt;D xsi:type="xsd:double"&gt;-7.27224815182556&lt;/D&gt;&lt;/FQL&gt;&lt;FQL&gt;&lt;Q&gt;EWY^FMA_PCT_ABOVE_MAVG(200,0,,,,"PORTAGG")&lt;/Q&gt;&lt;R&gt;1&lt;/R&gt;&lt;C&gt;1&lt;/C&gt;&lt;D xsi:type="xsd:double"&gt;61&lt;/D&gt;&lt;/FQL&gt;&lt;FQL&gt;&lt;Q&gt;CAGDPY@MX^EE_ACTUAL_ANNUAL(MED,+1)&lt;/Q&gt;&lt;R&gt;1&lt;/R&gt;&lt;C&gt;1&lt;/C&gt;&lt;D xsi:type="xsd:double"&gt;-0.8&lt;/D&gt;&lt;/FQL&gt;&lt;FQL&gt;&lt;Q&gt;UAE^FMA_PE(NTMA,-10AY,0,AM,"PORTAGG","MEANR")&lt;/Q&gt;&lt;R&gt;121&lt;/R&gt;&lt;C&gt;1&lt;/C&gt;&lt;D xsi:type="xsd:string"&gt;@NA&lt;/D&gt;&lt;D xsi:type="xsd:string"&gt;@NA&lt;/D&gt;&lt;D xsi:type="xsd:string"&gt;@NA&lt;/D&gt;&lt;D xsi:type="xsd:double"&gt;16.5788220142751&lt;/D&gt;&lt;D xsi:type="xsd:double"&gt;14.5474636478053&lt;/D&gt;&lt;D xsi:type="xsd:double"&gt;14.7772016524423&lt;/D&gt;&lt;D xsi:type="xsd:double"&gt;15.0576023184693&lt;/D&gt;&lt;D xsi:type="xsd:double"&gt;13.7701925179623&lt;/D&gt;&lt;D xsi:type="xsd:double"&gt;14.5357060569156&lt;/D&gt;&lt;D xsi:type="xsd:double"&gt;11.6147439722008&lt;/D&gt;&lt;D xsi:type="xsd:double"&gt;11.9032720278245&lt;/D&gt;&lt;D xsi:type="xsd:double"&gt;12.6767847156609&lt;/D&gt;&lt;D xsi:type="xsd:double"&gt;12.3134499662365&lt;/D&gt;&lt;D xsi:type="xsd:double"&gt;12.7715490072977&lt;/D&gt;&lt;D xsi:type="xsd:double"&gt;13.8629653087895&lt;/D&gt;&lt;D xsi:type="xsd:double"&gt;12.9619173513966&lt;/D&gt;&lt;D xsi:type="xsd:double"&gt;12.7860129290411&lt;/D&gt;&lt;D xsi:type="xsd:double"&gt;12.2087877352366&lt;/D&gt;&lt;D xsi:type="xsd:double"&gt;11.6644812225265&lt;/D&gt;&lt;D xsi:type="xsd:double"&gt;12.3034136735229&lt;/D&gt;&lt;D xsi:type="xsd:double"&gt;10.643463310082&lt;/D&gt;&lt;D xsi:type="xsd:double"&gt;9.52072935973496&lt;/D&gt;&lt;D xsi:type="xsd:double"&gt;10.5843888959851&lt;/D&gt;&lt;D xsi:type="xsd:double"&gt;10.4780780778234&lt;/D&gt;&lt;D xsi:type="xsd:double"&gt;12.4906825224215&lt;/D&gt;&lt;D xsi:type="xsd:double"&gt;13.3486237990965&lt;/D&gt;&lt;D xsi:type="xsd:double"&gt;12.749585009602&lt;/D&gt;&lt;D xsi:type="xsd:double"&gt;12.333940422047&lt;/D&gt;&lt;D xsi:type="xsd:double"&gt;12.9580941726583&lt;/D&gt;&lt;D xsi:type="xsd:double"&gt;12.5738411535601&lt;/D&gt;&lt;D xsi:type="xsd:double"&gt;12.1992984073523&lt;/D&gt;&lt;D xsi:type="xsd:double"&gt;12.1856404453872&lt;/D&gt;&lt;D xsi:type="xsd:double"&gt;11.0988773094466&lt;/D&gt;&lt;D xsi:type="xsd:double"&gt;11.7491152411734&lt;/D&gt;&lt;D xsi:type="xsd:double"&gt;12.2953168741654&lt;/D&gt;&lt;D xsi:type="xsd:double"&gt;12.2971287358896&lt;/D&gt;&lt;D xsi:type="xsd:double"&gt;11.9203877350514&lt;/D&gt;&lt;D xsi:type="xsd:double"&gt;12.0925822971855&lt;/D&gt;&lt;D xsi:type="xsd:double"&gt;12.0191486900597&lt;/D&gt;&lt;D xsi:type="xsd:double"&gt;11.2630657627588&lt;/D&gt;&lt;D xsi:type="xsd:double"&gt;11.5337854302006&lt;/D&gt;&lt;D xsi:type="xsd:double"&gt;11.585721526895&lt;/D&gt;&lt;D xsi:type="xsd:double"&gt;11.2332406244253&lt;/D&gt;&lt;D xsi:type="xsd:double"&gt;11.4091927644071&lt;/D&gt;&lt;D xsi:type="xsd:double"&gt;10.9181188199668&lt;/D&gt;&lt;D xsi:type="xsd:double"&gt;10.7058356510631&lt;/D&gt;&lt;D xsi:type="xsd:double"&gt;11.4675481619985&lt;/D&gt;&lt;D xsi:type="xsd:double"&gt;11.2528961297047&lt;/D&gt;&lt;D xsi:type="xsd:double"&gt;10.9224278480793&lt;/D&gt;&lt;D xsi:type="xsd:double"&gt;11.3929676352834&lt;/D&gt;&lt;D xsi:type="xsd:double"&gt;10.5855078138042&lt;/D&gt;&lt;D xsi:type="xsd:double"&gt;11.2079785444695&lt;/D&gt;&lt;D xsi:type="xsd:double"&gt;11.0060999648248&lt;/D&gt;&lt;D xsi:type="xsd:double"&gt;10.95243654706&lt;/D&gt;&lt;D xsi:type="xsd:double"&gt;12.1380207453625&lt;/D&gt;&lt;D xsi:type="xsd:double"&gt;11.625590058548&lt;/D&gt;&lt;D xsi:type="xsd:double"&gt;11.9222156905145&lt;/D&gt;&lt;D xsi:type="xsd:double"&gt;11.1774169697739&lt;/D&gt;&lt;D xsi:type="xsd:double"&gt;10.9586417886249&lt;/D&gt;&lt;D xsi:type="xsd:double"&gt;10.8400496002737&lt;/D&gt;&lt;D xsi:type="xsd:double"&gt;11.7441999069578&lt;/D&gt;&lt;D xsi:type="xsd:double"&gt;11.7831686426327&lt;/D&gt;&lt;D xsi:type="xsd:double"&gt;11.0044379706959&lt;/D&gt;&lt;D xsi:type="xsd:double"&gt;11.6283165745362&lt;/D&gt;&lt;D xsi:type="xsd:double"&gt;12.3532143479371&lt;/D&gt;&lt;D xsi:type="xsd:double"&gt;12.2818126062737&lt;/D&gt;&lt;D xsi:type="xsd:double"&gt;12.9795173026174&lt;/D&gt;&lt;D xsi:type="xsd:double"&gt;13.3625607086096&lt;/D&gt;&lt;D xsi:type="xsd:double"&gt;13.256327390848&lt;/D&gt;&lt;D xsi:type="xsd:double"&gt;13.9560819293707&lt;/D&gt;&lt;D xsi:type="xsd:double"&gt;13.7382259265267&lt;/D&gt;&lt;D xsi:type="xsd:double"&gt;12.6993263600831&lt;/D&gt;&lt;D xsi:type="xsd:double"&gt;9.91343876492315&lt;/D&gt;&lt;D xsi:type="xsd:double"&gt;13.0648777232996&lt;/D&gt;&lt;D xsi:type="xsd:double"&gt;15.090792085447&lt;/D&gt;&lt;D xsi:type="xsd:double"&gt;17.0157717076837&lt;/D&gt;&lt;D xsi:type="xsd:double"&gt;16.3910345025093&lt;/D&gt;&lt;D xsi:type="xsd:double"&gt;13.5913283934686&lt;/D&gt;&lt;D xsi:type="xsd:double"&gt;13.2597258728731&lt;/D&gt;&lt;D xsi:type="xsd:double"&gt;12.4606716971493&lt;/D&gt;&lt;D xsi:type="xsd:double"&gt;15.9164522308885&lt;/D&gt;&lt;D xsi:type="xsd:double"&gt;15.6626590323811&lt;/D&gt;&lt;D xsi:type="xsd:double"&gt;15.6984439552648&lt;/D&gt;&lt;D xsi:type="xsd:double"&gt;15.6167945754247&lt;/D&gt;&lt;D xsi:type="xsd:double"&gt;14.8434495336792&lt;/D&gt;&lt;D xsi:type="xsd:double"&gt;14.0001350824177&lt;/D&gt;&lt;D xsi:type="xsd:double"&gt;13.7451728972042&lt;/D&gt;&lt;D xsi:type="xsd:double"&gt;15.2730721887905&lt;/D&gt;&lt;D xsi:type="xsd:double"&gt;14.3360228373718&lt;/D&gt;&lt;D xsi:type="xsd:double"&gt;14.2910590535009&lt;/D&gt;&lt;D xsi:type="xsd:double"&gt;14.2991577350717&lt;/D&gt;&lt;D xsi:type="xsd:double"&gt;14.6736589878151&lt;/D&gt;&lt;D xsi:type="xsd:double"&gt;15.6212357795924&lt;/D&gt;&lt;D xsi:type="xsd:double"&gt;16.6353810152105&lt;/D&gt;&lt;D xsi:type="xsd:double"&gt;15.442393590613&lt;/D&gt;&lt;D xsi:type="xsd:double"&gt;15.9584815137096&lt;/D&gt;&lt;D xsi:type="xsd:double"&gt;16.1754025071512&lt;/D&gt;&lt;D xsi:type="xsd:double"&gt;16.5294426587095&lt;/D&gt;&lt;D xsi:type="xsd:double"&gt;14.5428569270097&lt;/D&gt;&lt;D xsi:type="xsd:double"&gt;13.7377282524872&lt;/D&gt;&lt;D xsi:type="xsd:double"&gt;12.7056964638906&lt;/D&gt;&lt;D xsi:type="xsd:double"&gt;13.6844375564363&lt;/D&gt;&lt;D xsi:type="xsd:double"&gt;13.0074668869822&lt;/D&gt;&lt;D xsi:type="xsd:double"&gt;12.3235569451164&lt;/D&gt;&lt;D xsi:type="xsd:double"&gt;12.7829110198977&lt;/D&gt;&lt;D xsi:type="xsd:double"&gt;11.7930929494249&lt;/D&gt;&lt;D xsi:type="xsd:double"&gt;12.0757185140267&lt;/D&gt;&lt;D xsi:type="xsd:double"&gt;12.2047991817409&lt;/D&gt;&lt;D xsi:type="xsd:double"&gt;10.8738060530515&lt;/D&gt;&lt;D xsi:type="xsd:double"&gt;11.2262817561204&lt;/D&gt;&lt;D xsi:type="xsd:double"&gt;11.185525977215&lt;/D&gt;&lt;D xsi:type="xsd:double"&gt;10.9980154175414&lt;/D&gt;&lt;D xsi:type="xsd:double"&gt;11.4101083246531&lt;/D&gt;&lt;D xsi:type="xsd:double"&gt;11.4095659762754&lt;/D&gt;&lt;D xsi:type="xsd:double"&gt;10.997051545069&lt;/D&gt;&lt;D xsi:type="xsd:double"&gt;10.2792989428252&lt;/D&gt;&lt;D xsi:type="xsd:double"&gt;10.2873168836756&lt;/D&gt;&lt;D xsi:type="xsd:double"&gt;10.252360639269&lt;/D&gt;&lt;D xsi:type="xsd:double"&gt;10.8105515199557&lt;/D&gt;&lt;D xsi:type="xsd:double"&gt;10.1799740025535&lt;/D&gt;&lt;D xsi:type="xsd:double"&gt;9.72007383170763&lt;/D&gt;&lt;/FQL&gt;&lt;FQL&gt;&lt;Q&gt;EWW^FG_PRICE_MAVG(0,,,,30)&lt;/Q&gt;&lt;R&gt;1&lt;/R&gt;&lt;C&gt;1&lt;/C&gt;&lt;D xsi:type="xsd:double"&gt;66.752&lt;/D&gt;&lt;/FQL&gt;&lt;FQL&gt;&lt;Q&gt;MCHI^FG_TOTAL_RETURNC(0,-3AM)&lt;/Q&gt;&lt;R&gt;1&lt;/R&gt;&lt;C&gt;1&lt;/C&gt;&lt;D xsi:type="xsd:double"&gt;-0.34683347&lt;/D&gt;&lt;/FQL&gt;&lt;FQL&gt;&lt;Q&gt;GREK^PERCENT_CHANGE(FMA_EPS(+1,0,,,,"PORTAGG","MEAN"),FMA_EPS(+1,-1AM,,,,"PORTAGG","MEAN"))&lt;/Q&gt;&lt;R&gt;1&lt;/R&gt;&lt;C&gt;1&lt;/C&gt;&lt;D xsi:type="xsd:double"&gt;1.30309711502756&lt;/D&gt;&lt;/FQL&gt;&lt;FQL&gt;&lt;Q&gt;EWZ^SIZE(FG_CONSTITUENTS)&lt;/Q&gt;&lt;R&gt;1&lt;/R&gt;&lt;C&gt;1&lt;/C&gt;&lt;D xsi:type="xsd:long"&gt;51&lt;/D&gt;&lt;/FQL&gt;&lt;FQL&gt;&lt;Q&gt;EZA^FMA_RBICS_REV_CURRENT(30, LOC, "PORTAGG")&lt;/Q&gt;&lt;R&gt;1&lt;/R&gt;&lt;C&gt;1&lt;/C&gt;&lt;D xsi:type="xsd:double"&gt;43.909796179783&lt;/D&gt;&lt;/FQL&gt;&lt;FQL&gt;&lt;Q&gt;REFCNRMB-FDS^(SUBARRAY(NOT_NA(NO_REPEAT_F(FG_YIELD(NOW,-10AY,D))),0,1)-SUBARRAY(NOT_NA(NO_REPEAT_F(FG_YIELD(NOW,-10AY,D))),1,1))*100&lt;/Q&gt;&lt;R&gt;1&lt;/R&gt;&lt;C&gt;1&lt;/C&gt;&lt;D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xsi:type="xsd:double"&gt;-9.99999999999996&lt;/D&gt;&lt;/FQL&gt;&lt;FQL&gt;&lt;Q&gt;REFPHRREPO-FDS^FG_YIELD(NOW,,,0)&lt;/Q&gt;&lt;R&gt;1&lt;/R&gt;&lt;C&gt;1&lt;/C&gt;&lt;D xsi:type="xsd:double"&gt;6.5&lt;/D&gt;&lt;/FQL&gt;&lt;FQL&gt;&lt;Q&gt;TRYTH10Y-FDS^FG_YIELD_NAME&lt;/Q&gt;&lt;R&gt;1&lt;/R&gt;&lt;C&gt;1&lt;/C&gt;&lt;D xsi:type="xsd:string"&gt;Thailand Benchmark Bond - 10 Year&lt;/D&gt;&lt;/FQL&gt;&lt;FQL&gt;&lt;Q&gt;TRYCN10Y-FDS^FG_YIELD(0,,,,"YTM")&lt;/Q&gt;&lt;R&gt;1&lt;/R&gt;&lt;C&gt;1&lt;/C&gt;&lt;D xsi:type="xsd:double"&gt;2.3624&lt;/D&gt;&lt;/FQL&gt;&lt;FQL&gt;&lt;Q&gt;VGK^FG_FCF_YIELD_NTM(0)&lt;/Q&gt;&lt;R&gt;1&lt;/R&gt;&lt;C&gt;1&lt;/C&gt;&lt;D xsi:type="xsd:double"&gt;5.63338351138935&lt;/D&gt;&lt;/FQL&gt;&lt;FQL&gt;&lt;Q&gt;TUR^FG_FCF_YIELD_NTM(0)&lt;/Q&gt;&lt;R&gt;1&lt;/R&gt;&lt;C&gt;1&lt;/C&gt;&lt;D xsi:type="xsd:double"&gt;14.5779614843556&lt;/D&gt;&lt;/FQL&gt;&lt;FQL&gt;&lt;Q&gt;INDA^FMA_DIV_YLD(NTMA,NOW,NOW,M,"PORTAGG","MEANR")&lt;/Q&gt;&lt;R&gt;1&lt;/R&gt;&lt;C&gt;1&lt;/C&gt;&lt;D xsi:type="xsd:double"&gt;1.35337598328664&lt;/D&gt;&lt;/FQL&gt;&lt;FQL&gt;&lt;Q&gt;ECH^JULIAN(FMA_DIV_YLD(NTMA,NOW,NOW,M,"PORTAGG","MEANR").DATES)&lt;/Q&gt;&lt;R&gt;1&lt;/R&gt;&lt;C&gt;1&lt;/C&gt;&lt;D xsi:type="xsd:long"&gt;45351&lt;/D&gt;&lt;/FQL&gt;&lt;FQL&gt;&lt;Q&gt;CNYA^FG_COMPANY_NAME&lt;/Q&gt;&lt;R&gt;1&lt;/R&gt;&lt;C&gt;1&lt;/C&gt;&lt;D xsi:type="xsd:string"&gt;iShares MSCI China A ETF&lt;/D&gt;&lt;/FQL&gt;&lt;FQL&gt;&lt;Q&gt;EPOL^FMA_EVAL_EBITDA(NTMA,0,,,"PORTAGG","MEANR")&lt;/Q&gt;&lt;R&gt;1&lt;/R&gt;&lt;C&gt;1&lt;/C&gt;&lt;D xsi:type="xsd:double"&gt;4.41443185747309&lt;/D&gt;&lt;/FQL&gt;&lt;FQL&gt;&lt;Q&gt;REFEUREFI-FDS^(SUBARRAY(NOT_NA(NO_REPEAT_F(FG_YIELD(NOW,-10AY,D))),0,1)-SUBARRAY(NOT_NA(NO_REPEAT_F(FG_YIELD(NOW,-10AY,D))),1,1))*100&lt;/Q&gt;&lt;R&gt;1&lt;/R&gt;&lt;C&gt;1&lt;/C&gt;&lt;D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xsi:type="xsd:double"&gt;25&lt;/D&gt;&lt;/FQL&gt;&lt;FQL&gt;&lt;Q&gt;REFCLMPR-FDS^FG_YIELD(NOW,,,0)&lt;/Q&gt;&lt;R&gt;1&lt;/R&gt;&lt;C&gt;1&lt;/C&gt;&lt;D xsi:type="xsd:double"&gt;7.25&lt;/D&gt;&lt;/FQL&gt;&lt;FQL&gt;&lt;Q&gt;TRYTW10Y-FDS^PCTCHG(FG_YIELD(0,,,,"YTM"),FG_YIELD(-1AM,,,,"YTM"))&lt;/Q&gt;&lt;R&gt;1&lt;/R&gt;&lt;C&gt;1&lt;/C&gt;&lt;D xsi:type="xsd:double"&gt;-0.9263787&lt;/D&gt;&lt;/FQL&gt;&lt;FQL&gt;&lt;Q&gt;TRYIN10Y-FDS^FG_YIELD(0,,,,"YTM")&lt;/Q&gt;&lt;R&gt;1&lt;/R&gt;&lt;C&gt;1&lt;/C&gt;&lt;D xsi:type="xsd:double"&gt;7.041&lt;/D&gt;&lt;/FQL&gt;&lt;FQL&gt;&lt;Q&gt;VGK^FG_PE_NTM(0,,,90,0)&lt;/Q&gt;&lt;R&gt;1&lt;/R&gt;&lt;C&gt;1&lt;/C&gt;&lt;D xsi:type="xsd:double"&gt;12.9298765143591&lt;/D&gt;&lt;/FQL&gt;&lt;FQL&gt;&lt;Q&gt;CNYA^FG_FCF_YIELD_NTM(0)&lt;/Q&gt;&lt;R&gt;1&lt;/R&gt;&lt;C&gt;1&lt;/C&gt;&lt;D xsi:type="xsd:double"&gt;5.80738786880751&lt;/D&gt;&lt;/FQL&gt;&lt;FQL&gt;&lt;Q&gt;CC_QA^IMF_IFS_RCPI_Q(0)&lt;/Q&gt;&lt;R&gt;0&lt;/R&gt;&lt;C&gt;0&lt;/C&gt;&lt;/FQL&gt;&lt;FQL&gt;&lt;Q&gt;KSA^FMA_EVAL_EBIT(LTMA,NOW,NOW,M,"PORTAGG","MEANR")&lt;/Q&gt;&lt;R&gt;1&lt;/R&gt;&lt;C&gt;1&lt;/C&gt;&lt;D xsi:type="xsd:double"&gt;23.0228912381896&lt;/D&gt;&lt;/FQL&gt;&lt;FQL&gt;&lt;Q&gt;KSA^FMA_EVAL_EBITDA(NTMA,0,,,"PORTAGG","MEANR")&lt;/Q&gt;&lt;R&gt;1&lt;/R&gt;&lt;C&gt;1&lt;/C&gt;&lt;D xsi:type="xsd:double"&gt;11.3477778986761&lt;/D&gt;&lt;/FQL&gt;&lt;FQL&gt;&lt;Q&gt;TRYPL10Y-FDS^PCTCHG(FG_YIELD(0,,,,"YTM"),FG_YIELD(-3AM,,,,"YTM"))&lt;/Q&gt;&lt;R&gt;1&lt;/R&gt;&lt;C&gt;1&lt;/C&gt;&lt;D xsi:type="xsd:double"&gt;6.4917507&lt;/D&gt;&lt;/FQL&gt;&lt;FQL&gt;&lt;Q&gt;VNM^FG_COMPANY_NAME&lt;/Q&gt;&lt;R&gt;1&lt;/R&gt;&lt;C&gt;1&lt;/C&gt;&lt;D xsi:type="xsd:string"&gt;VanEck Vietnam ETF&lt;/D&gt;&lt;/FQL&gt;&lt;FQL&gt;&lt;Q&gt;EWM^SIZE(FG_CONSTITUENTS)&lt;/Q&gt;&lt;R&gt;1&lt;/R&gt;&lt;C&gt;1&lt;/C&gt;&lt;D xsi:type="xsd:long"&gt;34&lt;/D&gt;&lt;/FQL&gt;&lt;FQL&gt;&lt;Q&gt;EWZ^FG_FCF_YIELD_NTM(0)&lt;/Q&gt;&lt;R&gt;1&lt;/R&gt;&lt;C&gt;1&lt;/C&gt;&lt;D xsi:type="xsd:double"&gt;10.2137602914287&lt;/D&gt;&lt;/FQL&gt;&lt;FQL&gt;&lt;Q&gt;CC_MX^FG_COMPANY_NAME&lt;/Q&gt;&lt;R&gt;1&lt;/R&gt;&lt;C&gt;1&lt;/C&gt;&lt;D xsi:type="xsd:string"&gt;Mexico&lt;/D&gt;&lt;/FQL&gt;&lt;FQL&gt;&lt;Q&gt;EWT^FG_PRICE_MAVG(0,,,,60)&lt;/Q&gt;&lt;R&gt;1&lt;/R&gt;&lt;C&gt;1&lt;/C&gt;&lt;D xsi:type="xsd:double"&gt;45.7895&lt;/D&gt;&lt;/FQL&gt;&lt;FQL&gt;&lt;Q&gt;INDA^P_PRICE(0)/P_PRICE_HIGH_PR(0,,,USD,,,"PRICE","INTRA","52W")&lt;/Q&gt;&lt;R&gt;1&lt;/R&gt;&lt;C&gt;1&lt;/C&gt;&lt;D xsi:type="xsd:double"&gt;0.96682554&lt;/D&gt;&lt;/FQL&gt;&lt;FQL&gt;&lt;Q&gt;ECH^FG_TOTAL_RETURNC(0,-6AM)&lt;/Q&gt;&lt;R&gt;1&lt;/R&gt;&lt;C&gt;1&lt;/C&gt;&lt;D xsi:type="xsd:double"&gt;0.53213835&lt;/D&gt;&lt;/FQL&gt;&lt;FQL&gt;&lt;Q&gt;EZA^PERCENT_CHANGE(FMA_EPS(+1,0,,,,"PORTAGG","MEAN"),FMA_EPS(+1,-3AM,,,,"PORTAGG","MEAN"))&lt;/Q&gt;&lt;R&gt;1&lt;/R&gt;&lt;C&gt;1&lt;/C&gt;&lt;D xsi:type="xsd:double"&gt;-4.98747515783394&lt;/D&gt;&lt;/FQL&gt;&lt;FQL&gt;&lt;Q&gt;EWJ^FMA_COS_DOWN("EPS","1M",+1,NOW,,,"PORTAGG","MEANR")&lt;/Q&gt;&lt;R&gt;1&lt;/R&gt;&lt;C&gt;1&lt;/C&gt;&lt;D xsi:type="xsd:double"&gt;91&lt;/D&gt;&lt;/FQL&gt;&lt;FQL&gt;&lt;Q&gt;EWZ^FMA_COS_UP("EPS","1M",+1,NOW,,,"PORTAGG","MEANR")&lt;/Q&gt;&lt;R&gt;1&lt;/R&gt;&lt;C&gt;1&lt;/C&gt;&lt;D xsi:type="xsd:double"&gt;15&lt;/D&gt;&lt;/FQL&gt;&lt;FQL&gt;&lt;Q&gt;EWY^FMA_RBICS_REV_CURRENT(30, LOC, "PORTAGG")&lt;/Q&gt;&lt;R&gt;1&lt;/R&gt;&lt;C&gt;1&lt;/C&gt;&lt;D xsi:type="xsd:double"&gt;14.9507954284131&lt;/D&gt;&lt;/FQL&gt;&lt;FQL&gt;&lt;Q&gt;TRYKR10Y-FDS^PCTCHG(FG_YIELD(0,,,,"YTM"),FG_YIELD(-3AM,,,,"YTM"))&lt;/Q&gt;&lt;R&gt;1&lt;/R&gt;&lt;C&gt;1&lt;/C&gt;&lt;D xsi:type="xsd:double"&gt;0.6056976&lt;/D&gt;&lt;/FQL&gt;&lt;FQL&gt;&lt;Q&gt;TUR^FMA_PE(NTMA,0,,,"PORTAGG","MEANR")&lt;/Q&gt;&lt;R&gt;1&lt;/R&gt;&lt;C&gt;1&lt;/C&gt;&lt;D xsi:type="xsd:double"&gt;5.06701970741426&lt;/D&gt;&lt;/FQL&gt;&lt;FQL&gt;&lt;Q&gt;INDA^FMA_PE(LTM,0,,,"PORTAGG","MEANR")&lt;/Q&gt;&lt;R&gt;1&lt;/R&gt;&lt;C&gt;1&lt;/C&gt;&lt;D xsi:type="xsd:double"&gt;24.6960621991894&lt;/D&gt;&lt;/FQL&gt;&lt;FQL&gt;&lt;Q&gt;EWY^JULIAN(FMA_DIV_YLD(NTMA,NOW,NOW,M,"PORTAGG","MEANR").DATES)&lt;/Q&gt;&lt;R&gt;1&lt;/R&gt;&lt;C&gt;1&lt;/C&gt;&lt;D xsi:type="xsd:long"&gt;45351&lt;/D&gt;&lt;/FQL&gt;&lt;FQL&gt;&lt;Q&gt;EPOL^FMA_EVAL_EBIT(LTMA,NOW,NOW,M,"PORTAGG","MEANR")&lt;/Q&gt;&lt;R&gt;1&lt;/R&gt;&lt;C&gt;1&lt;/C&gt;&lt;D xsi:type="xsd:double"&gt;7.51957489469841&lt;/D&gt;&lt;/FQL&gt;&lt;FQL&gt;&lt;Q&gt;REFIDRREPO-FDS^PROPER_NAME(0,,,"SECURITY","NAME")&lt;/Q&gt;&lt;R&gt;1&lt;/R&gt;&lt;C&gt;1&lt;/C&gt;&lt;D xsi:type="xsd:string"&gt;Indonesia BI (Reverse) Repo Rate - 7 Day&lt;/D&gt;&lt;/FQL&gt;&lt;FQL&gt;&lt;Q&gt;VGK^FMA_DIV_YLD(NTMA,NOW,NOW,M,"PORTAGG","MEANR")&lt;/Q&gt;&lt;R&gt;1&lt;/R&gt;&lt;C&gt;1&lt;/C&gt;&lt;D xsi:type="xsd:double"&gt;3.63222181867579&lt;/D&gt;&lt;/FQL&gt;&lt;FQL&gt;&lt;Q&gt;TUR^FMA_PE(LTM,0,,,"PORTAGG","MEANR")&lt;/Q&gt;&lt;R&gt;1&lt;/R&gt;&lt;C&gt;1&lt;/C&gt;&lt;D xsi:type="xsd:double"&gt;6.52489804319549&lt;/D&gt;&lt;/FQL&gt;&lt;FQL&gt;&lt;Q&gt;TRYBR10Y-FDS^FG_YIELD_NAME&lt;/Q&gt;&lt;R&gt;1&lt;/R&gt;&lt;C&gt;1&lt;/C&gt;&lt;D xsi:type="xsd:string"&gt;Treasury - Brazil Benchmark Bond 10Y&lt;/D&gt;&lt;/FQL&gt;&lt;FQL&gt;&lt;Q&gt;GREK^FMA_PE(NTMA,0,,,"PORTAGG","MEANR")&lt;/Q&gt;&lt;R&gt;1&lt;/R&gt;&lt;C&gt;1&lt;/C&gt;&lt;D xsi:type="xsd:double"&gt;6.96236107465269&lt;/D&gt;&lt;/FQL&gt;&lt;FQL&gt;&lt;Q&gt;CC_US^IMF_IFS_RCPI_Q(0)&lt;/Q&gt;&lt;R&gt;1&lt;/R&gt;&lt;C&gt;1&lt;/C&gt;&lt;D xsi:type="xsd:double"&gt;3.2433991&lt;/D&gt;&lt;/FQL&gt;&lt;FQL&gt;&lt;Q&gt;GREK^FMA_PE(LTM,0,,,"PORTAGG","MEANR")&lt;/Q&gt;&lt;R&gt;1&lt;/R&gt;&lt;C&gt;1&lt;/C&gt;&lt;D xsi:type="xsd:double"&gt;7.41986685029575&lt;/D&gt;&lt;/FQL&gt;&lt;FQL&gt;&lt;Q&gt;EWW^FMA_PE(LTM,0,,,"PORTAGG","MEANR")&lt;/Q&gt;&lt;R&gt;1&lt;/R&gt;&lt;C&gt;1&lt;/C&gt;&lt;D xsi:type="xsd:double"&gt;12.6645398322302&lt;/D&gt;&lt;/FQL&gt;&lt;FQL&gt;&lt;Q&gt;KSA^FMA_PE(NTMA,0,,,"PORTAGG","MEANR")&lt;/Q&gt;&lt;R&gt;1&lt;/R&gt;&lt;C&gt;1&lt;/C&gt;&lt;D xsi:type="xsd:double"&gt;18.3819171834072&lt;/D&gt;&lt;/FQL&gt;&lt;FQL&gt;&lt;Q&gt;TRYVN10Y-FDS^PCTCHG(FG_YIELD(0,,,,"YTM"),FG_YIELD(-3AM,,,,"YTM"))&lt;/Q&gt;&lt;R&gt;1&lt;/R&gt;&lt;C&gt;1&lt;/C&gt;&lt;D xsi:type="xsd:double"&gt;-2.9995925&lt;/D&gt;&lt;/FQL&gt;&lt;FQL&gt;&lt;Q&gt;TUR^FMA_EVAL_EBIT(LTMA,NOW,NOW,M,"PORTAGG","MEANR")&lt;/Q&gt;&lt;R&gt;1&lt;/R&gt;&lt;C&gt;1&lt;/C&gt;&lt;D xsi:type="xsd:double"&gt;6.99519482959589&lt;/D&gt;&lt;/FQL&gt;&lt;FQL&gt;&lt;Q&gt;EWY^FMA_PE(NTMA,0,,,"PORTAGG","MEANR")&lt;/Q&gt;&lt;R&gt;1&lt;/R&gt;&lt;C&gt;1&lt;/C&gt;&lt;D xsi:type="xsd:double"&gt;10.5537735326763&lt;/D&gt;&lt;/FQL&gt;&lt;FQL&gt;&lt;Q&gt;EPU^FG_FCF_YIELD_NTM(0)&lt;/Q&gt;&lt;R&gt;1&lt;/R&gt;&lt;C&gt;1&lt;/C&gt;&lt;D xsi:type="xsd:double"&gt;7.492697567438&lt;/D&gt;&lt;/FQL&gt;&lt;FQL&gt;&lt;Q&gt;EWM^FMA_PE(NTMA,-10AY,0,AM,"PORTAGG","MEANR")&lt;/Q&gt;&lt;R&gt;121&lt;/R&gt;&lt;C&gt;1&lt;/C&gt;&lt;D xsi:type="xsd:double"&gt;15.3264817677666&lt;/D&gt;&lt;D xsi:type="xsd:double"&gt;15.625627989924&lt;/D&gt;&lt;D xsi:type="xsd:double"&gt;15.7084098906273&lt;/D&gt;&lt;D xsi:type="xsd:double"&gt;15.7601182539773&lt;/D&gt;&lt;D xsi:type="xsd:double"&gt;15.7825755227871&lt;/D&gt;&lt;D xsi:type="xsd:double"&gt;15.6050066408962&lt;/D&gt;&lt;D xsi:type="xsd:double"&gt;15.7662725559071&lt;/D&gt;&lt;D xsi:type="xsd:double"&gt;15.1893154624822&lt;/D&gt;&lt;D xsi:type="xsd:double"&gt;15.27509084799&lt;/D&gt;&lt;D xsi:type="xsd:double"&gt;14.9003952829278&lt;/D&gt;&lt;D xsi:type="xsd:double"&gt;14.9678191422847&lt;/D&gt;&lt;D xsi:type="xsd:double"&gt;15.5378811482582&lt;/D&gt;&lt;D xsi:type="xsd:double"&gt;15.5032646982396&lt;/D&gt;&lt;D xsi:type="xsd:double"&gt;16.0103029606397&lt;/D&gt;&lt;D xsi:type="xsd:double"&gt;15.7294007740323&lt;/D&gt;&lt;D xsi:type="xsd:double"&gt;15.4099111859026&lt;/D&gt;&lt;D xsi:type="xsd:double"&gt;15.279122458763&lt;/D&gt;&lt;D xsi:type="xsd:double"&gt;14.0841104180521&lt;/D&gt;&lt;D xsi:type="xsd:double"&gt;14.8278813559868&lt;/D&gt;&lt;D xsi:type="xsd:double"&gt;15.5559302177633&lt;/D&gt;&lt;D xsi:type="xsd:double"&gt;15.0520849703931&lt;/D&gt;&lt;D xsi:type="xsd:double"&gt;15.0798224185802&lt;/D&gt;&lt;D xsi:type="xsd:double"&gt;15.0082127181884&lt;/D&gt;&lt;D xsi:type="xsd:double"&gt;15.2208147952756&lt;/D&gt;&lt;D xsi:type="xsd:double"&gt;15.945543018861&lt;/D&gt;&lt;D xsi:type="xsd:double"&gt;16.2352024716686&lt;/D&gt;&lt;D xsi:type="xsd:double"&gt;15.3482255453548&lt;/D&gt;&lt;D xsi:type="xsd:double"&gt;15.9833459009178&lt;/D&gt;&lt;D xsi:type="xsd:double"&gt;16.3596849946703&lt;/D&gt;&lt;D xsi:type="xsd:double"&gt;16.6728891428201&lt;/D&gt;&lt;D xsi:type="xsd:double"&gt;16.6936984076046&lt;/D&gt;&lt;D xsi:type="xsd:double"&gt;16.7175244932393&lt;/D&gt;&lt;D xsi:type="xsd:double"&gt;16.1276324480115&lt;/D&gt;&lt;D xsi:type="xsd:double"&gt;16.4862844729907&lt;/D&gt;&lt;D xsi:type="xsd:double"&gt;16.6185532130949&lt;/D&gt;&lt;D xsi:type="xsd:double"&gt;16.7825000299775&lt;/D&gt;&lt;D xsi:type="xsd:double"&gt;16.7762279478106&lt;/D&gt;&lt;D xsi:type="xsd:double"&gt;16.7927883234152&lt;/D&gt;&lt;D xsi:type="xsd:double"&gt;17.0968834384894&lt;/D&gt;&lt;D xsi:type="xsd:double"&gt;16.7864324750416&lt;/D&gt;&lt;D xsi:type="xsd:double"&gt;16.3226088065301&lt;/D&gt;&lt;D xsi:type="xsd:double"&gt;16.3280106359774&lt;/D&gt;&lt;D xsi:type="xsd:double"&gt;16.4627568944938&lt;/D&gt;&lt;D xsi:type="xsd:double"&gt;16.1016130738032&lt;/D&gt;&lt;D xsi:type="xsd:double"&gt;15.7291926627161&lt;/D&gt;&lt;D xsi:type="xsd:double"&gt;16.1407962506219&lt;/D&gt;&lt;D xsi:type="xsd:double"&gt;16.67351521812&lt;/D&gt;&lt;D xsi:type="xsd:double"&gt;16.6345146121761&lt;/D&gt;&lt;D xsi:type="xsd:double"&gt;16.4279197410879&lt;/D&gt;&lt;D xsi:type="xsd:double"&gt;16.485774767984&lt;/D&gt;&lt;D xsi:type="xsd:double"&gt;16.2506766210725&lt;/D&gt;&lt;D xsi:type="xsd:double"&gt;16.0601967771665&lt;/D&gt;&lt;D xsi:type="xsd:double"&gt;15.6758364473825&lt;/D&gt;&lt;D xsi:type="xsd:double"&gt;16.321480375087&lt;/D&gt;&lt;D xsi:type="xsd:double"&gt;16.4960324892875&lt;/D&gt;&lt;D xsi:type="xsd:double"&gt;15.7478921118083&lt;/D&gt;&lt;D xsi:type="xsd:double"&gt;15.5578753257387&lt;/D&gt;&lt;D xsi:type="xsd:double"&gt;15.7682558878198&lt;/D&gt;&lt;D xsi:type="xsd:double"&gt;16.0346267621187&lt;/D&gt;&lt;D xsi:type="xsd:double"&gt;16.2468732765008&lt;/D&gt;&lt;D xsi:type="xsd:double"&gt;16.3658275008109&lt;/D&gt;&lt;D xsi:type="xsd:double"&gt;15.9934924552299&lt;/D&gt;&lt;D xsi:type="xsd:double"&gt;15.5955531044779&lt;/D&gt;&lt;D xsi:type="xsd:double"&gt;16.4628792180885&lt;/D&gt;&lt;D xsi:type="xsd:double"&gt;16.6415579654971&lt;/D&gt;&lt;D xsi:type="xsd:double"&gt;16.0098071599043&lt;/D&gt;&lt;D xsi:type="xsd:double"&gt;16.1508689120787&lt;/D&gt;&lt;D xsi:type="xsd:double"&gt;15.7254047923679&lt;/D&gt;&lt;D xsi:type="xsd:double"&gt;16.0412598253239&lt;/D&gt;&lt;D xsi:type="xsd:double"&gt;15.8483227923127&lt;/D&gt;&lt;D xsi:type="xsd:double"&gt;15.8935984119313&lt;/D&gt;&lt;D xsi:type="xsd:double"&gt;15.5404505921525&lt;/D&gt;&lt;D xsi:type="xsd:double"&gt;14.2098720729371&lt;/D&gt;&lt;D xsi:type="xsd:double"&gt;15.4100122616143&lt;/D&gt;&lt;D xsi:type="xsd:double"&gt;16.2091701623281&lt;/D&gt;&lt;D xsi:type="xsd:double"&gt;19.5204674660519&lt;/D&gt;&lt;D xsi:type="xsd:double"&gt;19.7611578741627&lt;/D&gt;&lt;D xsi:type="xsd:double"&gt;18.7544171366865&lt;/D&gt;&lt;D xsi:type="xsd:double"&gt;18.2978364047998&lt;/D&gt;&lt;D xsi:type="xsd:double"&gt;17.5353256977499&lt;/D&gt;&lt;D xsi:type="xsd:double"&gt;16.4892974500294&lt;/D&gt;&lt;D xsi:type="xsd:double"&gt;15.6061642212607&lt;/D&gt;&lt;D xsi:type="xsd:double"&gt;14.8841882029154&lt;/D&gt;&lt;D xsi:type="xsd:double"&gt;14.3755873052822&lt;/D&gt;&lt;D xsi:type="xsd:double"&gt;14.3657069665609&lt;/D&gt;&lt;D xsi:type="xsd:double"&gt;14.2335461740063&lt;/D&gt;&lt;D xsi:type="xsd:double"&gt;13.9850726695247&lt;/D&gt;&lt;D xsi:type="xsd:double"&gt;14.0221248017078&lt;/D&gt;&lt;D xsi:type="xsd:double"&gt;13.4039356294053&lt;/D&gt;&lt;D xsi:type="xsd:double"&gt;13.4598244123175&lt;/D&gt;&lt;D xsi:type="xsd:double"&gt;13.868855117134&lt;/D&gt;&lt;D xsi:type="xsd:double"&gt;14.6039859411616&lt;/D&gt;&lt;D xsi:type="xsd:double"&gt;14.3094242942295&lt;/D&gt;&lt;D xsi:type="xsd:double"&gt;14.8624504901935&lt;/D&gt;&lt;D xsi:type="xsd:double"&gt;15.6034591255761&lt;/D&gt;&lt;D xsi:type="xsd:double"&gt;15.656995245563&lt;/D&gt;&lt;D xsi:type="xsd:double"&gt;15.1087554918938&lt;/D&gt;&lt;D xsi:type="xsd:double"&gt;15.1390235433009&lt;/D&gt;&lt;D xsi:type="xsd:double"&gt;14.4367446810958&lt;/D&gt;&lt;D xsi:type="xsd:double"&gt;13.8296058083487&lt;/D&gt;&lt;D xsi:type="xsd:double"&gt;13.2359693873475&lt;/D&gt;&lt;D xsi:type="xsd:double"&gt;13.9736210110789&lt;/D&gt;&lt;D xsi:type="xsd:double"&gt;13.5132921319038&lt;/D&gt;&lt;D xsi:type="xsd:double"&gt;12.6303185599809&lt;/D&gt;&lt;D xsi:type="xsd:double"&gt;13.2477337017704&lt;/D&gt;&lt;D xsi:type="xsd:double"&gt;13.583461197125&lt;/D&gt;&lt;D xsi:type="xsd:double"&gt;13.5788488041119&lt;/D&gt;&lt;D xsi:type="xsd:double"&gt;13.3965238423533&lt;/D&gt;&lt;D xsi:type="xsd:double"&gt;12.705848169267&lt;/D&gt;&lt;D xsi:type="xsd:double"&gt;13.1925967375833&lt;/D&gt;&lt;D xsi:type="xsd:double"&gt;13.0799034060552&lt;/D&gt;&lt;D xsi:type="xsd:double"&gt;13.2890324935745&lt;/D&gt;&lt;D xsi:type="xsd:double"&gt;13.5310305970139&lt;/D&gt;&lt;D xsi:type="xsd:double"&gt;13.8088752112301&lt;/D&gt;&lt;D xsi:type="xsd:double"&gt;13.7942515099511&lt;/D&gt;&lt;D xsi:type="xsd:double"&gt;13.6742496331034&lt;/D&gt;&lt;D xsi:type="xsd:double"&gt;13.5938179159399&lt;/D&gt;&lt;D xsi:type="xsd:double"&gt;13.6893741516327&lt;/D&gt;&lt;D xsi:type="xsd:double"&gt;13.7243187205458&lt;/D&gt;&lt;D xsi:type="xsd:double"&gt;14.002009740928&lt;/D&gt;&lt;D xsi:type="xsd:double"&gt;13.9172182315815&lt;/D&gt;&lt;/FQL&gt;&lt;FQL&gt;&lt;Q&gt;EWM^FG_PRICE(0)&lt;/Q&gt;&lt;R&gt;1&lt;/R&gt;&lt;C&gt;1&lt;/C&gt;&lt;D xsi:type="xsd:double"&gt;21.97&lt;/D&gt;&lt;/FQL&gt;&lt;FQL&gt;&lt;Q&gt;CNYA^P_PRICE(0)/P_PRICE_LOW_PR(0,,,USD,,,"PRICE","INTRA","52W")-1&lt;/Q&gt;&lt;R&gt;1&lt;/R&gt;&lt;C&gt;1&lt;/C&gt;&lt;D xsi:type="xsd:double"&gt;0.14652622&lt;/D&gt;&lt;/FQL&gt;&lt;FQL&gt;&lt;Q&gt;EZA^PERCENT_CHANGE(FMA_EPS(+1,0,,,,"PORTAGG","MEAN"),FMA_EPS(+1,-1AM,,,,"PORTAGG","MEAN"))&lt;/Q&gt;&lt;R&gt;1&lt;/R&gt;&lt;C&gt;1&lt;/C&gt;&lt;D xsi:type="xsd:double"&gt;0.769672983812633&lt;/D&gt;&lt;/FQL&gt;&lt;FQL&gt;&lt;Q&gt;EWJ^FMA_COS_UP("EPS","1M",+1,NOW,,,"PORTAGG","MEANR")&lt;/Q&gt;&lt;R&gt;1&lt;/R&gt;&lt;C&gt;1&lt;/C&gt;&lt;D xsi:type="xsd:double"&gt;115&lt;/D&gt;&lt;/FQL&gt;&lt;FQL&gt;&lt;Q&gt;EWY^FMA_COS_DOWN("EPS","1M",+1,NOW,,,"PORTAGG","MEANR")&lt;/Q&gt;&lt;R&gt;1&lt;/R&gt;&lt;C&gt;1&lt;/C&gt;&lt;D xsi:type="xsd:double"&gt;47&lt;/D&gt;&lt;/FQL&gt;&lt;FQL&gt;&lt;Q&gt;TRYGR10Y-FDS^FG_YIELD_NAME&lt;/Q&gt;&lt;R&gt;1&lt;/R&gt;&lt;C&gt;1&lt;/C&gt;&lt;D xsi:type="xsd:string"&gt;Greece Benchmark Bond - 10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xsi:type="xsd:double"&gt;25&lt;/D&gt;&lt;/FQL&gt;&lt;FQL&gt;&lt;Q&gt;CNYA^FMA_EVAL_EBIT(LTMA,NOW,NOW,M,"PORTAGG","MEANR")&lt;/Q&gt;&lt;R&gt;1&lt;/R&gt;&lt;C&gt;1&lt;/C&gt;&lt;D xsi:type="xsd:double"&gt;16.4480130620209&lt;/D&gt;&lt;/FQL&gt;&lt;FQL&gt;&lt;Q&gt;SET-BKK^FMA_EVAL_EBITDA(NTMA,0,,,"PORTAGG","MEANR")&lt;/Q&gt;&lt;R&gt;1&lt;/R&gt;&lt;C&gt;1&lt;/C&gt;&lt;D xsi:type="xsd:double"&gt;9.69405154005141&lt;/D&gt;&lt;/FQL&gt;&lt;FQL&gt;&lt;Q&gt;GREK^FMA_DIV_YLD(NTMA,NOW,NOW,M,"PORTAGG","MEANR")&lt;/Q&gt;&lt;R&gt;1&lt;/R&gt;&lt;C&gt;1&lt;/C&gt;&lt;D xsi:type="xsd:double"&gt;4.59049016356781&lt;/D&gt;&lt;/FQL&gt;&lt;FQL&gt;&lt;Q&gt;EPOL^FMA_PE(LTM,0,,,"PORTAGG","MEANR")&lt;/Q&gt;&lt;R&gt;1&lt;/R&gt;&lt;C&gt;1&lt;/C&gt;&lt;D xsi:type="xsd:double"&gt;7.78326501782752&lt;/D&gt;&lt;/FQL&gt;&lt;FQL&gt;&lt;Q&gt;TRYPE10Y-FDS^FG_YIELD_NAME&lt;/Q&gt;&lt;R&gt;1&lt;/R&gt;&lt;C&gt;1&lt;/C&gt;&lt;D xsi:type="xsd:string"&gt;Treasury - Peru Benchmark Bond 10Y&lt;/D&gt;&lt;/FQL&gt;&lt;FQL&gt;&lt;Q&gt;WL-FDS^FG_PRICE_CHANGE(0,-1AY)&lt;/Q&gt;&lt;R&gt;1&lt;/R&gt;&lt;C&gt;1&lt;/C&gt;&lt;D xsi:type="xsd:double"&gt;5.76294512300017&lt;/D&gt;&lt;/FQL&gt;&lt;FQL&gt;&lt;Q&gt;EPU^FG_PRICE_MAVG(0,,,,60)&lt;/Q&gt;&lt;R&gt;1&lt;/R&gt;&lt;C&gt;1&lt;/C&gt;&lt;D xsi:type="xsd:double"&gt;34.511227&lt;/D&gt;&lt;/FQL&gt;&lt;FQL&gt;&lt;Q&gt;INDA^FG_TOTAL_RETURNC(0,-6AM)&lt;/Q&gt;&lt;R&gt;1&lt;/R&gt;&lt;C&gt;1&lt;/C&gt;&lt;D xsi:type="xsd:double"&gt;12.078678&lt;/D&gt;&lt;/FQL&gt;&lt;FQL&gt;&lt;Q&gt;URTH^SIZE(FG_CONSTITUENTS)&lt;/Q&gt;&lt;R&gt;1&lt;/R&gt;&lt;C&gt;1&lt;/C&gt;&lt;D xsi:type="xsd:long"&gt;1467&lt;/D&gt;&lt;/FQL&gt;&lt;FQL&gt;&lt;Q&gt;EWY^FMA_COS_UP("EPS","1M",+1,NOW,,,"PORTAGG","MEANR")&lt;/Q&gt;&lt;R&gt;1&lt;/R&gt;&lt;C&gt;1&lt;/C&gt;&lt;D xsi:type="xsd:double"&gt;33&lt;/D&gt;&lt;/FQL&gt;&lt;FQL&gt;&lt;Q&gt;EWW^FMA_RBICS_REV_CURRENT(30, LOC, "PORTAGG")&lt;/Q&gt;&lt;R&gt;1&lt;/R&gt;&lt;C&gt;1&lt;/C&gt;&lt;D xsi:type="xsd:double"&gt;29.5965573456913&lt;/D&gt;&lt;/FQL&gt;&lt;FQL&gt;&lt;Q&gt;TRYZA10Y-FDS^FG_YIELD_NAME&lt;/Q&gt;&lt;R&gt;1&lt;/R&gt;&lt;C&gt;1&lt;/C&gt;&lt;D xsi:type="xsd:string"&gt;South Africa Benchmark Bond - 10 Year&lt;/D&gt;&lt;/FQL&gt;&lt;FQL&gt;&lt;Q&gt;REFCLMPR-FDS^(SUBARRAY(NOT_NA(NO_REPEAT_F(FG_YIELD(NOW,-10AY,D))),0,1)-SUBARRAY(NOT_NA(NO_REPEAT_F(FG_YIELD(NOW,-10AY,D))),1,1))*100&lt;/Q&gt;&lt;R&gt;1&lt;/R&gt;&lt;C&gt;1&lt;/C&gt;&lt;D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xsi:type="xsd:double"&gt;-100&lt;/D&gt;&lt;/FQL&gt;&lt;FQL&gt;&lt;Q&gt;TRYMX10Y-FDS^PCTCHG(FG_YIELD(0,,,,"YTM"),FG_YIELD(-3AM,,,,"YTM"))&lt;/Q&gt;&lt;R&gt;1&lt;/R&gt;&lt;C&gt;1&lt;/C&gt;&lt;D xsi:type="xsd:double"&gt;2.6289806&lt;/D&gt;&lt;/FQL&gt;&lt;FQL&gt;&lt;Q&gt;CC_SA^IMF_IFS_RCPI_Q(0)&lt;/Q&gt;&lt;R&gt;1&lt;/R&gt;&lt;C&gt;1&lt;/C&gt;&lt;D xsi:type="xsd:double"&gt;1.5943921&lt;/D&gt;&lt;/FQL&gt;&lt;FQL&gt;&lt;Q&gt;TUR^JULIAN(FMA_DIV_YLD(NTMA,NOW,NOW,M,"PORTAGG","MEANR").DATES)&lt;/Q&gt;&lt;R&gt;1&lt;/R&gt;&lt;C&gt;1&lt;/C&gt;&lt;D xsi:type="xsd:long"&gt;45351&lt;/D&gt;&lt;/FQL&gt;&lt;FQL&gt;&lt;Q&gt;INDA^JULIAN(FMA_DIV_YLD(NTMA,NOW,NOW,M,"PORTAGG","MEANR").DATES)&lt;/Q&gt;&lt;R&gt;1&lt;/R&gt;&lt;C&gt;1&lt;/C&gt;&lt;D xsi:type="xsd:long"&gt;45351&lt;/D&gt;&lt;/FQL&gt;&lt;FQL&gt;&lt;Q&gt;EWW^FMA_EVAL_EBIT(LTMA,NOW,NOW,M,"PORTAGG","MEANR")&lt;/Q&gt;&lt;R&gt;1&lt;/R&gt;&lt;C&gt;1&lt;/C&gt;&lt;D xsi:type="xsd:double"&gt;10.5614271161871&lt;/D&gt;&lt;/FQL&gt;&lt;FQL&gt;&lt;Q&gt;EPOL^FMA_DIV_YLD(NTMA,NOW,NOW,M,"PORTAGG","MEANR")&lt;/Q&gt;&lt;R&gt;1&lt;/R&gt;&lt;C&gt;1&lt;/C&gt;&lt;D xsi:type="xsd:double"&gt;4.75946767925141&lt;/D&gt;&lt;/FQL&gt;&lt;FQL&gt;&lt;Q&gt;CNYA^FMA_EVAL_EBITDA(NTMA,0,,,"PORTAGG","MEANR")&lt;/Q&gt;&lt;R&gt;1&lt;/R&gt;&lt;C&gt;1&lt;/C&gt;&lt;D xsi:type="xsd:double"&gt;9.72707382451854&lt;/D&gt;&lt;/FQL&gt;&lt;FQL&gt;&lt;Q&gt;GREK^FMA_EVAL_EBIT(LTMA,NOW,NOW,M,"PORTAGG","MEANR")&lt;/Q&gt;&lt;R&gt;1&lt;/R&gt;&lt;C&gt;1&lt;/C&gt;&lt;D xsi:type="xsd:double"&gt;7.22886000288587&lt;/D&gt;&lt;/FQL&gt;&lt;FQL&gt;&lt;Q&gt;EWW^FMA_PE(NTMA,0,,,"PORTAGG","MEANR")&lt;/Q&gt;&lt;R&gt;1&lt;/R&gt;&lt;C&gt;1&lt;/C&gt;&lt;D xsi:type="xsd:double"&gt;12.3190283722558&lt;/D&gt;&lt;/FQL&gt;&lt;FQL&gt;&lt;Q&gt;CNYA^JULIAN(FMA_DIV_YLD(NTMA,NOW,NOW,M,"PORTAGG","MEANR").DATES)&lt;/Q&gt;&lt;R&gt;1&lt;/R&gt;&lt;C&gt;1&lt;/C&gt;&lt;D xsi:type="xsd:long"&gt;45351&lt;/D&gt;&lt;/FQL&gt;&lt;FQL&gt;&lt;Q&gt;KSA^SIZE(FG_CONSTITUENTS)&lt;/Q&gt;&lt;R&gt;1&lt;/R&gt;&lt;C&gt;1&lt;/C&gt;&lt;D xsi:type="xsd:long"&gt;122&lt;/D&gt;&lt;/FQL&gt;&lt;FQL&gt;&lt;Q&gt;SET-BKK^FMA_PE(NTMA,0,,,"PORTAGG","MEANR")&lt;/Q&gt;&lt;R&gt;1&lt;/R&gt;&lt;C&gt;1&lt;/C&gt;&lt;D xsi:type="xsd:double"&gt;14.4787934966795&lt;/D&gt;&lt;/FQL&gt;&lt;FQL&gt;&lt;Q&gt;TRYSA10Y-FDS^PCTCHG(FG_YIELD(0,,,,"YTM"),FG_YIELD(-1AM,,,,"YTM"))&lt;/Q&gt;&lt;R&gt;1&lt;/R&gt;&lt;C&gt;1&lt;/C&gt;&lt;D xsi:type="xsd:double"&gt;-3.4418902&lt;/D&gt;&lt;/FQL&gt;&lt;FQL&gt;&lt;Q&gt;EPHE^FMA_DIV_YLD(NTMA,NOW,NOW,M,"PORTAGG","MEANR")&lt;/Q&gt;&lt;R&gt;1&lt;/R&gt;&lt;C&gt;1&lt;/C&gt;&lt;D xsi:type="xsd:double"&gt;2.74177782252763&lt;/D&gt;&lt;/FQL&gt;&lt;FQL&gt;&lt;Q&gt;VNM^FMA_EVAL_EBITDA(NTMA,0,,,"PORTAGG","MEANR")&lt;/Q&gt;&lt;R&gt;1&lt;/R&gt;&lt;C&gt;1&lt;/C&gt;&lt;D xsi:type="xsd:double"&gt;10.3373516513935&lt;/D&gt;&lt;/FQL&gt;&lt;FQL&gt;&lt;Q&gt;EPHE^FMA_PE(NTMA,0,,,"PORTAGG","MEANR")&lt;/Q&gt;&lt;R&gt;1&lt;/R&gt;&lt;C&gt;1&lt;/C&gt;&lt;D xsi:type="xsd:double"&gt;9.95168335742049&lt;/D&gt;&lt;/FQL&gt;&lt;FQL&gt;&lt;Q&gt;QAT^FMA_DIV_YLD(NTMA,NOW,NOW,M,"PORTAGG","MEANR")&lt;/Q&gt;&lt;R&gt;1&lt;/R&gt;&lt;C&gt;1&lt;/C&gt;&lt;D xsi:type="xsd:double"&gt;4.72226160337177&lt;/D&gt;&lt;/FQL&gt;&lt;FQL&gt;&lt;Q&gt;EPHE^FMA_PE(LTM,0,,,"PORTAGG","MEANR")&lt;/Q&gt;&lt;R&gt;1&lt;/R&gt;&lt;C&gt;1&lt;/C&gt;&lt;D xsi:type="xsd:double"&gt;11.7121175912818&lt;/D&gt;&lt;/FQL&gt;&lt;FQL&gt;&lt;Q&gt;VNM^FMA_DIV_YLD(NTMA,NOW,NOW,M,"PORTAGG","MEANR")&lt;/Q&gt;&lt;R&gt;1&lt;/R&gt;&lt;C&gt;1&lt;/C&gt;&lt;D xsi:type="xsd:double"&gt;2.6937472044039&lt;/D&gt;&lt;/FQL&gt;&lt;FQL&gt;&lt;Q&gt;VNM^FMA_PCT_ABOVE_MAVG(200,0,,,,"PORTAGG")&lt;/Q&gt;&lt;R&gt;1&lt;/R&gt;&lt;C&gt;1&lt;/C&gt;&lt;D xsi:type="xsd:double"&gt;73.3333333333333&lt;/D&gt;&lt;/FQL&gt;&lt;FQL&gt;&lt;Q&gt;EWM^FG_FCF_YIELD_NTM(0)&lt;/Q&gt;&lt;R&gt;1&lt;/R&gt;&lt;C&gt;1&lt;/C&gt;&lt;D xsi:type="xsd:double"&gt;6.6435092209907&lt;/D&gt;&lt;/FQL&gt;&lt;FQL&gt;&lt;Q&gt;EIDO^JULIAN(FMA_DIV_YLD(NTMA,NOW,NOW,M,"PORTAGG","MEANR").DATES)&lt;/Q&gt;&lt;R&gt;1&lt;/R&gt;&lt;C&gt;1&lt;/C&gt;&lt;D xsi:type="xsd:long"&gt;45351&lt;/D&gt;&lt;/FQL&gt;&lt;FQL&gt;&lt;Q&gt;EIDO^FMA_PCT_ABOVE_MAVG(200,0,,,,"PORTAGG")&lt;/Q&gt;&lt;R&gt;1&lt;/R&gt;&lt;C&gt;1&lt;/C&gt;&lt;D xsi:type="xsd:double"&gt;33.3333333333333&lt;/D&gt;&lt;/FQL&gt;&lt;FQL&gt;&lt;Q&gt;REFPEMPR-FDS^FG_YIELD(NOW,,,0)&lt;/Q&gt;&lt;R&gt;1&lt;/R&gt;&lt;C&gt;1&lt;/C&gt;&lt;D xsi:type="xsd:double"&gt;6.25&lt;/D&gt;&lt;/FQL&gt;&lt;FQL&gt;&lt;Q&gt;TRYPH10Y-FDS^FG_YIELD(0,,,,"YTM")&lt;/Q&gt;&lt;R&gt;1&lt;/R&gt;&lt;C&gt;1&lt;/C&gt;&lt;D xsi:type="xsd:double"&gt;6.1901364&lt;/D&gt;&lt;/FQL&gt;&lt;FQL&gt;&lt;Q&gt;VWO^FMA_EVAL_EBITDA(NTMA,0,,,"PORTAGG","MEANR")&lt;/Q&gt;&lt;R&gt;1&lt;/R&gt;&lt;C&gt;1&lt;/C&gt;&lt;D xsi:type="xsd:double"&gt;8.19587233016681&lt;/D&gt;&lt;/FQL&gt;&lt;FQL&gt;&lt;Q&gt;USDQAR^FG_PRICE_CHANGE(0,-6AM)&lt;/Q&gt;&lt;R&gt;1&lt;/R&gt;&lt;C&gt;1&lt;/C&gt;&lt;D xsi:type="xsd:double"&gt;0.02746582&lt;/D&gt;&lt;/FQL&gt;&lt;FQL&gt;&lt;Q&gt;KSA^FMA_PE(LTMA,-10AY,0,AM,"PORTAGG","MEANR")&lt;/Q&gt;&lt;R&gt;121&lt;/R&gt;&lt;C&gt;1&lt;/C&gt;&lt;D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xsi:type="xsd:double"&gt;11.7373578330327&lt;/D&gt;&lt;D xsi:type="xsd:double"&gt;10.7014301997257&lt;/D&gt;&lt;D xsi:type="xsd:double"&gt;11.7577408725101&lt;/D&gt;&lt;D xsi:type="xsd:double"&gt;11.9800260087654&lt;/D&gt;&lt;D xsi:type="xsd:double"&gt;12.3612392007181&lt;/D&gt;&lt;D xsi:type="xsd:double"&gt;12.7679789019597&lt;/D&gt;&lt;D xsi:type="xsd:double"&gt;12.9563213545708&lt;/D&gt;&lt;D xsi:type="xsd:double"&gt;12.912322102198&lt;/D&gt;&lt;D xsi:type="xsd:double"&gt;12.866086743365&lt;/D&gt;&lt;D xsi:type="xsd:double"&gt;12.4644534173812&lt;/D&gt;&lt;D xsi:type="xsd:double"&gt;13.9691229280818&lt;/D&gt;&lt;D xsi:type="xsd:double"&gt;14.8250114378843&lt;/D&gt;&lt;D xsi:type="xsd:double"&gt;14.8517137660751&lt;/D&gt;&lt;D xsi:type="xsd:double"&gt;15.135264078187&lt;/D&gt;&lt;D xsi:type="xsd:double"&gt;15.2713736226939&lt;/D&gt;&lt;D xsi:type="xsd:double"&gt;15.2481973579023&lt;/D&gt;&lt;D xsi:type="xsd:double"&gt;14.9879652499402&lt;/D&gt;&lt;D xsi:type="xsd:double"&gt;15.0212888365465&lt;/D&gt;&lt;D xsi:type="xsd:double"&gt;15.427190061286&lt;/D&gt;&lt;D xsi:type="xsd:double"&gt;15.1715951343071&lt;/D&gt;&lt;D xsi:type="xsd:double"&gt;15.1777794921623&lt;/D&gt;&lt;D xsi:type="xsd:double"&gt;14.3844376095079&lt;/D&gt;&lt;D xsi:type="xsd:double"&gt;14.4340893115984&lt;/D&gt;&lt;D xsi:type="xsd:double"&gt;14.2832624765148&lt;/D&gt;&lt;D xsi:type="xsd:double"&gt;14.7350720507529&lt;/D&gt;&lt;D xsi:type="xsd:double"&gt;14.9553231949306&lt;/D&gt;&lt;D xsi:type="xsd:double"&gt;15.1641400766441&lt;/D&gt;&lt;D xsi:type="xsd:double"&gt;15.1781223638819&lt;/D&gt;&lt;D xsi:type="xsd:double"&gt;15.2964318582714&lt;/D&gt;&lt;D xsi:type="xsd:double"&gt;15.5111210516858&lt;/D&gt;&lt;D xsi:type="xsd:double"&gt;15.5166244987198&lt;/D&gt;&lt;D xsi:type="xsd:double"&gt;14.8574817202926&lt;/D&gt;&lt;D xsi:type="xsd:double"&gt;14.4849882578487&lt;/D&gt;&lt;D xsi:type="xsd:double"&gt;14.4485098601002&lt;/D&gt;&lt;D xsi:type="xsd:double"&gt;14.6926364021914&lt;/D&gt;&lt;D xsi:type="xsd:double"&gt;15.5738699335162&lt;/D&gt;&lt;D xsi:type="xsd:double"&gt;16.5036470751481&lt;/D&gt;&lt;D xsi:type="xsd:double"&gt;17.5623400269468&lt;/D&gt;&lt;D xsi:type="xsd:double"&gt;17.2308668172622&lt;/D&gt;&lt;D xsi:type="xsd:double"&gt;17.4495485355718&lt;/D&gt;&lt;D xsi:type="xsd:double"&gt;16.9709357385475&lt;/D&gt;&lt;D xsi:type="xsd:double"&gt;17.4468362670867&lt;/D&gt;&lt;D xsi:type="xsd:double"&gt;17.6383791062602&lt;/D&gt;&lt;D xsi:type="xsd:double"&gt;17.5958562736244&lt;/D&gt;&lt;D xsi:type="xsd:double"&gt;17.8372580787299&lt;/D&gt;&lt;D xsi:type="xsd:double"&gt;17.5905203903203&lt;/D&gt;&lt;D xsi:type="xsd:double"&gt;18.5276586108148&lt;/D&gt;&lt;D xsi:type="xsd:double"&gt;18.9063274317601&lt;/D&gt;&lt;D xsi:type="xsd:double"&gt;20.3149961496695&lt;/D&gt;&lt;D xsi:type="xsd:double"&gt;18.3239388894241&lt;/D&gt;&lt;D xsi:type="xsd:double"&gt;17.1305947594908&lt;/D&gt;&lt;D xsi:type="xsd:double"&gt;17.5037868535011&lt;/D&gt;&lt;D xsi:type="xsd:double"&gt;18.2220773980932&lt;/D&gt;&lt;D xsi:type="xsd:double"&gt;19.2796949703779&lt;/D&gt;&lt;D xsi:type="xsd:double"&gt;19.739991017729&lt;/D&gt;&lt;D xsi:type="xsd:double"&gt;20.6602720652153&lt;/D&gt;&lt;D xsi:type="xsd:double"&gt;24.0836322620906&lt;/D&gt;&lt;D xsi:type="xsd:double"&gt;26.0711788174931&lt;/D&gt;&lt;D xsi:type="xsd:double"&gt;27.4560793468536&lt;/D&gt;&lt;D xsi:type="xsd:double"&gt;28.0592561983618&lt;/D&gt;&lt;D xsi:type="xsd:double"&gt;29.1685123834962&lt;/D&gt;&lt;D xsi:type="xsd:double"&gt;26.4437661233866&lt;/D&gt;&lt;D xsi:type="xsd:double"&gt;26.3983204983763&lt;/D&gt;&lt;D xsi:type="xsd:double"&gt;25.7011920448307&lt;/D&gt;&lt;D xsi:type="xsd:double"&gt;25.0905333737611&lt;/D&gt;&lt;D xsi:type="xsd:double"&gt;24.6442538327533&lt;/D&gt;&lt;D xsi:type="xsd:double"&gt;23.7113068625101&lt;/D&gt;&lt;D xsi:type="xsd:double"&gt;23.3969078989123&lt;/D&gt;&lt;D xsi:type="xsd:double"&gt;22.7414976139574&lt;/D&gt;&lt;D xsi:type="xsd:double"&gt;22.2500906414533&lt;/D&gt;&lt;D xsi:type="xsd:double"&gt;21.6585999692219&lt;/D&gt;&lt;D xsi:type="xsd:double"&gt;19.3392435393926&lt;/D&gt;&lt;D xsi:type="xsd:double"&gt;20.9361938984506&lt;/D&gt;&lt;D xsi:type="xsd:double"&gt;20.6796458764172&lt;/D&gt;&lt;D xsi:type="xsd:double"&gt;21.3131183012647&lt;/D&gt;&lt;D xsi:type="xsd:double"&gt;21.3428822958549&lt;/D&gt;&lt;D xsi:type="xsd:double"&gt;20.5147217156568&lt;/D&gt;&lt;D xsi:type="xsd:double"&gt;19.6245565336732&lt;/D&gt;&lt;D xsi:type="xsd:double"&gt;18.7829930086247&lt;/D&gt;&lt;D xsi:type="xsd:double"&gt;19.1473452592408&lt;/D&gt;&lt;D xsi:type="xsd:double"&gt;18.2429702748527&lt;/D&gt;&lt;D xsi:type="xsd:double"&gt;17.1635655109871&lt;/D&gt;&lt;D xsi:type="xsd:double"&gt;16.7823373102855&lt;/D&gt;&lt;D xsi:type="xsd:double"&gt;15.3828467254085&lt;/D&gt;&lt;D xsi:type="xsd:double"&gt;16.0162385207736&lt;/D&gt;&lt;D xsi:type="xsd:double"&gt;15.4375003367817&lt;/D&gt;&lt;D xsi:type="xsd:double"&gt;15.1802824060141&lt;/D&gt;&lt;D xsi:type="xsd:double"&gt;15.6877256143141&lt;/D&gt;&lt;D xsi:type="xsd:double"&gt;16.1010913217361&lt;/D&gt;&lt;D xsi:type="xsd:double"&gt;16.6630107950467&lt;/D&gt;&lt;D xsi:type="xsd:double"&gt;17.2905860181977&lt;/D&gt;&lt;D xsi:type="xsd:double"&gt;17.6943679296601&lt;/D&gt;&lt;D xsi:type="xsd:double"&gt;17.553736059746&lt;/D&gt;&lt;D xsi:type="xsd:double"&gt;17.2540767300281&lt;/D&gt;&lt;D xsi:type="xsd:double"&gt;18.0339722694458&lt;/D&gt;&lt;D xsi:type="xsd:double"&gt;19.9216837896352&lt;/D&gt;&lt;D xsi:type="xsd:double"&gt;21.336765585141&lt;/D&gt;&lt;D xsi:type="xsd:double"&gt;21.499574580417&lt;/D&gt;&lt;D xsi:type="xsd:double"&gt;21.7287698863128&lt;/D&gt;&lt;/FQL&gt;&lt;FQL&gt;&lt;Q&gt;INDA^FG_TOTAL_RETURNC(0,-3AM)&lt;/Q&gt;&lt;R&gt;1&lt;/R&gt;&lt;C&gt;1&lt;/C&gt;&lt;D xsi:type="xsd:double"&gt;4.881072&lt;/D&gt;&lt;/FQL&gt;&lt;FQL&gt;&lt;Q&gt;CNYA^P_PRICE(0)/P_PRICE_HIGH_PR(0,,,USD,,,"PRICE","INTRA","52W")&lt;/Q&gt;&lt;R&gt;1&lt;/R&gt;&lt;C&gt;1&lt;/C&gt;&lt;D xsi:type="xsd:double"&gt;0.7870194&lt;/D&gt;&lt;/FQL&gt;&lt;FQL&gt;&lt;Q&gt;EZA^FMA_PCT_ABOVE_MAVG(200,0,,,,"PORTAGG")&lt;/Q&gt;&lt;R&gt;1&lt;/R&gt;&lt;C&gt;1&lt;/C&gt;&lt;D xsi:type="xsd:double"&gt;48.4848484848485&lt;/D&gt;&lt;/FQL&gt;&lt;FQL&gt;&lt;Q&gt;VWO^SIZE(FG_CONSTITUENTS)&lt;/Q&gt;&lt;R&gt;1&lt;/R&gt;&lt;C&gt;1&lt;/C&gt;&lt;D xsi:type="xsd:long"&gt;4677&lt;/D&gt;&lt;/FQL&gt;&lt;FQL&gt;&lt;Q&gt;EWW^SIZE(FG_CONSTITUENTS)&lt;/Q&gt;&lt;R&gt;1&lt;/R&gt;&lt;C&gt;1&lt;/C&gt;&lt;D xsi:type="xsd:long"&gt;44&lt;/D&gt;&lt;/FQL&gt;&lt;FQL&gt;&lt;Q&gt;EWT^FMA_RBICS_REV_CURRENT(30, LOC, "PORTAGG")&lt;/Q&gt;&lt;R&gt;1&lt;/R&gt;&lt;C&gt;1&lt;/C&gt;&lt;D xsi:type="xsd:double"&gt;17.8066741873402&lt;/D&gt;&lt;/FQL&gt;&lt;FQL&gt;&lt;Q&gt;KSA^FMA_PE(LTM,0,,,"PORTAGG","MEANR")&lt;/Q&gt;&lt;R&gt;1&lt;/R&gt;&lt;C&gt;1&lt;/C&gt;&lt;D xsi:type="xsd:double"&gt;22.5812859647022&lt;/D&gt;&lt;/FQL&gt;&lt;FQL&gt;&lt;Q&gt;CC_KR^IMF_IFS_RCPI_Q(0)&lt;/Q&gt;&lt;R&gt;1&lt;/R&gt;&lt;C&gt;1&lt;/C&gt;&lt;D xsi:type="xsd:double"&gt;3.404687&lt;/D&gt;&lt;/FQL&gt;&lt;FQL&gt;&lt;Q&gt;EWT^FG_FCF_YIELD_NTM(0)&lt;/Q&gt;&lt;R&gt;1&lt;/R&gt;&lt;C&gt;1&lt;/C&gt;&lt;D xsi:type="xsd:double"&gt;3.51236600062008&lt;/D&gt;&lt;/FQL&gt;&lt;FQL&gt;&lt;Q&gt;EWT^FMA_PE(LTM,0,,,"PORTAGG","MEANR")&lt;/Q&gt;&lt;R&gt;1&lt;/R&gt;&lt;C&gt;1&lt;/C&gt;&lt;D xsi:type="xsd:double"&gt;22.4728913468777&lt;/D&gt;&lt;/FQL&gt;&lt;FQL&gt;&lt;Q&gt;REFKRBASE-FDS^PROPER_NAME(0,,,"SECURITY","NAME")&lt;/Q&gt;&lt;R&gt;1&lt;/R&gt;&lt;C&gt;1&lt;/C&gt;&lt;D xsi:type="xsd:string"&gt;South Korea Base Rate&lt;/D&gt;&lt;/FQL&gt;&lt;FQL&gt;&lt;Q&gt;CPALM-FDS^FG_PRICE(0)&lt;/Q&gt;&lt;R&gt;1&lt;/R&gt;&lt;C&gt;1&lt;/C&gt;&lt;D xsi:type="xsd:double"&gt;4330&lt;/D&gt;&lt;/FQL&gt;&lt;FQL&gt;&lt;Q&gt;MCHI^FG_FCF_YIELD_NTM(0)&lt;/Q&gt;&lt;R&gt;1&lt;/R&gt;&lt;C&gt;1&lt;/C&gt;&lt;D xsi:type="xsd:double"&gt;7.17939951141359&lt;/D&gt;&lt;/FQL&gt;&lt;FQL&gt;&lt;Q&gt;INDA^FMA_COS_UP("EPS","1M",+1,NOW,,,"PORTAGG","MEANR")&lt;/Q&gt;&lt;R&gt;1&lt;/R&gt;&lt;C&gt;1&lt;/C&gt;&lt;D xsi:type="xsd:double"&gt;49&lt;/D&gt;&lt;/FQL&gt;&lt;FQL&gt;&lt;Q&gt;EPU^FMA_EVAL_EBIT(LTMA,NOW,NOW,M,"PORTAGG","MEANR")&lt;/Q&gt;&lt;R&gt;1&lt;/R&gt;&lt;C&gt;1&lt;/C&gt;&lt;D xsi:type="xsd:double"&gt;13.2143418899085&lt;/D&gt;&lt;/FQL&gt;&lt;FQL&gt;&lt;Q&gt;USDQAR^FG_PRICE_CHANGE(0,-3AM)&lt;/Q&gt;&lt;R&gt;1&lt;/R&gt;&lt;C&gt;1&lt;/C&gt;&lt;D xsi:type="xsd:double"&gt;0&lt;/D&gt;&lt;/FQL&gt;&lt;FQL&gt;&lt;Q&gt;VNM^FMA_PE(LTMA,-10AY,0,AM,"PORTAGG","MEANR")&lt;/Q&gt;&lt;R&gt;121&lt;/R&gt;&lt;C&gt;1&lt;/C&gt;&lt;D xsi:type="xsd:double"&gt;11.6984557647636&lt;/D&gt;&lt;D xsi:type="xsd:double"&gt;11.9127869209911&lt;/D&gt;&lt;D xsi:type="xsd:double"&gt;11.8917495244519&lt;/D&gt;&lt;D xsi:type="xsd:double"&gt;12.1014803153146&lt;/D&gt;&lt;D xsi:type="xsd:double"&gt;12.5658438770269&lt;/D&gt;&lt;D xsi:type="xsd:double"&gt;12.8904072394234&lt;/D&gt;&lt;D xsi:type="xsd:double"&gt;13.7656401161663&lt;/D&gt;&lt;D xsi:type="xsd:double"&gt;13.2299322732381&lt;/D&gt;&lt;D xsi:type="xsd:double"&gt;13.1762789231027&lt;/D&gt;&lt;D xsi:type="xsd:double"&gt;12.9037719911215&lt;/D&gt;&lt;D xsi:type="xsd:double"&gt;12.3471392396991&lt;/D&gt;&lt;D xsi:type="xsd:double"&gt;12.9326869696716&lt;/D&gt;&lt;D xsi:type="xsd:double"&gt;16.7477850793961&lt;/D&gt;&lt;D xsi:type="xsd:double"&gt;16.7477374033261&lt;/D&gt;&lt;D xsi:type="xsd:double"&gt;16.6235982613968&lt;/D&gt;&lt;D xsi:type="xsd:double"&gt;16.637610484276&lt;/D&gt;&lt;D xsi:type="xsd:double"&gt;17.2970877523469&lt;/D&gt;&lt;D xsi:type="xsd:double"&gt;16.8381130869865&lt;/D&gt;&lt;D xsi:type="xsd:double"&gt;17.4149205578157&lt;/D&gt;&lt;D xsi:type="xsd:double"&gt;20.1920145988931&lt;/D&gt;&lt;D xsi:type="xsd:double"&gt;24.4027397420334&lt;/D&gt;&lt;D xsi:type="xsd:double"&gt;23.2416023862477&lt;/D&gt;&lt;D xsi:type="xsd:double"&gt;35.4457370162634&lt;/D&gt;&lt;D xsi:type="xsd:double"&gt;19.2200734234488&lt;/D&gt;&lt;D xsi:type="xsd:double"&gt;-4.82041463544784&lt;/D&gt;&lt;D xsi:type="xsd:double"&gt;-3.41177194306726&lt;/D&gt;&lt;D xsi:type="xsd:double"&gt;-1.66775375401573&lt;/D&gt;&lt;D xsi:type="xsd:double"&gt;0.464402439610602&lt;/D&gt;&lt;D xsi:type="xsd:double"&gt;2.27881233206307&lt;/D&gt;&lt;D xsi:type="xsd:double"&gt;3.8052855833</t>
        </r>
      </text>
    </comment>
    <comment ref="A21" authorId="0" shapeId="0" xr:uid="{322AFC1F-380B-4CA7-9E94-2A4862696AEA}">
      <text>
        <r>
          <rPr>
            <b/>
            <sz val="9"/>
            <color indexed="81"/>
            <rFont val="Tahoma"/>
            <charset val="1"/>
          </rPr>
          <t>2624&lt;/D&gt;&lt;D xsi:type="xsd:double"&gt;5.65867152826305&lt;/D&gt;&lt;D xsi:type="xsd:double"&gt;10.3630928758674&lt;/D&gt;&lt;D xsi:type="xsd:double"&gt;11.6692257723545&lt;/D&gt;&lt;D xsi:type="xsd:double"&gt;13.2575995909961&lt;/D&gt;&lt;D xsi:type="xsd:double"&gt;14.8910534927564&lt;/D&gt;&lt;D xsi:type="xsd:double"&gt;15.4657065201567&lt;/D&gt;&lt;D xsi:type="xsd:double"&gt;15.4547187351276&lt;/D&gt;&lt;D xsi:type="xsd:double"&gt;15.7298811926284&lt;/D&gt;&lt;D xsi:type="xsd:double"&gt;15.978488888674&lt;/D&gt;&lt;D xsi:type="xsd:double"&gt;15.720274246723&lt;/D&gt;&lt;D xsi:type="xsd:double"&gt;16.3743564245456&lt;/D&gt;&lt;D xsi:type="xsd:double"&gt;17.5282732779183&lt;/D&gt;&lt;D xsi:type="xsd:double"&gt;18.1388041936593&lt;/D&gt;&lt;D xsi:type="xsd:double"&gt;18.2073277648084&lt;/D&gt;&lt;D xsi:type="xsd:double"&gt;19.1645632254171&lt;/D&gt;&lt;D xsi:type="xsd:double"&gt;21.1011451635481&lt;/D&gt;&lt;D xsi:type="xsd:double"&gt;24.6559000143423&lt;/D&gt;&lt;D xsi:type="xsd:double"&gt;23.7806013735562&lt;/D&gt;&lt;D xsi:type="xsd:double"&gt;24.538115499033&lt;/D&gt;&lt;D xsi:type="xsd:double"&gt;24.5242068369477&lt;/D&gt;&lt;D xsi:type="xsd:double"&gt;24.1539699757274&lt;/D&gt;&lt;D xsi:type="xsd:double"&gt;23.5749408670049&lt;/D&gt;&lt;D xsi:type="xsd:double"&gt;21.5723822133932&lt;/D&gt;&lt;D xsi:type="xsd:double"&gt;22.1323788583256&lt;/D&gt;&lt;D xsi:type="xsd:double"&gt;22.1005821751319&lt;/D&gt;&lt;D xsi:type="xsd:double"&gt;20.4290106356083&lt;/D&gt;&lt;D xsi:type="xsd:double"&gt;19.4159737402463&lt;/D&gt;&lt;D xsi:type="xsd:double"&gt;19.537879007768&lt;/D&gt;&lt;D xsi:type="xsd:double"&gt;18.3018520594487&lt;/D&gt;&lt;D xsi:type="xsd:double"&gt;18.6637073426454&lt;/D&gt;&lt;D xsi:type="xsd:double"&gt;19.7443827321869&lt;/D&gt;&lt;D xsi:type="xsd:double"&gt;19.776261936152&lt;/D&gt;&lt;D xsi:type="xsd:double"&gt;19.506549884084&lt;/D&gt;&lt;D xsi:type="xsd:double"&gt;19.3403713896295&lt;/D&gt;&lt;D xsi:type="xsd:double"&gt;19.110142150243&lt;/D&gt;&lt;D xsi:type="xsd:double"&gt;18.3456539192379&lt;/D&gt;&lt;D xsi:type="xsd:double"&gt;17.491618877924&lt;/D&gt;&lt;D xsi:type="xsd:double"&gt;17.2715250074017&lt;/D&gt;&lt;D xsi:type="xsd:double"&gt;17.835188939146&lt;/D&gt;&lt;D xsi:type="xsd:double"&gt;17.5086676425248&lt;/D&gt;&lt;D xsi:type="xsd:double"&gt;16.3007540347015&lt;/D&gt;&lt;D xsi:type="xsd:double"&gt;15.5129745550361&lt;/D&gt;&lt;D xsi:type="xsd:double"&gt;14.7404624567339&lt;/D&gt;&lt;D xsi:type="xsd:double"&gt;15.1086959555741&lt;/D&gt;&lt;D xsi:type="xsd:double"&gt;15.3873670318453&lt;/D&gt;&lt;D xsi:type="xsd:double"&gt;16.2356293003071&lt;/D&gt;&lt;D xsi:type="xsd:double"&gt;16.3225570473383&lt;/D&gt;&lt;D xsi:type="xsd:double"&gt;16.7357226744323&lt;/D&gt;&lt;D xsi:type="xsd:double"&gt;18.2338898889313&lt;/D&gt;&lt;D xsi:type="xsd:double"&gt;18.7416223337108&lt;/D&gt;&lt;D xsi:type="xsd:double"&gt;19.0875235803389&lt;/D&gt;&lt;D xsi:type="xsd:double"&gt;21.2149962042359&lt;/D&gt;&lt;D xsi:type="xsd:double"&gt;24.3973762659218&lt;/D&gt;&lt;D xsi:type="xsd:double"&gt;23.9458470525585&lt;/D&gt;&lt;D xsi:type="xsd:double"&gt;24.2363159972375&lt;/D&gt;&lt;D xsi:type="xsd:double"&gt;23.6002233638378&lt;/D&gt;&lt;D xsi:type="xsd:double"&gt;22.7020966059342&lt;/D&gt;&lt;D xsi:type="xsd:double"&gt;22.986912556913&lt;/D&gt;&lt;D xsi:type="xsd:double"&gt;21.6181388944911&lt;/D&gt;&lt;D xsi:type="xsd:double"&gt;21.2253433819868&lt;/D&gt;&lt;D xsi:type="xsd:double"&gt;20.3720185058817&lt;/D&gt;&lt;D xsi:type="xsd:double"&gt;20.156024388891&lt;/D&gt;&lt;D xsi:type="xsd:double"&gt;20.0586945343517&lt;/D&gt;&lt;D xsi:type="xsd:double"&gt;19.3962230916986&lt;/D&gt;&lt;D xsi:type="xsd:double"&gt;17.8150424413818&lt;/D&gt;&lt;D xsi:type="xsd:double"&gt;16.6586479912013&lt;/D&gt;&lt;D xsi:type="xsd:double"&gt;16.2371130965773&lt;/D&gt;&lt;D xsi:type="xsd:double"&gt;16.1494754558446&lt;/D&gt;&lt;D xsi:type="xsd:double"&gt;15.1954331664547&lt;/D&gt;&lt;D xsi:type="xsd:double"&gt;15.085820827006&lt;/D&gt;&lt;D xsi:type="xsd:double"&gt;13.9903195678856&lt;/D&gt;&lt;D xsi:type="xsd:double"&gt;14.0561959508267&lt;/D&gt;&lt;D xsi:type="xsd:double"&gt;13.5490821449872&lt;/D&gt;&lt;D xsi:type="xsd:double"&gt;12.6461483179832&lt;/D&gt;&lt;D xsi:type="xsd:double"&gt;11.2456584317672&lt;/D&gt;&lt;D xsi:type="xsd:double"&gt;12.899286191568&lt;/D&gt;&lt;D xsi:type="xsd:double"&gt;12.0362754713657&lt;/D&gt;&lt;D xsi:type="xsd:double"&gt;12.2713710694492&lt;/D&gt;&lt;D xsi:type="xsd:double"&gt;12.3885130198788&lt;/D&gt;&lt;D xsi:type="xsd:double"&gt;12.8138667296281&lt;/D&gt;&lt;D xsi:type="xsd:double"&gt;13.2406417007563&lt;/D&gt;&lt;D xsi:type="xsd:double"&gt;13.5971601674688&lt;/D&gt;&lt;D xsi:type="xsd:double"&gt;13.5456330635532&lt;/D&gt;&lt;D xsi:type="xsd:double"&gt;14.7136337736255&lt;/D&gt;&lt;D xsi:type="xsd:double"&gt;15.5091809687269&lt;/D&gt;&lt;D xsi:type="xsd:double"&gt;15.9288818912201&lt;/D&gt;&lt;D xsi:type="xsd:double"&gt;15.7100423717327&lt;/D&gt;&lt;D xsi:type="xsd:double"&gt;16.2468627669988&lt;/D&gt;&lt;D xsi:type="xsd:double"&gt;16.7050713845341&lt;/D&gt;&lt;D xsi:type="xsd:double"&gt;16.8387125797511&lt;/D&gt;&lt;D xsi:type="xsd:double"&gt;18.7086218453732&lt;/D&gt;&lt;/FQL&gt;&lt;FQL&gt;&lt;Q&gt;EPOL^FG_PRICE_MAVG(0,,,,30)&lt;/Q&gt;&lt;R&gt;1&lt;/R&gt;&lt;C&gt;1&lt;/C&gt;&lt;D xsi:type="xsd:double"&gt;23.014668&lt;/D&gt;&lt;/FQL&gt;&lt;FQL&gt;&lt;Q&gt;GREK^FG_TOTAL_RETURNC(0,-6AM)&lt;/Q&gt;&lt;R&gt;1&lt;/R&gt;&lt;C&gt;1&lt;/C&gt;&lt;D xsi:type="xsd:double"&gt;19.544434&lt;/D&gt;&lt;/FQL&gt;&lt;FQL&gt;&lt;Q&gt;CNYA^FG_TOTAL_RETURNC(0,-6AM)&lt;/Q&gt;&lt;R&gt;1&lt;/R&gt;&lt;C&gt;1&lt;/C&gt;&lt;D xsi:type="xsd:double"&gt;-3.271091&lt;/D&gt;&lt;/FQL&gt;&lt;FQL&gt;&lt;Q&gt;EWZ^PERCENT_CHANGE(FMA_EPS(+1,0,,,,"PORTAGG","MEAN"),FMA_EPS(+1,-3AM,,,,"PORTAGG","MEAN"))&lt;/Q&gt;&lt;R&gt;1&lt;/R&gt;&lt;C&gt;1&lt;/C&gt;&lt;D xsi:type="xsd:double"&gt;-7.7827452412147&lt;/D&gt;&lt;/FQL&gt;&lt;FQL&gt;&lt;Q&gt;VWO^FMA_COS_DOWN("EPS","1M",+1,NOW,,,"PORTAGG","MEANR")&lt;/Q&gt;&lt;R&gt;1&lt;/R&gt;&lt;C&gt;1&lt;/C&gt;&lt;D xsi:type="xsd:double"&gt;1197&lt;/D&gt;&lt;/FQL&gt;&lt;FQL&gt;&lt;Q&gt;EPOL^FMA_RBICS_REV_CURRENT(30, LOC, "PORTAGG")&lt;/Q&gt;&lt;R&gt;1&lt;/R&gt;&lt;C&gt;1&lt;/C&gt;&lt;D xsi:type="xsd:double"&gt;48.9007931524453&lt;/D&gt;&lt;/FQL&gt;&lt;FQL&gt;&lt;Q&gt;REFEUREFI-FDS^PROPER_NAME(0,,,"SECURITY","NAME")&lt;/Q&gt;&lt;R&gt;1&lt;/R&gt;&lt;C&gt;1&lt;/C&gt;&lt;D xsi:type="xsd:string"&gt;Eurozone Main Refinancing Operations Minimum Bid Rate&lt;/D&gt;&lt;/FQL&gt;&lt;FQL&gt;&lt;Q&gt;TRYMY10Y-FDS^PCTCHG(FG_YIELD(0,,,,"YTM"),FG_YIELD(-3AM,,,,"YTM"))&lt;/Q&gt;&lt;R&gt;1&lt;/R&gt;&lt;C&gt;1&lt;/C&gt;&lt;D xsi:type="xsd:double"&gt;3.811343&lt;/D&gt;&lt;/FQL&gt;&lt;FQL&gt;&lt;Q&gt;CC_TH^IMF_IFS_RCPI_Q(0)&lt;/Q&gt;&lt;R&gt;0&lt;/R&gt;&lt;C&gt;0&lt;/C&gt;&lt;/FQL&gt;&lt;FQL&gt;&lt;Q&gt;SET-BKK^FG_FCF_YIELD_NTM(0)&lt;/Q&gt;&lt;R&gt;1&lt;/R&gt;&lt;C&gt;1&lt;/C&gt;&lt;D xsi:type="xsd:double"&gt;5.0103054276418&lt;/D&gt;&lt;/FQL&gt;&lt;FQL&gt;&lt;Q&gt;EWW^FMA_EVAL_EBITDA(NTMA,0,,,"PORTAGG","MEANR")&lt;/Q&gt;&lt;R&gt;1&lt;/R&gt;&lt;C&gt;1&lt;/C&gt;&lt;D xsi:type="xsd:double"&gt;6.06049804057842&lt;/D&gt;&lt;/FQL&gt;&lt;FQL&gt;&lt;Q&gt;EPOL^FMA_PE(NTMA,0,,,"PORTAGG","MEANR")&lt;/Q&gt;&lt;R&gt;1&lt;/R&gt;&lt;C&gt;1&lt;/C&gt;&lt;D xsi:type="xsd:double"&gt;9.38584718131197&lt;/D&gt;&lt;/FQL&gt;&lt;FQL&gt;&lt;Q&gt;VGK^JULIAN(FMA_DIV_YLD(NTMA,NOW,NOW,M,"PORTAGG","MEANR").DATES)&lt;/Q&gt;&lt;R&gt;1&lt;/R&gt;&lt;C&gt;1&lt;/C&gt;&lt;D xsi:type="xsd:long"&gt;45322&lt;/D&gt;&lt;/FQL&gt;&lt;FQL&gt;&lt;Q&gt;GREK^FMA_EVAL_EBITDA(NTMA,0,,,"PORTAGG","MEANR")&lt;/Q&gt;&lt;R&gt;1&lt;/R&gt;&lt;C&gt;1&lt;/C&gt;&lt;D xsi:type="xsd:double"&gt;5.17109404345076&lt;/D&gt;&lt;/FQL&gt;&lt;FQL&gt;&lt;Q&gt;EWW^FG_FCF_YIELD_NTM(0)&lt;/Q&gt;&lt;R&gt;1&lt;/R&gt;&lt;C&gt;1&lt;/C&gt;&lt;D xsi:type="xsd:double"&gt;8.00003359071373&lt;/D&gt;&lt;/FQL&gt;&lt;FQL&gt;&lt;Q&gt;SET-BKK^FMA_DIV_YLD(NTMA,NOW,NOW,M,"PORTAGG","MEANR")&lt;/Q&gt;&lt;R&gt;1&lt;/R&gt;&lt;C&gt;1&lt;/C&gt;&lt;D xsi:type="xsd:double"&gt;3.48732206191412&lt;/D&gt;&lt;/FQL&gt;&lt;FQL&gt;&lt;Q&gt;REFZAREPO-FDS^FG_YIELD(NOW,,,0)&lt;/Q&gt;&lt;R&gt;1&lt;/R&gt;&lt;C&gt;1&lt;/C&gt;&lt;D xsi:type="xsd:double"&gt;8.25&lt;/D&gt;&lt;/FQL&gt;&lt;FQL&gt;&lt;Q&gt;EPOL^JULIAN(FMA_DIV_YLD(NTMA,NOW,NOW,M,"PORTAGG","MEANR").DATES)&lt;/Q&gt;&lt;R&gt;1&lt;/R&gt;&lt;C&gt;1&lt;/C&gt;&lt;D xsi:type="xsd:long"&gt;45351&lt;/D&gt;&lt;/FQL&gt;&lt;FQL&gt;&lt;Q&gt;GREK^FG_COMPANY_NAME&lt;/Q&gt;&lt;R&gt;1&lt;/R&gt;&lt;C&gt;1&lt;/C&gt;&lt;D xsi:type="xsd:string"&gt;Global X MSCI Greece ETF&lt;/D&gt;&lt;/FQL&gt;&lt;FQL&gt;&lt;Q&gt;USDINR^FG_PRICE_CHANGE(0,-6AM)&lt;/Q&gt;&lt;R&gt;1&lt;/R&gt;&lt;C&gt;1&lt;/C&gt;&lt;D xsi:type="xsd:double"&gt;-0.2521217&lt;/D&gt;&lt;/FQL&gt;&lt;FQL&gt;&lt;Q&gt;EWT^FMA_PE(LTMA,-10AY,0,AM,"PORTAGG","MEANR")&lt;/Q&gt;&lt;R&gt;121&lt;/R&gt;&lt;C&gt;1&lt;/C&gt;&lt;D xsi:type="xsd:double"&gt;15.7202720865615&lt;/D&gt;&lt;D xsi:type="xsd:double"&gt;15.6972419383335&lt;/D&gt;&lt;D xsi:type="xsd:double"&gt;15.4413940089229&lt;/D&gt;&lt;D xsi:type="xsd:double"&gt;15.4990275923465&lt;/D&gt;&lt;D xsi:type="xsd:double"&gt;15.6679169798778&lt;/D&gt;&lt;D xsi:type="xsd:double"&gt;14.9920227098155&lt;/D&gt;&lt;D xsi:type="xsd:double"&gt;14.7402108793177&lt;/D&gt;&lt;D xsi:type="xsd:double"&gt;14.0339159511429&lt;/D&gt;&lt;D xsi:type="xsd:double"&gt;14.0499343010415&lt;/D&gt;&lt;D xsi:type="xsd:double"&gt;13.7107961509368&lt;/D&gt;&lt;D xsi:type="xsd:double"&gt;13.728549217709&lt;/D&gt;&lt;D xsi:type="xsd:double"&gt;14.2967690521221&lt;/D&gt;&lt;D xsi:type="xsd:double"&gt;14.2623878846816&lt;/D&gt;&lt;D xsi:type="xsd:double"&gt;14.0989534221717&lt;/D&gt;&lt;D xsi:type="xsd:double"&gt;14.0149687761581&lt;/D&gt;&lt;D xsi:type="xsd:double"&gt;13.8567682186873&lt;/D&gt;&lt;D xsi:type="xsd:double"&gt;13.5133245102219&lt;/D&gt;&lt;D xsi:type="xsd:double"&gt;12.9250771582446&lt;/D&gt;&lt;D xsi:type="xsd:double"&gt;12.8050647565331&lt;/D&gt;&lt;D xsi:type="xsd:double"&gt;12.8133989462569&lt;/D&gt;&lt;D xsi:type="xsd:double"&gt;12.5879674812778&lt;/D&gt;&lt;D xsi:type="xsd:double"&gt;12.0216275527301&lt;/D&gt;&lt;D xsi:type="xsd:double"&gt;11.1248125955867&lt;/D&gt;&lt;D xsi:type="xsd:double"&gt;11.8690604515072&lt;/D&gt;&lt;D xsi:type="xsd:double"&gt;12.4762295757145&lt;/D&gt;&lt;D xsi:type="xsd:double"&gt;12.565377813023&lt;/D&gt;&lt;D xsi:type="xsd:double"&gt;12.3675217785031&lt;/D&gt;&lt;D xsi:type="xsd:double"&gt;12.8770573635503&lt;/D&gt;&lt;D xsi:type="xsd:double"&gt;13.2492969592171&lt;/D&gt;&lt;D xsi:type="xsd:double"&gt;13.8013596416782&lt;/D&gt;&lt;D xsi:type="xsd:double"&gt;13.6631476172785&lt;/D&gt;&lt;D xsi:type="xsd:double"&gt;14.1939909616971&lt;/D&gt;&lt;D xsi:type="xsd:double"&gt;13.8288543491042&lt;/D&gt;&lt;D xsi:type="xsd:double"&gt;14.4486005058072&lt;/D&gt;&lt;D xsi:type="xsd:double"&gt;14.3981603432607&lt;/D&gt;&lt;D xsi:type="xsd:double"&gt;14.6024681967682&lt;/D&gt;&lt;D xsi:type="xsd:double"&gt;14.474156792115&lt;/D&gt;&lt;D xsi:type="xsd:double"&gt;14.396164492589&lt;/D&gt;&lt;D xsi:type="xsd:double"&gt;14.3547666267478&lt;/D&gt;&lt;D xsi:type="xsd:double"&gt;14.3414878020943&lt;/D&gt;&lt;D xsi:type="xsd:double"&gt;14.6960630142979&lt;/D&gt;&lt;D xsi:type="xsd:double"&gt;14.5926500811764&lt;/D&gt;&lt;D xsi:type="xsd:double"&gt;14.5680591674351&lt;/D&gt;&lt;D xsi:type="xsd:double"&gt;14.7158918468261&lt;/D&gt;&lt;D xsi:type="xsd:double"&gt;14.9016686220451&lt;/D&gt;&lt;D xsi:type="xsd:double"&gt;14.5569092712171&lt;/D&gt;&lt;D xsi:type="xsd:double"&gt;14.7494211603898&lt;/D&gt;&lt;D xsi:type="xsd:double"&gt;14.0779938144605&lt;/D&gt;&lt;D xsi:type="xsd:double"&gt;14.5032455550088&lt;/D&gt;&lt;D xsi:type="xsd:double"&gt;14.3904445776516&lt;/D&gt;&lt;D xsi:type="xsd:double"&gt;14.3723278948796&lt;/D&gt;&lt;D xsi:type="xsd:double"&gt;14.2832959732437&lt;/D&gt;&lt;D xsi:type="xsd:double"&gt;14.1217214386244&lt;/D&gt;&lt;D xsi:type="xsd:double"&gt;14.0584633242733&lt;/D&gt;&lt;D xsi:type="xsd:double"&gt;13.816311097847&lt;/D&gt;&lt;D xsi:type="xsd:double"&gt;12.9453487569104&lt;/D&gt;&lt;D xsi:type="xsd:double"&gt;12.625601231828&lt;/D&gt;&lt;D xsi:type="xsd:double"&gt;12.5628365737967&lt;/D&gt;&lt;D xsi:type="xsd:double"&gt;12.692532710253&lt;/D&gt;&lt;D xsi:type="xsd:double"&gt;13.4625481984884&lt;/D&gt;&lt;D xsi:type="xsd:double"&gt;14.114035153436&lt;/D&gt;&lt;D xsi:type="xsd:double"&gt;14.3736325810123&lt;/D&gt;&lt;D xsi:type="xsd:double"&gt;14.4170883959244&lt;/D&gt;&lt;D xsi:type="xsd:double"&gt;14.5559335903893&lt;/D&gt;&lt;D xsi:type="xsd:double"&gt;14.9889499184946&lt;/D&gt;&lt;D xsi:type="xsd:double"&gt;14.7901872717938&lt;/D&gt;&lt;D xsi:type="xsd:double"&gt;15.437907648979&lt;/D&gt;&lt;D xsi:type="xsd:double"&gt;15.9391344968177&lt;/D&gt;&lt;D xsi:type="xsd:double"&gt;16.5297271550427&lt;/D&gt;&lt;D xsi:type="xsd:double"&gt;17.2065324908082&lt;/D&gt;&lt;D xsi:type="xsd:double"&gt;17.7630685980691&lt;/D&gt;&lt;D xsi:type="xsd:double"&gt;17.301870601546&lt;/D&gt;&lt;D xsi:type="xsd:double"&gt;16.0493852035965&lt;/D&gt;&lt;D xsi:type="xsd:double"&gt;16.2326166399577&lt;/D&gt;&lt;D xsi:type="xsd:double"&gt;16.4215169897226&lt;/D&gt;&lt;D xsi:type="xsd:double"&gt;16.9770664728549&lt;/D&gt;&lt;D xsi:type="xsd:double"&gt;17.7565012227455&lt;/D&gt;&lt;D xsi:type="xsd:double"&gt;17.7282928098476&lt;/D&gt;&lt;D xsi:type="xsd:double"&gt;17.2778058210549&lt;/D&gt;&lt;D xsi:type="xsd:double"&gt;17.3420510063647&lt;/D&gt;&lt;D xsi:type="xsd:double"&gt;17.0412791105918&lt;/D&gt;&lt;D xsi:type="xsd:double"&gt;17.6345664034831&lt;/D&gt;&lt;D xsi:type="xsd:double"&gt;19.2726306212236&lt;/D&gt;&lt;D xsi:type="xsd:double"&gt;18.7642727895666&lt;/D&gt;&lt;D xsi:type="xsd:double"&gt;18.5218669646057&lt;/D&gt;&lt;D xsi:type="xsd:double"&gt;18.0722004358327&lt;/D&gt;&lt;D xsi:type="xsd:double"&gt;16.9634861734796&lt;/D&gt;&lt;D xsi:type="xsd:double"&gt;16.785002333541&lt;/D&gt;&lt;D xsi:type="xsd:double"&gt;16.337579281366&lt;/D&gt;&lt;D xsi:type="xsd:double"&gt;15.1830888545115&lt;/D&gt;&lt;D xsi:type="xsd:double"&gt;14.7908312137159&lt;/D&gt;&lt;D xsi:type="xsd:double"&gt;13.5320491715609&lt;/D&gt;&lt;D xsi:type="xsd:double"&gt;13.5718203059731&lt;/D&gt;&lt;D xsi:type="xsd:double"&gt;12.8556406346209&lt;/D&gt;&lt;D xsi:type="xsd:double"&gt;13.0897534660554&lt;/D&gt;&lt;D xsi:type="xsd:double"&gt;12.6551989497686&lt;/D&gt;&lt;D xsi:type="xsd:double"&gt;12.3047064237437&lt;/D&gt;&lt;D xsi:type="xsd:double"&gt;12.2032928141357&lt;/D&gt;&lt;D xsi:type="xsd:double"&gt;11.8553272249712&lt;/D&gt;&lt;D xsi:type="xsd:double"&gt;11.8062260257801&lt;/D&gt;&lt;D xsi:type="xsd:double"&gt;11.0087097866492&lt;/D&gt;&lt;D xsi:type="xsd:double"&gt;11.3242479123264&lt;/D&gt;&lt;D xsi:type="xsd:double"&gt;10.9664746204641&lt;/D&gt;&lt;D xsi:type="xsd:double"&gt;10.0691627138416&lt;/D&gt;&lt;D xsi:type="xsd:double"&gt;10.7337885104&lt;/D&gt;&lt;D xsi:type="xsd:double"&gt;11.2025211872848&lt;/D&gt;&lt;D xsi:type="xsd:double"&gt;11.4117903614407&lt;/D&gt;&lt;D xsi:type="xsd:double"&gt;12.3637316356458&lt;/D&gt;&lt;D xsi:type="xsd:double"&gt;12.5660629915604&lt;/D&gt;&lt;D xsi:type="xsd:double"&gt;13.1170490206538&lt;/D&gt;&lt;D xsi:type="xsd:double"&gt;13.565473711811&lt;/D&gt;&lt;D xsi:type="xsd:double"&gt;14.8179387679156&lt;/D&gt;&lt;D xsi:type="xsd:double"&gt;15.5905497465549&lt;/D&gt;&lt;D xsi:type="xsd:double"&gt;15.7945378000121&lt;/D&gt;&lt;D xsi:type="xsd:double"&gt;16.3503614552444&lt;/D&gt;&lt;D xsi:type="xsd:double"&gt;16.7625703562712&lt;/D&gt;&lt;D xsi:type="xsd:double"&gt;16.9822237656669&lt;/D&gt;&lt;D xsi:type="xsd:double"&gt;18.3207753787326&lt;/D&gt;&lt;D xsi:type="xsd:double"&gt;18.7354091477725&lt;/D&gt;&lt;D xsi:type="xsd:double"&gt;19.1288186387164&lt;/D&gt;&lt;D xsi:type="xsd:double"&gt;19.9250557408397&lt;/D&gt;&lt;/FQL&gt;&lt;FQL&gt;&lt;Q&gt;EPOL^FG_PRICE(0)&lt;/Q&gt;&lt;R&gt;1&lt;/R&gt;&lt;C&gt;1&lt;/C&gt;&lt;D xsi:type="xsd:double"&gt;23.62&lt;/D&gt;&lt;/FQL&gt;&lt;FQL&gt;&lt;Q&gt;GREK^FG_TOTAL_RETURNC(0,-3AM)&lt;/Q&gt;&lt;R&gt;1&lt;/R&gt;&lt;C&gt;1&lt;/C&gt;&lt;D xsi:type="xsd:double"&gt;8.282089&lt;/D&gt;&lt;/FQL&gt;&lt;FQL&gt;&lt;Q&gt;EWZ^FMA_PCT_ABOVE_MAVG(200,0,,,,"PORTAGG")&lt;/Q&gt;&lt;R&gt;1&lt;/R&gt;&lt;C&gt;1&lt;/C&gt;&lt;D xsi:type="xsd:double"&gt;60&lt;/D&gt;&lt;/FQL&gt;&lt;FQL&gt;&lt;Q&gt;VWO^FMA_COS_UP("EPS","1M",+1,NOW,,,"PORTAGG","MEANR")&lt;/Q&gt;&lt;R&gt;1&lt;/R&gt;&lt;C&gt;1&lt;/C&gt;&lt;D xsi:type="xsd:double"&gt;775&lt;/D&gt;&lt;/FQL&gt;&lt;FQL&gt;&lt;Q&gt;EWW^FMA_COS_UP("EPS","1M",+1,NOW,,,"PORTAGG","MEANR")&lt;/Q&gt;&lt;R&gt;1&lt;/R&gt;&lt;C&gt;1&lt;/C&gt;&lt;D xsi:type="xsd:double"&gt;16&lt;/D&gt;&lt;/FQL&gt;&lt;FQL&gt;&lt;Q&gt;EPHE^FMA_RBICS_REV_CURRENT(30, LOC, "PORTAGG")&lt;/Q&gt;&lt;R&gt;1&lt;/R&gt;&lt;C&gt;1&lt;/C&gt;&lt;D xsi:type="xsd:double"&gt;47.2004098653031&lt;/D&gt;&lt;/FQL&gt;&lt;FQL&gt;&lt;Q&gt;TRYMY10Y-FDS^PCTCHG(FG_YIELD(0,,,,"YTM"),FG_YIELD(-1AM,,,,"YTM"))&lt;/Q&gt;&lt;R&gt;1&lt;/R&gt;&lt;C&gt;1&lt;/C&gt;&lt;D xsi:type="xsd:double"&gt;1.3854132&lt;/D&gt;&lt;/FQL&gt;&lt;FQL&gt;&lt;Q&gt;CNYA^FMA_PE(LTM,0,,,"PORTAGG","MEANR")&lt;/Q&gt;&lt;R&gt;1&lt;/R&gt;&lt;C&gt;1&lt;/C&gt;&lt;D xsi:type="xsd:double"&gt;14.3574289343155&lt;/D&gt;&lt;/FQL&gt;&lt;FQL&gt;&lt;Q&gt;TRYPE10Y-FDS^PCTCHG(FG_YIELD(0,,,,"YTM"),FG_YIELD(-1AM,,,,"YTM"))&lt;/Q&gt;&lt;R&gt;1&lt;/R&gt;&lt;C&gt;1&lt;/C&gt;&lt;D xsi:type="xsd:double"&gt;3.9541519&lt;/D&gt;&lt;/FQL&gt;&lt;FQL&gt;&lt;Q&gt;EPHE^FG_PRICE_MAVG(0,,,,30)&lt;/Q&gt;&lt;R&gt;1&lt;/R&gt;&lt;C&gt;1&lt;/C&gt;&lt;D xsi:type="xsd:double"&gt;27.446&lt;/D&gt;&lt;/FQL&gt;&lt;FQL&gt;&lt;Q&gt;EZA^P_PRICE(0)/P_PRICE_LOW_PR(0,,,USD,,,"PRICE","INTRA","52W")-1&lt;/Q&gt;&lt;R&gt;1&lt;/R&gt;&lt;C&gt;1&lt;/C&gt;&lt;D xsi:type="xsd:double"&gt;0.083892584&lt;/D&gt;&lt;/FQL&gt;&lt;FQL&gt;&lt;Q&gt;EWJ^PERCENT_CHANGE(FMA_EPS(+1,0,,,,"PORTAGG","MEAN"),FMA_EPS(+1,-3AM,,,,"PORTAGG","MEAN"))&lt;/Q&gt;&lt;R&gt;1&lt;/R&gt;&lt;C&gt;1&lt;/C&gt;&lt;D xsi:type="xsd:double"&gt;-3.00640915962454&lt;/D&gt;&lt;/FQL&gt;&lt;FQL&gt;&lt;Q&gt;VGK^FMA_COS_DOWN("EPS","1M",+1,NOW,,,"PORTAGG","MEANR")&lt;/Q&gt;&lt;R&gt;1&lt;/R&gt;&lt;C&gt;1&lt;/C&gt;&lt;D xsi:type="xsd:double"&gt;546&lt;/D&gt;&lt;/FQL&gt;&lt;FQL&gt;&lt;Q&gt;EWT^FMA_COS_DOWN("EPS","1M",+1,NOW,,,"PORTAGG","MEANR")&lt;/Q&gt;&lt;R&gt;1&lt;/R&gt;&lt;C&gt;1&lt;/C&gt;&lt;D xsi:type="xsd:double"&gt;42&lt;/D&gt;&lt;/FQL&gt;&lt;FQL&gt;&lt;Q&gt;EIDO^FMA_RBICS_REV_CURRENT(30, LOC, "PORTAGG")&lt;/Q&gt;&lt;R&gt;1&lt;/R&gt;&lt;C&gt;1&lt;/C&gt;&lt;D xsi:type="xsd:double"&gt;58.4205434251482&lt;/D&gt;&lt;/FQL&gt;&lt;FQL&gt;&lt;Q&gt;CNYA^FMA_RBICS_REV_CURRENT(30, LOC, "PORTAGG")&lt;/Q&gt;&lt;R&gt;1&lt;/R&gt;&lt;C&gt;1&lt;/C&gt;&lt;D xsi:type="xsd:double"&gt;20.5882231369324&lt;/D&gt;&lt;/FQL&gt;&lt;FQL&gt;&lt;Q&gt;EZA^FMA_EVAL_EBITDA(NTMA,0,,,"PORTAGG","MEANR")&lt;/Q&gt;&lt;R&gt;1&lt;/R&gt;&lt;C&gt;1&lt;/C&gt;&lt;D xsi:type="xsd:double"&gt;7.49556635817175&lt;/D&gt;&lt;/FQL&gt;&lt;FQL&gt;&lt;Q&gt;TRYTR7Y-FDS^PCTCHG(FG_YIELD(0,,,,"YTM"),FG_YIELD(-3AM,,,,"YTM"))&lt;/Q&gt;&lt;R&gt;1&lt;/R&gt;&lt;C&gt;1&lt;/C&gt;&lt;D xsi:type="xsd:double"&gt;14.040197&lt;/D&gt;&lt;/FQL&gt;&lt;FQL&gt;&lt;Q&gt;EWZ^FMA_EVAL_EBITDA(NTMA,0,,,"PORTAGG","MEANR")&lt;/Q&gt;&lt;R&gt;1&lt;/R&gt;&lt;C&gt;1&lt;/C&gt;&lt;D xsi:type="xsd:double"&gt;4.73292533297046&lt;/D&gt;&lt;/FQL&gt;&lt;FQL&gt;&lt;Q&gt;USDEUR^FG_COMPANY_NAME&lt;/Q&gt;&lt;R&gt;1&lt;/R&gt;&lt;C&gt;1&lt;/C&gt;&lt;D xsi:type="xsd:string"&gt;Euro per U.S. Dollar&lt;/D&gt;&lt;/FQL&gt;&lt;FQL&gt;&lt;Q&gt;ECH^FMA_PE(LTMA,-10AY,0,AM,"PORTAGG","MEANR")&lt;/Q&gt;&lt;R&gt;121&lt;/R&gt;&lt;C&gt;1&lt;/C&gt;&lt;D xsi:type="xsd:double"&gt;15.5037640908984&lt;/D&gt;&lt;D xsi:type="xsd:double"&gt;15.6857948128815&lt;/D&gt;&lt;D xsi:type="xsd:double"&gt;15.8690270111504&lt;/D&gt;&lt;D xsi:type="xsd:double"&gt;15.8404301515366&lt;/D&gt;&lt;D xsi:type="xsd:double"&gt;16.2973841105575&lt;/D&gt;&lt;D xsi:type="xsd:double"&gt;16.4236603594342&lt;/D&gt;&lt;D xsi:type="xsd:double"&gt;16.352159314124&lt;/D&gt;&lt;D xsi:type="xsd:double"&gt;15.9174197191943&lt;/D&gt;&lt;D xsi:type="xsd:double"&gt;16.3890480544536&lt;/D&gt;&lt;D xsi:type="xsd:double"&gt;16.3889336725561&lt;/D&gt;&lt;D xsi:type="xsd:double"&gt;16.0173523102615&lt;/D&gt;&lt;D xsi:type="xsd:double"&gt;16.7796961676252&lt;/D&gt;&lt;D xsi:type="xsd:double"&gt;16.4806516560895&lt;/D&gt;&lt;D xsi:type="xsd:double"&gt;16.4415458402675&lt;/D&gt;&lt;D xsi:type="xsd:double"&gt;16.4010146001865&lt;/D&gt;&lt;D xsi:type="xsd:double"&gt;16.1379618487159&lt;/D&gt;&lt;D xsi:type="xsd:double"&gt;15.5415660884816&lt;/D&gt;&lt;D xsi:type="xsd:double"&gt;15.1248371740476&lt;/D&gt;&lt;D xsi:type="xsd:double"&gt;15.1732434508524&lt;/D&gt;&lt;D xsi:type="xsd:double"&gt;15.4751777412852&lt;/D&gt;&lt;D xsi:type="xsd:double"&gt;15.9923052342818&lt;/D&gt;&lt;D xsi:type="xsd:double"&gt;15.6340420377742&lt;/D&gt;&lt;D xsi:type="xsd:double"&gt;15.3495983414868&lt;/D&gt;&lt;D xsi:type="xsd:double"&gt;15.4351867412484&lt;/D&gt;&lt;D xsi:type="xsd:double"&gt;15.4483920776785&lt;/D&gt;&lt;D xsi:type="xsd:double"&gt;15.3809731520235&lt;/D&gt;&lt;D xsi:type="xsd:double"&gt;15.3272556656201&lt;/D&gt;&lt;D xsi:type="xsd:double"&gt;14.9963172169527&lt;/D&gt;&lt;D xsi:type="xsd:double"&gt;15.6626350328943&lt;/D&gt;&lt;D xsi:type="xsd:double"&gt;16.0513194121362&lt;/D&gt;&lt;D xsi:type="xsd:double"&gt;15.9470429155174&lt;/D&gt;&lt;D xsi:type="xsd:double"&gt;16.5780014321873&lt;/D&gt;&lt;D xsi:type="xsd:double"&gt;16.2318245496542&lt;/D&gt;&lt;D xsi:type="xsd:double"&gt;16.5964282004773&lt;/D&gt;&lt;D xsi:type="xsd:double"&gt;15.8223708912808&lt;/D&gt;&lt;D xsi:type="xsd:double"&gt;16.6706553295012&lt;/D&gt;&lt;D xsi:type="xsd:double"&gt;16.7950678256049&lt;/D&gt;&lt;D xsi:type="xsd:double"&gt;17.1198199557533&lt;/D&gt;&lt;D xsi:type="xsd:double"&gt;17.3443221042584&lt;/D&gt;&lt;D xsi:type="xsd:double"&gt;17.2605326101794&lt;/D&gt;&lt;D xsi:type="xsd:double"&gt;17.8899506333136&lt;/D&gt;&lt;D xsi:type="xsd:double"&gt;18.2309471472411&lt;/D&gt;&lt;D xsi:type="xsd:double"&gt;19.5949626436905&lt;/D&gt;&lt;D xsi:type="xsd:double"&gt;17.9610277405457&lt;/D&gt;&lt;D xsi:type="xsd:double"&gt;17.9219903306578&lt;/D&gt;&lt;D xsi:type="xsd:double"&gt;16.5853451759781&lt;/D&gt;&lt;D xsi:type="xsd:double"&gt;18.3230866286445&lt;/D&gt;&lt;D xsi:type="xsd:double"&gt;17.4524873422839&lt;/D&gt;&lt;D xsi:type="xsd:double"&gt;17.4498024686366&lt;/D&gt;&lt;D xsi:type="xsd:double"&gt;17.0852475453611&lt;/D&gt;&lt;D xsi:type="xsd:double"&gt;16.6671103610058&lt;/D&gt;&lt;D xsi:type="xsd:double"&gt;15.9090249124904&lt;/D&gt;&lt;D xsi:type="xsd:double"&gt;15.2331099875827&lt;/D&gt;&lt;D xsi:type="xsd:double"&gt;15.1030100631864&lt;/D&gt;&lt;D xsi:type="xsd:double"&gt;15.3395791844017&lt;/D&gt;&lt;D xsi:type="xsd:double"&gt;17.0763459818728&lt;/D&gt;&lt;D xsi:type="xsd:double"&gt;16.9900840941882&lt;/D&gt;&lt;D xsi:type="xsd:double"&gt;16.7660087812188&lt;/D&gt;&lt;D xsi:type="xsd:double"&gt;17.5606774633861&lt;/D&gt;&lt;D xsi:type="xsd:double"&gt;17.8041191082102&lt;/D&gt;&lt;D xsi:type="xsd:double"&gt;15.8165459145314&lt;/D&gt;&lt;D xsi:type="xsd:double"&gt;15.7458385723247&lt;/D&gt;&lt;D xsi:type="xsd:double"&gt;15.5790366223881&lt;/D&gt;&lt;D xsi:type="xsd:double"&gt;15.8031531647674&lt;/D&gt;&lt;D xsi:type="xsd:double"&gt;16.0089092562443&lt;/D&gt;&lt;D xsi:type="xsd:double"&gt;15.2061699001359&lt;/D&gt;&lt;D xsi:type="xsd:double"&gt;16.4675082683632&lt;/D&gt;&lt;D xsi:type="xsd:double"&gt;17.0153690155896&lt;/D&gt;&lt;D xsi:type="xsd:double"&gt;14.5693778251764&lt;/D&gt;&lt;D xsi:type="xsd:double"&gt;16.0609722495487&lt;/D&gt;&lt;D xsi:type="xsd:double"&gt;15.9107988657661&lt;/D&gt;&lt;D xsi:type="xsd:double"&gt;14.7779857568301&lt;/D&gt;&lt;D xsi:type="xsd:double"&gt;15.3003742216016&lt;/D&gt;&lt;D xsi:type="xsd:double"&gt;15.1608206067517&lt;/D&gt;&lt;D xsi:type="xsd:double"&gt;15.1906089019092&lt;/D&gt;&lt;D xsi:type="xsd:double"&gt;16.1545178201653&lt;/D&gt;&lt;D xsi:type="xsd:double"&gt;17.6660045113202&lt;/D&gt;&lt;D xsi:type="xsd:double"&gt;19.0448729722013&lt;/D&gt;&lt;D xsi:type="xsd:double"&gt;19.0934029625585&lt;/D&gt;&lt;D xsi:type="xsd:double"&gt;19.6397762724153&lt;/D&gt;&lt;D xsi:type="xsd:double"&gt;21.9457082916579&lt;/D&gt;&lt;D xsi:type="xsd:double"&gt;23.5080898419604&lt;/D&gt;&lt;D xsi:type="xsd:double"&gt;24.6158527887564&lt;/D&gt;&lt;D xsi:type="xsd:double"&gt;26.8407430753733&lt;/D&gt;&lt;D xsi:type="xsd:double"&gt;31.9330195621914&lt;/D&gt;&lt;D xsi:type="xsd:double"&gt;29.7643019488875&lt;/D&gt;&lt;D xsi:type="xsd:double"&gt;27.4000452193217&lt;/D&gt;&lt;D xsi:type="xsd:double"&gt;24.9614405006834&lt;/D&gt;&lt;D xsi:type="xsd:double"&gt;22.404396176191&lt;/D&gt;&lt;D xsi:type="xsd:double"&gt;20.2490281371979&lt;/D&gt;&lt;D xsi:type="xsd:double"&gt;17.8911712929001&lt;/D&gt;&lt;D xsi:type="xsd:double"&gt;15.1174165701711&lt;/D&gt;&lt;D xsi:type="xsd:double"&gt;13.3434301776342&lt;/D&gt;&lt;D xsi:type="xsd:double"&gt;10.1481833664644&lt;/D&gt;&lt;D xsi:type="xsd:double"&gt;9.43570307436205&lt;/D&gt;&lt;D xsi:type="xsd:double"&gt;9.69771405936605&lt;/D&gt;&lt;D xsi:type="xsd:double"&gt;9.77085919172349&lt;/D&gt;&lt;D xsi:type="xsd:double"&gt;9.76061282386526&lt;/D&gt;&lt;D xsi:type="xsd:double"&gt;9.43545500483513&lt;/D&gt;&lt;D xsi:type="xsd:double"&gt;8.28196255387285&lt;/D&gt;&lt;D xsi:type="xsd:double"&gt;7.67694623719555&lt;/D&gt;&lt;D xsi:type="xsd:double"&gt;7.63228809064431&lt;/D&gt;&lt;D xsi:type="xsd:double"&gt;7.97808435600609&lt;/D&gt;&lt;D xsi:type="xsd:double"&gt;7.031600627973&lt;/D&gt;&lt;D xsi:type="xsd:double"&gt;6.14160795672781&lt;/D&gt;&lt;D xsi:type="xsd:double"&gt;5.61264876246854&lt;/D&gt;&lt;D xsi:type="xsd:double"&gt;5.499557090718&lt;/D&gt;&lt;D xsi:type="xsd:double"&gt;6.00377133650248&lt;/D&gt;&lt;D xsi:type="xsd:double"&gt;5.90337608694472&lt;/D&gt;&lt;D xsi:type="xsd:double"&gt;6.01689935262364&lt;/D&gt;&lt;D xsi:type="xsd:double"&gt;6.58314504825919&lt;/D&gt;&lt;D xsi:type="xsd:double"&gt;6.76636160821906&lt;/D&gt;&lt;D xsi:type="xsd:double"&gt;7.5092423968437&lt;/D&gt;&lt;D xsi:type="xsd:double"&gt;7.74714396760829&lt;/D&gt;&lt;D xsi:type="xsd:double"&gt;7.89143942785442&lt;/D&gt;&lt;D xsi:type="xsd:double"&gt;7.99435331323481&lt;/D&gt;&lt;D xsi:type="xsd:double"&gt;8.01931284862138&lt;/D&gt;&lt;D xsi:type="xsd:double"&gt;8.53291420792021&lt;/D&gt;&lt;D xsi:type="xsd:double"&gt;8.6451751166138&lt;/D&gt;&lt;D xsi:type="xsd:double"&gt;8.54074509717373&lt;/D&gt;&lt;D xsi:type="xsd:double"&gt;7.19799074516838&lt;/D&gt;&lt;/FQL&gt;&lt;FQL&gt;&lt;Q&gt;ECH^FG_PRICE_MAVG(0,,,,200)&lt;/Q&gt;&lt;R&gt;1&lt;/R&gt;&lt;C&gt;1&lt;/C&gt;&lt;D xsi:type="xsd:double"&gt;27.18802&lt;/D&gt;&lt;/FQL&gt;&lt;FQL&gt;&lt;Q&gt;EZA^FG_TOTAL_RETURNC(0,-3AM)&lt;/Q&gt;&lt;R&gt;1&lt;/R&gt;&lt;C&gt;1&lt;/C&gt;&lt;D xsi:type="xsd:double"&gt;-6.6735744&lt;/D&gt;&lt;/FQL&gt;&lt;FQL&gt;&lt;Q&gt;EWJ^PERCENT_CHANGE(FMA_EPS(+1,0,,,,"PORTAGG","MEAN"),FMA_EPS(+1,-1AM,,,,"PORTAGG","MEAN"))&lt;/Q&gt;&lt;R&gt;1&lt;/R&gt;&lt;C&gt;1&lt;/C&gt;&lt;D xsi:type="xsd:double"&gt;2.01515521215302&lt;/D&gt;&lt;/FQL&gt;&lt;FQL&gt;&lt;Q&gt;EWY^PERCENT_CHANGE(FMA_EPS(+1,0,,,,"PORTAGG","MEAN"),FMA_EPS(+1,-3AM,,,,"PORTAGG","MEAN"))&lt;/Q&gt;&lt;R&gt;1&lt;/R&gt;&lt;C&gt;1&lt;/C&gt;&lt;D xsi:type="xsd:double"&gt;-5.852943136202&lt;/D&gt;&lt;/FQL&gt;&lt;FQL&gt;&lt;Q&gt;TRYZA10Y-FDS^FG_YIELD(0,,,,"YTM")&lt;/Q&gt;&lt;R&gt;1&lt;/R&gt;&lt;C&gt;1&lt;/C&gt;&lt;D xsi:type="xsd:double"&gt;11.961627&lt;/D&gt;&lt;/FQL&gt;&lt;FQL&gt;&lt;Q&gt;KSA^FMA_DIV_YLD(NTMA,NOW,NOW,M,"PORTAGG","MEANR")&lt;/Q&gt;&lt;R&gt;1&lt;/R&gt;&lt;C&gt;1&lt;/C&gt;&lt;D xsi:type="xsd:double"&gt;3.26045489855482&lt;/D&gt;&lt;/FQL&gt;&lt;FQL&gt;&lt;Q&gt;EWW^FMA_PCT_ABOVE_MAVG(200,0,,,,"PORTAGG")&lt;/Q&gt;&lt;R&gt;1&lt;/R&gt;&lt;C&gt;1&lt;/C&gt;&lt;D xsi:type="xsd:double"&gt;65.9090909090909&lt;/D&gt;&lt;/FQL&gt;&lt;FQL&gt;&lt;Q&gt;TUR^FG_ROE(0)&lt;/Q&gt;&lt;R&gt;1&lt;/R&gt;&lt;C&gt;1&lt;/C&gt;&lt;D xsi:type="xsd:double"&gt;27.9573620222377&lt;/D&gt;&lt;/FQL&gt;&lt;FQL&gt;&lt;Q&gt;EWT^FMA_EVAL_EBIT(LTMA,NOW,NOW,M,"PORTAGG","MEANR")&lt;/Q&gt;&lt;R&gt;1&lt;/R&gt;&lt;C&gt;1&lt;/C&gt;&lt;D xsi:type="xsd:double"&gt;20.4428585067945&lt;/D&gt;&lt;/FQL&gt;&lt;FQL&gt;&lt;Q&gt;SET-BKK^SIZE(FG_CONSTITUENTS)&lt;/Q&gt;&lt;R&gt;1&lt;/R&gt;&lt;C&gt;1&lt;/C&gt;&lt;D xsi:type="xsd:long"&gt;1&lt;/D&gt;&lt;/FQL&gt;&lt;FQL&gt;&lt;Q&gt;CC_PE^IMF_IFS_RCPI_Q(0)&lt;/Q&gt;&lt;R&gt;1&lt;/R&gt;&lt;C&gt;1&lt;/C&gt;&lt;D xsi:type="xsd:double"&gt;3.9030175&lt;/D&gt;&lt;/FQL&gt;&lt;FQL&gt;&lt;Q&gt;EWM^FMA_EVAL_EBITDA(NTMA,0,,,"PORTAGG","MEANR")&lt;/Q&gt;&lt;R&gt;1&lt;/R&gt;&lt;C&gt;1&lt;/C&gt;&lt;D xsi:type="xsd:double"&gt;8.79462432753398&lt;/D&gt;&lt;/FQL&gt;&lt;FQL&gt;&lt;Q&gt;QAT^FMA_PE(LTM,0,,,"PORTAGG","MEANR")&lt;/Q&gt;&lt;R&gt;1&lt;/R&gt;&lt;C&gt;1&lt;/C&gt;&lt;D xsi:type="xsd:double"&gt;11.8218705783959&lt;/D&gt;&lt;/FQL&gt;&lt;FQL&gt;&lt;Q&gt;TRYAE10Y-FDS^FG_YIELD(0,,,,"YTM")&lt;/Q&gt;&lt;R&gt;0&lt;/R&gt;&lt;C&gt;0&lt;/C&gt;&lt;/FQL&gt;&lt;FQL&gt;&lt;Q&gt;TUR^FG_TOTAL_RETURNC(0,-6AM)&lt;/Q&gt;&lt;R&gt;1&lt;/R&gt;&lt;C&gt;1&lt;/C&gt;&lt;D xsi:type="xsd:double"&gt;-7.0332823&lt;/D&gt;&lt;/FQL&gt;&lt;FQL&gt;&lt;Q&gt;VNM^FMA_RBICS_REV_CURRENT(30, LOC, "PORTAGG")&lt;/Q&gt;&lt;R&gt;1&lt;/R&gt;&lt;C&gt;1&lt;/C&gt;&lt;D xsi:type="xsd:double"&gt;55.231368279198&lt;/D&gt;&lt;/FQL&gt;&lt;FQL&gt;&lt;Q&gt;INDA^FMA_EVAL_EBITDA(NTMA,0,,,"PORTAGG","MEANR")&lt;/Q&gt;&lt;R&gt;1&lt;/R&gt;&lt;C&gt;1&lt;/C&gt;&lt;D xsi:type="xsd:double"&gt;14.55680000553&lt;/D&gt;&lt;/FQL&gt;&lt;FQL&gt;&lt;Q&gt;CNYA^FMA_PE(LTMA,-10AY,0,AM,"PORTAGG","MEANR")&lt;/Q&gt;&lt;R&gt;121&lt;/R&gt;&lt;C&gt;1&lt;/C&gt;&lt;D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xsi:type="xsd:double"&gt;14.8891790566438&lt;/D&gt;&lt;D xsi:type="xsd:double"&gt;15.0590107116306&lt;/D&gt;&lt;D xsi:type="xsd:double"&gt;15.1731643150007&lt;/D&gt;&lt;D xsi:type="xsd:double"&gt;15.1383851512216&lt;/D&gt;&lt;D xsi:type="xsd:double"&gt;14.9068473011286&lt;/D&gt;&lt;D xsi:type="xsd:double"&gt;15.1418444060601&lt;/D&gt;&lt;D xsi:type="xsd:double"&gt;15.3440771286309&lt;/D&gt;&lt;D xsi:type="xsd:double"&gt;15.15559905745&lt;/D&gt;&lt;D xsi:type="xsd:double"&gt;15.6759511196893&lt;/D&gt;&lt;D xsi:type="xsd:double"&gt;15.8575745578641&lt;/D&gt;&lt;D xsi:type="xsd:double"&gt;16.4420471423699&lt;/D&gt;&lt;D xsi:type="xsd:double"&gt;15.889380632022&lt;/D&gt;&lt;D xsi:type="xsd:double"&gt;16.5796211629724&lt;/D&gt;&lt;D xsi:type="xsd:double"&gt;15.1702446249877&lt;/D&gt;&lt;D xsi:type="xsd:double"&gt;15.2703984300095&lt;/D&gt;&lt;D xsi:type="xsd:double"&gt;14.9507261086555&lt;/D&gt;&lt;D xsi:type="xsd:double"&gt;14.5394062520099&lt;/D&gt;&lt;D xsi:type="xsd:double"&gt;14.1917194838976&lt;/D&gt;&lt;D xsi:type="xsd:double"&gt;13.4170735733667&lt;/D&gt;&lt;D xsi:type="xsd:double"&gt;12.7373831959117&lt;/D&gt;&lt;D xsi:type="xsd:double"&gt;12.3339098286952&lt;/D&gt;&lt;D xsi:type="xsd:double"&gt;11.8434098324265&lt;/D&gt;&lt;D xsi:type="xsd:double"&gt;11.590396814985&lt;/D&gt;&lt;D xsi:type="xsd:double"&gt;11.3689255511999&lt;/D&gt;&lt;D xsi:type="xsd:double"&gt;10.8010841263002&lt;/D&gt;&lt;D xsi:type="xsd:double"&gt;11.9461939239708&lt;/D&gt;&lt;D xsi:type="xsd:double"&gt;12.6505062280392&lt;/D&gt;&lt;D xsi:type="xsd:double"&gt;12.7829072761107&lt;/D&gt;&lt;D xsi:type="xsd:double"&gt;12.3657341941367&lt;/D&gt;&lt;D xsi:type="xsd:double"&gt;12.5033228442749&lt;/D&gt;&lt;D xsi:type="xsd:double"&gt;12.6101802685542&lt;/D&gt;&lt;D xsi:type="xsd:double"&gt;12.3430682319619&lt;/D&gt;&lt;D xsi:type="xsd:double"&gt;13.0452635184963&lt;/D&gt;&lt;D xsi:type="xsd:double"&gt;13.0322625530764&lt;/D&gt;&lt;D xsi:type="xsd:double"&gt;12.9272129607802&lt;/D&gt;&lt;D xsi:type="xsd:double"&gt;14.1666695429099&lt;/D&gt;&lt;D xsi:type="xsd:double"&gt;14.9910671369645&lt;/D&gt;&lt;D xsi:type="xsd:double"&gt;14.4196708182496&lt;/D&gt;&lt;D xsi:type="xsd:double"&gt;14.2027422283602&lt;/D&gt;&lt;D xsi:type="xsd:double"&gt;14.0928198772153&lt;/D&gt;&lt;D xsi:type="xsd:double"&gt;14.3258079212951&lt;/D&gt;&lt;D xsi:type="xsd:double"&gt;14.6053914607844&lt;/D&gt;&lt;D xsi:type="xsd:double"&gt;16.3354826277405&lt;/D&gt;&lt;D xsi:type="xsd:double"&gt;16.3081514252642&lt;/D&gt;&lt;D xsi:type="xsd:double"&gt;16.8836728032087&lt;/D&gt;&lt;D xsi:type="xsd:double"&gt;17.6291293833042&lt;/D&gt;&lt;D xsi:type="xsd:double"&gt;17.8879732252856&lt;/D&gt;&lt;D xsi:type="xsd:double"&gt;18.8763681524342&lt;/D&gt;&lt;D xsi:type="xsd:double"&gt;21.1189816996866&lt;/D&gt;&lt;D xsi:type="xsd:double"&gt;22.3073409245368&lt;/D&gt;&lt;D xsi:type="xsd:double"&gt;19.9244198374429&lt;/D&gt;&lt;D xsi:type="xsd:double"&gt;19.4498503127943&lt;/D&gt;&lt;D xsi:type="xsd:double"&gt;19.2486203007352&lt;/D&gt;&lt;D xsi:type="xsd:double"&gt;19.3242601713895&lt;/D&gt;&lt;D xsi:type="xsd:double"&gt;18.8001705865732&lt;/D&gt;&lt;D xsi:type="xsd:double"&gt;18.2847591048654&lt;/D&gt;&lt;D xsi:type="xsd:double"&gt;18.1680965509427&lt;/D&gt;&lt;D xsi:type="xsd:double"&gt;17.8957877862103&lt;/D&gt;&lt;D xsi:type="xsd:double"&gt;17.9076986735633&lt;/D&gt;&lt;D xsi:type="xsd:double"&gt;18.6581810586659&lt;/D&gt;&lt;D xsi:type="xsd:double"&gt;17.2426684180651&lt;/D&gt;&lt;D xsi:type="xsd:double"&gt;16.4027081003682&lt;/D&gt;&lt;D xsi:type="xsd:double"&gt;16.3034886534713&lt;/D&gt;&lt;D xsi:type="xsd:double"&gt;16.0062350435599&lt;/D&gt;&lt;D xsi:type="xsd:double"&gt;15.7019334660185&lt;/D&gt;&lt;D xsi:type="xsd:double"&gt;15.7240239924785&lt;/D&gt;&lt;D xsi:type="xsd:double"&gt;15.6798198189852&lt;/D&gt;&lt;D xsi:type="xsd:double"&gt;15.3366469672356&lt;/D&gt;&lt;D xsi:type="xsd:double"&gt;14.9827527375753&lt;/D&gt;&lt;D xsi:type="xsd:double"&gt;14.164359673947&lt;/D&gt;&lt;D xsi:type="xsd:double"&gt;14.1194268157359&lt;/D&gt;&lt;D xsi:type="xsd:double"&gt;14.4665503416545&lt;/D&gt;&lt;D xsi:type="xsd:double"&gt;14.733231369809&lt;/D&gt;&lt;D xsi:type="xsd:double"&gt;14.9399407210837&lt;/D&gt;&lt;D xsi:type="xsd:double"&gt;14.4652392520543&lt;/D&gt;&lt;D xsi:type="xsd:double"&gt;14.4065469491838&lt;/D&gt;&lt;D xsi:type="xsd:double"&gt;14.168726056774&lt;/D&gt;&lt;D xsi:type="xsd:double"&gt;14.0075140527016&lt;/D&gt;&lt;D xsi:type="xsd:double"&gt;13.9172760744212&lt;/D&gt;&lt;D xsi:type="xsd:double"&gt;13.8247385333213&lt;/D&gt;&lt;D xsi:type="xsd:double"&gt;13.8378341572562&lt;/D&gt;&lt;D xsi:type="xsd:double"&gt;13.5277135784207&lt;/D&gt;&lt;D xsi:type="xsd:double"&gt;13.6681042630211&lt;/D&gt;&lt;D xsi:type="xsd:double"&gt;13.196463016343&lt;/D&gt;&lt;D xsi:type="xsd:double"&gt;12.7436862430743&lt;/D&gt;&lt;D xsi:type="xsd:double"&gt;12.994047508569&lt;/D&gt;&lt;D xsi:type="xsd:double"&gt;13.5830921540445&lt;/D&gt;&lt;/FQL&gt;&lt;FQL&gt;&lt;Q&gt;ECH^FG_PRICE_MAVG(0,,,,30)&lt;/Q&gt;&lt;R&gt;1&lt;/R&gt;&lt;C&gt;1&lt;/C&gt;&lt;D xsi:type="xsd:double"&gt;25.533667&lt;/D&gt;&lt;/FQL&gt;&lt;FQL&gt;&lt;Q&gt;EWZ^P_PRICE(0)/P_PRICE_HIGH_PR(0,,,USD,,,"PRICE","INTRA","52W")&lt;/Q&gt;&lt;R&gt;1&lt;/R&gt;&lt;C&gt;1&lt;/C&gt;&lt;D xsi:type="xsd:double"&gt;0.9065473&lt;/D&gt;&lt;/FQL&gt;&lt;FQL&gt;&lt;Q&gt;URTH^PERCENT_CHANGE(FMA_EPS(+1,0,,,,"PORTAGG","MEAN"),FMA_EPS(+1,-3AM,,,,"PORTAGG","MEAN"))&lt;/Q&gt;&lt;R&gt;1&lt;/R&gt;&lt;C&gt;1&lt;/C&gt;&lt;D xsi:type="xsd:double"&gt;-1.84764592625523&lt;/D&gt;&lt;/FQL&gt;&lt;FQL&gt;&lt;Q&gt;KSA^FMA_COS_DOWN("EPS","1M",+1,NOW,,,"PORTAGG","MEANR")&lt;/Q&gt;&lt;R&gt;1&lt;/R&gt;&lt;C&gt;1&lt;/C&gt;&lt;D xsi:type="xsd:double"&gt;26&lt;/D&gt;&lt;/FQL&gt;&lt;FQL&gt;&lt;Q&gt;EWT^FMA_COS_UP("EPS","1M",+1,NOW,,,"PORTAGG","MEANR")&lt;/Q&gt;&lt;R&gt;1&lt;/R&gt;&lt;C&gt;1&lt;/C&gt;&lt;D xsi:type="xsd:double"&gt;28&lt;/D&gt;&lt;/FQL&gt;&lt;FQL&gt;&lt;Q&gt;UAE^FG_ROE(0)&lt;/Q&gt;&lt;R&gt;1&lt;/R&gt;&lt;C&gt;1&lt;/C&gt;&lt;D xsi:type="xsd:double"&gt;12.5396579344145&lt;/D&gt;&lt;/FQL&gt;&lt;FQL&gt;&lt;Q&gt;REFZAREPO-FDS^PROPER_NAME(0,,,"SECURITY","NAME")&lt;/Q&gt;&lt;R&gt;1&lt;/R&gt;&lt;C&gt;1&lt;/C&gt;&lt;D xsi:type="xsd:string"&gt;South Africa Repo Rate&lt;/D&gt;&lt;/FQL&gt;&lt;FQL&gt;&lt;Q&gt;CC_PH^IMF_IFS_RCPI_Q(0)&lt;/Q&gt;&lt;R&gt;0&lt;/R&gt;&lt;C&gt;0&lt;/C&gt;&lt;/FQL&gt;&lt;FQL&gt;&lt;Q&gt;ECH^FMA_EVAL_EBITDA(NTMA,0,,,"PORTAGG","MEANR")&lt;/Q&gt;&lt;R&gt;1&lt;/R&gt;&lt;C&gt;1&lt;/C&gt;&lt;D xsi:type="xsd:double"&gt;6.2719708880499&lt;/D&gt;&lt;/FQL&gt;&lt;FQL&gt;&lt;Q&gt;USDKRW^FG_PRICE_CHANGE(0,-1AY)&lt;/Q&gt;&lt;R&gt;1&lt;/R&gt;&lt;C&gt;1&lt;/C&gt;&lt;D xsi:type="xsd:double"&gt;0.49955845&lt;/D&gt;&lt;/FQL&gt;&lt;FQL&gt;&lt;Q&gt;TRYSA10Y-FDS^PCTCHG(FG_YIELD(0,,,,"YTM"),FG_YIELD(-3AM,,,,"YTM"))&lt;/Q&gt;&lt;R&gt;1&lt;/R&gt;&lt;C&gt;1&lt;/C&gt;&lt;D xsi:type="xsd:double"&gt;8.388751&lt;/D&gt;&lt;/FQL&gt;&lt;FQL&gt;&lt;Q&gt;EWW^JULIAN(FMA_DIV_YLD(NTMA,NOW,NOW,M,"PORTAGG","MEANR").DATES)&lt;/Q&gt;&lt;R&gt;1&lt;/R&gt;&lt;C&gt;1&lt;/C&gt;&lt;D xsi:type="xsd:long"&gt;45351&lt;/D&gt;&lt;/FQL&gt;&lt;FQL&gt;&lt;Q&gt;UAE^FG_PRICE_MAVG(0,,,,200)&lt;/Q&gt;&lt;R&gt;1&lt;/R&gt;&lt;C&gt;1&lt;/C&gt;&lt;D xsi:type="xsd:double"&gt;14.795751&lt;/D&gt;&lt;/FQL&gt;&lt;FQL&gt;&lt;Q&gt;REFVNDISC-FDS^FG_YIELD(NOW,,,0)&lt;/Q&gt;&lt;R&gt;1&lt;/R&gt;&lt;C&gt;1&lt;/C&gt;&lt;D xsi:type="xsd:double"&gt;3&lt;/D&gt;&lt;/FQL&gt;&lt;FQL&gt;&lt;Q&gt;MCHI^FG_COMPANY_NAME&lt;/Q&gt;&lt;R&gt;1&lt;/R&gt;&lt;C&gt;1&lt;/C&gt;&lt;D xsi:type="xsd:string"&gt;iShares MSCI China ETF&lt;/D&gt;&lt;/FQL&gt;&lt;FQL&gt;&lt;Q&gt;EZA^JULIAN(FMA_DIV_YLD(NTMA,NOW,NOW,M,"PORTAGG","MEANR").DATES)&lt;/Q&gt;&lt;R&gt;1&lt;/R&gt;&lt;C&gt;1&lt;/C&gt;&lt;D xsi:type="xsd:long"&gt;45351&lt;/D&gt;&lt;/FQL&gt;&lt;FQL&gt;&lt;Q&gt;CNYA^FMA_COS_UP("EPS","1M",+1,NOW,,,"PORTAGG","MEANR")&lt;/Q&gt;&lt;R&gt;1&lt;/R&gt;&lt;C&gt;1&lt;/C&gt;&lt;D xsi:type="xsd:double"&gt;70&lt;/D&gt;&lt;/FQL&gt;&lt;FQL&gt;&lt;Q&gt;CNYA^FG_PRICE(0)&lt;/Q&gt;&lt;R&gt;1&lt;/R&gt;&lt;C&gt;1&lt;/C&gt;&lt;D xsi:type="xsd:double"&gt;26.4045&lt;/D&gt;&lt;/FQL&gt;&lt;FQL&gt;&lt;Q&gt;EWY^P_PRICE(0)/P_PRICE_LOW_PR(0,,,USD,,,"PRICE","INTRA","52W")-1&lt;/Q&gt;&lt;R&gt;1&lt;/R&gt;&lt;C&gt;1&lt;/C&gt;&lt;D xsi:type="xsd:double"&gt;0.23050106&lt;/D&gt;&lt;/FQL&gt;&lt;FQL&gt;&lt;Q&gt;EWT^PERCENT_CHANGE(FMA_EPS(+1,0,,,,"PORTAGG","MEAN"),FMA_EPS(+1,-3AM,,,,"PORTAGG","MEAN"))&lt;/Q&gt;&lt;R&gt;1&lt;/R&gt;&lt;C&gt;1&lt;/C&gt;&lt;D xsi:type="xsd:double"&gt;-14.4544885232028&lt;/D&gt;&lt;/FQL&gt;&lt;FQL&gt;&lt;Q&gt;KSA^FMA_COS_UP("EPS","1M",+1,NOW,,,"PORTAGG","MEANR")&lt;/Q&gt;&lt;R&gt;1&lt;/R&gt;&lt;C&gt;1&lt;/C&gt;&lt;D xsi:type="xsd:double"&gt;24&lt;/D&gt;&lt;/FQL&gt;&lt;FQL&gt;&lt;Q&gt;EPU^SIZE(FG_CONSTITUENTS)&lt;/Q&gt;&lt;R&gt;1&lt;/R&gt;&lt;C&gt;1&lt;/C&gt;&lt;D xsi:type="xsd:long"&gt;26&lt;/D&gt;&lt;/FQL&gt;&lt;FQL&gt;&lt;Q&gt;TRYPH10Y-FDS^FG_YIELD_NAME&lt;/Q&gt;&lt;R&gt;1&lt;/R&gt;&lt;C&gt;1&lt;/C&gt;&lt;D xsi:type="xsd:string"&gt;Philippines Benchmark Bond - 10 Year&lt;/D&gt;&lt;/FQL&gt;&lt;FQL&gt;&lt;Q&gt;REFBRSELIC-FDS^(SUBARRAY(NOT_NA(NO_REPEAT_F(FG_YIELD(NOW,-10AY,D))),0,1)-SUBARRAY(NOT_NA(NO_REPEAT_F(FG_YIELD(NOW,-10AY,D))),1,1))*100&lt;/Q&gt;&lt;R&gt;1&lt;/R&gt;&lt;C&gt;1&lt;/C&gt;&lt;D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xsi:type="xsd:double"&gt;-50&lt;/D&gt;&lt;/FQL&gt;&lt;FQL&gt;&lt;Q&gt;TRYPL10Y-FDS^PCTCHG(FG_YIELD(0,,,,"YTM"),FG_YIELD(-1AM,,,,"YTM"))&lt;/Q&gt;&lt;R&gt;1&lt;/R&gt;&lt;C&gt;1&lt;/C&gt;&lt;D xsi:type="xsd:double"&gt;1.3234427&lt;/D&gt;&lt;/FQL&gt;&lt;FQL&gt;&lt;Q&gt;CC_ZA^IMF_IFS_RCPI_Q(0)&lt;/Q&gt;&lt;R&gt;1&lt;/R&gt;&lt;C&gt;1&lt;/C&gt;&lt;D xsi:type="xsd:double"&gt;5.633361&lt;/D&gt;&lt;/FQL&gt;&lt;FQL&gt;&lt;Q&gt;CC_MY^IMF_IFS_RCPI_Q(0)&lt;/Q&gt;&lt;R&gt;0&lt;/R&gt;&lt;C&gt;0&lt;/C&gt;&lt;/FQL&gt;&lt;FQL&gt;&lt;Q&gt;EWM^FMA_EVAL_EBIT(LTMA,NOW,NOW,M,"PORTAGG","MEANR")&lt;/Q&gt;&lt;R&gt;1&lt;/R&gt;&lt;C&gt;1&lt;/C&gt;&lt;D xsi:type="xsd:double"&gt;18.4478946351111&lt;/D&gt;&lt;/FQL&gt;&lt;FQL&gt;&lt;Q&gt;TIPSCL10Y-FDS^PCTCHG(FG_YIELD(0,,,,"YTM"),FG_YIELD(-1AM,,,,"YTM"))&lt;/Q&gt;&lt;R&gt;1&lt;/R&gt;&lt;C&gt;1&lt;/C&gt;&lt;D xsi:type="xsd:double"&gt;0.35727313&lt;/D&gt;&lt;/FQL&gt;&lt;FQL&gt;&lt;Q&gt;CC_CL^IMF_IFS_RCPI_Q(0)&lt;/Q&gt;&lt;R&gt;1&lt;/R&gt;&lt;C&gt;1&lt;/C&gt;&lt;D xsi:type="xsd:double"&gt;4.586063&lt;/D&gt;&lt;/FQL&gt;&lt;FQL&gt;&lt;Q&gt;REFTR1WREPO-FDS^PROPER_NAME(0,,,"SECURITY","NAME")&lt;/Q&gt;&lt;R&gt;1&lt;/R&gt;&lt;C&gt;1&lt;/C&gt;&lt;D xsi:type="xsd:string"&gt;Turkey Repo Rate - 1 Week&lt;/D&gt;&lt;/FQL&gt;&lt;FQL&gt;&lt;Q&gt;USDTWD^FG_PRICE_CHANGE(0,-1AY)&lt;/Q&gt;&lt;R&gt;1&lt;/R&gt;&lt;C&gt;1&lt;/C&gt;&lt;D xsi:type="xsd:double"&gt;2.8431416&lt;/D&gt;&lt;/FQL&gt;&lt;FQL&gt;&lt;Q&gt;PASP-FDS^FG_PRICE(0)/MAX(FG_PRICE(0,-1AY))&lt;/Q&gt;&lt;R&gt;1&lt;/R&gt;&lt;C&gt;1&lt;/C&gt;&lt;D xsi:type="xsd:double"&gt;0.663414634146341&lt;/D&gt;&lt;/FQL&gt;&lt;FQL&gt;&lt;Q&gt;SPY^P_PRICE(0)/P_PRICE_LOW_PR(0,,,USD,,,"PRICE","INTRA","52W")-1&lt;/Q&gt;&lt;R&gt;1&lt;/R&gt;&lt;C&gt;1&lt;/C&gt;&lt;D xsi:type="xsd:double"&gt;0.3420292&lt;/D&gt;&lt;/FQL&gt;&lt;FQL&gt;&lt;Q&gt;EWY^FG_TOTAL_RETURNC(0,-6AM)&lt;/Q&gt;&lt;R&gt;1&lt;/R&gt;&lt;C&gt;1&lt;/C&gt;&lt;D xsi:type="xsd:double"&gt;9.4904785&lt;/D&gt;&lt;/FQL&gt;&lt;FQL&gt;&lt;Q&gt;VWO^FMA_PCT_ABOVE_MAVG(200,0,,,,"PORTAGG")&lt;/Q&gt;&lt;R&gt;1&lt;/R&gt;&lt;C&gt;1&lt;/C&gt;&lt;D xsi:type="xsd:double"&gt;32.6952695269527&lt;/D&gt;&lt;/FQL&gt;&lt;FQL&gt;&lt;Q&gt;EWT^PERCENT_CHANGE(FMA_EPS(+1,0,,,,"PORTAGG","MEAN"),FMA_EPS(+1,-1AM,,,,"PORTAGG","MEAN"))&lt;/Q&gt;&lt;R&gt;1&lt;/R&gt;&lt;C&gt;1&lt;/C&gt;&lt;D xsi:type="xsd:double"&gt;-4.47689483298368&lt;/D&gt;&lt;/FQL&gt;&lt;FQL&gt;&lt;Q&gt;VNM^SIZE(FG_CONSTITUENTS)&lt;/Q&gt;&lt;R&gt;1&lt;/R&gt;&lt;C&gt;1&lt;/C&gt;&lt;D xsi:type="xsd:long"&gt;45&lt;/D&gt;&lt;/FQL&gt;&lt;FQL&gt;&lt;Q&gt;EPU^FMA_COS_DOWN("EPS","1M",+1,NOW,,,"PORTAGG","MEANR")&lt;/Q&gt;&lt;R&gt;1&lt;/R&gt;&lt;C&gt;1&lt;/C&gt;&lt;D xsi:type="xsd:double"&gt;8&lt;/D&gt;&lt;/FQL&gt;&lt;FQL&gt;&lt;Q&gt;SET-BKK^FG_ROE(0)&lt;/Q&gt;&lt;R&gt;1&lt;/R&gt;&lt;C&gt;1&lt;/C&gt;&lt;D xsi:type="xsd:double"&gt;7.91874715410762&lt;/D&gt;&lt;/FQL&gt;&lt;FQL&gt;&lt;Q&gt;REFBRSELIC-FDS^FG_YIELD(NOW,,,0)&lt;/Q&gt;&lt;R&gt;1&lt;/R&gt;&lt;C&gt;1&lt;/C&gt;&lt;D xsi:type="xsd:double"&gt;11.25&lt;/D&gt;&lt;/FQL&gt;&lt;FQL&gt;&lt;Q&gt;TRYKR10Y-FDS^FG_YIELD(0,,,,"YTM")&lt;/Q&gt;&lt;R&gt;1&lt;/R&gt;&lt;C&gt;1&lt;/C&gt;&lt;D xsi:type="xsd:double"&gt;3.3552&lt;/D&gt;&lt;/FQL&gt;&lt;FQL&gt;&lt;Q&gt;EZA^FG_FCF_YIELD_NTM(0)&lt;/Q&gt;&lt;R&gt;1&lt;/R&gt;&lt;C&gt;1&lt;/C&gt;&lt;D xsi:type="xsd:double"&gt;5.31478273156166&lt;/D&gt;&lt;/FQL&gt;&lt;FQL&gt;&lt;Q&gt;QAT^FMA_EVAL_EBIT(LTMA,NOW,NOW,M,"PORTAGG","MEANR")&lt;/Q&gt;&lt;R&gt;1&lt;/R&gt;&lt;C&gt;1&lt;/C&gt;&lt;D xsi:type="xsd:double"&gt;15.682654525459&lt;/D&gt;&lt;/FQL&gt;&lt;FQL&gt;&lt;Q&gt;TUR^FG_COMPANY_NAME&lt;/Q&gt;&lt;R&gt;1&lt;/R&gt;&lt;C&gt;1&lt;/C&gt;&lt;D xsi:type="xsd:string"&gt;iShares MSCI Turkey ETF&lt;/D&gt;&lt;/FQL&gt;&lt;FQL&gt;&lt;Q&gt;TRYAE10Y-FDS^PCTCHG(FG_YIELD(0,,,,"YTM"),FG_YIELD(-1AM,,,,"YTM"))&lt;/Q&gt;&lt;R&gt;0&lt;/R&gt;&lt;C&gt;0&lt;/C&gt;&lt;/FQL&gt;&lt;FQL&gt;&lt;Q&gt;VNM^FG_FCF_YIELD_NTM(0)&lt;/Q&gt;&lt;R&gt;1&lt;/R&gt;&lt;C&gt;1&lt;/C&gt;&lt;D xsi:type="xsd:double"&gt;6.9558016432596&lt;/D&gt;&lt;/FQL&gt;&lt;FQL&gt;&lt;Q&gt;QAT^FMA_PE(NTMA,0,,,"PORTAGG","MEANR")&lt;/Q&gt;&lt;R&gt;1&lt;/R&gt;&lt;C&gt;1&lt;/C&gt;&lt;D xsi:type="xsd:double"&gt;10.4825756242714&lt;/D&gt;&lt;/FQL&gt;&lt;FQL&gt;&lt;Q&gt;QAT^FG_COMPANY_NAME&lt;/Q&gt;&lt;R&gt;1&lt;/R&gt;&lt;C&gt;1&lt;/C&gt;&lt;D xsi:type="xsd:string"&gt;iShares MSCI Qatar ETF&lt;/D&gt;&lt;/FQL&gt;&lt;FQL&gt;&lt;Q&gt;VGK^P_PRICE(0)/P_PRICE_HIGH_PR(0,,,USD,,,"PRICE","INTRA","52W")&lt;/Q&gt;&lt;R&gt;1&lt;/R&gt;&lt;C&gt;1&lt;/C&gt;&lt;D xsi:type="xsd:double"&gt;0.9902627&lt;/D&gt;&lt;/FQL&gt;&lt;F</t>
        </r>
      </text>
    </comment>
    <comment ref="A22" authorId="0" shapeId="0" xr:uid="{53F17E68-9752-48B3-9B20-DD812469A583}">
      <text>
        <r>
          <rPr>
            <b/>
            <sz val="9"/>
            <color indexed="81"/>
            <rFont val="Tahoma"/>
            <charset val="1"/>
          </rPr>
          <t>QL&gt;&lt;Q&gt;EIDO^FMA_DIV_YLD(NTMA,NOW,NOW,M,"PORTAGG","MEANR")&lt;/Q&gt;&lt;R&gt;1&lt;/R&gt;&lt;C&gt;1&lt;/C&gt;&lt;D xsi:type="xsd:double"&gt;4.13211315541037&lt;/D&gt;&lt;/FQL&gt;&lt;FQL&gt;&lt;Q&gt;TRYIN10Y-FDS^PCTCHG(FG_YIELD(0,,,,"YTM"),FG_YIELD(-1AM,,,,"YTM"))&lt;/Q&gt;&lt;R&gt;0&lt;/R&gt;&lt;C&gt;0&lt;/C&gt;&lt;/FQL&gt;&lt;FQL&gt;&lt;Q&gt;TRYPL10Y-FDS^FG_YIELD(0,,,,"YTM")&lt;/Q&gt;&lt;R&gt;1&lt;/R&gt;&lt;C&gt;1&lt;/C&gt;&lt;D xsi:type="xsd:double"&gt;5.4511&lt;/D&gt;&lt;/FQL&gt;&lt;FQL&gt;&lt;Q&gt;TUR^P_PRICE(0)/P_PRICE_HIGH_PR(0,,,USD,,,"PRICE","INTRA","52W")&lt;/Q&gt;&lt;R&gt;1&lt;/R&gt;&lt;C&gt;1&lt;/C&gt;&lt;D xsi:type="xsd:double"&gt;0.8840544&lt;/D&gt;&lt;/FQL&gt;&lt;FQL&gt;&lt;Q&gt;CNYA^FG_ROE(0)&lt;/Q&gt;&lt;R&gt;1&lt;/R&gt;&lt;C&gt;1&lt;/C&gt;&lt;D xsi:type="xsd:double"&gt;10.2308190147366&lt;/D&gt;&lt;/FQL&gt;&lt;FQL&gt;&lt;Q&gt;MCHI^JULIAN(FMA_DIV_YLD(NTMA,NOW,NOW,M,"PORTAGG","MEANR").DATES)&lt;/Q&gt;&lt;R&gt;1&lt;/R&gt;&lt;C&gt;1&lt;/C&gt;&lt;D xsi:type="xsd:long"&gt;45351&lt;/D&gt;&lt;/FQL&gt;&lt;FQL&gt;&lt;Q&gt;PASP-FDS^FG_PRICE_CHANGE(0,-1AY)&lt;/Q&gt;&lt;R&gt;1&lt;/R&gt;&lt;C&gt;1&lt;/C&gt;&lt;D xsi:type="xsd:double"&gt;-28.655737704918&lt;/D&gt;&lt;/FQL&gt;&lt;FQL&gt;&lt;Q&gt;SPY^FG_TOTAL_RETURNC(0,-3AM)&lt;/Q&gt;&lt;R&gt;1&lt;/R&gt;&lt;C&gt;1&lt;/C&gt;&lt;D xsi:type="xsd:double"&gt;9.540331&lt;/D&gt;&lt;/FQL&gt;&lt;FQL&gt;&lt;Q&gt;VGK^PERCENT_CHANGE(FMA_EPS(+1,0,,,,"PORTAGG","MEAN"),FMA_EPS(+1,-1AM,,,,"PORTAGG","MEAN"))&lt;/Q&gt;&lt;R&gt;1&lt;/R&gt;&lt;C&gt;1&lt;/C&gt;&lt;D xsi:type="xsd:double"&gt;0&lt;/D&gt;&lt;/FQL&gt;&lt;FQL&gt;&lt;Q&gt;EWM^PERCENT_CHANGE(FMA_EPS(+1,0,,,,"PORTAGG","MEAN"),FMA_EPS(+1,-3AM,,,,"PORTAGG","MEAN"))&lt;/Q&gt;&lt;R&gt;1&lt;/R&gt;&lt;C&gt;1&lt;/C&gt;&lt;D xsi:type="xsd:double"&gt;-0.982921362559453&lt;/D&gt;&lt;/FQL&gt;&lt;FQL&gt;&lt;Q&gt;UAE^SIZE(FG_CONSTITUENTS)&lt;/Q&gt;&lt;R&gt;1&lt;/R&gt;&lt;C&gt;1&lt;/C&gt;&lt;D xsi:type="xsd:long"&gt;42&lt;/D&gt;&lt;/FQL&gt;&lt;FQL&gt;&lt;Q&gt;EPU^FMA_COS_UP("EPS","1M",+1,NOW,,,"PORTAGG","MEANR")&lt;/Q&gt;&lt;R&gt;1&lt;/R&gt;&lt;C&gt;1&lt;/C&gt;&lt;D xsi:type="xsd:double"&gt;8&lt;/D&gt;&lt;/FQL&gt;&lt;FQL&gt;&lt;Q&gt;QAT^FG_ROE(0)&lt;/Q&gt;&lt;R&gt;1&lt;/R&gt;&lt;C&gt;1&lt;/C&gt;&lt;D xsi:type="xsd:double"&gt;10.3977081006143&lt;/D&gt;&lt;/FQL&gt;&lt;FQL&gt;&lt;Q&gt;EIDO^SIZE(FG_CONSTITUENTS)&lt;/Q&gt;&lt;R&gt;1&lt;/R&gt;&lt;C&gt;1&lt;/C&gt;&lt;D xsi:type="xsd:long"&gt;77&lt;/D&gt;&lt;/FQL&gt;&lt;FQL&gt;&lt;Q&gt;TRYTW10Y-FDS^FG_YIELD(0,,,,"YTM")&lt;/Q&gt;&lt;R&gt;1&lt;/R&gt;&lt;C&gt;1&lt;/C&gt;&lt;D xsi:type="xsd:double"&gt;1.2085&lt;/D&gt;&lt;/FQL&gt;&lt;FQL&gt;&lt;Q&gt;CC_PL^IMF_IFS_RCPI_Q(0)&lt;/Q&gt;&lt;R&gt;1&lt;/R&gt;&lt;C&gt;1&lt;/C&gt;&lt;D xsi:type="xsd:double"&gt;6.202308&lt;/D&gt;&lt;/FQL&gt;&lt;FQL&gt;&lt;Q&gt;MCHI^FMA_PE(LTM,0,,,"PORTAGG","MEANR")&lt;/Q&gt;&lt;R&gt;1&lt;/R&gt;&lt;C&gt;1&lt;/C&gt;&lt;D xsi:type="xsd:double"&gt;11.8000819869643&lt;/D&gt;&lt;/FQL&gt;&lt;FQL&gt;&lt;Q&gt;EWM^FMA_PE(NTMA,0,,,"PORTAGG","MEANR")&lt;/Q&gt;&lt;R&gt;1&lt;/R&gt;&lt;C&gt;1&lt;/C&gt;&lt;D xsi:type="xsd:double"&gt;13.9172182315815&lt;/D&gt;&lt;/FQL&gt;&lt;FQL&gt;&lt;Q&gt;ECH^FMA_EVAL_EBIT(LTMA,NOW,NOW,M,"PORTAGG","MEANR")&lt;/Q&gt;&lt;R&gt;1&lt;/R&gt;&lt;C&gt;1&lt;/C&gt;&lt;D xsi:type="xsd:double"&gt;9.61856981253221&lt;/D&gt;&lt;/FQL&gt;&lt;FQL&gt;&lt;Q&gt;UAE^FMA_DIV_YLD(NTMA,NOW,NOW,M,"PORTAGG","MEANR")&lt;/Q&gt;&lt;R&gt;1&lt;/R&gt;&lt;C&gt;1&lt;/C&gt;&lt;D xsi:type="xsd:double"&gt;4.96320909768052&lt;/D&gt;&lt;/FQL&gt;&lt;FQL&gt;&lt;Q&gt;EWY^FG_TOTAL_RETURNC(0,-3AM)&lt;/Q&gt;&lt;R&gt;1&lt;/R&gt;&lt;C&gt;1&lt;/C&gt;&lt;D xsi:type="xsd:double"&gt;6.4250827&lt;/D&gt;&lt;/FQL&gt;&lt;FQL&gt;&lt;Q&gt;EWM^FMA_PCT_ABOVE_MAVG(200,0,,,,"PORTAGG")&lt;/Q&gt;&lt;R&gt;1&lt;/R&gt;&lt;C&gt;1&lt;/C&gt;&lt;D xsi:type="xsd:double"&gt;66.6666666666667&lt;/D&gt;&lt;/FQL&gt;&lt;FQL&gt;&lt;Q&gt;EPOL^FMA_COS_DOWN("EPS","1M",+1,NOW,,,"PORTAGG","MEANR")&lt;/Q&gt;&lt;R&gt;1&lt;/R&gt;&lt;C&gt;1&lt;/C&gt;&lt;D xsi:type="xsd:double"&gt;14&lt;/D&gt;&lt;/FQL&gt;&lt;FQL&gt;&lt;Q&gt;INDA^FG_ROE(0)&lt;/Q&gt;&lt;R&gt;1&lt;/R&gt;&lt;C&gt;1&lt;/C&gt;&lt;D xsi:type="xsd:double"&gt;16.032227018565&lt;/D&gt;&lt;/FQL&gt;&lt;FQL&gt;&lt;Q&gt;TRYAE10Y-FDS^PCTCHG(FG_YIELD(0,,,,"YTM"),FG_YIELD(-3AM,,,,"YTM"))&lt;/Q&gt;&lt;R&gt;0&lt;/R&gt;&lt;C&gt;0&lt;/C&gt;&lt;/FQL&gt;&lt;FQL&gt;&lt;Q&gt;TRYPH10Y-FDS^PCTCHG(FG_YIELD(0,,,,"YTM"),FG_YIELD(-1AM,,,,"YTM"))&lt;/Q&gt;&lt;R&gt;1&lt;/R&gt;&lt;C&gt;1&lt;/C&gt;&lt;D xsi:type="xsd:double"&gt;-1.2431655&lt;/D&gt;&lt;/FQL&gt;&lt;FQL&gt;&lt;Q&gt;CC_TW^IMF_IFS_RCPI_Q(0)&lt;/Q&gt;&lt;R&gt;0&lt;/R&gt;&lt;C&gt;0&lt;/C&gt;&lt;/FQL&gt;&lt;FQL&gt;&lt;Q&gt;KSA^JULIAN(FMA_DIV_YLD(NTMA,NOW,NOW,M,"PORTAGG","MEANR").DATES)&lt;/Q&gt;&lt;R&gt;1&lt;/R&gt;&lt;C&gt;1&lt;/C&gt;&lt;D xsi:type="xsd:long"&gt;45351&lt;/D&gt;&lt;/FQL&gt;&lt;FQL&gt;&lt;Q&gt;QAT^FG_FCF_YIELD_NTM(0)&lt;/Q&gt;&lt;R&gt;0&lt;/R&gt;&lt;C&gt;0&lt;/C&gt;&lt;/FQL&gt;&lt;FQL&gt;&lt;Q&gt;EZA^FMA_DIV_YLD(NTMA,NOW,NOW,M,"PORTAGG","MEANR")&lt;/Q&gt;&lt;R&gt;1&lt;/R&gt;&lt;C&gt;1&lt;/C&gt;&lt;D xsi:type="xsd:double"&gt;4.32893558190175&lt;/D&gt;&lt;/FQL&gt;&lt;FQL&gt;&lt;Q&gt;EWW^P_PRICE(0)/P_PRICE_LOW_PR(0,,,USD,,,"PRICE","INTRA","52W")-1&lt;/Q&gt;&lt;R&gt;1&lt;/R&gt;&lt;C&gt;1&lt;/C&gt;&lt;D xsi:type="xsd:double"&gt;0.2830366&lt;/D&gt;&lt;/FQL&gt;&lt;FQL&gt;&lt;Q&gt;VGK^FMA_PCT_ABOVE_MAVG(200,0,,,,"PORTAGG")&lt;/Q&gt;&lt;R&gt;1&lt;/R&gt;&lt;C&gt;1&lt;/C&gt;&lt;D xsi:type="xsd:double"&gt;61.2421383647799&lt;/D&gt;&lt;/FQL&gt;&lt;FQL&gt;&lt;Q&gt;EPU^PERCENT_CHANGE(FMA_EPS(+1,0,,,,"PORTAGG","MEAN"),FMA_EPS(+1,-3AM,,,,"PORTAGG","MEAN"))&lt;/Q&gt;&lt;R&gt;1&lt;/R&gt;&lt;C&gt;1&lt;/C&gt;&lt;D xsi:type="xsd:double"&gt;1.17361377641427&lt;/D&gt;&lt;/FQL&gt;&lt;FQL&gt;&lt;Q&gt;UAE^FMA_COS_DOWN("EPS","1M",+1,NOW,,,"PORTAGG","MEANR")&lt;/Q&gt;&lt;R&gt;1&lt;/R&gt;&lt;C&gt;1&lt;/C&gt;&lt;D xsi:type="xsd:double"&gt;4&lt;/D&gt;&lt;/FQL&gt;&lt;FQL&gt;&lt;Q&gt;EPHE^SIZE(FG_CONSTITUENTS)&lt;/Q&gt;&lt;R&gt;1&lt;/R&gt;&lt;C&gt;1&lt;/C&gt;&lt;D xsi:type="xsd:long"&gt;35&lt;/D&gt;&lt;/FQL&gt;&lt;FQL&gt;&lt;Q&gt;REFSAREPO-FDS^(SUBARRAY(NOT_NA(NO_REPEAT_F(FG_YIELD(NOW,-10AY,D))),0,1)-SUBARRAY(NOT_NA(NO_REPEAT_F(FG_YIELD(NOW,-10AY,D))),1,1))*100&lt;/Q&gt;&lt;R&gt;1&lt;/R&gt;&lt;C&gt;1&lt;/C&gt;&lt;D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xsi:type="xsd:double"&gt;3.5&lt;/D&gt;&lt;/FQL&gt;&lt;FQL&gt;&lt;Q&gt;TRYID10Y-FDS^PCTCHG(FG_YIELD(0,,,,"YTM"),FG_YIELD(-3AM,,,,"YTM"))&lt;/Q&gt;&lt;R&gt;1&lt;/R&gt;&lt;C&gt;1&lt;/C&gt;&lt;D xsi:type="xsd:double"&gt;1.2486956&lt;/D&gt;&lt;/FQL&gt;&lt;FQL&gt;&lt;Q&gt;USDPLN^FG_COMPANY_NAME&lt;/Q&gt;&lt;R&gt;1&lt;/R&gt;&lt;C&gt;1&lt;/C&gt;&lt;D xsi:type="xsd:string"&gt;Polish Zloty per U.S. Dollar&lt;/D&gt;&lt;/FQL&gt;&lt;FQL&gt;&lt;Q&gt;PLATI-FDS^FG_PRICE_CHANGE(0,-3AM)&lt;/Q&gt;&lt;R&gt;1&lt;/R&gt;&lt;C&gt;1&lt;/C&gt;&lt;D xsi:type="xsd:double"&gt;-0.844772967265051&lt;/D&gt;&lt;/FQL&gt;&lt;FQL&gt;&lt;Q&gt;TRYMX10Y-FDS^FG_YIELD(0,,,,"YTM")&lt;/Q&gt;&lt;R&gt;1&lt;/R&gt;&lt;C&gt;1&lt;/C&gt;&lt;D xsi:type="xsd:double"&gt;9.2597&lt;/D&gt;&lt;/FQL&gt;&lt;FQL&gt;&lt;Q&gt;EPU^FMA_PCT_ABOVE_MAVG(200,0,,,,"PORTAGG")&lt;/Q&gt;&lt;R&gt;1&lt;/R&gt;&lt;C&gt;1&lt;/C&gt;&lt;D xsi:type="xsd:double"&gt;84.6153846153846&lt;/D&gt;&lt;/FQL&gt;&lt;FQL&gt;&lt;Q&gt;TRYTR7Y-FDS^PCTCHG(FG_YIELD(0,,,,"YTM"),FG_YIELD(-1AM,,,,"YTM"))&lt;/Q&gt;&lt;R&gt;1&lt;/R&gt;&lt;C&gt;1&lt;/C&gt;&lt;D xsi:type="xsd:double"&gt;7.876317&lt;/D&gt;&lt;/FQL&gt;&lt;FQL&gt;&lt;Q&gt;EZA^FMA_PE(LTM,0,,,"PORTAGG","MEANR")&lt;/Q&gt;&lt;R&gt;1&lt;/R&gt;&lt;C&gt;1&lt;/C&gt;&lt;D xsi:type="xsd:double"&gt;10.0634813802736&lt;/D&gt;&lt;/FQL&gt;&lt;FQL&gt;&lt;Q&gt;EIDO^FG_FCF_YIELD_NTM(0)&lt;/Q&gt;&lt;R&gt;0&lt;/R&gt;&lt;C&gt;0&lt;/C&gt;&lt;/FQL&gt;&lt;FQL&gt;&lt;Q&gt;TRYQA10Y-FDS^PCTCHG(FG_YIELD(0,,,,"YTM"),FG_YIELD(-1AM,,,,"YTM"))&lt;/Q&gt;&lt;R&gt;0&lt;/R&gt;&lt;C&gt;0&lt;/C&gt;&lt;/FQL&gt;&lt;FQL&gt;&lt;Q&gt;KSA^FMA_RBICS_REV_CURRENT(30, LOC, "PORTAGG")&lt;/Q&gt;&lt;R&gt;1&lt;/R&gt;&lt;C&gt;1&lt;/C&gt;&lt;D xsi:type="xsd:double"&gt;44.5429367554235&lt;/D&gt;&lt;/FQL&gt;&lt;FQL&gt;&lt;Q&gt;EWW^FG_TOTAL_RETURNC(0,-3AM)&lt;/Q&gt;&lt;R&gt;1&lt;/R&gt;&lt;C&gt;1&lt;/C&gt;&lt;D xsi:type="xsd:double"&gt;0.7198572&lt;/D&gt;&lt;/FQL&gt;&lt;FQL&gt;&lt;Q&gt;KSA^PERCENT_CHANGE(FMA_EPS(+1,0,,,,"PORTAGG","MEAN"),FMA_EPS(+1,-3AM,,,,"PORTAGG","MEAN"))&lt;/Q&gt;&lt;R&gt;1&lt;/R&gt;&lt;C&gt;1&lt;/C&gt;&lt;D xsi:type="xsd:double"&gt;-2.84793512889195&lt;/D&gt;&lt;/FQL&gt;&lt;FQL&gt;&lt;Q&gt;UAE^FMA_COS_UP("EPS","1M",+1,NOW,,,"PORTAGG","MEANR")&lt;/Q&gt;&lt;R&gt;1&lt;/R&gt;&lt;C&gt;1&lt;/C&gt;&lt;D xsi:type="xsd:double"&gt;15&lt;/D&gt;&lt;/FQL&gt;&lt;FQL&gt;&lt;Q&gt;GREK^FG_ROE(0)&lt;/Q&gt;&lt;R&gt;1&lt;/R&gt;&lt;C&gt;1&lt;/C&gt;&lt;D xsi:type="xsd:double"&gt;14.2253430731432&lt;/D&gt;&lt;/FQL&gt;&lt;FQL&gt;&lt;Q&gt;REFSAREPO-FDS^FG_YIELD(NOW,,,0)&lt;/Q&gt;&lt;R&gt;1&lt;/R&gt;&lt;C&gt;1&lt;/C&gt;&lt;D xsi:type="xsd:double"&gt;6&lt;/D&gt;&lt;/FQL&gt;&lt;FQL&gt;&lt;Q&gt;EPHE^JULIAN(FMA_DIV_YLD(NTMA,NOW,NOW,M,"PORTAGG","MEANR").DATES)&lt;/Q&gt;&lt;R&gt;1&lt;/R&gt;&lt;C&gt;1&lt;/C&gt;&lt;D xsi:type="xsd:long"&gt;45351&lt;/D&gt;&lt;/FQL&gt;&lt;FQL&gt;&lt;Q&gt;MCHI^FMA_COS_DOWN("EPS","1M",+1,NOW,,,"PORTAGG","MEANR")&lt;/Q&gt;&lt;R&gt;1&lt;/R&gt;&lt;C&gt;1&lt;/C&gt;&lt;D xsi:type="xsd:double"&gt;229&lt;/D&gt;&lt;/FQL&gt;&lt;FQL&gt;&lt;Q&gt;EPOL^P_PRICE(0)/P_PRICE_LOW_PR(0,,,USD,,,"PRICE","INTRA","52W")-1&lt;/Q&gt;&lt;R&gt;1&lt;/R&gt;&lt;C&gt;1&lt;/C&gt;&lt;D xsi:type="xsd:double"&gt;0.6610408&lt;/D&gt;&lt;/FQL&gt;&lt;FQL&gt;&lt;Q&gt;USDIDR^FG_PRICE_CHANGE(0,-3AM)&lt;/Q&gt;&lt;R&gt;1&lt;/R&gt;&lt;C&gt;1&lt;/C&gt;&lt;D xsi:type="xsd:double"&gt;0.5355835&lt;/D&gt;&lt;/FQL&gt;&lt;FQL&gt;&lt;Q&gt;VGK^P_PRICE(0)/P_PRICE_LOW_PR(0,,,USD,,,"PRICE","INTRA","52W")-1&lt;/Q&gt;&lt;R&gt;1&lt;/R&gt;&lt;C&gt;1&lt;/C&gt;&lt;D xsi:type="xsd:double"&gt;0.21903384&lt;/D&gt;&lt;/FQL&gt;&lt;FQL&gt;&lt;Q&gt;EWT^P_PRICE(0)/P_PRICE_LOW_PR(0,,,USD,,,"PRICE","INTRA","52W")-1&lt;/Q&gt;&lt;R&gt;1&lt;/R&gt;&lt;C&gt;1&lt;/C&gt;&lt;D xsi:type="xsd:double"&gt;0.15109801&lt;/D&gt;&lt;/FQL&gt;&lt;FQL&gt;&lt;Q&gt;VNM^PERCENT_CHANGE(FMA_EPS(+1,0,,,,"PORTAGG","MEAN"),FMA_EPS(+1,-1AM,,,,"PORTAGG","MEAN"))&lt;/Q&gt;&lt;R&gt;1&lt;/R&gt;&lt;C&gt;1&lt;/C&gt;&lt;D xsi:type="xsd:double"&gt;-9.29081140718774&lt;/D&gt;&lt;/FQL&gt;&lt;FQL&gt;&lt;Q&gt;EPU^PERCENT_CHANGE(FMA_EPS(+1,0,,,,"PORTAGG","MEAN"),FMA_EPS(+1,-1AM,,,,"PORTAGG","MEAN"))&lt;/Q&gt;&lt;R&gt;1&lt;/R&gt;&lt;C&gt;1&lt;/C&gt;&lt;D xsi:type="xsd:double"&gt;2.08513004343433&lt;/D&gt;&lt;/FQL&gt;&lt;FQL&gt;&lt;Q&gt;TUR^FMA_COS_UP("EPS","1M",+1,NOW,,,"PORTAGG","MEANR")&lt;/Q&gt;&lt;R&gt;1&lt;/R&gt;&lt;C&gt;1&lt;/C&gt;&lt;D xsi:type="xsd:double"&gt;13&lt;/D&gt;&lt;/FQL&gt;&lt;FQL&gt;&lt;Q&gt;EPHE^FMA_COS_UP("EPS","1M",+1,NOW,,,"PORTAGG","MEANR")&lt;/Q&gt;&lt;R&gt;1&lt;/R&gt;&lt;C&gt;1&lt;/C&gt;&lt;D xsi:type="xsd:double"&gt;12&lt;/D&gt;&lt;/FQL&gt;&lt;FQL&gt;&lt;Q&gt;EZA^FG_ROE(0)&lt;/Q&gt;&lt;R&gt;1&lt;/R&gt;&lt;C&gt;1&lt;/C&gt;&lt;D xsi:type="xsd:double"&gt;15.5831175886795&lt;/D&gt;&lt;/FQL&gt;&lt;FQL&gt;&lt;Q&gt;VNM^JULIAN(FMA_DIV_YLD(NTMA,NOW,NOW,M,"PORTAGG","MEANR").DATES)&lt;/Q&gt;&lt;R&gt;1&lt;/R&gt;&lt;C&gt;1&lt;/C&gt;&lt;D xsi:type="xsd:long"&gt;45351&lt;/D&gt;&lt;/FQL&gt;&lt;FQL&gt;&lt;Q&gt;ECH^FG_ROE(0)&lt;/Q&gt;&lt;R&gt;1&lt;/R&gt;&lt;C&gt;1&lt;/C&gt;&lt;D xsi:type="xsd:double"&gt;11.7611076277606&lt;/D&gt;&lt;/FQL&gt;&lt;FQL&gt;&lt;Q&gt;EWW^FG_COMPANY_NAME&lt;/Q&gt;&lt;R&gt;1&lt;/R&gt;&lt;C&gt;1&lt;/C&gt;&lt;D xsi:type="xsd:string"&gt;iShares MSCI Mexico ETF&lt;/D&gt;&lt;/FQL&gt;&lt;FQL&gt;&lt;Q&gt;UAE^FMA_PE(NTMA,0,,,"PORTAGG","MEANR")&lt;/Q&gt;&lt;R&gt;1&lt;/R&gt;&lt;C&gt;1&lt;/C&gt;&lt;D xsi:type="xsd:double"&gt;9.72007383170763&lt;/D&gt;&lt;/FQL&gt;&lt;FQL&gt;&lt;Q&gt;EPOL^FG_COMPANY_NAME&lt;/Q&gt;&lt;R&gt;1&lt;/R&gt;&lt;C&gt;1&lt;/C&gt;&lt;D xsi:type="xsd:string"&gt;iShares MSCI Poland ETF&lt;/D&gt;&lt;/FQL&gt;&lt;FQL&gt;&lt;Q&gt;USDCLP^FG_PRICE(0)&lt;/Q&gt;&lt;R&gt;1&lt;/R&gt;&lt;C&gt;1&lt;/C&gt;&lt;D xsi:type="xsd:double"&gt;941.85&lt;/D&gt;&lt;/FQL&gt;&lt;FQL&gt;&lt;Q&gt;W-FDS^FG_PRICE(0)&lt;/Q&gt;&lt;R&gt;1&lt;/R&gt;&lt;C&gt;1&lt;/C&gt;&lt;D xsi:type="xsd:double"&gt;5.195&lt;/D&gt;&lt;/FQL&gt;&lt;FQL&gt;&lt;Q&gt;KSA^P_PRICE(0)/P_PRICE_LOW_PR(0,,,USD,,,"PRICE","INTRA","52W")-1&lt;/Q&gt;&lt;R&gt;1&lt;/R&gt;&lt;C&gt;1&lt;/C&gt;&lt;D xsi:type="xsd:double"&gt;0.24231422&lt;/D&gt;&lt;/FQL&gt;&lt;FQL&gt;&lt;Q&gt;EWM^P_PRICE(0)/P_PRICE_LOW_PR(0,,,USD,,,"PRICE","INTRA","52W")-1&lt;/Q&gt;&lt;R&gt;1&lt;/R&gt;&lt;C&gt;1&lt;/C&gt;&lt;D xsi:type="xsd:double"&gt;0.10735881&lt;/D&gt;&lt;/FQL&gt;&lt;FQL&gt;&lt;Q&gt;UAE^PERCENT_CHANGE(FMA_EPS(+1,0,,,,"PORTAGG","MEAN"),FMA_EPS(+1,-3AM,,,,"PORTAGG","MEAN"))&lt;/Q&gt;&lt;R&gt;1&lt;/R&gt;&lt;C&gt;1&lt;/C&gt;&lt;D xsi:type="xsd:double"&gt;3.30495787394797&lt;/D&gt;&lt;/FQL&gt;&lt;FQL&gt;&lt;Q&gt;EPOL^PERCENT_CHANGE(FMA_EPS(+1,0,,,,"PORTAGG","MEAN"),FMA_EPS(+1,-1AM,,,,"PORTAGG","MEAN"))&lt;/Q&gt;&lt;R&gt;1&lt;/R&gt;&lt;C&gt;1&lt;/C&gt;&lt;D xsi:type="xsd:double"&gt;0.513495970872002&lt;/D&gt;&lt;/FQL&gt;&lt;FQL&gt;&lt;Q&gt;SET-BKK^FMA_COS_DOWN("EPS","1M",+1,NOW,,,"PORTAGG","MEANR")&lt;/Q&gt;&lt;R&gt;1&lt;/R&gt;&lt;C&gt;1&lt;/C&gt;&lt;D xsi:type="xsd:double"&gt;103&lt;/D&gt;&lt;/FQL&gt;&lt;FQL&gt;&lt;Q&gt;EIDO^FMA_COS_DOWN("EPS","1M",+1,NOW,,,"PORTAGG","MEANR")&lt;/Q&gt;&lt;R&gt;1&lt;/R&gt;&lt;C&gt;1&lt;/C&gt;&lt;D xsi:type="xsd:double"&gt;19&lt;/D&gt;&lt;/FQL&gt;&lt;FQL&gt;&lt;Q&gt;EWW^FG_ROE(0)&lt;/Q&gt;&lt;R&gt;1&lt;/R&gt;&lt;C&gt;1&lt;/C&gt;&lt;D xsi:type="xsd:double"&gt;12.9402832515893&lt;/D&gt;&lt;/FQL&gt;&lt;FQL&gt;&lt;Q&gt;REFVNDISC-FDS^PROPER_NAME(0,,,"SECURITY","NAME")&lt;/Q&gt;&lt;R&gt;1&lt;/R&gt;&lt;C&gt;1&lt;/C&gt;&lt;D xsi:type="xsd:string"&gt;Vietnam Discount Rate&lt;/D&gt;&lt;/FQL&gt;&lt;FQL&gt;&lt;Q&gt;REFTWDISC-FDS^FG_YIELD(NOW,,,0)&lt;/Q&gt;&lt;R&gt;1&lt;/R&gt;&lt;C&gt;1&lt;/C&gt;&lt;D xsi:type="xsd:double"&gt;1.875&lt;/D&gt;&lt;/FQL&gt;&lt;FQL&gt;&lt;Q&gt;TRYQA10Y-FDS^PCTCHG(FG_YIELD(0,,,,"YTM"),FG_YIELD(-3AM,,,,"YTM"))&lt;/Q&gt;&lt;R&gt;0&lt;/R&gt;&lt;C&gt;0&lt;/C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xsi:type="xsd:double"&gt;-25&lt;/D&gt;&lt;/FQL&gt;&lt;FQL&gt;&lt;Q&gt;TRYGR10Y-FDS^PCTCHG(FG_YIELD(0,,,,"YTM"),FG_YIELD(-3AM,,,,"YTM"))&lt;/Q&gt;&lt;R&gt;1&lt;/R&gt;&lt;C&gt;1&lt;/C&gt;&lt;D xsi:type="xsd:double"&gt;1.2154421&lt;/D&gt;&lt;/FQL&gt;&lt;FQL&gt;&lt;Q&gt;EWZ^JULIAN(FMA_DIV_YLD(NTMA,NOW,NOW,M,"PORTAGG","MEANR").DATES)&lt;/Q&gt;&lt;R&gt;1&lt;/R&gt;&lt;C&gt;1&lt;/C&gt;&lt;D xsi:type="xsd:long"&gt;45351&lt;/D&gt;&lt;/FQL&gt;&lt;FQL&gt;&lt;Q&gt;TUR^FG_PRICE_MAVG(0,,,,30)&lt;/Q&gt;&lt;R&gt;1&lt;/R&gt;&lt;C&gt;1&lt;/C&gt;&lt;D xsi:type="xsd:double"&gt;37.057&lt;/D&gt;&lt;/FQL&gt;&lt;FQL&gt;&lt;Q&gt;KSA^P_PRICE(0)/P_PRICE_HIGH_PR(0,,,USD,,,"PRICE","INTRA","52W")&lt;/Q&gt;&lt;R&gt;1&lt;/R&gt;&lt;C&gt;1&lt;/C&gt;&lt;D xsi:type="xsd:double"&gt;0.9893167&lt;/D&gt;&lt;/FQL&gt;&lt;FQL&gt;&lt;Q&gt;EWM^FG_TOTAL_RETURNC(0,-6AM)&lt;/Q&gt;&lt;R&gt;1&lt;/R&gt;&lt;C&gt;1&lt;/C&gt;&lt;D xsi:type="xsd:double"&gt;5.6631327&lt;/D&gt;&lt;/FQL&gt;&lt;FQL&gt;&lt;Q&gt;UAE^FMA_PCT_ABOVE_MAVG(200,0,,,,"PORTAGG")&lt;/Q&gt;&lt;R&gt;1&lt;/R&gt;&lt;C&gt;1&lt;/C&gt;&lt;D xsi:type="xsd:double"&gt;37.8378378378378&lt;/D&gt;&lt;/FQL&gt;&lt;FQL&gt;&lt;Q&gt;EPOL^FMA_PCT_ABOVE_MAVG(200,0,,,,"PORTAGG")&lt;/Q&gt;&lt;R&gt;1&lt;/R&gt;&lt;C&gt;1&lt;/C&gt;&lt;D xsi:type="xsd:double"&gt;54.5454545454545&lt;/D&gt;&lt;/FQL&gt;&lt;FQL&gt;&lt;Q&gt;QAT^SIZE(FG_CONSTITUENTS)&lt;/Q&gt;&lt;R&gt;1&lt;/R&gt;&lt;C&gt;1&lt;/C&gt;&lt;D xsi:type="xsd:long"&gt;35&lt;/D&gt;&lt;/FQL&gt;&lt;FQL&gt;&lt;Q&gt;ECH^SIZE(FG_CONSTITUENTS)&lt;/Q&gt;&lt;R&gt;1&lt;/R&gt;&lt;C&gt;1&lt;/C&gt;&lt;D xsi:type="xsd:long"&gt;29&lt;/D&gt;&lt;/FQL&gt;&lt;FQL&gt;&lt;Q&gt;EWT^FG_ROE(0)&lt;/Q&gt;&lt;R&gt;1&lt;/R&gt;&lt;C&gt;1&lt;/C&gt;&lt;D xsi:type="xsd:double"&gt;9.41936129295077&lt;/D&gt;&lt;/FQL&gt;&lt;FQL&gt;&lt;Q&gt;REFTWDISC-FDS^PROPER_NAME(0,,,"SECURITY","NAME")&lt;/Q&gt;&lt;R&gt;1&lt;/R&gt;&lt;C&gt;1&lt;/C&gt;&lt;D xsi:type="xsd:string"&gt;Taiwan China Discount Rate&lt;/D&gt;&lt;/FQL&gt;&lt;FQL&gt;&lt;Q&gt;ECH^PERCENT_CHANGE(FMA_EPS(+1,0,,,,"PORTAGG","MEAN"),FMA_EPS(+1,-3AM,,,,"PORTAGG","MEAN"))&lt;/Q&gt;&lt;R&gt;1&lt;/R&gt;&lt;C&gt;1&lt;/C&gt;&lt;D xsi:type="xsd:double"&gt;-1.69336470295015&lt;/D&gt;&lt;/FQL&gt;&lt;FQL&gt;&lt;Q&gt;TUR^FG_PRICE(0)&lt;/Q&gt;&lt;R&gt;1&lt;/R&gt;&lt;C&gt;1&lt;/C&gt;&lt;D xsi:type="xsd:double"&gt;35.15&lt;/D&gt;&lt;/FQL&gt;&lt;FQL&gt;&lt;Q&gt;VNM^FG_TOTAL_RETURNC(0,-3AM)&lt;/Q&gt;&lt;R&gt;1&lt;/R&gt;&lt;C&gt;1&lt;/C&gt;&lt;D xsi:type="xsd:double"&gt;7.461679&lt;/D&gt;&lt;/FQL&gt;&lt;FQL&gt;&lt;Q&gt;TUR^PERCENT_CHANGE(FMA_EPS(+1,0,,,,"PORTAGG","MEAN"),FMA_EPS(+1,-1AM,,,,"PORTAGG","MEAN"))&lt;/Q&gt;&lt;R&gt;1&lt;/R&gt;&lt;C&gt;1&lt;/C&gt;&lt;D xsi:type="xsd:double"&gt;-3.97939916707197&lt;/D&gt;&lt;/FQL&gt;&lt;FQL&gt;&lt;Q&gt;QAT^FMA_COS_UP("EPS","1M",+1,NOW,,,"PORTAGG","MEANR")&lt;/Q&gt;&lt;R&gt;1&lt;/R&gt;&lt;C&gt;1&lt;/C&gt;&lt;D xsi:type="xsd:double"&gt;4&lt;/D&gt;&lt;/FQL&gt;&lt;FQL&gt;&lt;Q&gt;EWM^FG_ROE(0)&lt;/Q&gt;&lt;R&gt;1&lt;/R&gt;&lt;C&gt;1&lt;/C&gt;&lt;D xsi:type="xsd:double"&gt;7.81546542748035&lt;/D&gt;&lt;/FQL&gt;&lt;FQL&gt;&lt;Q&gt;REFTR1WREPO-FDS^(SUBARRAY(NOT_NA(NO_REPEAT_F(FG_YIELD(NOW,-10AY,D))),0,1)-SUBARRAY(NOT_NA(NO_REPEAT_F(FG_YIELD(NOW,-10AY,D))),1,1))*100&lt;/Q&gt;&lt;R&gt;1&lt;/R&gt;&lt;C&gt;1&lt;/C&gt;&lt;D xsi:type="xsd:double"&gt;250&lt;/D&gt;&lt;/FQL&gt;&lt;FQL&gt;&lt;Q&gt;REFMYON-FDS^FG_YIELD(NOW,,,0)&lt;/Q&gt;&lt;R&gt;1&lt;/R&gt;&lt;C&gt;1&lt;/C&gt;&lt;D xsi:type="xsd:double"&gt;3&lt;/D&gt;&lt;/FQL&gt;&lt;FQL&gt;&lt;Q&gt;TRYSA10Y-FDS^FG_YIELD(0,,,,"YTM")&lt;/Q&gt;&lt;R&gt;1&lt;/R&gt;&lt;C&gt;1&lt;/C&gt;&lt;D xsi:type="xsd:double"&gt;5.126932&lt;/D&gt;&lt;/FQL&gt;&lt;FQL&gt;&lt;Q&gt;TRYPE10Y-FDS^FG_YIELD(0,,,,"YTM")&lt;/Q&gt;&lt;R&gt;1&lt;/R&gt;&lt;C&gt;1&lt;/C&gt;&lt;D xsi:type="xsd:double"&gt;6.997288&lt;/D&gt;&lt;/FQL&gt;&lt;FQL&gt;&lt;Q&gt;UAE^FMA_EVAL_EBIT(LTMA,NOW,NOW,M,"PORTAGG","MEANR")&lt;/Q&gt;&lt;R&gt;1&lt;/R&gt;&lt;C&gt;1&lt;/C&gt;&lt;D xsi:type="xsd:double"&gt;10.343089815162&lt;/D&gt;&lt;/FQL&gt;&lt;FQL&gt;&lt;Q&gt;MCHI^FMA_EVAL_EBITDA(NTMA,0,,,"PORTAGG","MEANR")&lt;/Q&gt;&lt;R&gt;1&lt;/R&gt;&lt;C&gt;1&lt;/C&gt;&lt;D xsi:type="xsd:double"&gt;8.29528508275026&lt;/D&gt;&lt;/FQL&gt;&lt;FQL&gt;&lt;Q&gt;EIDO^FMA_PE(NTMA,0,,,"PORTAGG","MEANR")&lt;/Q&gt;&lt;R&gt;1&lt;/R&gt;&lt;C&gt;1&lt;/C&gt;&lt;D xsi:type="xsd:double"&gt;13.1860387719241&lt;/D&gt;&lt;/FQL&gt;&lt;FQL&gt;&lt;Q&gt;EZA^FG_COMPANY_NAME&lt;/Q&gt;&lt;R&gt;1&lt;/R&gt;&lt;C&gt;1&lt;/C&gt;&lt;D xsi:type="xsd:string"&gt;iShares MSCI South Africa ETF&lt;/D&gt;&lt;/FQL&gt;&lt;FQL&gt;&lt;Q&gt;EWM^FG_COMPANY_NAME&lt;/Q&gt;&lt;R&gt;1&lt;/R&gt;&lt;C&gt;1&lt;/C&gt;&lt;D xsi:type="xsd:string"&gt;iShares MSCI Malaysia ETF&lt;/D&gt;&lt;/FQL&gt;&lt;FQL&gt;&lt;Q&gt;EPOL^P_PRICE(0)/P_PRICE_HIGH_PR(0,,,USD,,,"PRICE","INTRA","52W")&lt;/Q&gt;&lt;R&gt;1&lt;/R&gt;&lt;C&gt;1&lt;/C&gt;&lt;D xsi:type="xsd:double"&gt;0.98519295&lt;/D&gt;&lt;/FQL&gt;&lt;FQL&gt;&lt;Q&gt;KSA^P_PRICE_RETURNS_PR('52W',2,-10AY,0,AM)&lt;/Q&gt;&lt;R&gt;121&lt;/R&gt;&lt;C&gt;1&lt;/C&gt;&lt;D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xsi:type="xsd:double"&gt;-19.85525&lt;/D&gt;&lt;D xsi:type="xsd:double"&gt;-0.28142333&lt;/D&gt;&lt;D xsi:type="xsd:double"&gt;6.95951&lt;/D&gt;&lt;D xsi:type="xsd:double"&gt;20.94121&lt;/D&gt;&lt;D xsi:type="xsd:double"&gt;26.112091&lt;/D&gt;&lt;D xsi:type="xsd:double"&gt;11.820925&lt;/D&gt;&lt;D xsi:type="xsd:double"&gt;14.986753&lt;/D&gt;&lt;D xsi:type="xsd:double"&gt;7.0162177&lt;/D&gt;&lt;D xsi:type="xsd:double"&gt;6.4323187&lt;/D&gt;&lt;D xsi:type="xsd:double"&gt;16.655588&lt;/D&gt;&lt;D xsi:type="xsd:double"&gt;13.475609&lt;/D&gt;&lt;D xsi:type="xsd:double"&gt;24.980186&lt;/D&gt;&lt;D xsi:type="xsd:double"&gt;25.921513&lt;/D&gt;&lt;D xsi:type="xsd:double"&gt;7.8711867&lt;/D&gt;&lt;D xsi:type="xsd:double"&gt;4.398346&lt;/D&gt;&lt;D xsi:type="xsd:double"&gt;16.664087&lt;/D&gt;&lt;D xsi:type="xsd:double"&gt;10.298931&lt;/D&gt;&lt;D xsi:type="xsd:double"&gt;21.738804&lt;/D&gt;&lt;D xsi:type="xsd:double"&gt;17.32645&lt;/D&gt;&lt;D xsi:type="xsd:double"&gt;24.097252&lt;/D&gt;&lt;D xsi:type="xsd:double"&gt;29.285109&lt;/D&gt;&lt;D xsi:type="xsd:double"&gt;20.04118&lt;/D&gt;&lt;D xsi:type="xsd:double"&gt;16.783596&lt;/D&gt;&lt;D xsi:type="xsd:double"&gt;8.274484&lt;/D&gt;&lt;D xsi:type="xsd:double"&gt;11.162197&lt;/D&gt;&lt;D xsi:type="xsd:double"&gt;16.67223&lt;/D&gt;&lt;D xsi:type="xsd:double"&gt;17.966938&lt;/D&gt;&lt;D xsi:type="xsd:double"&gt;13.799691&lt;/D&gt;&lt;D xsi:type="xsd:double"&gt;23.39573&lt;/D&gt;&lt;D xsi:type="xsd:double"&gt;14.967918&lt;/D&gt;&lt;D xsi:type="xsd:double"&gt;21.923065&lt;/D&gt;&lt;D xsi:type="xsd:double"&gt;7.9494357&lt;/D&gt;&lt;D xsi:type="xsd:double"&gt;12.534773&lt;/D&gt;&lt;D xsi:type="xsd:double"&gt;11.238396&lt;/D&gt;&lt;D xsi:type="xsd:double"&gt;11.481905&lt;/D&gt;&lt;D xsi:type="xsd:double"&gt;8.633316&lt;/D&gt;&lt;D xsi:type="xsd:double"&gt;4.811871&lt;/D&gt;&lt;D xsi:type="xsd:double"&gt;6.2399745&lt;/D&gt;&lt;D xsi:type="xsd:double"&gt;5.050361&lt;/D&gt;&lt;D xsi:type="xsd:double"&gt;3.02037&lt;/D&gt;&lt;D xsi:type="xsd:double"&gt;-9.259552&lt;/D&gt;&lt;D xsi:type="xsd:double"&gt;-27.75222&lt;/D&gt;&lt;D xsi:type="xsd:double"&gt;-26.22845&lt;/D&gt;&lt;D xsi:type="xsd:double"&gt;-20.37906&lt;/D&gt;&lt;D xsi:type="xsd:double"&gt;-20.45942&lt;/D&gt;&lt;D xsi:type="xsd:double"&gt;-16.515297&lt;/D&gt;&lt;D xsi:type="xsd:double"&gt;-8.210003&lt;/D&gt;&lt;D xsi:type="xsd:double"&gt;2.5209427&lt;/D&gt;&lt;D xsi:type="xsd:double"&gt;11.397421&lt;/D&gt;&lt;D xsi:type="xsd:double"&gt;4.562521&lt;/D&gt;&lt;D xsi:type="xsd:double"&gt;5.020702&lt;/D&gt;&lt;D xsi:type="xsd:double"&gt;5.821526&lt;/D&gt;&lt;D xsi:type="xsd:double"&gt;12.430668&lt;/D&gt;&lt;D xsi:type="xsd:double"&gt;65.27735&lt;/D&gt;&lt;D xsi:type="xsd:double"&gt;46.46995&lt;/D&gt;&lt;D xsi:type="xsd:double"&gt;53.619267&lt;/D&gt;&lt;D xsi:type="xsd:double"&gt;49.727417&lt;/D&gt;&lt;D xsi:type="xsd:double"&gt;44.93668&lt;/D&gt;&lt;D xsi:type="xsd:double"&gt;48.99863&lt;/D&gt;&lt;D xsi:type="xsd:double"&gt;42.394936&lt;/D&gt;&lt;D xsi:type="xsd:double"&gt;41.705406&lt;/D&gt;&lt;D xsi:type="xsd:double"&gt;47.652138&lt;/D&gt;&lt;D xsi:type="xsd:double"&gt;30.659353&lt;/D&gt;&lt;D xsi:type="xsd:double"&gt;39.996277&lt;/D&gt;&lt;D xsi:type="xsd:double"&gt;41.822636&lt;/D&gt;&lt;D xsi:type="xsd:double"&gt;36.634636&lt;/D&gt;&lt;D xsi:type="xsd:double"&gt;42.01821&lt;/D&gt;&lt;D xsi:type="xsd:double"&gt;30.082214&lt;/D&gt;&lt;D xsi:type="xsd:double"&gt;11.512995&lt;/D&gt;&lt;D xsi:type="xsd:double"&gt;4.5269847&lt;/D&gt;&lt;D xsi:type="xsd:double"&gt;12.800026&lt;/D&gt;&lt;D xsi:type="xsd:double"&gt;5.4774284&lt;/D&gt;&lt;D xsi:type="xsd:double"&gt;-2.193439&lt;/D&gt;&lt;D xsi:type="xsd:double"&gt;-6.586373&lt;/D&gt;&lt;D xsi:type="xsd:double"&gt;-4.734719&lt;/D&gt;&lt;D xsi:type="xsd:double"&gt;-9.547835&lt;/D&gt;&lt;D xsi:type="xsd:double"&gt;-14.227623&lt;/D&gt;&lt;D xsi:type="xsd:double"&gt;-18.827688&lt;/D&gt;&lt;D xsi:type="xsd:double"&gt;-18.621944&lt;/D&gt;&lt;D xsi:type="xsd:double"&gt;-10.536539&lt;/D&gt;&lt;D xsi:type="xsd:double"&gt;-0.34864545&lt;/D&gt;&lt;D xsi:type="xsd:double"&gt;8.059001&lt;/D&gt;&lt;D xsi:type="xsd:double"&gt;-8.394199&lt;/D&gt;&lt;D xsi:type="xsd:double"&gt;-6.05002&lt;/D&gt;&lt;D xsi:type="xsd:double"&gt;-10.8021145&lt;/D&gt;&lt;D xsi:type="xsd:double"&gt;-1.3329327&lt;/D&gt;&lt;D xsi:type="xsd:double"&gt;12.912202&lt;/D&gt;&lt;D xsi:type="xsd:double"&gt;11.756527&lt;/D&gt;&lt;D xsi:type="xsd:double"&gt;20.023203&lt;/D&gt;&lt;D xsi:type="xsd:double"&gt;24.114536&lt;/D&gt;&lt;/FQL&gt;&lt;FQL&gt;&lt;Q&gt;SET-BKK^FG_PRICE_MAVG(0,,,,200)&lt;/Q&gt;&lt;R&gt;1&lt;/R&gt;&lt;C&gt;1&lt;/C&gt;&lt;D xsi:type="xsd:double"&gt;1455.7196&lt;/D&gt;&lt;/FQL&gt;&lt;FQL&gt;&lt;Q&gt;EPU^P_PRICE(0)/P_PRICE_HIGH_PR(0,,,USD,,,"PRICE","INTRA","52W")&lt;/Q&gt;&lt;R&gt;1&lt;/R&gt;&lt;C&gt;1&lt;/C&gt;&lt;D xsi:type="xsd:double"&gt;0.99416846&lt;/D&gt;&lt;/FQL&gt;&lt;FQL&gt;&lt;Q&gt;TUR^FMA_PCT_ABOVE_MAVG(200,0,,,,"PORTAGG")&lt;/Q&gt;&lt;R&gt;1&lt;/R&gt;&lt;C&gt;1&lt;/C&gt;&lt;D xsi:type="xsd:double"&gt;73.6263736263736&lt;/D&gt;&lt;/FQL&gt;&lt;FQL&gt;&lt;Q&gt;EPHE^PERCENT_CHANGE(FMA_EPS(+1,0,,,,"PORTAGG","MEAN"),FMA_EPS(+1,-1AM,,,,"PORTAGG","MEAN"))&lt;/Q&gt;&lt;R&gt;1&lt;/R&gt;&lt;C&gt;1&lt;/C&gt;&lt;D xsi:type="xsd:double"&gt;0.181761538996645&lt;/D&gt;&lt;/FQL&gt;&lt;FQL&gt;&lt;Q&gt;MCHI^SIZE(FG_CONSTITUENTS)&lt;/Q&gt;&lt;R&gt;1&lt;/R&gt;&lt;C&gt;1&lt;/C&gt;&lt;D xsi:type="xsd:long"&gt;661&lt;/D&gt;&lt;/FQL&gt;&lt;FQL&gt;&lt;Q&gt;ECH^FMA_COS_DOWN("EPS","1M",+1,NOW,,,"PORTAGG","MEANR")&lt;/Q&gt;&lt;R&gt;1&lt;/R&gt;&lt;C&gt;1&lt;/C&gt;&lt;D xsi:type="xsd:double"&gt;12&lt;/D&gt;&lt;/FQL&gt;&lt;FQL&gt;&lt;Q&gt;TRYIN10Y-FDS^PCTCHG(FG_YIELD(0,,,,"YTM"),FG_YIELD(-3AM,,,,"YTM"))&lt;/Q&gt;&lt;R&gt;0&lt;/R&gt;&lt;C&gt;0&lt;/C&gt;&lt;/FQL&gt;&lt;FQL&gt;&lt;Q&gt;TRYSA10Y-FDS^FG_YIELD_NAME&lt;/Q&gt;&lt;R&gt;1&lt;/R&gt;&lt;C&gt;1&lt;/C&gt;&lt;D xsi:type="xsd:string"&gt;Treasury - SAUDI ARABIA Benchmark Bond 10Y&lt;/D&gt;&lt;/FQL&gt;&lt;FQL&gt;&lt;Q&gt;UAE^P_PRICE_RETURNS_PR('52W',2,-10AY,0,AM)&lt;/Q&gt;&lt;R&gt;121&lt;/R&gt;&lt;C&gt;1&lt;/C&gt;&lt;D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xsi:type="xsd:double"&gt;-17.931192&lt;/D&gt;&lt;D xsi:type="xsd:double"&gt;-14.374638&lt;/D&gt;&lt;D xsi:type="xsd:double"&gt;-8.312875&lt;/D&gt;&lt;D xsi:type="xsd:double"&gt;-13.597578&lt;/D&gt;&lt;D xsi:type="xsd:double"&gt;-24.702465&lt;/D&gt;&lt;D xsi:type="xsd:double"&gt;-13.800568&lt;/D&gt;&lt;D xsi:type="xsd:double"&gt;-27.901823&lt;/D&gt;&lt;D xsi:type="xsd:double"&gt;-15.902156&lt;/D&gt;&lt;D xsi:type="xsd:double"&gt;-22.60207&lt;/D&gt;&lt;D xsi:type="xsd:double"&gt;-21.901148&lt;/D&gt;&lt;D xsi:type="xsd:double"&gt;-8.038181&lt;/D&gt;&lt;D xsi:type="xsd:double"&gt;-8.253318&lt;/D&gt;&lt;D xsi:type="xsd:double"&gt;-18.556482&lt;/D&gt;&lt;D xsi:type="xsd:double"&gt;-15.235996&lt;/D&gt;&lt;D xsi:type="xsd:double"&gt;-10.796392&lt;/D&gt;&lt;D xsi:type="xsd:double"&gt;-9.856594&lt;/D&gt;&lt;D xsi:type="xsd:double"&gt;-0.6232619&lt;/D&gt;&lt;D xsi:type="xsd:double"&gt;-7.879978&lt;/D&gt;&lt;D xsi:type="xsd:double"&gt;2.3233533&lt;/D&gt;&lt;D xsi:type="xsd:double"&gt;19.788097&lt;/D&gt;&lt;D xsi:type="xsd:double"&gt;27.185165&lt;/D&gt;&lt;D xsi:type="xsd:double"&gt;23.07781&lt;/D&gt;&lt;D xsi:type="xsd:double"&gt;5.5675387&lt;/D&gt;&lt;D xsi:type="xsd:double"&gt;1.9815207&lt;/D&gt;&lt;D xsi:type="xsd:double"&gt;8.89852&lt;/D&gt;&lt;D xsi:type="xsd:double"&gt;9.391999&lt;/D&gt;&lt;D xsi:type="xsd:double"&gt;5.5470705&lt;/D&gt;&lt;D xsi:type="xsd:double"&gt;4.525602&lt;/D&gt;&lt;D xsi:type="xsd:double"&gt;10.389519&lt;/D&gt;&lt;D xsi:type="xsd:double"&gt;14.899921&lt;/D&gt;&lt;D xsi:type="xsd:double"&gt;14.740467&lt;/D&gt;&lt;D xsi:type="xsd:double"&gt;0.95089674&lt;/D&gt;&lt;D xsi:type="xsd:double"&gt;5.4282904&lt;/D&gt;&lt;D xsi:type="xsd:double"&gt;2.6264668&lt;/D&gt;&lt;D xsi:type="xsd:double"&gt;3.3395648&lt;/D&gt;&lt;D xsi:type="xsd:double"&gt;1.1629343&lt;/D&gt;&lt;D xsi:type="xsd:double"&gt;-4.642999&lt;/D&gt;&lt;D xsi:type="xsd:double"&gt;-0.85393786&lt;/D&gt;&lt;D xsi:type="xsd:double"&gt;-6.5105557&lt;/D&gt;&lt;D xsi:type="xsd:double"&gt;-7.324153&lt;/D&gt;&lt;D xsi:type="xsd:double"&gt;-7.9042015&lt;/D&gt;&lt;D xsi:type="xsd:double"&gt;-11.7558365&lt;/D&gt;&lt;D xsi:type="xsd:double"&gt;-6.164992&lt;/D&gt;&lt;D xsi:type="xsd:double"&gt;-11.308312&lt;/D&gt;&lt;D xsi:type="xsd:double"&gt;-17.43539&lt;/D&gt;&lt;D xsi:type="xsd:double"&gt;-16.094828&lt;/D&gt;&lt;D xsi:type="xsd:double"&gt;-10.328728&lt;/D&gt;&lt;D xsi:type="xsd:double"&gt;-5.665469&lt;/D&gt;&lt;D xsi:type="xsd:double"&gt;-7.2800455&lt;/D&gt;&lt;D xsi:type="xsd:double"&gt;-15.385092&lt;/D&gt;&lt;D xsi:type="xsd:double"&gt;-9.609175&lt;/D&gt;&lt;D xsi:type="xsd:double"&gt;-8.360636&lt;/D&gt;&lt;D xsi:type="xsd:double"&gt;-5.2978334&lt;/D&gt;&lt;D xsi:type="xsd:double"&gt;-2.6971638&lt;/D&gt;&lt;D xsi:type="xsd:double"&gt;-5.08852&lt;/D&gt;&lt;D xsi:type="xsd:double"&gt;0.18262863&lt;/D&gt;&lt;D xsi:type="xsd:double"&gt;-1.0344207&lt;/D&gt;&lt;D xsi:type="xsd:double"&gt;-3.9087534&lt;/D&gt;&lt;D xsi:type="xsd:double"&gt;-31.462742&lt;/D&gt;&lt;D xsi:type="xsd:double"&gt;-29.046047&lt;/D&gt;&lt;D xsi:type="xsd:double"&gt;-27.185589&lt;/D&gt;&lt;D xsi:type="xsd:double"&gt;-21.886337&lt;/D&gt;&lt;D xsi:type="xsd:double"&gt;-20.374573&lt;/D&gt;&lt;D xsi:type="xsd:double"&gt;-17.513073&lt;/D&gt;&lt;D xsi:type="xsd:double"&gt;-19.029903&lt;/D&gt;&lt;D xsi:type="xsd:double"&gt;-19.356358&lt;/D&gt;&lt;D xsi:type="xsd:double"&gt;-17.15206&lt;/D&gt;&lt;D xsi:type="xsd:double"&gt;-5.921364&lt;/D&gt;&lt;D xsi:type="xsd:double"&gt;1.3719082&lt;/D&gt;&lt;D xsi:type="xsd:double"&gt;8.443796&lt;/D&gt;&lt;D xsi:type="xsd:double"&gt;46.37562&lt;/D&gt;&lt;D xsi:type="xsd:double"&gt;38.10202&lt;/D&gt;&lt;D xsi:type="xsd:double"&gt;47.120296&lt;/D&gt;&lt;D xsi:type="xsd:double"&gt;50.12224&lt;/D&gt;&lt;D xsi:type="xsd:double"&gt;43.67186&lt;/D&gt;&lt;D xsi:type="xsd:double"&gt;41.05246&lt;/D&gt;&lt;D xsi:type="xsd:double"&gt;42.534412&lt;/D&gt;&lt;D xsi:type="xsd:double"&gt;41.598797&lt;/D&gt;&lt;D xsi:type="xsd:double"&gt;53.036583&lt;/D&gt;&lt;D xsi:type="xsd:double"&gt;48.434986&lt;/D&gt;&lt;D xsi:type="xsd:double"&gt;34.209476&lt;/D&gt;&lt;D xsi:type="xsd:double"&gt;36.38719&lt;/D&gt;&lt;D xsi:type="xsd:double"&gt;43.95002&lt;/D&gt;&lt;D xsi:type="xsd:double"&gt;48.345398&lt;/D&gt;&lt;D xsi:type="xsd:double"&gt;33.451866&lt;/D&gt;&lt;D xsi:type="xsd:double"&gt;15.632939&lt;/D&gt;&lt;D xsi:type="xsd:double"&gt;12.9332905&lt;/D&gt;&lt;D xsi:type="xsd:double"&gt;22.554457&lt;/D&gt;&lt;D xsi:type="xsd:double"&gt;10.26162&lt;/D&gt;&lt;D xsi:type="xsd:double"&gt;6.9796085&lt;/D&gt;&lt;D xsi:type="xsd:double"&gt;3.568077&lt;/D&gt;&lt;D xsi:type="xsd:double"&gt;-11.891663&lt;/D&gt;&lt;D xsi:type="xsd:double"&gt;-5.5942893&lt;/D&gt;&lt;D xsi:type="xsd:double"&gt;-9.476816&lt;/D&gt;&lt;D xsi:type="xsd:double"&gt;-20.725626&lt;/D&gt;&lt;D xsi:type="xsd:double"&gt;-20.489418&lt;/D&gt;&lt;D xsi:type="xsd:double"&gt;-8.787817&lt;/D&gt;&lt;D xsi:type="xsd:double"&gt;-8.216322&lt;/D&gt;&lt;D xsi:type="xsd:double"&gt;1.7958283&lt;/D&gt;&lt;D xsi:type="xsd:double"&gt;-7.9544487&lt;/D&gt;&lt;D xsi:type="xsd:double"&gt;-1.5836656&lt;/D&gt;&lt;D xsi:type="xsd:double"&gt;-2.126211&lt;/D&gt;&lt;D xsi:type="xsd:double"&gt;-5.259198&lt;/D&gt;&lt;D xsi:type="xsd:double"&gt;1.5432358&lt;/D&gt;&lt;D xsi:type="xsd:double"&gt;5.2609563&lt;/D&gt;&lt;D xsi:type="xsd:double"&gt;1.7742157&lt;/D&gt;&lt;D xsi:type="xsd:double"&gt;7.6758146&lt;/D&gt;&lt;/FQL&gt;&lt;FQL&gt;&lt;Q&gt;MCHI^FG_PRICE_MAVG(0,,,,60)&lt;/Q&gt;&lt;R&gt;1&lt;/R&gt;&lt;C&gt;1&lt;/C&gt;&lt;D xsi:type="xsd:double"&gt;38.728333&lt;/D&gt;&lt;/FQL&gt;&lt;FQL&gt;&lt;Q&gt;UAE^FG_TOTAL_RETURNC(0,-6AM)&lt;/Q&gt;&lt;R&gt;1&lt;/R&gt;&lt;C&gt;1&lt;/C&gt;&lt;D xsi:type="xsd:double"&gt;-3.5159767&lt;/D&gt;&lt;/FQL&gt;&lt;FQL&gt;&lt;Q&gt;EPU^FG_TOTAL_RETURNC(0,-3AM)&lt;/Q&gt;&lt;R&gt;1&lt;/R&gt;&lt;C&gt;1&lt;/C&gt;&lt;D xsi:type="xsd:double"&gt;19.618141&lt;/D&gt;&lt;/FQL&gt;&lt;FQL&gt;&lt;Q&gt;EIDO^PERCENT_CHANGE(FMA_EPS(+1,0,,,,"PORTAGG","MEAN"),FMA_EPS(+1,-1AM,,,,"PORTAGG","MEAN"))&lt;/Q&gt;&lt;R&gt;1&lt;/R&gt;&lt;C&gt;1&lt;/C&gt;&lt;D xsi:type="xsd:double"&gt;-1.86863241858229&lt;/D&gt;&lt;/FQL&gt;&lt;FQL&gt;&lt;Q&gt;ECH^FMA_COS_UP("EPS","1M",+1,NOW,,,"PORTAGG","MEANR")&lt;/Q&gt;&lt;R&gt;1&lt;/R&gt;&lt;C&gt;1&lt;/C&gt;&lt;D xsi:type="xsd:double"&gt;7&lt;/D&gt;&lt;/FQL&gt;&lt;FQL&gt;&lt;Q&gt;TRYVN10Y-FDS^FG_YIELD(0,,,,"YTM")&lt;/Q&gt;&lt;R&gt;1&lt;/R&gt;&lt;C&gt;1&lt;/C&gt;&lt;D xsi:type="xsd:double"&gt;2.4003994&lt;/D&gt;&lt;/FQL&gt;&lt;FQL&gt;&lt;Q&gt;VWO^FMA_EVAL_EBIT(LTMA,NOW,NOW,M,"PORTAGG","MEANR")&lt;/Q&gt;&lt;R&gt;1&lt;/R&gt;&lt;C&gt;1&lt;/C&gt;&lt;D xsi:type="xsd:double"&gt;13.9128044987212&lt;/D&gt;&lt;/FQL&gt;&lt;FQL&gt;&lt;Q&gt;UAE^FG_FCF_YIELD_NTM(0)&lt;/Q&gt;&lt;R&gt;1&lt;/R&gt;&lt;C&gt;1&lt;/C&gt;&lt;D xsi:type="xsd:double"&gt;8.47542982622381&lt;/D&gt;&lt;/FQL&gt;&lt;FQL&gt;&lt;Q&gt;EWZ^FMA_DIV_YLD(NTMA,NOW,NOW,M,"PORTAGG","MEANR")&lt;/Q&gt;&lt;R&gt;1&lt;/R&gt;&lt;C&gt;1&lt;/C&gt;&lt;D xsi:type="xsd:double"&gt;5.99673578248922&lt;/D&gt;&lt;/FQL&gt;&lt;FQL&gt;&lt;Q&gt;EWY^FG_COMPANY_NAME&lt;/Q&gt;&lt;R&gt;1&lt;/R&gt;&lt;C&gt;1&lt;/C&gt;&lt;D xsi:type="xsd:string"&gt;iShares MSCI South Korea ETF&lt;/D&gt;&lt;/FQL&gt;&lt;FQL&gt;&lt;Q&gt;EWZ^FMA_PE(NTMA,0,,,"PORTAGG","MEANR")&lt;/Q&gt;&lt;R&gt;1&lt;/R&gt;&lt;C&gt;1&lt;/C&gt;&lt;D xsi:type="xsd:double"&gt;7.80069654574527&lt;/D&gt;&lt;/FQL&gt;&lt;FQL&gt;&lt;Q&gt;ECH^FMA_PCT_ABOVE_MAVG(200,0,,,,"PORTAGG")&lt;/Q&gt;&lt;R&gt;1&lt;/R&gt;&lt;C&gt;1&lt;/C&gt;&lt;D xsi:type="xsd:double"&gt;75.8620689655172&lt;/D&gt;&lt;/FQL&gt;&lt;FQL&gt;&lt;Q&gt;TIOS-FDS^FG_PRICE_CHANGE(0,-1AY)&lt;/Q&gt;&lt;R&gt;1&lt;/R&gt;&lt;C&gt;1&lt;/C&gt;&lt;D xsi:type="xsd:double"&gt;-14.6877883728084&lt;/D&gt;&lt;/FQL&gt;&lt;FQL&gt;&lt;Q&gt;TIOS-FDS^FG_PRICE_CHANGE(0,-6AM)&lt;/Q&gt;&lt;R&gt;1&lt;/R&gt;&lt;C&gt;1&lt;/C&gt;&lt;D xsi:type="xsd:double"&gt;-7.9794293297943&lt;/D&gt;&lt;/FQL&gt;&lt;FQL&gt;&lt;Q&gt;EPU^FG_COMPANY_NAME&lt;/Q&gt;&lt;R&gt;1&lt;/R&gt;&lt;C&gt;1&lt;/C&gt;&lt;D xsi:type="xsd:string"&gt;iShares MSCI Peru and Global Exposure ETF&lt;/D&gt;&lt;/FQL&gt;&lt;FQL&gt;&lt;Q&gt;GREK^FG_PRICE_MAVG(0,,,,200)&lt;/Q&gt;&lt;R&gt;1&lt;/R&gt;&lt;C&gt;1&lt;/C&gt;&lt;D xsi:type="xsd:double"&gt;36.96851&lt;/D&gt;&lt;/FQL&gt;&lt;FQL&gt;&lt;Q&gt;GREK^FG_PRICE_MAVG(0,,,,60)&lt;/Q&gt;&lt;R&gt;1&lt;/R&gt;&lt;C&gt;1&lt;/C&gt;&lt;D xsi:type="xsd:double"&gt;39.172695&lt;/D&gt;&lt;/FQL&gt;&lt;FQL&gt;&lt;Q&gt;SET-BKK^P_PRICE(0)/P_PRICE_HIGH_PR(0,,,USD,,,"PRICE","INTRA","52W")&lt;/Q&gt;&lt;R&gt;1&lt;/R&gt;&lt;C&gt;1&lt;/C&gt;&lt;D xsi:type="xsd:double"&gt;29.4761&lt;/D&gt;&lt;/FQL&gt;&lt;FQL&gt;&lt;Q&gt;EPHE^P_PRICE(0)/P_PRICE_LOW_PR(0,,,USD,,,"PRICE","INTRA","52W")-1&lt;/Q&gt;&lt;R&gt;1&lt;/R&gt;&lt;C&gt;1&lt;/C&gt;&lt;D xsi:type="xsd:double"&gt;0.20820737&lt;/D&gt;&lt;/FQL&gt;&lt;FQL&gt;&lt;Q&gt;QAT^PERCENT_CHANGE(FMA_EPS(+1,0,,,,"PORTAGG","MEAN"),FMA_EPS(+1,-1AM,,,,"PORTAGG","MEAN"))&lt;/Q&gt;&lt;R&gt;1&lt;/R&gt;&lt;C&gt;1&lt;/C&gt;&lt;D xsi:type="xsd:double"&gt;1.79928731240208&lt;/D&gt;&lt;/FQL&gt;&lt;FQL&gt;&lt;Q&gt;CNYA^PERCENT_CHANGE(FMA_EPS(+1,0,,,,"PORTAGG","MEAN"),FMA_EPS(+1,-1AM,,,,"PORTAGG","MEAN"))&lt;/Q&gt;&lt;R&gt;1&lt;/R&gt;&lt;C&gt;1&lt;/C&gt;&lt;D xsi:type="xsd:double"&gt;-0.543774190687118&lt;/D&gt;&lt;/FQL&gt;&lt;FQL&gt;&lt;Q&gt;TUR^FMA_RBICS_REV_CURRENT(30, LOC, "PORTAGG")&lt;/Q&gt;&lt;R&gt;1&lt;/R&gt;&lt;C&gt;1&lt;/C&gt;&lt;D xsi:type="xsd:double"&gt;20.6004314734115&lt;/D&gt;&lt;/FQL&gt;&lt;FQL&gt;&lt;Q&gt;REFTHREPO-FDS^FG_YIELD(NOW,,,0)&lt;/Q&gt;&lt;R&gt;1&lt;/R&gt;&lt;C&gt;1&lt;/C&gt;&lt;D xsi:type="xsd:double"&gt;2.5&lt;/D&gt;&lt;/FQL&gt;&lt;FQL&gt;&lt;Q&gt;REFPEMPR-FDS^PROPER_NAME(0,,,"SECURITY","NAME")&lt;/Q&gt;&lt;R&gt;1&lt;/R&gt;&lt;C&gt;1&lt;/C&gt;&lt;D xsi:type="xsd:string"&gt;Peru Policy Rate&lt;/D&gt;&lt;/FQL&gt;&lt;FQL&gt;&lt;Q&gt;TRYGR10Y-FDS^PCTCHG(FG_YIELD(0,,,,"YTM"),FG_YIELD(-1AM,,,,"YTM"))&lt;/Q&gt;&lt;R&gt;1&lt;/R&gt;&lt;C&gt;1&lt;/C&gt;&lt;D xsi:type="xsd:double"&gt;-3.9503994&lt;/D&gt;&lt;/FQL&gt;&lt;FQL&gt;&lt;Q&gt;TRYID10Y-FDS^FG_YIELD(0,,,,"YTM")&lt;/Q&gt;&lt;R&gt;1&lt;/R&gt;&lt;C&gt;1&lt;/C&gt;&lt;D xsi:type="xsd:double"&gt;6.679959&lt;/D&gt;&lt;/FQL&gt;&lt;FQL&gt;&lt;Q&gt;UAE^JULIAN(FMA_DIV_YLD(NTMA,NOW,NOW,M,"PORTAGG","MEANR").DATES)&lt;/Q&gt;&lt;R&gt;1&lt;/R&gt;&lt;C&gt;1&lt;/C&gt;&lt;D xsi:type="xsd:long"&gt;45351&lt;/D&gt;&lt;/FQL&gt;&lt;FQL&gt;&lt;Q&gt;INDA^FMA_EVAL_EBIT(LTMA,NOW,NOW,M,"PORTAGG","MEANR")&lt;/Q&gt;&lt;R&gt;1&lt;/R&gt;&lt;C&gt;1&lt;/C&gt;&lt;D xsi:type="xsd:double"&gt;23.0884940152955&lt;/D&gt;&lt;/FQL&gt;&lt;FQL&gt;&lt;Q&gt;EWY^FMA_EVAL_EBIT(LTMA,NOW,NOW,M,"PORTAGG","MEANR")&lt;/Q&gt;&lt;R&gt;1&lt;/R&gt;&lt;C&gt;1&lt;/C&gt;&lt;D xsi:type="xsd:double"&gt;21.0426312118609&lt;/D&gt;&lt;/FQL&gt;&lt;FQL&gt;&lt;Q&gt;VNM^FMA_DIV_YLD(NTMA,-10AY,0,AM,"PORTAGG","MEANR")&lt;/Q&gt;&lt;R&gt;121&lt;/R&gt;&lt;C&gt;1&lt;/C&gt;&lt;D xsi:type="xsd:string"&gt;@NA&lt;/D&gt;&lt;D xsi:type="xsd:double"&gt;3.46539356228569&lt;/D&gt;&lt;D xsi:type="xsd:double"&gt;3.489028299495&lt;/D&gt;&lt;D xsi:type="xsd:double"&gt;3.29040166057494&lt;/D&gt;&lt;D xsi:type="xsd:double"&gt;3.41805835218952&lt;/D&gt;&lt;D xsi:type="xsd:double"&gt;3.42766086873851&lt;/D&gt;&lt;D xsi:type="xsd:double"&gt;2.97673917315498&lt;/D&gt;&lt;D xsi:type="xsd:double"&gt;2.88109636471224&lt;/D&gt;&lt;D xsi:type="xsd:double"&gt;2.96658293591825&lt;/D&gt;&lt;D xsi:type="xsd:double"&gt;3.2032769336619&lt;/D&gt;&lt;D xsi:type="xsd:double"&gt;3.09444434959808&lt;/D&gt;&lt;D xsi:type="xsd:double"&gt;2.98462733085425&lt;/D&gt;&lt;D xsi:type="xsd:double"&gt;3.03264197580158&lt;/D&gt;&lt;D xsi:type="xsd:double"&gt;2.82891125609135&lt;/D&gt;&lt;D xsi:type="xsd:double"&gt;2.93772697058958&lt;/D&gt;&lt;D xsi:type="xsd:double"&gt;2.75580839883111&lt;/D&gt;&lt;D xsi:type="xsd:double"&gt;4.10831513202766&lt;/D&gt;&lt;D xsi:type="xsd:double"&gt;3.92062191913116&lt;/D&gt;&lt;D xsi:type="xsd:double"&gt;3.65768477681192&lt;/D&gt;&lt;D xsi:type="xsd:double"&gt;3.10493106865172&lt;/D&gt;&lt;D xsi:type="xsd:double"&gt;3.29670213310076&lt;/D&gt;&lt;D xsi:type="xsd:double"&gt;2.80106457471421&lt;/D&gt;&lt;D xsi:type="xsd:string"&gt;@NA&lt;/D&gt;&lt;D xsi:type="xsd:string"&gt;@NA&lt;/D&gt;&lt;D xsi:type="xsd:double"&gt;2.6466695077706&lt;/D&gt;&lt;D xsi:type="xsd:double"&gt;3.13068132083546&lt;/D&gt;&lt;D xsi:type="xsd:double"&gt;3.17744330793093&lt;/D&gt;&lt;D xsi:type="xsd:double"&gt;3.79805832420901&lt;/D&gt;&lt;D xsi:type="xsd:double"&gt;3.09211962096761&lt;/D&gt;&lt;D xsi:type="xsd:double"&gt;3.07666161702883&lt;/D&gt;&lt;D xsi:type="xsd:double"&gt;3.1896535984426&lt;/D&gt;&lt;D xsi:type="xsd:double"&gt;2.58637350087034&lt;/D&gt;&lt;D xsi:type="xsd:double"&gt;2.71098478633955&lt;/D&gt;&lt;D xsi:type="xsd:double"&gt;2.97381718750005&lt;/D&gt;&lt;D xsi:type="xsd:double"&gt;2.85474868195764&lt;/D&gt;&lt;D xsi:type="xsd:double"&gt;3.05652499858479&lt;/D&gt;&lt;D xsi:type="xsd:double"&gt;3.22513364419088&lt;/D&gt;&lt;D xsi:type="xsd:double"&gt;2.61871443161713&lt;/D&gt;&lt;D xsi:type="xsd:double"&gt;2.47648210610794&lt;/D&gt;&lt;D xsi:type="xsd:double"&gt;2.014422256516&lt;/D&gt;&lt;D xsi:type="xsd:double"&gt;1.75496533499784&lt;/D&gt;&lt;D xsi:type="xsd:double"&gt;1.756433583807&lt;/D&gt;&lt;D xsi:type="xsd:double"&gt;1.7246481356562&lt;/D&gt;&lt;D xsi:type="xsd:double"&gt;1.86750691057814&lt;/D&gt;&lt;D xsi:type="xsd:double"&gt;2.03314087749518&lt;/D&gt;&lt;D xsi:type="xsd:double"&gt;1.81601749503944&lt;/D&gt;&lt;D xsi:type="xsd:double"&gt;1.56750606287948&lt;/D&gt;&lt;D xsi:type="xsd:double"&gt;1.8266235472844&lt;/D&gt;&lt;D xsi:type="xsd:double"&gt;1.66076852014822&lt;/D&gt;&lt;D xsi:type="xsd:double"&gt;1.86990245151366&lt;/D&gt;&lt;D xsi:type="xsd:string"&gt;@NA&lt;/D&gt;&lt;D xsi:type="xsd:double"&gt;1.63677882265243&lt;/D&gt;&lt;D xsi:type="xsd:double"&gt;1.76622632624796&lt;/D&gt;&lt;D xsi:type="xsd:double"&gt;1.50326260169778&lt;/D&gt;&lt;D xsi:type="xsd:double"&gt;1.72508569740774&lt;/D&gt;&lt;D xsi:type="xsd:double"&gt;1.70226370735089&lt;/D&gt;&lt;D xsi:type="xsd:double"&gt;1.94727336044976&lt;/D&gt;&lt;D xsi:type="xsd:double"&gt;1.53305544999793&lt;/D&gt;&lt;D xsi:type="xsd:double"&gt;1.80029966250062&lt;/D&gt;&lt;D xsi:type="xsd:double"&gt;1.72465328736332&lt;/D&gt;&lt;D xsi:type="xsd:double"&gt;1.53723769661684&lt;/D&gt;&lt;D xsi:type="xsd:double"&gt;1.57787875956276&lt;/D&gt;&lt;D xsi:type="xsd:double"&gt;1.52545836599162&lt;/D&gt;&lt;D xsi:type="xsd:double"&gt;1.57715672337687&lt;/D&gt;&lt;D xsi:type="xsd:double"&gt;1.75782958751695&lt;/D&gt;&lt;D xsi:type="xsd:double"&gt;1.94412740402867&lt;/D&gt;&lt;D xsi:type="xsd:double"&gt;1.91326385769693&lt;/D&gt;&lt;D xsi:type="xsd:double"&gt;1.80979165321047&lt;/D&gt;&lt;D xsi:type="xsd:double"&gt;1.56788892141&lt;/D&gt;&lt;D xsi:type="xsd:double"&gt;1.60754940923379&lt;/D&gt;&lt;D xsi:type="xsd:double"&gt;1.49507261683579&lt;/D&gt;&lt;D xsi:type="xsd:double"&gt;1.52500739153746&lt;/D&gt;&lt;D xsi:type="xsd:double"&gt;1.98260704800607&lt;/D&gt;&lt;D xsi:type="xsd:double"&gt;1.88235707711097&lt;/D&gt;&lt;D xsi:type="xsd:double"&gt;1.58190172138432&lt;/D&gt;&lt;D xsi:type="xsd:double"&gt;1.37430442010346&lt;/D&gt;&lt;D xsi:type="xsd:double"&gt;1.38530063300379&lt;/D&gt;&lt;D xsi:type="xsd:double"&gt;1.36732586283126&lt;/D&gt;&lt;D xsi:type="xsd:double"&gt;1.29643733526604&lt;/D&gt;&lt;D xsi:type="xsd:double"&gt;1.33536972254756&lt;/D&gt;&lt;D xsi:type="xsd:double"&gt;1.32185704645822&lt;/D&gt;&lt;D xsi:type="xsd:double"&gt;1.16829826901785&lt;/D&gt;&lt;D xsi:type="xsd:double"&gt;1.14204865702348&lt;/D&gt;&lt;D xsi:type="xsd:double"&gt;1.25120708874714&lt;/D&gt;&lt;D xsi:type="xsd:double"&gt;1.24021656731374&lt;/D&gt;&lt;D xsi:type="xsd:double"&gt;1.12508914236581&lt;/D&gt;&lt;D xsi:type="xsd:double"&gt;1.21901986849266&lt;/D&gt;&lt;D xsi:type="xsd:double"&gt;1.15878856350187&lt;/D&gt;&lt;D xsi:type="xsd:double"&gt;1.44010240249747&lt;/D&gt;&lt;D xsi:type="xsd:double"&gt;1.39908976896545&lt;/D&gt;&lt;D xsi:type="xsd:double"&gt;1.39189509185263&lt;/D&gt;&lt;D xsi:type="xsd:double"&gt;1.42722297619985&lt;/D&gt;&lt;D xsi:type="xsd:double"&gt;1.31018268753261&lt;/D&gt;&lt;D xsi:type="xsd:double"&gt;1.51978080764361&lt;/D&gt;&lt;D xsi:type="xsd:double"&gt;1.58226036322593&lt;/D&gt;&lt;D xsi:type="xsd:double"&gt;1.70667881771278&lt;/D&gt;&lt;D xsi:type="xsd:double"&gt;1.88304930921769&lt;/D&gt;&lt;D xsi:type="xsd:double"&gt;1.61493566621981&lt;/D&gt;&lt;D xsi:type="xsd:double"&gt;1.8918359455923&lt;/D&gt;&lt;D xsi:type="xsd:double"&gt;1.86017490229316&lt;/D&gt;&lt;D xsi:type="xsd:double"&gt;1.9131717956152&lt;/D&gt;&lt;D xsi:type="xsd:double"&gt;1.86282443918608&lt;/D&gt;&lt;D xsi:type="xsd:double"&gt;1.97495304018128&lt;/D&gt;&lt;D xsi:type="xsd:double"&gt;2.4582713177333&lt;/D&gt;&lt;D xsi:type="xsd:double"&gt;2.64577127219737&lt;/D&gt;&lt;D xsi:type="xsd:double"&gt;2.6272017313135&lt;/D&gt;&lt;D xsi:type="xsd:double"&gt;2.71764390281562&lt;/D&gt;&lt;D xsi:type="xsd:double"&gt;2.62831153503268&lt;/D&gt;&lt;D xsi:type="xsd:double"&gt;2.5082799131758&lt;/D&gt;&lt;D xsi:type="xsd:double"&gt;2.54345862511975&lt;/D&gt;&lt;D xsi:type="xsd:double"&gt;2.52190915988881&lt;/D&gt;&lt;D xsi:type="xsd:double"&gt;2.55245168189787&lt;/D&gt;&lt;D xsi:type="xsd:double"&gt;2.66786301845772&lt;/D&gt;&lt;D xsi:type="xsd:double"&gt;2.38799641117455&lt;/D&gt;&lt;D xsi:type="xsd:double"&gt;2.61121688158518&lt;/D&gt;&lt;D xsi:type="xsd:double"&gt;2.95194584688558&lt;/D&gt;&lt;D xsi:type="xsd:double"&gt;2.83305548738573&lt;/D&gt;&lt;D xsi:type="xsd:double"&gt;2.87322531806526&lt;/D&gt;&lt;D xsi:type="xsd:double"&gt;2.78968355447114&lt;/D&gt;&lt;D xsi:type="xsd:double"&gt;2.81348684264959&lt;/D&gt;&lt;D xsi:type="xsd:double"&gt;2.29920951313949&lt;/D&gt;&lt;/FQL&gt;&lt;FQL&gt;&lt;Q&gt;EWZ^FG_PRICE_MAVG(0,,,,30)&lt;/Q&gt;&lt;R&gt;1&lt;/R&gt;&lt;C&gt;1&lt;/C&gt;&lt;D xsi:type="xsd:double"&gt;33.009&lt;/D&gt;&lt;/FQL&gt;&lt;FQL&gt;&lt;Q&gt;SET-BKK^FG_TOTAL_RETURNC(0,-6AM)&lt;/Q&gt;&lt;R&gt;1&lt;/R&gt;&lt;C&gt;1&lt;/C&gt;&lt;D xsi:type="xsd:double"&gt;-9.721446&lt;/D&gt;&lt;/FQL&gt;&lt;FQL&gt;&lt;Q&gt;QAT^FMA_PCT_ABOVE_MAVG(200,0,,,,"PORTAGG")&lt;/Q&gt;&lt;R&gt;1&lt;/R&gt;&lt;C&gt;1&lt;/C&gt;&lt;D xsi:type="xsd:double"&gt;35.2941176470588&lt;/D&gt;&lt;/FQL&gt;&lt;FQL&gt;&lt;Q&gt;CNYA^FMA_PCT_ABOVE_MAVG(200,0,,,,"PORTAGG")&lt;/Q&gt;&lt;R&gt;1&lt;/R&gt;&lt;C&gt;1&lt;/C&gt;&lt;D xsi:type="xsd:double"&gt;41.4258188824663&lt;/D&gt;&lt;/FQL&gt;&lt;FQL&gt;&lt;Q&gt;GREK^SIZE(FG_CONSTITUENTS)&lt;/Q&gt;&lt;R&gt;1&lt;/R&gt;&lt;C&gt;1&lt;/C&gt;&lt;D xsi:type="xsd:long"&gt;30&lt;/D&gt;&lt;/FQL&gt;&lt;FQL&gt;&lt;Q&gt;REFTHREPO-FDS^PROPER_NAME(0,,,"SECURITY","NAME")&lt;/Q&gt;&lt;R&gt;1&lt;/R&gt;&lt;C&gt;1&lt;/C&gt;&lt;D xsi:type="xsd:string"&gt;Thailand Repo Rate - 1 Day&lt;/D&gt;&lt;/FQL&gt;&lt;FQL&gt;&lt;Q&gt;REFPL7D-FDS^(SUBARRAY(NOT_NA(NO_REPEAT_F(FG_YIELD(NOW,-10AY,D))),0,1)-SUBARRAY(NOT_NA(NO_REPEAT_F(FG_YIELD(NOW,-10AY,D))),1,1))*100&lt;/Q&gt;&lt;R&gt;1&lt;/R&gt;&lt;C&gt;1&lt;/C&gt;&lt;D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xsi:type="xsd:double"&gt;-25&lt;/D&gt;&lt;/FQL&gt;&lt;FQL&gt;&lt;Q&gt;TRYTR7Y-FDS^FG_YIELD(0,</t>
        </r>
      </text>
    </comment>
    <comment ref="A23" authorId="0" shapeId="0" xr:uid="{FF81F570-B278-456F-BCC2-13861BE28EDD}">
      <text>
        <r>
          <rPr>
            <b/>
            <sz val="9"/>
            <color indexed="81"/>
            <rFont val="Tahoma"/>
            <charset val="1"/>
          </rPr>
          <t>,,,"YTM")&lt;/Q&gt;&lt;R&gt;1&lt;/R&gt;&lt;C&gt;1&lt;/C&gt;&lt;D xsi:type="xsd:double"&gt;24.216915&lt;/D&gt;&lt;/FQL&gt;&lt;FQL&gt;&lt;Q&gt;TIPSCL10Y-FDS^FG_YIELD(0,,,,"YTM")&lt;/Q&gt;&lt;R&gt;1&lt;/R&gt;&lt;C&gt;1&lt;/C&gt;&lt;D xsi:type="xsd:double"&gt;2.3310692&lt;/D&gt;&lt;/FQL&gt;&lt;FQL&gt;&lt;Q&gt;VWO^FMA_DIV_YLD(NTMA,NOW,NOW,M,"PORTAGG","MEANR")&lt;/Q&gt;&lt;R&gt;1&lt;/R&gt;&lt;C&gt;1&lt;/C&gt;&lt;D xsi:type="xsd:double"&gt;3.15410773796907&lt;/D&gt;&lt;/FQL&gt;&lt;FQL&gt;&lt;Q&gt;EPU^FMA_EVAL_EBITDA(NTMA,0,,,"PORTAGG","MEANR")&lt;/Q&gt;&lt;R&gt;1&lt;/R&gt;&lt;C&gt;1&lt;/C&gt;&lt;D xsi:type="xsd:double"&gt;6.68097730748391&lt;/D&gt;&lt;/FQL&gt;&lt;FQL&gt;&lt;Q&gt;ECH^FG_FCF_YIELD_NTM(0)&lt;/Q&gt;&lt;R&gt;1&lt;/R&gt;&lt;C&gt;1&lt;/C&gt;&lt;D xsi:type="xsd:double"&gt;9.54191202456225&lt;/D&gt;&lt;/FQL&gt;&lt;FQL&gt;&lt;Q&gt;EIDO^FG_COMPANY_NAME&lt;/Q&gt;&lt;R&gt;1&lt;/R&gt;&lt;C&gt;1&lt;/C&gt;&lt;D xsi:type="xsd:string"&gt;iShares MSCI Indonesia ETF&lt;/D&gt;&lt;/FQL&gt;&lt;FQL&gt;&lt;Q&gt;TUR^FMA_DIV_YLD(NTMA,-10AY,0,AM,"PORTAGG","MEANR")&lt;/Q&gt;&lt;R&gt;121&lt;/R&gt;&lt;C&gt;1&lt;/C&gt;&lt;D xsi:type="xsd:double"&gt;3.48962507105905&lt;/D&gt;&lt;D xsi:type="xsd:double"&gt;2.93396531862855&lt;/D&gt;&lt;D xsi:type="xsd:double"&gt;2.80115948609561&lt;/D&gt;&lt;D xsi:type="xsd:double"&gt;2.94763878414067&lt;/D&gt;&lt;D xsi:type="xsd:double"&gt;2.79086767936377&lt;/D&gt;&lt;D xsi:type="xsd:double"&gt;3.1544371720985&lt;/D&gt;&lt;D xsi:type="xsd:double"&gt;3.10551764705942&lt;/D&gt;&lt;D xsi:type="xsd:double"&gt;3.20827070141956&lt;/D&gt;&lt;D xsi:type="xsd:double"&gt;2.90556855227442&lt;/D&gt;&lt;D xsi:type="xsd:double"&gt;2.79762152710423&lt;/D&gt;&lt;D xsi:type="xsd:double"&gt;2.68330748109321&lt;/D&gt;&lt;D xsi:type="xsd:double"&gt;2.88133512198615&lt;/D&gt;&lt;D xsi:type="xsd:double"&gt;3.18496597952718&lt;/D&gt;&lt;D xsi:type="xsd:double"&gt;2.93828915685752&lt;/D&gt;&lt;D xsi:type="xsd:double"&gt;2.76071273787348&lt;/D&gt;&lt;D xsi:type="xsd:double"&gt;3.06337034217976&lt;/D&gt;&lt;D xsi:type="xsd:double"&gt;2.97711128576741&lt;/D&gt;&lt;D xsi:type="xsd:double"&gt;3.18296777806762&lt;/D&gt;&lt;D xsi:type="xsd:double"&gt;3.50750325623681&lt;/D&gt;&lt;D xsi:type="xsd:double"&gt;3.17316694638274&lt;/D&gt;&lt;D xsi:type="xsd:double"&gt;3.12548434560972&lt;/D&gt;&lt;D xsi:type="xsd:double"&gt;3.75181498127772&lt;/D&gt;&lt;D xsi:type="xsd:double"&gt;3.61506525869279&lt;/D&gt;&lt;D xsi:type="xsd:double"&gt;3.65192824621307&lt;/D&gt;&lt;D xsi:type="xsd:double"&gt;3.17589972865135&lt;/D&gt;&lt;D xsi:type="xsd:double"&gt;3.13736113126977&lt;/D&gt;&lt;D xsi:type="xsd:double"&gt;3.45724799607897&lt;/D&gt;&lt;D xsi:type="xsd:double"&gt;3.61586023898803&lt;/D&gt;&lt;D xsi:type="xsd:double"&gt;3.3386392520077&lt;/D&gt;&lt;D xsi:type="xsd:double"&gt;3.41897408216017&lt;/D&gt;&lt;D xsi:type="xsd:double"&gt;3.53594250696469&lt;/D&gt;&lt;D xsi:type="xsd:double"&gt;3.63007306819728&lt;/D&gt;&lt;D xsi:type="xsd:double"&gt;3.75689043793259&lt;/D&gt;&lt;D xsi:type="xsd:double"&gt;3.81861462570157&lt;/D&gt;&lt;D xsi:type="xsd:double"&gt;3.68967970894305&lt;/D&gt;&lt;D xsi:type="xsd:double"&gt;3.5230025966026&lt;/D&gt;&lt;D xsi:type="xsd:double"&gt;3.55849907786022&lt;/D&gt;&lt;D xsi:type="xsd:double"&gt;3.65678430111175&lt;/D&gt;&lt;D xsi:type="xsd:double"&gt;3.68729271935752&lt;/D&gt;&lt;D xsi:type="xsd:double"&gt;3.58133498344146&lt;/D&gt;&lt;D xsi:type="xsd:double"&gt;3.51685947085946&lt;/D&gt;&lt;D xsi:type="xsd:double"&gt;3.6939840826992&lt;/D&gt;&lt;D xsi:type="xsd:double"&gt;3.8902880087245&lt;/D&gt;&lt;D xsi:type="xsd:double"&gt;4.1498314336573&lt;/D&gt;&lt;D xsi:type="xsd:double"&gt;4.13827970540115&lt;/D&gt;&lt;D xsi:type="xsd:double"&gt;4.22236210236846&lt;/D&gt;&lt;D xsi:type="xsd:double"&gt;4.11302263911219&lt;/D&gt;&lt;D xsi:type="xsd:double"&gt;4.27022015329308&lt;/D&gt;&lt;D xsi:type="xsd:double"&gt;4.30448133451699&lt;/D&gt;&lt;D xsi:type="xsd:double"&gt;4.84298456042805&lt;/D&gt;&lt;D xsi:type="xsd:double"&gt;5.17000881071516&lt;/D&gt;&lt;D xsi:type="xsd:double"&gt;5.56865808756175&lt;/D&gt;&lt;D xsi:type="xsd:double"&gt;5.77674042266405&lt;/D&gt;&lt;D xsi:type="xsd:double"&gt;5.51210565652004&lt;/D&gt;&lt;D xsi:type="xsd:double"&gt;5.63292317779042&lt;/D&gt;&lt;D xsi:type="xsd:double"&gt;5.40074177291921&lt;/D&gt;&lt;D xsi:type="xsd:double"&gt;5.31316643391599&lt;/D&gt;&lt;D xsi:type="xsd:double"&gt;5.39920495898074&lt;/D&gt;&lt;D xsi:type="xsd:double"&gt;5.26197908491872&lt;/D&gt;&lt;D xsi:type="xsd:double"&gt;4.60828631113445&lt;/D&gt;&lt;D xsi:type="xsd:double"&gt;4.51438546199394&lt;/D&gt;&lt;D xsi:type="xsd:double"&gt;4.89690538657369&lt;/D&gt;&lt;D xsi:type="xsd:double"&gt;5.38922552321373&lt;/D&gt;&lt;D xsi:type="xsd:double"&gt;5.0452056827952&lt;/D&gt;&lt;D xsi:type="xsd:double"&gt;4.54312654301385&lt;/D&gt;&lt;D xsi:type="xsd:double"&gt;4.64738419173206&lt;/D&gt;&lt;D xsi:type="xsd:double"&gt;4.78369263063312&lt;/D&gt;&lt;D xsi:type="xsd:double"&gt;5.42363962313537&lt;/D&gt;&lt;D xsi:type="xsd:double"&gt;4.47738298936082&lt;/D&gt;&lt;D xsi:type="xsd:double"&gt;4.32172751310594&lt;/D&gt;&lt;D xsi:type="xsd:double"&gt;4.27277423817503&lt;/D&gt;&lt;D xsi:type="xsd:double"&gt;4.2376507995732&lt;/D&gt;&lt;D xsi:type="xsd:double"&gt;5.20315070841924&lt;/D&gt;&lt;D xsi:type="xsd:double"&gt;5.06449233173869&lt;/D&gt;&lt;D xsi:type="xsd:double"&gt;4.03006168795911&lt;/D&gt;&lt;D xsi:type="xsd:double"&gt;3.22668274091117&lt;/D&gt;&lt;D xsi:type="xsd:double"&gt;3.37235607189369&lt;/D&gt;&lt;D xsi:type="xsd:double"&gt;4.03421481591643&lt;/D&gt;&lt;D xsi:type="xsd:double"&gt;4.43848023054856&lt;/D&gt;&lt;D xsi:type="xsd:double"&gt;4.38175296085243&lt;/D&gt;&lt;D xsi:type="xsd:double"&gt;3.97181443279083&lt;/D&gt;&lt;D xsi:type="xsd:double"&gt;3.80954919775371&lt;/D&gt;&lt;D xsi:type="xsd:double"&gt;3.70151707603399&lt;/D&gt;&lt;D xsi:type="xsd:double"&gt;4.17796062319396&lt;/D&gt;&lt;D xsi:type="xsd:double"&gt;4.4501487053653&lt;/D&gt;&lt;D xsi:type="xsd:double"&gt;5.19156092599227&lt;/D&gt;&lt;D xsi:type="xsd:double"&gt;5.29301167466373&lt;/D&gt;&lt;D xsi:type="xsd:double"&gt;5.42424033748772&lt;/D&gt;&lt;D xsi:type="xsd:double"&gt;5.781753646809&lt;/D&gt;&lt;D xsi:type="xsd:double"&gt;5.89851569478645&lt;/D&gt;&lt;D xsi:type="xsd:double"&gt;5.91622197998176&lt;/D&gt;&lt;D xsi:type="xsd:double"&gt;6.04958615873041&lt;/D&gt;&lt;D xsi:type="xsd:double"&gt;5.3717677016575&lt;/D&gt;&lt;D xsi:type="xsd:double"&gt;4.45228933676823&lt;/D&gt;&lt;D xsi:type="xsd:double"&gt;5.08151183141146&lt;/D&gt;&lt;D xsi:type="xsd:double"&gt;5.94100202599742&lt;/D&gt;&lt;D xsi:type="xsd:double"&gt;6.10893728821361&lt;/D&gt;&lt;D xsi:type="xsd:double"&gt;5.19920566151842&lt;/D&gt;&lt;D xsi:type="xsd:double"&gt;5.47924145274839&lt;/D&gt;&lt;D xsi:type="xsd:double"&gt;5.49173367891712&lt;/D&gt;&lt;D xsi:type="xsd:double"&gt;6.29289903402553&lt;/D&gt;&lt;D xsi:type="xsd:double"&gt;5.10994502198903&lt;/D&gt;&lt;D xsi:type="xsd:double"&gt;4.59572437031978&lt;/D&gt;&lt;D xsi:type="xsd:double"&gt;5.24192698087962&lt;/D&gt;&lt;D xsi:type="xsd:double"&gt;4.79402734295001&lt;/D&gt;&lt;D xsi:type="xsd:double"&gt;4.76029209877278&lt;/D&gt;&lt;D xsi:type="xsd:double"&gt;4.49089193522587&lt;/D&gt;&lt;D xsi:type="xsd:double"&gt;5.76436521352547&lt;/D&gt;&lt;D xsi:type="xsd:double"&gt;4.89065756956911&lt;/D&gt;&lt;D xsi:type="xsd:double"&gt;4.95561515816667&lt;/D&gt;&lt;D xsi:type="xsd:double"&gt;4.94009316164549&lt;/D&gt;&lt;D xsi:type="xsd:double"&gt;4.68960162462015&lt;/D&gt;&lt;D xsi:type="xsd:double"&gt;3.97134728973533&lt;/D&gt;&lt;D xsi:type="xsd:double"&gt;3.54554823347034&lt;/D&gt;&lt;D xsi:type="xsd:double"&gt;3.6179119949884&lt;/D&gt;&lt;D xsi:type="xsd:double"&gt;3.79152060000253&lt;/D&gt;&lt;D xsi:type="xsd:double"&gt;4.44786565575698&lt;/D&gt;&lt;D xsi:type="xsd:double"&gt;4.66722698287037&lt;/D&gt;&lt;D xsi:type="xsd:double"&gt;4.23864980770221&lt;/D&gt;&lt;D xsi:type="xsd:double"&gt;4.17370782085576&lt;/D&gt;&lt;D xsi:type="xsd:double"&gt;4.33291154270927&lt;/D&gt;&lt;/FQL&gt;&lt;FQL&gt;&lt;Q&gt;EPHE^FG_TOTAL_RETURNC(0,-3AM)&lt;/Q&gt;&lt;R&gt;1&lt;/R&gt;&lt;C&gt;1&lt;/C&gt;&lt;D xsi:type="xsd:double"&gt;9.683716&lt;/D&gt;&lt;/FQL&gt;&lt;FQL&gt;&lt;Q&gt;INDA^PERCENT_CHANGE(FMA_EPS(+1,0,,,,"PORTAGG","MEAN"),FMA_EPS(+1,-3AM,,,,"PORTAGG","MEAN"))&lt;/Q&gt;&lt;R&gt;1&lt;/R&gt;&lt;C&gt;1&lt;/C&gt;&lt;D xsi:type="xsd:double"&gt;-0.429162900038633&lt;/D&gt;&lt;/FQL&gt;&lt;FQL&gt;&lt;Q&gt;GREK^FMA_COS_DOWN("EPS","1M",+1,NOW,,,"PORTAGG","MEANR")&lt;/Q&gt;&lt;R&gt;1&lt;/R&gt;&lt;C&gt;1&lt;/C&gt;&lt;D xsi:type="xsd:double"&gt;6&lt;/D&gt;&lt;/FQL&gt;&lt;FQL&gt;&lt;Q&gt;INDA^FMA_RBICS_REV_CURRENT(30, LOC, "PORTAGG")&lt;/Q&gt;&lt;R&gt;1&lt;/R&gt;&lt;C&gt;1&lt;/C&gt;&lt;D xsi:type="xsd:double"&gt;29.4085045540727&lt;/D&gt;&lt;/FQL&gt;&lt;FQL&gt;&lt;Q&gt;TRYTR7Y-FDS^FG_YIELD_NAME&lt;/Q&gt;&lt;R&gt;1&lt;/R&gt;&lt;C&gt;1&lt;/C&gt;&lt;D xsi:type="xsd:string"&gt;Treasury - Turkey Benchmark Bond 7Y&lt;/D&gt;&lt;/FQL&gt;&lt;FQL&gt;&lt;Q&gt;REFQALEND-FDS^FG_YIELD(NOW,,,0)&lt;/Q&gt;&lt;R&gt;1&lt;/R&gt;&lt;C&gt;1&lt;/C&gt;&lt;D xsi:type="xsd:double"&gt;6.25&lt;/D&gt;&lt;/FQL&gt;&lt;FQL&gt;&lt;Q&gt;REFPL7D-FDS^PROPER_NAME(0,,,"SECURITY","NAME")&lt;/Q&gt;&lt;R&gt;1&lt;/R&gt;&lt;C&gt;1&lt;/C&gt;&lt;D xsi:type="xsd:string"&gt;Poland Reference Rate - 7 Day&lt;/D&gt;&lt;/FQL&gt;&lt;FQL&gt;&lt;Q&gt;TRYZA10Y-FDS^PCTCHG(FG_YIELD(0,,,,"YTM"),FG_YIELD(-3AM,,,,"YTM"))&lt;/Q&gt;&lt;R&gt;1&lt;/R&gt;&lt;C&gt;1&lt;/C&gt;&lt;D xsi:type="xsd:double"&gt;4.8865013&lt;/D&gt;&lt;/FQL&gt;&lt;FQL&gt;&lt;Q&gt;VWO^FG_PE(0)&lt;/Q&gt;&lt;R&gt;1&lt;/R&gt;&lt;C&gt;1&lt;/C&gt;&lt;D xsi:type="xsd:double"&gt;12.8652137726722&lt;/D&gt;&lt;/FQL&gt;&lt;FQL&gt;&lt;Q&gt;EPU^FMA_DIV_YLD(NTMA,-10AY,0,AM,"PORTAGG","MEANR")&lt;/Q&gt;&lt;R&gt;121&lt;/R&gt;&lt;C&gt;1&lt;/C&gt;&lt;D xsi:type="xsd:double"&gt;2.66082871070947&lt;/D&gt;&lt;D xsi:type="xsd:double"&gt;2.58964747985436&lt;/D&gt;&lt;D xsi:type="xsd:double"&gt;2.47633263282146&lt;/D&gt;&lt;D xsi:type="xsd:double"&gt;2.19329787978635&lt;/D&gt;&lt;D xsi:type="xsd:double"&gt;2.19405176236092&lt;/D&gt;&lt;D xsi:type="xsd:double"&gt;2.16261669635095&lt;/D&gt;&lt;D xsi:type="xsd:double"&gt;2.14957071375527&lt;/D&gt;&lt;D xsi:type="xsd:double"&gt;2.30374873201462&lt;/D&gt;&lt;D xsi:type="xsd:double"&gt;2.27784810892991&lt;/D&gt;&lt;D xsi:type="xsd:double"&gt;2.11131408431782&lt;/D&gt;&lt;D xsi:type="xsd:double"&gt;2.28913268648472&lt;/D&gt;&lt;D xsi:type="xsd:double"&gt;2.13120914256778&lt;/D&gt;&lt;D xsi:type="xsd:double"&gt;2.36836877156795&lt;/D&gt;&lt;D xsi:type="xsd:double"&gt;2.26955674494742&lt;/D&gt;&lt;D xsi:type="xsd:double"&gt;1.87244735658466&lt;/D&gt;&lt;D xsi:type="xsd:double"&gt;2.03189538266436&lt;/D&gt;&lt;D xsi:type="xsd:double"&gt;1.95666659041875&lt;/D&gt;&lt;D xsi:type="xsd:double"&gt;2.26568875047532&lt;/D&gt;&lt;D xsi:type="xsd:double"&gt;2.5531297590272&lt;/D&gt;&lt;D xsi:type="xsd:double"&gt;2.35367036309829&lt;/D&gt;&lt;D xsi:type="xsd:double"&gt;2.35146108141603&lt;/D&gt;&lt;D xsi:type="xsd:double"&gt;2.67933880905581&lt;/D&gt;&lt;D xsi:type="xsd:double"&gt;2.79563480014803&lt;/D&gt;&lt;D xsi:type="xsd:double"&gt;2.48170153179296&lt;/D&gt;&lt;D xsi:type="xsd:double"&gt;2.18800267359933&lt;/D&gt;&lt;D xsi:type="xsd:double"&gt;2.02243114150646&lt;/D&gt;&lt;D xsi:type="xsd:double"&gt;1.71203063848173&lt;/D&gt;&lt;D xsi:type="xsd:double"&gt;1.8581104449884&lt;/D&gt;&lt;D xsi:type="xsd:double"&gt;1.84850464481954&lt;/D&gt;&lt;D xsi:type="xsd:double"&gt;1.61608409564137&lt;/D&gt;&lt;D xsi:type="xsd:double"&gt;1.52487962853621&lt;/D&gt;&lt;D xsi:type="xsd:double"&gt;1.59967241903492&lt;/D&gt;&lt;D xsi:type="xsd:double"&gt;1.90627668214055&lt;/D&gt;&lt;D xsi:type="xsd:double"&gt;2.1614618640261&lt;/D&gt;&lt;D xsi:type="xsd:double"&gt;2.16503697640278&lt;/D&gt;&lt;D xsi:type="xsd:double"&gt;1.95672157898582&lt;/D&gt;&lt;D xsi:type="xsd:double"&gt;2.22459548997028&lt;/D&gt;&lt;D xsi:type="xsd:double"&gt;2.06991316811413&lt;/D&gt;&lt;D xsi:type="xsd:double"&gt;2.1352555270463&lt;/D&gt;&lt;D xsi:type="xsd:double"&gt;2.27870949419229&lt;/D&gt;&lt;D xsi:type="xsd:double"&gt;2.25133802678725&lt;/D&gt;&lt;D xsi:type="xsd:double"&gt;2.28536148947876&lt;/D&gt;&lt;D xsi:type="xsd:double"&gt;2.14124972048414&lt;/D&gt;&lt;D xsi:type="xsd:double"&gt;2.20905058781558&lt;/D&gt;&lt;D xsi:type="xsd:double"&gt;2.71117711411103&lt;/D&gt;&lt;D xsi:type="xsd:double"&gt;2.95041990340246&lt;/D&gt;&lt;D xsi:type="xsd:double"&gt;2.59465754720067&lt;/D&gt;&lt;D xsi:type="xsd:double"&gt;2.52525183300968&lt;/D&gt;&lt;D xsi:type="xsd:double"&gt;2.19561403872006&lt;/D&gt;&lt;D xsi:type="xsd:double"&gt;2.10956252880964&lt;/D&gt;&lt;D xsi:type="xsd:double"&gt;4.77204030074532&lt;/D&gt;&lt;D xsi:type="xsd:double"&gt;1.90525433607689&lt;/D&gt;&lt;D xsi:type="xsd:double"&gt;2.11604924080873&lt;/D&gt;&lt;D xsi:type="xsd:double"&gt;4.36307389753067&lt;/D&gt;&lt;D xsi:type="xsd:double"&gt;2.49471560275959&lt;/D&gt;&lt;D xsi:type="xsd:double"&gt;2.32154334313536&lt;/D&gt;&lt;D xsi:type="xsd:double"&gt;2.57365071270059&lt;/D&gt;&lt;D xsi:type="xsd:double"&gt;2.41442646624005&lt;/D&gt;&lt;D xsi:type="xsd:double"&gt;2.33168352823627&lt;/D&gt;&lt;D xsi:type="xsd:double"&gt;2.24741155673367&lt;/D&gt;&lt;D xsi:type="xsd:double"&gt;2.25841358350748&lt;/D&gt;&lt;D xsi:type="xsd:double"&gt;2.20900638721258&lt;/D&gt;&lt;D xsi:type="xsd:double"&gt;2.63863499338609&lt;/D&gt;&lt;D xsi:type="xsd:double"&gt;2.69392476592349&lt;/D&gt;&lt;D xsi:type="xsd:double"&gt;2.68467242895102&lt;/D&gt;&lt;D xsi:type="xsd:double"&gt;3.05004487214327&lt;/D&gt;&lt;D xsi:type="xsd:double"&gt;2.90073248990314&lt;/D&gt;&lt;D xsi:type="xsd:double"&gt;3.04254282558484&lt;/D&gt;&lt;D xsi:type="xsd:double"&gt;2.97267871494872&lt;/D&gt;&lt;D xsi:type="xsd:double"&gt;2.75365875382985&lt;/D&gt;&lt;D xsi:type="xsd:double"&gt;2.62995819708328&lt;/D&gt;&lt;D xsi:type="xsd:double"&gt;3.06052259476009&lt;/D&gt;&lt;D xsi:type="xsd:double"&gt;3.97474089276814&lt;/D&gt;&lt;D xsi:type="xsd:double"&gt;3.98501592756898&lt;/D&gt;&lt;D xsi:type="xsd:double"&gt;3.36075526321615&lt;/D&gt;&lt;D xsi:type="xsd:double"&gt;3.13293906105987&lt;/D&gt;&lt;D xsi:type="xsd:double"&gt;3.09406805879321&lt;/D&gt;&lt;D xsi:type="xsd:double"&gt;2.56849810512572&lt;/D&gt;&lt;D xsi:type="xsd:double"&gt;2.53896475195016&lt;/D&gt;&lt;D xsi:type="xsd:double"&gt;2.62401338613844&lt;/D&gt;&lt;D xsi:type="xsd:double"&gt;2.25918445586841&lt;/D&gt;&lt;D xsi:type="xsd:double"&gt;1.79445634065099&lt;/D&gt;&lt;D xsi:type="xsd:double"&gt;1.66189183448747&lt;/D&gt;&lt;D xsi:type="xsd:double"&gt;1.69964053480942&lt;/D&gt;&lt;D xsi:type="xsd:double"&gt;1.93498366136525&lt;/D&gt;&lt;D xsi:type="xsd:double"&gt;2.15010419999989&lt;/D&gt;&lt;D xsi:type="xsd:double"&gt;2.2196443117415&lt;/D&gt;&lt;D xsi:type="xsd:double"&gt;2.6985026487654&lt;/D&gt;&lt;D xsi:type="xsd:double"&gt;2.94908928566979&lt;/D&gt;&lt;D xsi:type="xsd:double"&gt;3.44563673684155&lt;/D&gt;&lt;D xsi:type="xsd:double"&gt;3.5980365129377&lt;/D&gt;&lt;D xsi:type="xsd:double"&gt;3.55864315099495&lt;/D&gt;&lt;D xsi:type="xsd:double"&gt;3.59867075900484&lt;/D&gt;&lt;D xsi:type="xsd:double"&gt;4.32318479749452&lt;/D&gt;&lt;D xsi:type="xsd:double"&gt;3.70617029781754&lt;/D&gt;&lt;D xsi:type="xsd:double"&gt;3.55094344422948&lt;/D&gt;&lt;D xsi:type="xsd:double"&gt;3.53137803288258&lt;/D&gt;&lt;D xsi:type="xsd:double"&gt;3.80484723681395&lt;/D&gt;&lt;D xsi:type="xsd:double"&gt;4.54163129187775&lt;/D&gt;&lt;D xsi:type="xsd:double"&gt;4.93774109060895&lt;/D&gt;&lt;D xsi:type="xsd:double"&gt;5.58676668915057&lt;/D&gt;&lt;D xsi:type="xsd:double"&gt;5.00631987208941&lt;/D&gt;&lt;D xsi:type="xsd:double"&gt;4.99047694592956&lt;/D&gt;&lt;D xsi:type="xsd:double"&gt;4.98580763725382&lt;/D&gt;&lt;D xsi:type="xsd:double"&gt;3.6799587269805&lt;/D&gt;&lt;D xsi:type="xsd:double"&gt;3.851107639788&lt;/D&gt;&lt;D xsi:type="xsd:double"&gt;3.67430891959242&lt;/D&gt;&lt;D xsi:type="xsd:double"&gt;4.11727083234582&lt;/D&gt;&lt;D xsi:type="xsd:double"&gt;4.62009273842646&lt;/D&gt;&lt;D xsi:type="xsd:double"&gt;4.63226613414989&lt;/D&gt;&lt;D xsi:type="xsd:double"&gt;4.85859396353962&lt;/D&gt;&lt;D xsi:type="xsd:double"&gt;4.93974068645133&lt;/D&gt;&lt;D xsi:type="xsd:double"&gt;4.64291029302731&lt;/D&gt;&lt;D xsi:type="xsd:double"&gt;4.35540657076347&lt;/D&gt;&lt;D xsi:type="xsd:double"&gt;4.71009818288937&lt;/D&gt;&lt;D xsi:type="xsd:double"&gt;5.20837680500716&lt;/D&gt;&lt;D xsi:type="xsd:double"&gt;4.69173201770493&lt;/D&gt;&lt;D xsi:type="xsd:double"&gt;3.75025345069364&lt;/D&gt;&lt;D xsi:type="xsd:double"&gt;3.57585416043374&lt;/D&gt;&lt;D xsi:type="xsd:double"&gt;3.70764414744309&lt;/D&gt;&lt;D xsi:type="xsd:double"&gt;3.52563568066826&lt;/D&gt;&lt;/FQL&gt;&lt;FQL&gt;&lt;Q&gt;MCHI^P_PRICE(0)/P_PRICE_LOW_PR(0,,,USD,,,"PRICE","INTRA","52W")-1&lt;/Q&gt;&lt;R&gt;1&lt;/R&gt;&lt;C&gt;1&lt;/C&gt;&lt;D xsi:type="xsd:double"&gt;0.12900496&lt;/D&gt;&lt;/FQL&gt;&lt;FQL&gt;&lt;Q&gt;EIDO^P_PRICE(0)/P_PRICE_HIGH_PR(0,,,USD,,,"PRICE","INTRA","52W")&lt;/Q&gt;&lt;R&gt;1&lt;/R&gt;&lt;C&gt;1&lt;/C&gt;&lt;D xsi:type="xsd:double"&gt;0.92615014&lt;/D&gt;&lt;/FQL&gt;&lt;FQL&gt;&lt;Q&gt;INDA^PERCENT_CHANGE(FMA_EPS(+1,0,,,,"PORTAGG","MEAN"),FMA_EPS(+1,-1AM,,,,"PORTAGG","MEAN"))&lt;/Q&gt;&lt;R&gt;1&lt;/R&gt;&lt;C&gt;1&lt;/C&gt;&lt;D xsi:type="xsd:double"&gt;0.405400125673801&lt;/D&gt;&lt;/FQL&gt;&lt;FQL&gt;&lt;Q&gt;SPY^SIZE(FG_CONSTITUENTS)&lt;/Q&gt;&lt;R&gt;1&lt;/R&gt;&lt;C&gt;1&lt;/C&gt;&lt;D xsi:type="xsd:long"&gt;504&lt;/D&gt;&lt;/FQL&gt;&lt;FQL&gt;&lt;Q&gt;EZA^FMA_COS_DOWN("EPS","1M",+1,NOW,,,"PORTAGG","MEANR")&lt;/Q&gt;&lt;R&gt;1&lt;/R&gt;&lt;C&gt;1&lt;/C&gt;&lt;D xsi:type="xsd:double"&gt;15&lt;/D&gt;&lt;/FQL&gt;&lt;FQL&gt;&lt;Q&gt;TRYZA10Y-FDS^PCTCHG(FG_YIELD(0,,,,"YTM"),FG_YIELD(-1AM,,,,"YTM"))&lt;/Q&gt;&lt;R&gt;1&lt;/R&gt;&lt;C&gt;1&lt;/C&gt;&lt;D xsi:type="xsd:double"&gt;2.1389225&lt;/D&gt;&lt;/FQL&gt;&lt;FQL&gt;&lt;Q&gt;VWO^JULIAN(FMA_DIV_YLD(NTMA,NOW,NOW,M,"PORTAGG","MEANR").DATES)&lt;/Q&gt;&lt;R&gt;1&lt;/R&gt;&lt;C&gt;1&lt;/C&gt;&lt;D xsi:type="xsd:long"&gt;45322&lt;/D&gt;&lt;/FQL&gt;&lt;FQL&gt;&lt;Q&gt;TUR^FMA_EVAL_EBITDA(NTMA,0,,,"PORTAGG","MEANR")&lt;/Q&gt;&lt;R&gt;1&lt;/R&gt;&lt;C&gt;1&lt;/C&gt;&lt;D xsi:type="xsd:double"&gt;4.19158289089413&lt;/D&gt;&lt;/FQL&gt;&lt;FQL&gt;&lt;Q&gt;ECH^FMA_DIV_YLD(NTMA,NOW,NOW,M,"PORTAGG","MEANR")&lt;/Q&gt;&lt;R&gt;1&lt;/R&gt;&lt;C&gt;1&lt;/C&gt;&lt;D xsi:type="xsd:double"&gt;7.29695388180185&lt;/D&gt;&lt;/FQL&gt;&lt;FQL&gt;&lt;Q&gt;ECH^FG_COMPANY_NAME&lt;/Q&gt;&lt;R&gt;1&lt;/R&gt;&lt;C&gt;1&lt;/C&gt;&lt;D xsi:type="xsd:string"&gt;iShares MSCI Chile ETF&lt;/D&gt;&lt;/FQL&gt;&lt;FQL&gt;&lt;Q&gt;VGK^FMA_EVAL_EBIT(LTMA,NOW,NOW,M,"PORTAGG","MEANR")&lt;/Q&gt;&lt;R&gt;1&lt;/R&gt;&lt;C&gt;1&lt;/C&gt;&lt;D xsi:type="xsd:double"&gt;13.0685870551554&lt;/D&gt;&lt;/FQL&gt;&lt;FQL&gt;&lt;Q&gt;INDA^FG_FCF_YIELD_NTM(0)&lt;/Q&gt;&lt;R&gt;1&lt;/R&gt;&lt;C&gt;1&lt;/C&gt;&lt;D xsi:type="xsd:double"&gt;2.98088030757416&lt;/D&gt;&lt;/FQL&gt;&lt;FQL&gt;&lt;Q&gt;EWY^FMA_PE(LTM,0,,,"PORTAGG","MEANR")&lt;/Q&gt;&lt;R&gt;1&lt;/R&gt;&lt;C&gt;1&lt;/C&gt;&lt;D xsi:type="xsd:double"&gt;19.6552111211591&lt;/D&gt;&lt;/FQL&gt;&lt;FQL&gt;&lt;Q&gt;EPU^FMA_DIV_YLD(NTMA,NOW,NOW,M,"PORTAGG","MEANR")&lt;/Q&gt;&lt;R&gt;1&lt;/R&gt;&lt;C&gt;1&lt;/C&gt;&lt;D xsi:type="xsd:double"&gt;3.74388954013046&lt;/D&gt;&lt;/FQL&gt;&lt;FQL&gt;&lt;Q&gt;ECH^FMA_PE(NTMA,0,,,"PORTAGG","MEANR")&lt;/Q&gt;&lt;R&gt;1&lt;/R&gt;&lt;C&gt;1&lt;/C&gt;&lt;D xsi:type="xsd:double"&gt;7.65865238570531&lt;/D&gt;&lt;/FQL&gt;&lt;FQL&gt;&lt;Q&gt;SET-BKK^FMA_PE(LTM,0,,,"PORTAGG","MEANR")&lt;/Q&gt;&lt;R&gt;1&lt;/R&gt;&lt;C&gt;1&lt;/C&gt;&lt;D xsi:type="xsd:double"&gt;17.1388454659624&lt;/D&gt;&lt;/FQL&gt;&lt;FQL&gt;&lt;Q&gt;TRYPH10Y-FDS^PCTCHG(FG_YIELD(0,,,,"YTM"),FG_YIELD(-3AM,,,,"YTM"))&lt;/Q&gt;&lt;R&gt;1&lt;/R&gt;&lt;C&gt;1&lt;/C&gt;&lt;D xsi:type="xsd:double"&gt;0.6623716&lt;/D&gt;&lt;/FQL&gt;&lt;FQL&gt;&lt;Q&gt;EPHE^FMA_EVAL_EBITDA(NTMA,0,,,"PORTAGG","MEANR")&lt;/Q&gt;&lt;R&gt;1&lt;/R&gt;&lt;C&gt;1&lt;/C&gt;&lt;D xsi:type="xsd:double"&gt;9.07090169900363&lt;/D&gt;&lt;/FQL&gt;&lt;FQL&gt;&lt;Q&gt;EZA^FMA_PE(NTMA,0,,,"PORTAGG","MEANR")&lt;/Q&gt;&lt;R&gt;1&lt;/R&gt;&lt;C&gt;1&lt;/C&gt;&lt;D xsi:type="xsd:double"&gt;9.55971566273369&lt;/D&gt;&lt;/FQL&gt;&lt;FQL&gt;&lt;Q&gt;VNM^FMA_PE(LTM,0,,,"PORTAGG","MEANR")&lt;/Q&gt;&lt;R&gt;1&lt;/R&gt;&lt;C&gt;1&lt;/C&gt;&lt;D xsi:type="xsd:double"&gt;19.6008853562595&lt;/D&gt;&lt;/FQL&gt;&lt;FQL&gt;&lt;Q&gt;EWM^FMA_DIV_YLD(NTMA,NOW,NOW,M,"PORTAGG","MEANR")&lt;/Q&gt;&lt;R&gt;1&lt;/R&gt;&lt;C&gt;1&lt;/C&gt;&lt;D xsi:type="xsd:double"&gt;4.14259023752395&lt;/D&gt;&lt;/FQL&gt;&lt;FQL&gt;&lt;Q&gt;EWW^FG_PRICE_MAVG(0,,,,60)&lt;/Q&gt;&lt;R&gt;1&lt;/R&gt;&lt;C&gt;1&lt;/C&gt;&lt;D xsi:type="xsd:double"&gt;66.53333&lt;/D&gt;&lt;/FQL&gt;&lt;FQL&gt;&lt;Q&gt;EIDO^FG_TOTAL_RETURNC(0,-3AM)&lt;/Q&gt;&lt;R&gt;1&lt;/R&gt;&lt;C&gt;1&lt;/C&gt;&lt;D xsi:type="xsd:double"&gt;4.875505&lt;/D&gt;&lt;/FQL&gt;&lt;FQL&gt;&lt;Q&gt;INDA^FMA_PCT_ABOVE_MAVG(200,0,,,,"PORTAGG")&lt;/Q&gt;&lt;R&gt;1&lt;/R&gt;&lt;C&gt;1&lt;/C&gt;&lt;D xsi:type="xsd:double"&gt;75&lt;/D&gt;&lt;/FQL&gt;&lt;FQL&gt;&lt;Q&gt;SPY^FMA_COS_DOWN("EPS","1M",+1,NOW,,,"PORTAGG","MEANR")&lt;/Q&gt;&lt;R&gt;1&lt;/R&gt;&lt;C&gt;1&lt;/C&gt;&lt;D xsi:type="xsd:double"&gt;184&lt;/D&gt;&lt;/FQL&gt;&lt;FQL&gt;&lt;Q&gt;EZA^FMA_COS_UP("EPS","1M",+1,NOW,,,"PORTAGG","MEANR")&lt;/Q&gt;&lt;R&gt;1&lt;/R&gt;&lt;C&gt;1&lt;/C&gt;&lt;D xsi:type="xsd:double"&gt;10&lt;/D&gt;&lt;/FQL&gt;&lt;FQL&gt;&lt;Q&gt;GREK^FMA_RBICS_REV_CURRENT(30, LOC, "PORTAGG")&lt;/Q&gt;&lt;R&gt;1&lt;/R&gt;&lt;C&gt;1&lt;/C&gt;&lt;D xsi:type="xsd:double"&gt;44.6988114809499&lt;/D&gt;&lt;/FQL&gt;&lt;FQL&gt;&lt;Q&gt;REFQALEND-FDS^PROPER_NAME(0,,,"SECURITY","NAME")&lt;/Q&gt;&lt;R&gt;1&lt;/R&gt;&lt;C&gt;1&lt;/C&gt;&lt;D xsi:type="xsd:string"&gt;Qatar Lending Rate - Overnight&lt;/D&gt;&lt;/FQL&gt;&lt;FQL&gt;&lt;Q&gt;REFPHRREPO-FDS^(SUBARRAY(NOT_NA(NO_REPEAT_F(FG_YIELD(NOW,-10AY,D))),0,1)-SUBARRAY(NOT_NA(NO_REPEAT_F(FG_YIELD(NOW,-10AY,D))),1,1))*100&lt;/Q&gt;&lt;R&gt;1&lt;/R&gt;&lt;C&gt;1&lt;/C&gt;&lt;D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xsi:type="xsd:double"&gt;25&lt;/D&gt;&lt;/FQL&gt;&lt;FQL&gt;&lt;Q&gt;TRYBR10Y-FDS^PCTCHG(FG_YIELD(0,,,,"YTM"),FG_YIELD(-1AM,,,,"YTM"))&lt;/Q&gt;&lt;R&gt;1&lt;/R&gt;&lt;C&gt;1&lt;/C&gt;&lt;D xsi:type="xsd:double"&gt;0.6578644&lt;/D&gt;&lt;/FQL&gt;&lt;FQL&gt;&lt;Q&gt;TRYTH10Y-FDS^FG_YIELD(0,,,,"YTM")&lt;/Q&gt;&lt;R&gt;1&lt;/R&gt;&lt;C&gt;1&lt;/C&gt;&lt;D xsi:type="xsd:double"&gt;2.519454&lt;/D&gt;&lt;/FQL&gt;&lt;FQL&gt;&lt;Q&gt;URTH^FMA_PCT_ABOVE_MAVG(200,0,,,,"PORTAGG")&lt;/Q&gt;&lt;R&gt;1&lt;/R&gt;&lt;C&gt;1&lt;/C&gt;&lt;D xsi:type="xsd:double"&gt;71.448087431694&lt;/D&gt;&lt;/FQL&gt;&lt;FQL&gt;&lt;Q&gt;CC_IN^IMF_IFS_RCPI_Q(0)&lt;/Q&gt;&lt;R&gt;0&lt;/R&gt;&lt;C&gt;0&lt;/C&gt;&lt;/FQL&gt;&lt;FQL&gt;&lt;Q&gt;EPHE^FMA_EVAL_EBIT(LTMA,NOW,NOW,M,"PORTAGG","MEANR")&lt;/Q&gt;&lt;R&gt;1&lt;/R&gt;&lt;C&gt;1&lt;/C&gt;&lt;D xsi:type="xsd:double"&gt;13.7031145021024&lt;/D&gt;&lt;/FQL&gt;&lt;FQL&gt;&lt;Q&gt;UAE^FG_COMPANY_NAME&lt;/Q&gt;&lt;R&gt;1&lt;/R&gt;&lt;C&gt;1&lt;/C&gt;&lt;D xsi:type="xsd:string"&gt;iShares MSCI UAE ETF&lt;/D&gt;&lt;/FQL&gt;&lt;FQL&gt;&lt;Q&gt;CC_BR^IMF_IFS_RCPI_Q(0)&lt;/Q&gt;&lt;R&gt;1&lt;/R&gt;&lt;C&gt;1&lt;/C&gt;&lt;D xsi:type="xsd:double"&gt;4.7076507&lt;/D&gt;&lt;/FQL&gt;&lt;FQL&gt;&lt;Q&gt;SET-BKK^JULIAN(FMA_DIV_YLD(NTMA,NOW,NOW,M,"PORTAGG","MEANR").DATES)&lt;/Q&gt;&lt;R&gt;1&lt;/R&gt;&lt;C&gt;1&lt;/C&gt;&lt;D xsi:type="xsd:long"&gt;45351&lt;/D&gt;&lt;/FQL&gt;&lt;FQL&gt;&lt;Q&gt;REFKRBASE-FDS^(SUBARRAY(NOT_NA(NO_REPEAT_F(FG_YIELD(NOW,-10AY,D))),0,1)-SUBARRAY(NOT_NA(NO_REPEAT_F(FG_YIELD(NOW,-10AY,D))),1,1))*100&lt;/Q&gt;&lt;R&gt;1&lt;/R&gt;&lt;C&gt;1&lt;/C&gt;&lt;D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xsi:type="xsd:double"&gt;25&lt;/D&gt;&lt;/FQL&gt;&lt;FQL&gt;&lt;Q&gt;SET-BKK^FG_COMPANY_NAME&lt;/Q&gt;&lt;R&gt;1&lt;/R&gt;&lt;C&gt;1&lt;/C&gt;&lt;D xsi:type="xsd:string"&gt;Thailand SET&lt;/D&gt;&lt;/FQL&gt;&lt;FQL&gt;&lt;Q&gt;TIPSCL10Y-FDS^PCTCHG(FG_YIELD(0,,,,"YTM"),FG_YIELD(-3AM,,,,"YTM"))&lt;/Q&gt;&lt;R&gt;1&lt;/R&gt;&lt;C&gt;1&lt;/C&gt;&lt;D xsi:type="xsd:double"&gt;5.448416&lt;/D&gt;&lt;/FQL&gt;&lt;FQL&gt;&lt;Q&gt;MCHI^FMA_EVAL_EBIT(LTMA,NOW,NOW,M,"PORTAGG","MEANR")&lt;/Q&gt;&lt;R&gt;1&lt;/R&gt;&lt;C&gt;1&lt;/C&gt;&lt;D xsi:type="xsd:double"&gt;13.6153182301526&lt;/D&gt;&lt;/FQL&gt;&lt;FQL&gt;&lt;Q&gt;SET-BKK^PERCENT_CHANGE(FMA_EPS(+1,0,,,,"PORTAGG","MEAN"),FMA_EPS(+1,-1AM,,,,"PORTAGG","MEAN"))&lt;/Q&gt;&lt;R&gt;1&lt;/R&gt;&lt;C&gt;1&lt;/C&gt;&lt;D xsi:type="xsd:double"&gt;-1.35208985555365&lt;/D&gt;&lt;/FQL&gt;&lt;FQL&gt;&lt;Q&gt;QAT^PERCENT_CHANGE(FMA_EPS(+1,0,,,,"PORTAGG","MEAN"),FMA_EPS(+1,-3AM,,,,"PORTAGG","MEAN"))&lt;/Q&gt;&lt;R&gt;1&lt;/R&gt;&lt;C&gt;1&lt;/C&gt;&lt;D xsi:type="xsd:double"&gt;1.84933748701518&lt;/D&gt;&lt;/FQL&gt;&lt;FQL&gt;&lt;Q&gt;REFTHREPO-FDS^(SUBARRAY(NOT_NA(NO_REPEAT_F(FG_YIELD(NOW,-10AY,D))),0,1)-SUBARRAY(NOT_NA(NO_REPEAT_F(FG_YIELD(NOW,-10AY,D))),1,1))*100&lt;/Q&gt;&lt;R&gt;1&lt;/R&gt;&lt;C&gt;1&lt;/C&gt;&lt;D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xsi:type="xsd:double"&gt;25&lt;/D&gt;&lt;/FQL&gt;&lt;FQL&gt;&lt;Q&gt;EWM^FMA_PE(LTM,0,,,"PORTAGG","MEANR")&lt;/Q&gt;&lt;R&gt;1&lt;/R&gt;&lt;C&gt;1&lt;/C&gt;&lt;D xsi:type="xsd:double"&gt;17.5439418990962&lt;/D&gt;&lt;/FQL&gt;&lt;FQL&gt;&lt;Q&gt;VWO^FG_FCF_YIELD_NTM(0)&lt;/Q&gt;&lt;R&gt;1&lt;/R&gt;&lt;C&gt;1&lt;/C&gt;&lt;D xsi:type="xsd:double"&gt;5.7548610791036&lt;/D&gt;&lt;/FQL&gt;&lt;FQL&gt;&lt;Q&gt;DUMMY^ECON_DATE(45245,,, 'MM/YYYY')&lt;/Q&gt;&lt;R&gt;1&lt;/R&gt;&lt;C&gt;1&lt;/C&gt;&lt;D xsi:type="xsd:string"&gt;11/2023&lt;/D&gt;&lt;/FQL&gt;&lt;FQL&gt;&lt;Q&gt;DUMMY^ECON_DATE(45337,,, 'MM/YYYY')&lt;/Q&gt;&lt;R&gt;1&lt;/R&gt;&lt;C&gt;1&lt;/C&gt;&lt;D xsi:type="xsd:string"&gt;02/2024&lt;/D&gt;&lt;/FQL&gt;&lt;FQL&gt;&lt;Q&gt;DUMMY^ECON_EXPR_DATA('FDS_ECON[NTCPMIMFGSA@CN]',02/2024,,Q)&lt;/Q&gt;&lt;R&gt;1&lt;/R&gt;&lt;C&gt;1&lt;/C&gt;&lt;D xsi:type="xsd:double"&gt;50.34384&lt;/D&gt;&lt;/FQL&gt;&lt;FQL&gt;&lt;Q&gt;DUMMY^ECON_EXPR_DATA('FDS_ECON[NTCPMIMFGSA@CN]',11/2023,,Q)&lt;/Q&gt;&lt;R&gt;1&lt;/R&gt;&lt;C&gt;1&lt;/C&gt;&lt;D xsi:type="xsd:double"&gt;50.266373&lt;/D&gt;&lt;/FQL&gt;&lt;FQL&gt;&lt;Q&gt;DUMMY^ECON_EXPR_DATA('FDS_ECON[NTCPMIMFGSA@CL]',02/2024,,Q)&lt;/Q&gt;&lt;R&gt;0&lt;/R&gt;&lt;C&gt;0&lt;/C&gt;&lt;/FQL&gt;&lt;FQL&gt;&lt;Q&gt;DUMMY^ECON_EXPR_DATA('FDS_ECON[NTCPMIMFGSA@CL]',11/2023,,Q)&lt;/Q&gt;&lt;R&gt;0&lt;/R&gt;&lt;C&gt;0&lt;/C&gt;&lt;/FQL&gt;&lt;FQL&gt;&lt;Q&gt;DUMMY^ECON_EXPR_DATA('FDS_ECON[NTCPMIMFGSA@ID]',02/2024,,Q)&lt;/Q&gt;&lt;R&gt;1&lt;/R&gt;&lt;C&gt;1&lt;/C&gt;&lt;D xsi:type="xsd:double"&gt;51.828487&lt;/D&gt;&lt;/FQL&gt;&lt;FQL&gt;&lt;Q&gt;DUMMY^ECON_EXPR_DATA('FDS_ECON[NTCPMIMFGSA@ID]',11/2023,,Q)&lt;/Q&gt;&lt;R&gt;1&lt;/R&gt;&lt;C&gt;1&lt;/C&gt;&lt;D xsi:type="xsd:double"&gt;53.156506&lt;/D&gt;&lt;/FQL&gt;&lt;FQL&gt;&lt;Q&gt;DUMMY^ECON_EXPR_DATA('FDS_ECON[NTCPMIPHMANHE]',02/2024,,Q)&lt;/Q&gt;&lt;R&gt;1&lt;/R&gt;&lt;C&gt;1&lt;/C&gt;&lt;D xsi:type="xsd:double"&gt;52.222515&lt;/D&gt;&lt;/FQL&gt;&lt;FQL&gt;&lt;Q&gt;DUMMY^ECON_EXPR_DATA('FDS_ECON[NTCPMIPHMANHE]',11/2023,,Q)&lt;/Q&gt;&lt;R&gt;1&lt;/R&gt;&lt;C&gt;1&lt;/C&gt;&lt;D xsi:type="xsd:double"&gt;50.747215&lt;/D&gt;&lt;/FQL&gt;&lt;FQL&gt;&lt;Q&gt;DUMMY^ECON_EXPR_DATA('FDS_ECON[NTCPMIMFGSA@PL]',02/2024,,Q)&lt;/Q&gt;&lt;R&gt;1&lt;/R&gt;&lt;C&gt;1&lt;/C&gt;&lt;D xsi:type="xsd:double"&gt;46.884846&lt;/D&gt;&lt;/FQL&gt;&lt;FQL&gt;&lt;Q&gt;DUMMY^ECON_EXPR_DATA('FDS_ECON[NTCPMIMFGSA@PL]',11/2023,,Q)&lt;/Q&gt;&lt;R&gt;1&lt;/R&gt;&lt;C&gt;1&lt;/C&gt;&lt;D xsi:type="xsd:double"&gt;43.504345&lt;/D&gt;&lt;/FQL&gt;&lt;FQL&gt;&lt;Q&gt;DUMMY^ECON_EXPR_DATA('FDS_ECON[NTCPMIMFGSA@PE]',02/2024,,Q)&lt;/Q&gt;&lt;R&gt;0&lt;/R&gt;&lt;C&gt;0&lt;/C&gt;&lt;/FQL&gt;&lt;FQL&gt;&lt;Q&gt;DUMMY^ECON_EXPR_DATA('FDS_ECON[NTCPMIMFGSA@PE]',11/2023,,Q)&lt;/Q&gt;&lt;R&gt;0&lt;/R&gt;&lt;C&gt;0&lt;/C&gt;&lt;/FQL&gt;&lt;FQL&gt;&lt;Q&gt;DUMMY^ECON_EXPR_DATA('FDS_ECON[PMIMYMANHE]',02/2024,,Q)&lt;/Q&gt;&lt;R&gt;1&lt;/R&gt;&lt;C&gt;1&lt;/C&gt;&lt;D xsi:type="xsd:double"&gt;47.499214&lt;/D&gt;&lt;/FQL&gt;&lt;FQL&gt;&lt;Q&gt;DUMMY^ECON_EXPR_DATA('FDS_ECON[PMIMYMANHE]',11/2023,,Q)&lt;/Q&gt;&lt;R&gt;1&lt;/R&gt;&lt;C&gt;1&lt;/C&gt;&lt;D xsi:type="xsd:double"&gt;47.470974&lt;/D&gt;&lt;/FQL&gt;&lt;FQL&gt;&lt;Q&gt;DUMMY^ECON_EXPR_DATA('FDS_ECON[NTCPMIMFGSA@TW]',02/2024,,Q)&lt;/Q&gt;&lt;R&gt;1&lt;/R&gt;&lt;C&gt;1&lt;/C&gt;&lt;D xsi:type="xsd:double"&gt;47.63588&lt;/D&gt;&lt;/FQL&gt;&lt;FQL&gt;&lt;Q&gt;DUMMY^ECON_EXPR_DATA('FDS_ECON[NTCPMIMFGSA@TW]',11/2023,,Q)&lt;/Q&gt;&lt;R&gt;1&lt;/R&gt;&lt;C&gt;1&lt;/C&gt;&lt;D xsi:type="xsd:double"&gt;44.970745&lt;/D&gt;&lt;/FQL&gt;&lt;FQL&gt;&lt;Q&gt;DUMMY^ECON_EXPR_DATA('FDS_ECON[NTCPMIMFGSA@MX]',02/2024,,Q)&lt;/Q&gt;&lt;R&gt;1&lt;/R&gt;&lt;C&gt;1&lt;/C&gt;&lt;D xsi:type="xsd:double"&gt;52.180695&lt;/D&gt;&lt;/FQL&gt;&lt;FQL&gt;&lt;Q&gt;DUMMY^ECON_EXPR_DATA('FDS_ECON[NTCPMIMFGSA@MX]',11/2023,,Q)&lt;/Q&gt;&lt;R&gt;1&lt;/R&gt;&lt;C&gt;1&lt;/C&gt;&lt;D xsi:type="xsd:double"&gt;51.404537&lt;/D&gt;&lt;/FQL&gt;&lt;FQL&gt;&lt;Q&gt;DUMMY^ECON_EXPR_DATA('FDS_ECON[NTCPMIMFGSA@KR]',02/2024,,Q)&lt;/Q&gt;&lt;R&gt;1&lt;/R&gt;&lt;C&gt;1&lt;/C&gt;&lt;D xsi:type="xsd:double"&gt;49.900604&lt;/D&gt;&lt;/FQL&gt;&lt;FQL&gt;&lt;Q&gt;DUMMY^ECON_EXPR_DATA('FDS_ECON[NTCPMIMFGSA@KR]',11/2023,,Q)&lt;/Q&gt;&lt;R&gt;1&lt;/R&gt;&lt;C&gt;1&lt;/C&gt;&lt;D xsi:type="xsd:double"&gt;49.420246&lt;/D&gt;&lt;/FQL&gt;&lt;FQL&gt;&lt;Q&gt;DUMMY^ECON_EXPR_DATA('FDS_ECON[NTCPMIMFGSA@BR]',02/2024,,Q)&lt;/Q&gt;&lt;R&gt;1&lt;/R&gt;&lt;C&gt;1&lt;/C&gt;&lt;D xsi:type="xsd:double"&gt;48.798813&lt;/D&gt;&lt;/FQL&gt;&lt;FQL&gt;&lt;Q&gt;DUMMY^ECON_EXPR_DATA('FDS_ECON[NTCPMIMFGSA@BR]',11/2023,,Q)&lt;/Q&gt;&lt;R&gt;1&lt;/R&gt;&lt;C&gt;1&lt;/C&gt;&lt;D xsi:type="xsd:double"&gt;48.99601&lt;/D&gt;&lt;/FQL&gt;&lt;FQL&gt;&lt;Q&gt;DUMMY^ECON_EXPR_DATA('FDS_ECON[PMIMFGSA@ZA]',02/2024,,Q)&lt;/Q&gt;&lt;R&gt;1&lt;/R&gt;&lt;C&gt;1&lt;/C&gt;&lt;D xsi:type="xsd:double"&gt;49.293606&lt;/D&gt;&lt;/FQL&gt;&lt;FQL&gt;&lt;Q&gt;DUMMY^ECON_EXPR_DATA('FDS_ECON[PMIMFGSA@ZA]',11/2023,,Q)&lt;/Q&gt;&lt;R&gt;1&lt;/R&gt;&lt;C&gt;1&lt;/C&gt;&lt;D xsi:type="xsd:double"&gt;49.704178&lt;/D&gt;&lt;/FQL&gt;&lt;FQL&gt;&lt;Q&gt;DUMMY^ECON_EXPR_DATA('FDS_ECON[NTCPMIMFGSA@GR]',02/2024,,Q)&lt;/Q&gt;&lt;R&gt;1&lt;/R&gt;&lt;C&gt;1&lt;/C&gt;&lt;D xsi:type="xsd:double"&gt;50.99575&lt;/D&gt;&lt;/FQL&gt;&lt;FQL&gt;&lt;Q&gt;DUMMY^ECON_EXPR_DATA('FDS_ECON[NTCPMIMFGSA@GR]',11/2023,,Q)&lt;/Q&gt;&lt;R&gt;1&lt;/R&gt;&lt;C&gt;1&lt;/C&gt;&lt;D xsi:type="xsd:double"&gt;52.236584&lt;/D&gt;&lt;/FQL&gt;&lt;FQL&gt;&lt;Q&gt;DUMMY^ECON_EXPR_DATA('FDS_ECON[NTCPMIMFGSA@IN]',02/2024,,Q)&lt;/Q&gt;&lt;R&gt;1&lt;/R&gt;&lt;C&gt;1&lt;/C&gt;&lt;D xsi:type="xsd:double"&gt;55.461708&lt;/D&gt;&lt;/FQL&gt;&lt;FQL&gt;&lt;Q&gt;DUMMY^ECON_EXPR_DATA('FDS_ECON[NTCPMIMFGSA@IN]',11/2023,,Q)&lt;/Q&gt;&lt;R&gt;1&lt;/R&gt;&lt;C&gt;1&lt;/C&gt;&lt;D xsi:type="xsd:double"&gt;57.930668&lt;/D&gt;&lt;/FQL&gt;&lt;FQL&gt;&lt;Q&gt;DUMMY^ECON_EXPR_DATA('FDS_ECON[PMIQAWHEHE]',02/2024,,Q)&lt;/Q&gt;&lt;R&gt;1&lt;/R&gt;&lt;C&gt;1&lt;/C&gt;&lt;D xsi:type="xsd:double"&gt;50.688427&lt;/D&gt;&lt;/FQL&gt;&lt;FQL&gt;&lt;Q&gt;DUMMY^ECON_EXPR_DATA('FDS_ECON[PMIQAWHEHE]',11/2023,,Q)&lt;/Q&gt;&lt;R&gt;1&lt;/R&gt;&lt;C&gt;1&lt;/C&gt;&lt;D xsi:type="xsd:double"&gt;53.860752&lt;/D&gt;&lt;/FQL&gt;&lt;FQL&gt;&lt;Q&gt;DUMMY^ECON_EXPR_DATA('FDS_ECON[NTCPMITHMANHE]',02/2024,,Q)&lt;/Q&gt;&lt;R&gt;1&lt;/R&gt;&lt;C&gt;1&lt;/C&gt;&lt;D xsi:type="xsd:double"&gt;46.69516&lt;/D&gt;&lt;/FQL&gt;&lt;FQL&gt;&lt;Q&gt;DUMMY^ECON_EXPR_DATA('FDS_ECON[NTCPMITHMANHE]',11/2023,,Q)&lt;/Q&gt;&lt;R&gt;1&lt;/R&gt;&lt;C&gt;1&lt;/C&gt;&lt;D xsi:type="xsd:double"&gt;49.120174&lt;/D&gt;&lt;/FQL&gt;&lt;FQL&gt;&lt;Q&gt;DUMMY^ECON_EXPR_DATA('FDS_ECON[NTCPMIMFGSA@TR]',02/2024,,Q)&lt;/Q&gt;&lt;R&gt;1&lt;/R&gt;&lt;C&gt;1&lt;/C&gt;&lt;D xsi:type="xsd:double"&gt;47.664864&lt;/D&gt;&lt;/FQL&gt;&lt;FQL&gt;&lt;Q&gt;DUMMY^ECON_EXPR_DATA('FDS_ECON[NTCPMIMFGSA@TR]',11/2023,,Q)&lt;/Q&gt;&lt;R&gt;1&lt;/R&gt;&lt;C&gt;1&lt;/C&gt;&lt;D xsi:type="xsd:double"&gt;49.509235&lt;/D&gt;&lt;/FQL&gt;&lt;FQL&gt;&lt;Q&gt;DUMMY^ECON_EXPR_DATA('FDS_ECON[NTCPMIMFGSA@AE]',02/2024,,Q)&lt;/Q&gt;&lt;R&gt;0&lt;/R&gt;&lt;C&gt;0&lt;/C&gt;&lt;/FQL&gt;&lt;FQL&gt;&lt;Q&gt;DUMMY^ECON_EXPR_DATA('FDS_ECON[NTCPMIMFGSA@AE]',11/2023,,Q)&lt;/Q&gt;&lt;R&gt;0&lt;/R&gt;&lt;C&gt;0&lt;/C&gt;&lt;/FQL&gt;&lt;FQL&gt;&lt;Q&gt;DUMMY^ECON_EXPR_DATA('FDS_ECON[NTCPMIMFGSA@VN]',02/2024,,Q)&lt;/Q&gt;&lt;R&gt;1&lt;/R&gt;&lt;C&gt;1&lt;/C&gt;&lt;D xsi:type="xsd:double"&gt;48.59743&lt;/D&gt;&lt;/FQL&gt;&lt;FQL&gt;&lt;Q&gt;DUMMY^ECON_EXPR_DATA('FDS_ECON[NTCPMIMFGSA@VN]',11/2023,,Q)&lt;/Q&gt;&lt;R&gt;1&lt;/R&gt;&lt;C&gt;1&lt;/C&gt;&lt;D xsi:type="xsd:double"&gt;49.616585&lt;/D&gt;&lt;/FQL&gt;&lt;FQL&gt;&lt;Q&gt;DUMMY^ECON_EXPR_DATA('FDS_ECON[NTCPMIINDEXSA@SA]',02/2024,,Q)&lt;/Q&gt;&lt;R&gt;1&lt;/R&gt;&lt;C&gt;1&lt;/C&gt;&lt;D xsi:type="xsd:double"&gt;57.793106&lt;/D&gt;&lt;/FQL&gt;&lt;FQL&gt;&lt;Q&gt;DUMMY^ECON_EXPR_DATA('FDS_ECON[NTCPMIINDEXSA@SA]',11/2023,,Q)&lt;/Q&gt;&lt;R&gt;1&lt;/R&gt;&lt;C&gt;1&lt;/C&gt;&lt;D xsi:type="xsd:double"&gt;57.151814&lt;/D&gt;&lt;/FQL&gt;&lt;FQL&gt;&lt;Q&gt;DUMMY^ECON_EXPR_DATA('FDS_ECON[PMIDMMANHE]',02/2024,,Q)&lt;/Q&gt;&lt;R&gt;1&lt;/R&gt;&lt;C&gt;1&lt;/C&gt;&lt;D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<sst xmlns="http://schemas.openxmlformats.org/spreadsheetml/2006/main" count="2611" uniqueCount="923">
  <si>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</si>
  <si>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</si>
  <si>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</si>
  <si>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</si>
  <si>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</si>
  <si>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</si>
  <si>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</si>
  <si>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</si>
  <si>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</si>
  <si>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</si>
  <si>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</si>
  <si>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</si>
  <si>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</si>
  <si>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</si>
  <si>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</si>
  <si>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</si>
  <si>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</si>
  <si>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</si>
  <si>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</si>
  <si>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</si>
  <si>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</si>
  <si>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</si>
  <si>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</si>
  <si>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</si>
  <si>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</si>
  <si>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</si>
  <si>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</si>
  <si>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</si>
  <si>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</si>
  <si>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</si>
  <si>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</si>
  <si>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</si>
  <si>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</si>
  <si>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</si>
  <si>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</si>
  <si>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</si>
  <si>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</si>
  <si>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</si>
  <si>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</si>
  <si>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</si>
  <si>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</si>
  <si>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</si>
  <si>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</si>
  <si>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</si>
  <si>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</si>
  <si>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</si>
  <si>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</si>
  <si>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</si>
  <si>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</si>
  <si>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</si>
  <si>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</si>
  <si>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</si>
  <si>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</si>
  <si>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</si>
  <si>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</si>
  <si>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</si>
  <si>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</si>
  <si>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</si>
  <si>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</si>
  <si>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 month percentile</t>
  </si>
  <si>
    <t>12 month percentile</t>
  </si>
  <si>
    <t>Value</t>
  </si>
  <si>
    <t>Price</t>
  </si>
  <si>
    <t>Upgardes</t>
  </si>
  <si>
    <t>1 month%</t>
  </si>
  <si>
    <t>3 month%</t>
  </si>
  <si>
    <t>Risk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</si>
  <si>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</si>
  <si>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</si>
  <si>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</si>
  <si>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</si>
  <si>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</si>
  <si>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</si>
  <si>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</si>
  <si>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</si>
  <si>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</si>
  <si>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</si>
  <si>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</si>
  <si>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</si>
  <si>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</si>
  <si>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</si>
  <si>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</si>
  <si>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</si>
  <si>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</si>
  <si>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% of  model</t>
  </si>
  <si>
    <t>weights</t>
  </si>
  <si>
    <t>weight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</si>
  <si>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</si>
  <si>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</si>
  <si>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</si>
  <si>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</si>
  <si>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</si>
  <si>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</si>
  <si>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</si>
  <si>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</si>
  <si>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</si>
  <si>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</si>
  <si>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</si>
  <si>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</si>
  <si>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</si>
  <si>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</si>
  <si>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</si>
  <si>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</si>
  <si>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</si>
  <si>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</si>
  <si>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</si>
  <si>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</si>
  <si>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</si>
  <si>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</si>
  <si>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</si>
  <si>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</si>
  <si>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</si>
  <si>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</si>
  <si>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</si>
  <si>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</si>
  <si>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</si>
  <si>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</si>
  <si>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</si>
  <si>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</si>
  <si>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</si>
  <si>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</si>
  <si>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</si>
  <si>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</si>
  <si>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</si>
  <si>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</si>
  <si>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</si>
  <si>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</si>
  <si>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</si>
  <si>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</si>
  <si>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</si>
  <si>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</si>
  <si>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</si>
  <si>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</si>
  <si>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</si>
  <si>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</si>
  <si>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</si>
  <si>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</si>
  <si>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</si>
  <si>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</si>
  <si>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</si>
  <si>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</si>
  <si>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</si>
  <si>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</si>
  <si>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</si>
  <si>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</si>
  <si>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</si>
  <si>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</si>
  <si>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</si>
  <si>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</si>
  <si>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</si>
  <si>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</si>
  <si>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</si>
  <si>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</si>
  <si>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</si>
  <si>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</si>
  <si>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</si>
  <si>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</si>
  <si>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</si>
  <si>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</si>
  <si>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</si>
  <si>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</si>
  <si>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</si>
  <si>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</si>
  <si>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</si>
  <si>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</si>
  <si>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</si>
  <si>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</si>
  <si>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</si>
  <si>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</si>
  <si>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</si>
  <si>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</si>
  <si>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</si>
  <si>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</si>
  <si>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</si>
  <si>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</si>
  <si>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</si>
  <si>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</si>
  <si>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</si>
  <si>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</si>
  <si>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</si>
  <si>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</si>
  <si>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</si>
  <si>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</si>
  <si>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</si>
  <si>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</si>
  <si>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</si>
  <si>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</si>
  <si>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</si>
  <si>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</si>
  <si>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</si>
  <si>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</si>
  <si>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</si>
  <si>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</si>
  <si>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</si>
  <si>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</si>
  <si>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</si>
  <si>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</si>
  <si>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</si>
  <si>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</si>
  <si>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</si>
  <si>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</si>
  <si>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</si>
  <si>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</si>
  <si>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</si>
  <si>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</si>
  <si>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</si>
  <si>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</si>
  <si>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</si>
  <si>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</si>
  <si>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</si>
  <si>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</si>
  <si>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</si>
  <si>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</si>
  <si>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</si>
  <si>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</si>
  <si>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</si>
  <si>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</si>
  <si>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</si>
  <si>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</si>
  <si>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</si>
  <si>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</si>
  <si>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</si>
  <si>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</si>
  <si>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</si>
  <si>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</si>
  <si>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</si>
  <si>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</si>
  <si>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</si>
  <si>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</si>
  <si>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</si>
  <si>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</si>
  <si>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</si>
  <si>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</si>
  <si>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</si>
  <si>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</si>
  <si>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</si>
  <si>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</si>
  <si>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</si>
  <si>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</si>
  <si>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</si>
  <si>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</si>
  <si>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</si>
  <si>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</si>
  <si>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</si>
  <si>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</si>
  <si>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</si>
  <si>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</si>
  <si>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</si>
  <si>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</si>
  <si>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</si>
  <si>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</si>
  <si>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</si>
  <si>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</si>
  <si>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</si>
  <si>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</si>
  <si>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</si>
  <si>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</si>
  <si>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</si>
  <si>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</si>
  <si>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</si>
  <si>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</si>
  <si>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</si>
  <si>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</si>
  <si>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</si>
  <si>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</si>
  <si>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</si>
  <si>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</si>
  <si>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</si>
  <si>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</si>
  <si>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</si>
  <si>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</si>
  <si>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</si>
  <si>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</si>
  <si>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</si>
  <si>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</si>
  <si>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</si>
  <si>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</si>
  <si>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</si>
  <si>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</si>
  <si>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</si>
  <si>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</si>
  <si>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</si>
  <si>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</si>
  <si>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</si>
  <si>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</si>
  <si>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</si>
  <si>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</si>
  <si>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</si>
  <si>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</si>
  <si>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</si>
  <si>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</si>
  <si>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</si>
  <si>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</si>
  <si>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</si>
  <si>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</si>
  <si>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</si>
  <si>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</si>
  <si>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</si>
  <si>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</si>
  <si>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</si>
  <si>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</si>
  <si>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</si>
  <si>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</si>
  <si>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</si>
  <si>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</si>
  <si>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</si>
  <si>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</si>
  <si>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</si>
  <si>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</si>
  <si>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</si>
  <si>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</si>
  <si>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</si>
  <si>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</si>
  <si>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</si>
  <si>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</si>
  <si>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</si>
  <si>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</si>
  <si>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</si>
  <si>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</si>
  <si>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</si>
  <si>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</si>
  <si>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</si>
  <si>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</si>
  <si>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</si>
  <si>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</si>
  <si>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</si>
  <si>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</si>
  <si>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</si>
  <si>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</si>
  <si>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</si>
  <si>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</si>
  <si>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</si>
  <si>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</si>
  <si>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</si>
  <si>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</si>
  <si>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</si>
  <si>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</si>
  <si>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</si>
  <si>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</si>
  <si>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</si>
  <si>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</si>
  <si>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</si>
  <si>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</si>
  <si>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</si>
  <si>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</si>
  <si>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</si>
  <si>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</si>
  <si>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</si>
  <si>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</si>
  <si>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</si>
  <si>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</si>
  <si>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</si>
  <si>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</si>
  <si>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</si>
  <si>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</si>
  <si>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</si>
  <si>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</si>
  <si>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</si>
  <si>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</si>
  <si>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</si>
  <si>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</si>
  <si>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</si>
  <si>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</si>
  <si>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</si>
  <si>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</si>
  <si>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</si>
  <si>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</si>
  <si>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</si>
  <si>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</si>
  <si>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</si>
  <si>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</si>
  <si>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</si>
  <si>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</si>
  <si>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</si>
  <si>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</si>
  <si>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</si>
  <si>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</si>
  <si>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</si>
  <si>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</si>
  <si>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</si>
  <si>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</si>
  <si>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</si>
  <si>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</si>
  <si>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</si>
  <si>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</si>
  <si>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</si>
  <si>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</si>
  <si>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</si>
  <si>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</si>
  <si>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</si>
  <si>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</si>
  <si>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</si>
  <si>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</si>
  <si>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</si>
  <si>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</si>
  <si>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</si>
  <si>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</si>
  <si>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</si>
  <si>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</si>
  <si>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</si>
  <si>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</si>
  <si>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</si>
  <si>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</si>
  <si>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</si>
  <si>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</si>
  <si>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</si>
  <si>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</si>
  <si>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</si>
  <si>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</si>
  <si>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</si>
  <si>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</si>
  <si>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</si>
  <si>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</si>
  <si>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</si>
  <si>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</si>
  <si>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</si>
  <si>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</si>
  <si>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</si>
  <si>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</si>
  <si>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</si>
  <si>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</si>
  <si>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</si>
  <si>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</si>
  <si>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</si>
  <si>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</si>
  <si>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</si>
  <si>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</si>
  <si>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</si>
  <si>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</si>
  <si>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</si>
  <si>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</si>
  <si>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</si>
  <si>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</si>
  <si>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</si>
  <si>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</si>
  <si>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</si>
  <si>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</si>
  <si>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</si>
  <si>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</si>
  <si>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</si>
  <si>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</si>
  <si>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</si>
  <si>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</si>
  <si>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</si>
  <si>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</si>
  <si>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</si>
  <si>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</si>
  <si>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</si>
  <si>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</si>
  <si>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</si>
  <si>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</si>
  <si>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</si>
  <si>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</si>
  <si>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</si>
  <si>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</si>
  <si>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</si>
  <si>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</si>
  <si>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</si>
  <si>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</si>
  <si>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</si>
  <si>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</si>
  <si>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</si>
  <si>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</si>
  <si>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</si>
  <si>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</si>
  <si>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</si>
  <si>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</si>
  <si>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</si>
  <si>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</si>
  <si>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</si>
  <si>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</si>
  <si>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</si>
  <si>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</si>
  <si>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</si>
  <si>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</si>
  <si>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</si>
  <si>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</si>
  <si>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</si>
  <si>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</si>
  <si>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</si>
  <si>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</si>
  <si>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</si>
  <si>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</si>
  <si>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</si>
  <si>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</si>
  <si>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</si>
  <si>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</si>
  <si>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</si>
  <si>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</si>
  <si>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</si>
  <si>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</si>
  <si>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</si>
  <si>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</si>
  <si>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</si>
  <si>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</si>
  <si>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</si>
  <si>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</si>
  <si>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</si>
  <si>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</si>
  <si>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</si>
  <si>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</si>
  <si>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</si>
  <si>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</si>
  <si>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</si>
  <si>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</si>
  <si>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</si>
  <si>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</si>
  <si>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</si>
  <si>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</si>
  <si>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</si>
  <si>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</si>
  <si>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</si>
  <si>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</si>
  <si>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</si>
  <si>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</si>
  <si>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</si>
  <si>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</si>
  <si>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</si>
  <si>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</si>
  <si>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</si>
  <si>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</si>
  <si>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</si>
  <si>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</si>
  <si>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</si>
  <si>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</si>
  <si>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</si>
  <si>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</si>
  <si>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</si>
  <si>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</si>
  <si>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</si>
  <si>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</si>
  <si>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</si>
  <si>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</si>
  <si>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</si>
  <si>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</si>
  <si>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</si>
  <si>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Montlky freq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</si>
  <si>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</si>
  <si>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</si>
  <si>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</si>
  <si>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</si>
  <si>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</si>
  <si>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</si>
  <si>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</si>
  <si>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</si>
  <si>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</si>
  <si>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</si>
  <si>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</si>
  <si>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Overall Risk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</si>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</sst>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8"/>
    <xf numFmtId="0" fontId="28" fillId="0" borderId="28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4"/>
    <xf numFmtId="0" fontId="34" fillId="17" borderId="14"/>
    <xf numFmtId="0" fontId="35" fillId="17" borderId="14"/>
    <xf numFmtId="0" fontId="36" fillId="0" borderId="29"/>
    <xf numFmtId="0" fontId="23" fillId="18" borderId="30"/>
    <xf numFmtId="0" fontId="24" fillId="0" borderId="0"/>
    <xf numFmtId="0" fontId="21" fillId="13" borderId="14"/>
    <xf numFmtId="0" fontId="37" fillId="0" borderId="0"/>
    <xf numFmtId="0" fontId="18" fillId="0" borderId="31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1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8" xfId="0" applyFont="1" applyBorder="1"/>
    <xf numFmtId="9" fontId="4" fillId="0" borderId="9" xfId="0" applyNumberFormat="1" applyFont="1" applyBorder="1"/>
    <xf numFmtId="0" fontId="3" fillId="0" borderId="0" xfId="0" applyFont="1"/>
    <xf numFmtId="0" fontId="1" fillId="0" borderId="8" xfId="0" applyFont="1" applyBorder="1"/>
    <xf numFmtId="166" fontId="0" fillId="0" borderId="9" xfId="0" applyNumberFormat="1" applyBorder="1"/>
    <xf numFmtId="9" fontId="0" fillId="0" borderId="9" xfId="0" applyNumberFormat="1" applyBorder="1"/>
    <xf numFmtId="0" fontId="0" fillId="0" borderId="10" xfId="0" applyBorder="1"/>
    <xf numFmtId="167" fontId="4" fillId="0" borderId="9" xfId="0" applyNumberFormat="1" applyFont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9" fontId="0" fillId="0" borderId="10" xfId="0" applyNumberFormat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1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2" xfId="0" applyFont="1" applyBorder="1"/>
    <xf numFmtId="167" fontId="4" fillId="0" borderId="13" xfId="0" applyNumberFormat="1" applyFont="1" applyBorder="1"/>
    <xf numFmtId="0" fontId="0" fillId="0" borderId="12" xfId="0" applyBorder="1"/>
    <xf numFmtId="167" fontId="0" fillId="0" borderId="13" xfId="0" applyNumberFormat="1" applyBorder="1"/>
    <xf numFmtId="0" fontId="0" fillId="0" borderId="13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3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16" xfId="0" applyBorder="1"/>
    <xf numFmtId="0" fontId="0" fillId="0" borderId="22" xfId="0" applyBorder="1"/>
    <xf numFmtId="0" fontId="0" fillId="0" borderId="20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1" xfId="4" applyNumberFormat="1" applyFont="1" applyFill="1" applyBorder="1" applyAlignment="1">
      <alignment horizontal="right" vertical="center"/>
    </xf>
    <xf numFmtId="165" fontId="19" fillId="0" borderId="22" xfId="4" applyNumberFormat="1" applyFont="1" applyBorder="1"/>
    <xf numFmtId="165" fontId="19" fillId="0" borderId="0" xfId="4" applyNumberFormat="1" applyFont="1"/>
    <xf numFmtId="165" fontId="19" fillId="0" borderId="23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3" xfId="4" applyFont="1" applyBorder="1" applyAlignment="1">
      <alignment horizontal="center"/>
    </xf>
    <xf numFmtId="3" fontId="19" fillId="0" borderId="0" xfId="4" applyNumberFormat="1" applyFont="1"/>
    <xf numFmtId="0" fontId="18" fillId="11" borderId="25" xfId="4" applyFont="1" applyFill="1" applyBorder="1" applyAlignment="1">
      <alignment horizontal="center" vertical="center" wrapText="1"/>
    </xf>
    <xf numFmtId="0" fontId="18" fillId="11" borderId="27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2" xfId="4" applyFont="1" applyBorder="1" applyAlignment="1">
      <alignment horizontal="center"/>
    </xf>
    <xf numFmtId="0" fontId="18" fillId="11" borderId="20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1" xfId="4" applyFont="1" applyFill="1" applyBorder="1" applyAlignment="1">
      <alignment horizontal="right" vertical="center"/>
    </xf>
    <xf numFmtId="0" fontId="20" fillId="0" borderId="22" xfId="4" applyFont="1" applyBorder="1" applyAlignment="1">
      <alignment horizontal="center"/>
    </xf>
    <xf numFmtId="0" fontId="19" fillId="0" borderId="22" xfId="4" applyFont="1" applyBorder="1"/>
    <xf numFmtId="1" fontId="18" fillId="11" borderId="20" xfId="4" applyNumberFormat="1" applyFont="1" applyFill="1" applyBorder="1" applyAlignment="1">
      <alignment horizontal="right" vertical="center"/>
    </xf>
    <xf numFmtId="0" fontId="21" fillId="13" borderId="14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13" fillId="0" borderId="0" xfId="0" applyNumberFormat="1" applyFont="1"/>
    <xf numFmtId="165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3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2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3" xfId="0" applyBorder="1"/>
    <xf numFmtId="173" fontId="0" fillId="2" borderId="0" xfId="0" applyNumberFormat="1" applyFill="1"/>
    <xf numFmtId="0" fontId="13" fillId="37" borderId="32" xfId="0" applyFont="1" applyFill="1" applyBorder="1"/>
    <xf numFmtId="10" fontId="0" fillId="0" borderId="34" xfId="3" applyNumberFormat="1" applyFont="1" applyBorder="1"/>
    <xf numFmtId="10" fontId="0" fillId="0" borderId="33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9" fontId="0" fillId="0" borderId="21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2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8" xfId="4" applyFont="1" applyBorder="1" applyAlignment="1">
      <alignment horizontal="center" vertical="center"/>
    </xf>
    <xf numFmtId="0" fontId="18" fillId="0" borderId="24" xfId="4" applyFont="1" applyBorder="1" applyAlignment="1">
      <alignment horizontal="center" vertical="center"/>
    </xf>
    <xf numFmtId="0" fontId="18" fillId="0" borderId="19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5"/>
  <sheetViews>
    <sheetView topLeftCell="A52" zoomScaleNormal="100" workbookViewId="0">
      <selection activeCell="K24" sqref="K24"/>
    </sheetView>
  </sheetViews>
  <sheetFormatPr defaultRowHeight="14.5" x14ac:dyDescent="0.35"/>
  <cols>
    <col min="3" max="3" width="18.54296875" customWidth="1"/>
    <col min="4" max="4" width="26.90625" customWidth="1"/>
    <col min="5" max="5" width="21" customWidth="1"/>
    <col min="6" max="6" width="18.90625" customWidth="1"/>
    <col min="7" max="7" width="27" customWidth="1"/>
    <col min="8" max="8" width="22.453125" customWidth="1"/>
    <col min="9" max="9" width="19.453125" customWidth="1"/>
    <col min="10" max="10" width="24.36328125" customWidth="1"/>
    <col min="11" max="11" width="16.36328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62" t="s">
        <v>422</v>
      </c>
      <c r="D8" s="62" t="s">
        <v>55</v>
      </c>
    </row>
    <row r="9" spans="3:19" x14ac:dyDescent="0.35">
      <c r="M9" t="s">
        <v>489</v>
      </c>
      <c r="N9" s="78">
        <v>0.06</v>
      </c>
      <c r="S9" s="77"/>
    </row>
    <row r="10" spans="3:19" x14ac:dyDescent="0.35">
      <c r="C10" s="1" t="s">
        <v>423</v>
      </c>
      <c r="D10" t="s">
        <v>62</v>
      </c>
      <c r="E10" s="1" t="s">
        <v>9</v>
      </c>
      <c r="F10" s="1" t="s">
        <v>56</v>
      </c>
      <c r="G10" s="1" t="s">
        <v>57</v>
      </c>
    </row>
    <row r="11" spans="3:19" ht="15" thickBot="1" x14ac:dyDescent="0.4">
      <c r="D11" s="1" t="s">
        <v>85</v>
      </c>
      <c r="E11" s="80">
        <v>0.4</v>
      </c>
      <c r="F11" s="80">
        <v>0.3</v>
      </c>
      <c r="G11" s="80">
        <v>0.3</v>
      </c>
    </row>
    <row r="12" spans="3:19" s="19" customFormat="1" ht="15" thickBot="1" x14ac:dyDescent="0.4">
      <c r="D12" s="20" t="s">
        <v>83</v>
      </c>
      <c r="E12" s="21">
        <f>E11*$E$33</f>
        <v>0.4</v>
      </c>
      <c r="F12" s="21">
        <f t="shared" ref="F12:G12" si="0">F11*$E$33</f>
        <v>0.3</v>
      </c>
      <c r="G12" s="21">
        <f t="shared" si="0"/>
        <v>0.3</v>
      </c>
      <c r="H12" s="18"/>
      <c r="M12" s="72" t="s">
        <v>459</v>
      </c>
      <c r="N12" s="73"/>
      <c r="O12" s="75" t="s">
        <v>488</v>
      </c>
    </row>
    <row r="13" spans="3:19" s="19" customFormat="1" ht="15" thickBot="1" x14ac:dyDescent="0.4">
      <c r="D13" s="22"/>
      <c r="E13" s="18"/>
      <c r="F13" s="18"/>
      <c r="G13" s="18"/>
      <c r="M13" s="66" t="s">
        <v>460</v>
      </c>
      <c r="N13" s="67" t="e">
        <f>(1/'Value -2 '!#REF!)</f>
        <v>#REF!</v>
      </c>
      <c r="O13" s="67" t="e">
        <f>N13*(1+N9)</f>
        <v>#REF!</v>
      </c>
    </row>
    <row r="14" spans="3:19" ht="15" thickBot="1" x14ac:dyDescent="0.4">
      <c r="C14" s="1" t="s">
        <v>424</v>
      </c>
      <c r="D14" s="23" t="s">
        <v>80</v>
      </c>
      <c r="E14" s="24" t="s">
        <v>64</v>
      </c>
      <c r="F14" s="25" t="s">
        <v>65</v>
      </c>
      <c r="G14" s="25" t="s">
        <v>81</v>
      </c>
      <c r="H14" s="26" t="s">
        <v>79</v>
      </c>
      <c r="M14" s="68" t="s">
        <v>461</v>
      </c>
      <c r="N14" s="69" t="e">
        <f>(1/'Value -2 '!#REF!)</f>
        <v>#REF!</v>
      </c>
      <c r="O14" s="70"/>
    </row>
    <row r="15" spans="3:19" ht="15" thickBot="1" x14ac:dyDescent="0.4">
      <c r="D15" s="1" t="s">
        <v>85</v>
      </c>
      <c r="E15" s="78">
        <v>0.2</v>
      </c>
      <c r="F15" s="78">
        <v>0.2</v>
      </c>
      <c r="G15" s="78">
        <v>0.3</v>
      </c>
      <c r="H15" s="78">
        <v>0.3</v>
      </c>
      <c r="M15" s="68"/>
      <c r="N15" s="70"/>
      <c r="O15" s="70"/>
    </row>
    <row r="16" spans="3:19" ht="15" thickBot="1" x14ac:dyDescent="0.4">
      <c r="D16" s="20" t="s">
        <v>83</v>
      </c>
      <c r="E16" s="21">
        <f t="shared" ref="E16:F16" si="1">E15*$F$33</f>
        <v>0</v>
      </c>
      <c r="F16" s="21">
        <f t="shared" si="1"/>
        <v>0</v>
      </c>
      <c r="G16" s="21">
        <f>G15*$F$33</f>
        <v>0</v>
      </c>
      <c r="H16" s="21">
        <f>H15*$F$33</f>
        <v>0</v>
      </c>
      <c r="M16" s="68" t="s">
        <v>462</v>
      </c>
      <c r="N16" s="69" t="e">
        <f>'LIQIDITY 2'!#REF!/100</f>
        <v>#REF!</v>
      </c>
      <c r="O16" s="76">
        <v>4.4999999999999998E-2</v>
      </c>
    </row>
    <row r="17" spans="3:22" ht="15" thickBot="1" x14ac:dyDescent="0.4">
      <c r="D17" s="22"/>
      <c r="E17" s="18"/>
      <c r="F17" s="18"/>
      <c r="G17" s="18"/>
      <c r="H17" s="18"/>
      <c r="M17" s="68" t="s">
        <v>463</v>
      </c>
      <c r="N17" s="69" t="e">
        <f>'LIQIDITY 2'!#REF!/100</f>
        <v>#REF!</v>
      </c>
      <c r="O17" s="70"/>
    </row>
    <row r="18" spans="3:22" ht="15" thickBot="1" x14ac:dyDescent="0.4">
      <c r="C18" s="1" t="s">
        <v>425</v>
      </c>
      <c r="D18" s="28" t="s">
        <v>72</v>
      </c>
      <c r="E18" s="32" t="s">
        <v>75</v>
      </c>
      <c r="F18" s="5"/>
      <c r="M18" s="68"/>
      <c r="N18" s="70"/>
      <c r="O18" s="70"/>
    </row>
    <row r="19" spans="3:22" ht="15" thickBot="1" x14ac:dyDescent="0.4">
      <c r="D19" t="s">
        <v>86</v>
      </c>
      <c r="E19" s="78">
        <v>1</v>
      </c>
      <c r="F19" s="5"/>
      <c r="G19" s="5"/>
      <c r="M19" s="68"/>
      <c r="N19" s="70"/>
      <c r="O19" s="70"/>
    </row>
    <row r="20" spans="3:22" ht="15" thickBot="1" x14ac:dyDescent="0.4">
      <c r="D20" s="20" t="s">
        <v>84</v>
      </c>
      <c r="E20" s="27">
        <f>E19*G33</f>
        <v>0</v>
      </c>
      <c r="F20" s="5"/>
      <c r="G20" s="5"/>
      <c r="M20" s="68"/>
      <c r="N20" s="70"/>
      <c r="O20" s="70"/>
    </row>
    <row r="21" spans="3:22" ht="15" thickBot="1" x14ac:dyDescent="0.4">
      <c r="G21" s="5"/>
      <c r="M21" s="68" t="s">
        <v>464</v>
      </c>
      <c r="N21" s="69" t="e">
        <f>N13-N16</f>
        <v>#REF!</v>
      </c>
      <c r="O21" s="69" t="e">
        <f>O13-O16</f>
        <v>#REF!</v>
      </c>
    </row>
    <row r="22" spans="3:22" ht="15" thickBot="1" x14ac:dyDescent="0.4">
      <c r="C22" s="1" t="s">
        <v>521</v>
      </c>
      <c r="D22" s="15" t="s">
        <v>58</v>
      </c>
      <c r="E22" s="16" t="s">
        <v>519</v>
      </c>
      <c r="F22" s="10" t="s">
        <v>59</v>
      </c>
      <c r="G22" s="11" t="s">
        <v>60</v>
      </c>
      <c r="M22" s="12" t="s">
        <v>465</v>
      </c>
      <c r="N22" s="71" t="e">
        <f>N13-N17</f>
        <v>#REF!</v>
      </c>
      <c r="O22" s="69"/>
    </row>
    <row r="23" spans="3:22" x14ac:dyDescent="0.35">
      <c r="D23" s="68" t="s">
        <v>85</v>
      </c>
      <c r="E23" s="78">
        <v>0</v>
      </c>
      <c r="F23" s="5"/>
      <c r="G23" s="70"/>
      <c r="M23" s="9"/>
      <c r="N23" s="5"/>
      <c r="T23" s="9"/>
    </row>
    <row r="24" spans="3:22" ht="15" thickBot="1" x14ac:dyDescent="0.4">
      <c r="D24" s="12" t="s">
        <v>83</v>
      </c>
      <c r="E24" s="17">
        <f>E23*H33</f>
        <v>0</v>
      </c>
      <c r="F24" s="13"/>
      <c r="G24" s="14"/>
      <c r="Q24" s="5"/>
      <c r="R24" s="65"/>
      <c r="T24" s="9"/>
      <c r="V24" s="9"/>
    </row>
    <row r="25" spans="3:22" ht="15" thickBot="1" x14ac:dyDescent="0.4"/>
    <row r="26" spans="3:22" x14ac:dyDescent="0.35">
      <c r="C26" s="129" t="s">
        <v>791</v>
      </c>
      <c r="D26" s="178" t="s">
        <v>792</v>
      </c>
      <c r="E26" s="10" t="s">
        <v>787</v>
      </c>
      <c r="F26" s="11" t="s">
        <v>793</v>
      </c>
    </row>
    <row r="27" spans="3:22" ht="15" thickBot="1" x14ac:dyDescent="0.4">
      <c r="D27" s="12"/>
      <c r="E27" s="17">
        <v>0.6</v>
      </c>
      <c r="F27" s="179">
        <v>0.4</v>
      </c>
    </row>
    <row r="28" spans="3:22" ht="15" thickBot="1" x14ac:dyDescent="0.4"/>
    <row r="29" spans="3:22" ht="15" thickBot="1" x14ac:dyDescent="0.4">
      <c r="C29" t="s">
        <v>911</v>
      </c>
      <c r="D29" s="23" t="s">
        <v>912</v>
      </c>
      <c r="E29" s="32">
        <v>0.2</v>
      </c>
    </row>
    <row r="31" spans="3:22" ht="15" thickBot="1" x14ac:dyDescent="0.4"/>
    <row r="32" spans="3:22" x14ac:dyDescent="0.35">
      <c r="D32" s="15" t="s">
        <v>76</v>
      </c>
      <c r="E32" s="15" t="s">
        <v>62</v>
      </c>
      <c r="F32" s="16" t="s">
        <v>82</v>
      </c>
      <c r="G32" s="16" t="s">
        <v>72</v>
      </c>
      <c r="H32" s="16" t="s">
        <v>520</v>
      </c>
      <c r="I32" s="133" t="s">
        <v>792</v>
      </c>
      <c r="J32" s="133" t="s">
        <v>912</v>
      </c>
    </row>
    <row r="33" spans="3:12" ht="15" thickBot="1" x14ac:dyDescent="0.4">
      <c r="D33" s="12"/>
      <c r="E33" s="81">
        <v>1</v>
      </c>
      <c r="F33" s="82">
        <v>0</v>
      </c>
      <c r="G33" s="82">
        <v>0</v>
      </c>
      <c r="H33" s="82">
        <v>0</v>
      </c>
      <c r="I33" s="83">
        <v>0</v>
      </c>
      <c r="J33" s="83"/>
    </row>
    <row r="37" spans="3:12" x14ac:dyDescent="0.35">
      <c r="C37" s="62" t="s">
        <v>426</v>
      </c>
      <c r="D37" s="62" t="s">
        <v>61</v>
      </c>
    </row>
    <row r="38" spans="3:12" x14ac:dyDescent="0.35">
      <c r="E38" s="1" t="s">
        <v>417</v>
      </c>
      <c r="F38" t="s">
        <v>418</v>
      </c>
      <c r="G38" s="1" t="s">
        <v>419</v>
      </c>
      <c r="H38" t="s">
        <v>420</v>
      </c>
      <c r="I38" s="1" t="s">
        <v>436</v>
      </c>
      <c r="J38" s="1" t="s">
        <v>541</v>
      </c>
      <c r="K38" s="1" t="s">
        <v>766</v>
      </c>
    </row>
    <row r="39" spans="3:12" x14ac:dyDescent="0.35">
      <c r="E39" s="5">
        <v>0.05</v>
      </c>
      <c r="F39" s="5">
        <v>0.25</v>
      </c>
      <c r="G39" s="5">
        <v>0.25</v>
      </c>
      <c r="H39" s="5">
        <v>0.25</v>
      </c>
      <c r="I39" s="5">
        <v>0.1</v>
      </c>
      <c r="J39" s="5">
        <v>0</v>
      </c>
      <c r="K39" s="5">
        <v>0.1</v>
      </c>
      <c r="L39" s="5">
        <f>SUM(E39:K39)</f>
        <v>1</v>
      </c>
    </row>
    <row r="41" spans="3:12" x14ac:dyDescent="0.35">
      <c r="C41" s="62" t="s">
        <v>405</v>
      </c>
      <c r="D41" s="62" t="s">
        <v>10</v>
      </c>
    </row>
    <row r="42" spans="3:12" x14ac:dyDescent="0.35">
      <c r="C42" t="s">
        <v>427</v>
      </c>
      <c r="D42" t="s">
        <v>421</v>
      </c>
      <c r="E42" s="5">
        <v>0.5</v>
      </c>
    </row>
    <row r="43" spans="3:12" x14ac:dyDescent="0.35">
      <c r="C43" t="s">
        <v>428</v>
      </c>
      <c r="D43" t="s">
        <v>469</v>
      </c>
      <c r="E43" s="5">
        <v>0.25</v>
      </c>
      <c r="F43" s="5"/>
    </row>
    <row r="44" spans="3:12" x14ac:dyDescent="0.35">
      <c r="C44" t="s">
        <v>470</v>
      </c>
      <c r="D44" t="s">
        <v>471</v>
      </c>
      <c r="E44" s="5">
        <v>0.25</v>
      </c>
    </row>
    <row r="46" spans="3:12" x14ac:dyDescent="0.35">
      <c r="D46" s="1"/>
    </row>
    <row r="47" spans="3:12" x14ac:dyDescent="0.35">
      <c r="C47" s="62" t="s">
        <v>429</v>
      </c>
      <c r="D47" s="62" t="s">
        <v>66</v>
      </c>
    </row>
    <row r="48" spans="3:12" x14ac:dyDescent="0.35">
      <c r="E48" t="s">
        <v>402</v>
      </c>
      <c r="F48" t="s">
        <v>403</v>
      </c>
    </row>
    <row r="49" spans="3:8" x14ac:dyDescent="0.35">
      <c r="D49" t="s">
        <v>67</v>
      </c>
      <c r="E49" s="86">
        <v>-0.05</v>
      </c>
      <c r="F49">
        <v>-10</v>
      </c>
    </row>
    <row r="51" spans="3:8" x14ac:dyDescent="0.35">
      <c r="E51" s="1" t="s">
        <v>536</v>
      </c>
      <c r="F51" t="s">
        <v>537</v>
      </c>
      <c r="G51" t="s">
        <v>412</v>
      </c>
    </row>
    <row r="52" spans="3:8" x14ac:dyDescent="0.35">
      <c r="D52" s="1" t="s">
        <v>538</v>
      </c>
      <c r="E52" s="5">
        <v>0.25</v>
      </c>
      <c r="F52" s="5">
        <v>0.25</v>
      </c>
      <c r="G52" s="5">
        <v>0.5</v>
      </c>
    </row>
    <row r="54" spans="3:8" x14ac:dyDescent="0.35">
      <c r="C54" s="62" t="s">
        <v>431</v>
      </c>
      <c r="D54" s="62" t="s">
        <v>509</v>
      </c>
      <c r="F54" s="1">
        <v>1</v>
      </c>
      <c r="G54" s="1">
        <v>3</v>
      </c>
      <c r="H54" s="1">
        <v>6</v>
      </c>
    </row>
    <row r="55" spans="3:8" x14ac:dyDescent="0.35">
      <c r="C55" s="62" t="s">
        <v>432</v>
      </c>
      <c r="D55" t="s">
        <v>494</v>
      </c>
      <c r="E55" s="5">
        <v>0.5</v>
      </c>
      <c r="F55" s="5">
        <v>0.2</v>
      </c>
      <c r="G55" s="5">
        <v>0.4</v>
      </c>
      <c r="H55" s="5">
        <v>0.4</v>
      </c>
    </row>
    <row r="56" spans="3:8" x14ac:dyDescent="0.35">
      <c r="C56" t="s">
        <v>432</v>
      </c>
      <c r="D56" t="s">
        <v>433</v>
      </c>
      <c r="E56" s="5">
        <v>0.3</v>
      </c>
    </row>
    <row r="57" spans="3:8" x14ac:dyDescent="0.35">
      <c r="C57" t="s">
        <v>434</v>
      </c>
      <c r="D57" t="s">
        <v>435</v>
      </c>
      <c r="E57" s="5">
        <v>0.2</v>
      </c>
    </row>
    <row r="59" spans="3:8" x14ac:dyDescent="0.35">
      <c r="C59" s="62" t="s">
        <v>516</v>
      </c>
      <c r="D59" s="62" t="s">
        <v>511</v>
      </c>
    </row>
    <row r="60" spans="3:8" x14ac:dyDescent="0.35">
      <c r="D60" t="s">
        <v>513</v>
      </c>
      <c r="F60" s="5">
        <v>0.25</v>
      </c>
      <c r="G60" t="s">
        <v>544</v>
      </c>
    </row>
    <row r="61" spans="3:8" x14ac:dyDescent="0.35">
      <c r="D61" t="s">
        <v>514</v>
      </c>
      <c r="F61" s="5">
        <v>0.25</v>
      </c>
    </row>
    <row r="62" spans="3:8" x14ac:dyDescent="0.35">
      <c r="D62" t="s">
        <v>515</v>
      </c>
      <c r="F62" s="5">
        <v>0.25</v>
      </c>
    </row>
    <row r="63" spans="3:8" x14ac:dyDescent="0.35">
      <c r="D63" t="s">
        <v>557</v>
      </c>
      <c r="F63" s="5">
        <v>0.25</v>
      </c>
    </row>
    <row r="64" spans="3:8" x14ac:dyDescent="0.35">
      <c r="F64" s="5"/>
    </row>
    <row r="66" spans="3:9" x14ac:dyDescent="0.35">
      <c r="D66" s="1"/>
      <c r="E66" s="1"/>
      <c r="F66" s="1"/>
      <c r="G66" s="1"/>
      <c r="H66" s="1"/>
      <c r="I66" s="1"/>
    </row>
    <row r="67" spans="3:9" x14ac:dyDescent="0.35">
      <c r="D67" s="5"/>
      <c r="E67" s="5"/>
      <c r="F67" s="5"/>
      <c r="G67" s="5"/>
      <c r="H67" s="5"/>
      <c r="I67" s="5"/>
    </row>
    <row r="68" spans="3:9" x14ac:dyDescent="0.35">
      <c r="C68" s="62" t="s">
        <v>510</v>
      </c>
      <c r="D68" s="62" t="s">
        <v>430</v>
      </c>
    </row>
    <row r="70" spans="3:9" x14ac:dyDescent="0.35">
      <c r="C70" s="129" t="s">
        <v>809</v>
      </c>
      <c r="D70" s="6">
        <v>0.3</v>
      </c>
    </row>
    <row r="71" spans="3:9" x14ac:dyDescent="0.35">
      <c r="C71" s="19" t="s">
        <v>563</v>
      </c>
      <c r="D71" s="18">
        <v>0.33329999999999999</v>
      </c>
    </row>
    <row r="72" spans="3:9" x14ac:dyDescent="0.35">
      <c r="C72" s="19" t="s">
        <v>565</v>
      </c>
      <c r="D72" s="18">
        <v>0.33329999999999999</v>
      </c>
    </row>
    <row r="73" spans="3:9" x14ac:dyDescent="0.35">
      <c r="C73" s="19" t="s">
        <v>566</v>
      </c>
      <c r="D73" s="18">
        <v>0.33329999999999999</v>
      </c>
    </row>
    <row r="75" spans="3:9" x14ac:dyDescent="0.35">
      <c r="C75" s="129" t="s">
        <v>564</v>
      </c>
      <c r="D75" s="5">
        <v>0.2</v>
      </c>
    </row>
    <row r="76" spans="3:9" x14ac:dyDescent="0.35">
      <c r="G76" s="1"/>
      <c r="H76" s="1"/>
    </row>
    <row r="77" spans="3:9" x14ac:dyDescent="0.35">
      <c r="C77" s="129" t="s">
        <v>561</v>
      </c>
      <c r="D77" s="5">
        <v>0.4</v>
      </c>
    </row>
    <row r="79" spans="3:9" x14ac:dyDescent="0.35">
      <c r="C79" s="129" t="s">
        <v>567</v>
      </c>
      <c r="D79" s="5">
        <v>0.1</v>
      </c>
    </row>
    <row r="81" spans="3:8" x14ac:dyDescent="0.35">
      <c r="C81" t="s">
        <v>849</v>
      </c>
      <c r="D81" s="5">
        <f>D70+D75+D77+D79</f>
        <v>1</v>
      </c>
      <c r="G81" s="1"/>
      <c r="H81" s="1"/>
    </row>
    <row r="85" spans="3:8" x14ac:dyDescent="0.35">
      <c r="G85" s="1"/>
      <c r="H85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90625" bestFit="1" customWidth="1"/>
    <col min="4" max="4" width="10.90625" customWidth="1"/>
  </cols>
  <sheetData>
    <row r="4" spans="3:4" x14ac:dyDescent="0.35">
      <c r="C4" s="1" t="s">
        <v>920</v>
      </c>
    </row>
    <row r="5" spans="3:4" ht="15" thickBot="1" x14ac:dyDescent="0.4"/>
    <row r="6" spans="3:4" x14ac:dyDescent="0.35">
      <c r="C6" s="74" t="s">
        <v>917</v>
      </c>
      <c r="D6" s="189">
        <f>Timing!L30</f>
        <v>0.80952380952380953</v>
      </c>
    </row>
    <row r="7" spans="3:4" x14ac:dyDescent="0.35">
      <c r="C7" s="68" t="s">
        <v>918</v>
      </c>
      <c r="D7" s="69">
        <f>Timing!M30</f>
        <v>0.80952380952380953</v>
      </c>
    </row>
    <row r="8" spans="3:4" ht="15" thickBot="1" x14ac:dyDescent="0.4">
      <c r="C8" s="12" t="s">
        <v>919</v>
      </c>
      <c r="D8" s="71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H33" sqref="H33"/>
    </sheetView>
  </sheetViews>
  <sheetFormatPr defaultRowHeight="14.5" x14ac:dyDescent="0.35"/>
  <cols>
    <col min="2" max="2" width="13.453125" customWidth="1"/>
    <col min="3" max="3" width="34.36328125" bestFit="1" customWidth="1"/>
    <col min="4" max="4" width="12.36328125" bestFit="1" customWidth="1"/>
    <col min="5" max="6" width="12.36328125" customWidth="1"/>
    <col min="7" max="7" width="15" hidden="1" customWidth="1"/>
    <col min="8" max="8" width="15" customWidth="1"/>
    <col min="9" max="9" width="15.36328125" bestFit="1" customWidth="1"/>
    <col min="10" max="10" width="11" customWidth="1"/>
    <col min="11" max="11" width="11.36328125" bestFit="1" customWidth="1"/>
    <col min="12" max="12" width="16.36328125" bestFit="1" customWidth="1"/>
    <col min="13" max="13" width="18.08984375" customWidth="1"/>
    <col min="14" max="14" width="17.08984375" customWidth="1"/>
  </cols>
  <sheetData>
    <row r="2" spans="2:16" ht="18.75" customHeight="1" x14ac:dyDescent="0.35">
      <c r="D2" s="142">
        <f>Assumption!D71*Assumption!$D$70</f>
        <v>9.9989999999999996E-2</v>
      </c>
      <c r="E2" s="142">
        <f>Assumption!D72*Assumption!$D$70</f>
        <v>9.9989999999999996E-2</v>
      </c>
      <c r="F2" s="142">
        <f>Assumption!D73*Assumption!$D$70</f>
        <v>9.9989999999999996E-2</v>
      </c>
      <c r="G2" s="142"/>
      <c r="H2" s="142"/>
      <c r="I2" s="142">
        <f>Assumption!D75</f>
        <v>0.2</v>
      </c>
      <c r="J2" s="142">
        <f>Assumption!D77</f>
        <v>0.4</v>
      </c>
      <c r="K2" s="129"/>
      <c r="L2" s="142">
        <f>Assumption!D79</f>
        <v>0.1</v>
      </c>
      <c r="P2" s="61">
        <f>SUM(D2:N2)</f>
        <v>0.99996999999999991</v>
      </c>
    </row>
    <row r="4" spans="2:16" ht="60.75" customHeight="1" x14ac:dyDescent="0.35">
      <c r="B4" s="199" t="s">
        <v>562</v>
      </c>
      <c r="C4" s="200"/>
      <c r="D4" s="204" t="s">
        <v>809</v>
      </c>
      <c r="E4" s="205"/>
      <c r="F4" s="206"/>
      <c r="G4" s="207" t="s">
        <v>846</v>
      </c>
      <c r="H4" s="207" t="s">
        <v>846</v>
      </c>
      <c r="I4" s="197" t="s">
        <v>564</v>
      </c>
      <c r="J4" s="203" t="s">
        <v>561</v>
      </c>
      <c r="K4" s="203"/>
      <c r="L4" s="197" t="s">
        <v>567</v>
      </c>
      <c r="M4" s="197" t="s">
        <v>568</v>
      </c>
      <c r="N4" s="197" t="s">
        <v>757</v>
      </c>
    </row>
    <row r="5" spans="2:16" x14ac:dyDescent="0.35">
      <c r="B5" s="201"/>
      <c r="C5" s="202"/>
      <c r="D5" s="180" t="s">
        <v>563</v>
      </c>
      <c r="E5" s="180" t="s">
        <v>565</v>
      </c>
      <c r="F5" s="180" t="s">
        <v>566</v>
      </c>
      <c r="G5" s="208"/>
      <c r="H5" s="209"/>
      <c r="I5" s="198"/>
      <c r="J5" s="180" t="s">
        <v>571</v>
      </c>
      <c r="K5" s="180" t="s">
        <v>569</v>
      </c>
      <c r="L5" s="198"/>
      <c r="M5" s="198"/>
      <c r="N5" s="198"/>
    </row>
    <row r="6" spans="2:16" x14ac:dyDescent="0.35">
      <c r="B6" s="192"/>
      <c r="C6" s="193"/>
      <c r="D6" s="192"/>
      <c r="E6" s="192"/>
      <c r="F6" s="192"/>
      <c r="G6" s="190"/>
      <c r="H6" s="190"/>
      <c r="I6" s="193"/>
      <c r="J6" s="191"/>
      <c r="K6" s="194"/>
      <c r="L6" s="194"/>
      <c r="M6" s="194"/>
      <c r="N6" s="194"/>
    </row>
    <row r="7" spans="2:16" x14ac:dyDescent="0.35">
      <c r="B7" s="90" t="s">
        <v>12</v>
      </c>
      <c r="C7" s="92" t="s">
        <v>54</v>
      </c>
      <c r="D7" s="138">
        <f>VLOOKUP(B7,'Value -2 '!$D$3:$AC$23,26,FALSE)</f>
        <v>72.7</v>
      </c>
      <c r="E7" s="138">
        <f>VLOOKUP(B7,'Quality - 2'!$B$2:$S$22,18,FALSE)</f>
        <v>18.099999999999998</v>
      </c>
      <c r="F7" s="138">
        <f>VLOOKUP(B7,Risk!$B$4:$R$24,17,FALSE)</f>
        <v>9</v>
      </c>
      <c r="G7" s="144">
        <f t="shared" ref="G7:G27" si="0">(D7*$D$2 +E7*$E$2 +F7*$F$2)/($D$2+$E$2+$F$2)</f>
        <v>33.266666666666673</v>
      </c>
      <c r="H7" s="143" cm="1">
        <f t="array" ref="H7">_xlfn.PERCENTRANK.EXC(_xlfn._xlws.FILTER($G$7:G$27, ISNUMBER($G$7:G$27)),G7)*100</f>
        <v>18.099999999999998</v>
      </c>
      <c r="I7" s="181">
        <f>VLOOKUP(B7,'LIQIDITY 2'!$A$3:$X$23,24,FALSE)</f>
        <v>59</v>
      </c>
      <c r="J7" s="136">
        <f>VLOOKUP(B7,'Momnetum ranking'!$A$3:$AH$23,34,FALSE)</f>
        <v>31.8</v>
      </c>
      <c r="K7" s="183">
        <f>VLOOKUP(B7,'Momnetum ranking'!$A$3:$H$23,8,FALSE)</f>
        <v>0.29411764705882354</v>
      </c>
      <c r="L7" s="137">
        <f>VLOOKUP(B7,'Currency- 2'!$A$3:$U$23,21,FALSE)</f>
        <v>13.600000000000001</v>
      </c>
      <c r="M7" s="146">
        <f t="shared" ref="M7:M27" si="1">D7*$D$2 + E7*$E$2 + F7*$F$2 + I7*$I$2 + J7*$J$2 + L7*$L$2</f>
        <v>35.859001999999997</v>
      </c>
      <c r="N7" s="137" cm="1">
        <f t="array" ref="N7">_xlfn.PERCENTRANK.EXC(_xlfn._xlws.FILTER($M$7:M$27, ISNUMBER($M$7:M$27)),M7)*100</f>
        <v>18.099999999999998</v>
      </c>
    </row>
    <row r="8" spans="2:16" x14ac:dyDescent="0.35">
      <c r="B8" s="90" t="s">
        <v>23</v>
      </c>
      <c r="C8" s="92" t="s">
        <v>444</v>
      </c>
      <c r="D8" s="138">
        <f>VLOOKUP(B8,'Value -2 '!$D$3:$AC$23,26,FALSE)</f>
        <v>81.8</v>
      </c>
      <c r="E8" s="138">
        <f>VLOOKUP(B8,'Quality - 2'!$B$2:$S$22,18,FALSE)</f>
        <v>9</v>
      </c>
      <c r="F8" s="138">
        <f>VLOOKUP(B8,Risk!$B$4:$R$24,17,FALSE)</f>
        <v>4.5</v>
      </c>
      <c r="G8" s="144">
        <f t="shared" si="0"/>
        <v>31.766666666666666</v>
      </c>
      <c r="H8" s="144" cm="1">
        <f t="array" ref="H8">_xlfn.PERCENTRANK.EXC(_xlfn._xlws.FILTER($G$7:G$27, ISNUMBER($G$7:G$27)),G8)*100</f>
        <v>13.600000000000001</v>
      </c>
      <c r="I8" s="181">
        <f>VLOOKUP(B8,'LIQIDITY 2'!$A$3:$X$23,24,FALSE)</f>
        <v>59</v>
      </c>
      <c r="J8" s="136">
        <f>VLOOKUP(B8,'Momnetum ranking'!$A$3:$AH$23,34,FALSE)</f>
        <v>72.7</v>
      </c>
      <c r="K8" s="183">
        <f>VLOOKUP(B8,'Momnetum ranking'!$A$3:$H$23,8,FALSE)</f>
        <v>0.18181818181818182</v>
      </c>
      <c r="L8" s="137">
        <f>VLOOKUP(B8,'Currency- 2'!$A$3:$U$23,21,FALSE)</f>
        <v>59</v>
      </c>
      <c r="M8" s="146">
        <f t="shared" si="1"/>
        <v>56.309047</v>
      </c>
      <c r="N8" s="137" cm="1">
        <f t="array" ref="N8">_xlfn.PERCENTRANK.EXC(_xlfn._xlws.FILTER($M$7:M$27, ISNUMBER($M$7:M$27)),M8)*100</f>
        <v>72.7</v>
      </c>
    </row>
    <row r="9" spans="2:16" x14ac:dyDescent="0.35">
      <c r="B9" s="90" t="s">
        <v>21</v>
      </c>
      <c r="C9" s="92" t="s">
        <v>38</v>
      </c>
      <c r="D9" s="138">
        <f>VLOOKUP(B9,'Value -2 '!$D$3:$AC$23,26,FALSE)</f>
        <v>13.600000000000001</v>
      </c>
      <c r="E9" s="138">
        <f>VLOOKUP(B9,'Quality - 2'!$B$2:$S$22,18,FALSE)</f>
        <v>72.7</v>
      </c>
      <c r="F9" s="138">
        <f>VLOOKUP(B9,Risk!$B$4:$R$24,17,FALSE)</f>
        <v>45.4</v>
      </c>
      <c r="G9" s="144">
        <f t="shared" si="0"/>
        <v>43.900000000000006</v>
      </c>
      <c r="H9" s="144" cm="1">
        <f t="array" ref="H9">_xlfn.PERCENTRANK.EXC(_xlfn._xlws.FILTER($G$7:G$27, ISNUMBER($G$7:G$27)),G9)*100</f>
        <v>40.9</v>
      </c>
      <c r="I9" s="181">
        <f>VLOOKUP(B9,'LIQIDITY 2'!$A$3:$X$23,24,FALSE)</f>
        <v>40.9</v>
      </c>
      <c r="J9" s="136">
        <f>VLOOKUP(B9,'Momnetum ranking'!$A$3:$AH$23,34,FALSE)</f>
        <v>77.2</v>
      </c>
      <c r="K9" s="183">
        <f>VLOOKUP(B9,'Momnetum ranking'!$A$3:$H$23,8,FALSE)</f>
        <v>0.3235294117647059</v>
      </c>
      <c r="L9" s="137">
        <f>VLOOKUP(B9,'Currency- 2'!$A$3:$U$23,21,FALSE)</f>
        <v>36.299999999999997</v>
      </c>
      <c r="M9" s="146">
        <f t="shared" si="1"/>
        <v>55.858683000000006</v>
      </c>
      <c r="N9" s="137" cm="1">
        <f t="array" ref="N9">_xlfn.PERCENTRANK.EXC(_xlfn._xlws.FILTER($M$7:M$27, ISNUMBER($M$7:M$27)),M9)*100</f>
        <v>68.100000000000009</v>
      </c>
    </row>
    <row r="10" spans="2:16" x14ac:dyDescent="0.35">
      <c r="B10" s="90" t="s">
        <v>24</v>
      </c>
      <c r="C10" s="92" t="s">
        <v>40</v>
      </c>
      <c r="D10" s="138">
        <f>VLOOKUP(B10,'Value -2 '!$D$3:$AC$23,26,FALSE)</f>
        <v>27.200000000000003</v>
      </c>
      <c r="E10" s="138">
        <f>VLOOKUP(B10,'Quality - 2'!$B$2:$S$22,18,FALSE)</f>
        <v>90.9</v>
      </c>
      <c r="F10" s="138">
        <f>VLOOKUP(B10,Risk!$B$4:$R$24,17,FALSE)</f>
        <v>86.3</v>
      </c>
      <c r="G10" s="144">
        <f t="shared" si="0"/>
        <v>68.13333333333334</v>
      </c>
      <c r="H10" s="144" cm="1">
        <f t="array" ref="H10">_xlfn.PERCENTRANK.EXC(_xlfn._xlws.FILTER($G$7:G$27, ISNUMBER($G$7:G$27)),G10)*100</f>
        <v>81.8</v>
      </c>
      <c r="I10" s="181">
        <f>VLOOKUP(B10,'LIQIDITY 2'!$A$3:$X$23,24,FALSE)</f>
        <v>59</v>
      </c>
      <c r="J10" s="136">
        <f>VLOOKUP(B10,'Momnetum ranking'!$A$3:$AH$23,34,FALSE)</f>
        <v>81.8</v>
      </c>
      <c r="K10" s="183">
        <f>VLOOKUP(B10,'Momnetum ranking'!$A$3:$H$23,8,FALSE)</f>
        <v>0.30769230769230771</v>
      </c>
      <c r="L10" s="137">
        <f>VLOOKUP(B10,'Currency- 2'!$A$3:$U$23,21,FALSE)</f>
        <v>77.2</v>
      </c>
      <c r="M10" s="146">
        <f t="shared" si="1"/>
        <v>72.677955999999995</v>
      </c>
      <c r="N10" s="137" cm="1">
        <f t="array" ref="N10">_xlfn.PERCENTRANK.EXC(_xlfn._xlws.FILTER($M$7:M$27, ISNUMBER($M$7:M$27)),M10)*100</f>
        <v>95.399999999999991</v>
      </c>
    </row>
    <row r="11" spans="2:16" x14ac:dyDescent="0.35">
      <c r="B11" s="90" t="s">
        <v>32</v>
      </c>
      <c r="C11" s="92" t="s">
        <v>52</v>
      </c>
      <c r="D11" s="138">
        <f>VLOOKUP(B11,'Value -2 '!$D$3:$AC$23,26,FALSE)</f>
        <v>4.5</v>
      </c>
      <c r="E11" s="138">
        <f>VLOOKUP(B11,'Quality - 2'!$B$2:$S$22,18,FALSE)</f>
        <v>86.3</v>
      </c>
      <c r="F11" s="138">
        <f>VLOOKUP(B11,Risk!$B$4:$R$24,17,FALSE)</f>
        <v>50</v>
      </c>
      <c r="G11" s="144">
        <f t="shared" si="0"/>
        <v>46.933333333333337</v>
      </c>
      <c r="H11" s="144" cm="1">
        <f t="array" ref="H11">_xlfn.PERCENTRANK.EXC(_xlfn._xlws.FILTER($G$7:G$27, ISNUMBER($G$7:G$27)),G11)*100</f>
        <v>54.500000000000007</v>
      </c>
      <c r="I11" s="181">
        <f>VLOOKUP(B11,'LIQIDITY 2'!$A$3:$X$23,24,FALSE)</f>
        <v>4.5</v>
      </c>
      <c r="J11" s="136">
        <f>VLOOKUP(B11,'Momnetum ranking'!$A$3:$AH$23,34,FALSE)</f>
        <v>63.6</v>
      </c>
      <c r="K11" s="183">
        <f>VLOOKUP(B11,'Momnetum ranking'!$A$3:$H$23,8,FALSE)</f>
        <v>0.35766423357664234</v>
      </c>
      <c r="L11" s="137">
        <f>VLOOKUP(B11,'Currency- 2'!$A$3:$U$23,21,FALSE)</f>
        <v>68.100000000000009</v>
      </c>
      <c r="M11" s="146">
        <f t="shared" si="1"/>
        <v>47.228592000000006</v>
      </c>
      <c r="N11" s="137" cm="1">
        <f t="array" ref="N11">_xlfn.PERCENTRANK.EXC(_xlfn._xlws.FILTER($M$7:M$27, ISNUMBER($M$7:M$27)),M11)*100</f>
        <v>50</v>
      </c>
    </row>
    <row r="12" spans="2:16" x14ac:dyDescent="0.35">
      <c r="B12" s="90" t="s">
        <v>34</v>
      </c>
      <c r="C12" s="92" t="s">
        <v>452</v>
      </c>
      <c r="D12" s="138">
        <f>VLOOKUP(B12,'Value -2 '!$D$3:$AC$23,26,FALSE)</f>
        <v>77.2</v>
      </c>
      <c r="E12" s="138">
        <f>VLOOKUP(B12,'Quality - 2'!$B$2:$S$22,18,FALSE)</f>
        <v>13.600000000000001</v>
      </c>
      <c r="F12" s="138">
        <f>VLOOKUP(B12,Risk!$B$4:$R$24,17,FALSE)</f>
        <v>63.6</v>
      </c>
      <c r="G12" s="144">
        <f t="shared" si="0"/>
        <v>51.466666666666683</v>
      </c>
      <c r="H12" s="144" cm="1">
        <f t="array" ref="H12">_xlfn.PERCENTRANK.EXC(_xlfn._xlws.FILTER($G$7:G$27, ISNUMBER($G$7:G$27)),G12)*100</f>
        <v>59</v>
      </c>
      <c r="I12" s="181">
        <f>VLOOKUP(B12,'LIQIDITY 2'!$A$3:$X$23,24,FALSE)</f>
        <v>4.5</v>
      </c>
      <c r="J12" s="136">
        <f>VLOOKUP(B12,'Momnetum ranking'!$A$3:$AH$23,34,FALSE)</f>
        <v>40.9</v>
      </c>
      <c r="K12" s="183">
        <f>VLOOKUP(B12,'Momnetum ranking'!$A$3:$H$23,8,FALSE)</f>
        <v>0.35714285714285715</v>
      </c>
      <c r="L12" s="137">
        <f>VLOOKUP(B12,'Currency- 2'!$A$3:$U$23,21,FALSE)</f>
        <v>95.399999999999991</v>
      </c>
      <c r="M12" s="146">
        <f t="shared" si="1"/>
        <v>42.238455999999999</v>
      </c>
      <c r="N12" s="137" cm="1">
        <f t="array" ref="N12">_xlfn.PERCENTRANK.EXC(_xlfn._xlws.FILTER($M$7:M$27, ISNUMBER($M$7:M$27)),M12)*100</f>
        <v>40.9</v>
      </c>
    </row>
    <row r="13" spans="2:16" x14ac:dyDescent="0.35">
      <c r="B13" s="90" t="s">
        <v>26</v>
      </c>
      <c r="C13" s="92" t="s">
        <v>41</v>
      </c>
      <c r="D13" s="138">
        <f>VLOOKUP(B13,'Value -2 '!$D$3:$AC$23,26,FALSE)</f>
        <v>86.3</v>
      </c>
      <c r="E13" s="138">
        <f>VLOOKUP(B13,'Quality - 2'!$B$2:$S$22,18,FALSE)</f>
        <v>81.8</v>
      </c>
      <c r="F13" s="138">
        <f>VLOOKUP(B13,Risk!$B$4:$R$24,17,FALSE)</f>
        <v>77.2</v>
      </c>
      <c r="G13" s="144">
        <f t="shared" si="0"/>
        <v>81.766666666666666</v>
      </c>
      <c r="H13" s="144" cm="1">
        <f t="array" ref="H13">_xlfn.PERCENTRANK.EXC(_xlfn._xlws.FILTER($G$7:G$27, ISNUMBER($G$7:G$27)),G13)*100</f>
        <v>90.9</v>
      </c>
      <c r="I13" s="181">
        <f>VLOOKUP(B13,'LIQIDITY 2'!$A$3:$X$23,24,FALSE)</f>
        <v>90.9</v>
      </c>
      <c r="J13" s="136">
        <f>VLOOKUP(B13,'Momnetum ranking'!$A$3:$AH$23,34,FALSE)</f>
        <v>13.600000000000001</v>
      </c>
      <c r="K13" s="183">
        <f>VLOOKUP(B13,'Momnetum ranking'!$A$3:$H$23,8,FALSE)</f>
        <v>0.1800302571860817</v>
      </c>
      <c r="L13" s="137">
        <f>VLOOKUP(B13,'Currency- 2'!$A$3:$U$23,21,FALSE)</f>
        <v>50</v>
      </c>
      <c r="M13" s="146">
        <f t="shared" si="1"/>
        <v>53.147547000000003</v>
      </c>
      <c r="N13" s="137" cm="1">
        <f t="array" ref="N13">_xlfn.PERCENTRANK.EXC(_xlfn._xlws.FILTER($M$7:M$27, ISNUMBER($M$7:M$27)),M13)*100</f>
        <v>59</v>
      </c>
    </row>
    <row r="14" spans="2:16" x14ac:dyDescent="0.35">
      <c r="B14" s="90" t="s">
        <v>437</v>
      </c>
      <c r="C14" s="92" t="s">
        <v>440</v>
      </c>
      <c r="D14" s="138">
        <f>VLOOKUP(B14,'Value -2 '!$D$3:$AC$23,26,FALSE)</f>
        <v>68.100000000000009</v>
      </c>
      <c r="E14" s="138">
        <f>VLOOKUP(B14,'Quality - 2'!$B$2:$S$22,18,FALSE)</f>
        <v>95.399999999999991</v>
      </c>
      <c r="F14" s="138">
        <f>VLOOKUP(B14,Risk!$B$4:$R$24,17,FALSE)</f>
        <v>90.9</v>
      </c>
      <c r="G14" s="144">
        <f t="shared" si="0"/>
        <v>84.800000000000011</v>
      </c>
      <c r="H14" s="144" cm="1">
        <f t="array" ref="H14">_xlfn.PERCENTRANK.EXC(_xlfn._xlws.FILTER($G$7:G$27, ISNUMBER($G$7:G$27)),G14)*100</f>
        <v>95.399999999999991</v>
      </c>
      <c r="I14" s="181">
        <f>VLOOKUP(B14,'LIQIDITY 2'!$A$3:$X$23,24,FALSE)</f>
        <v>90.9</v>
      </c>
      <c r="J14" s="136">
        <f>VLOOKUP(B14,'Momnetum ranking'!$A$3:$AH$23,34,FALSE)</f>
        <v>27.200000000000003</v>
      </c>
      <c r="K14" s="183">
        <f>VLOOKUP(B14,'Momnetum ranking'!$A$3:$H$23,8,FALSE)</f>
        <v>0.13487475915221581</v>
      </c>
      <c r="L14" s="137">
        <f>VLOOKUP(B14,'Currency- 2'!$A$3:$U$23,21,FALSE)</f>
        <v>50</v>
      </c>
      <c r="M14" s="146">
        <f t="shared" si="1"/>
        <v>59.497456000000007</v>
      </c>
      <c r="N14" s="137" cm="1">
        <f t="array" ref="N14">_xlfn.PERCENTRANK.EXC(_xlfn._xlws.FILTER($M$7:M$27, ISNUMBER($M$7:M$27)),M14)*100</f>
        <v>77.2</v>
      </c>
    </row>
    <row r="15" spans="2:16" x14ac:dyDescent="0.35">
      <c r="B15" s="90" t="s">
        <v>28</v>
      </c>
      <c r="C15" s="92" t="s">
        <v>448</v>
      </c>
      <c r="D15" s="138">
        <f>VLOOKUP(B15,'Value -2 '!$D$3:$AC$23,26,FALSE)</f>
        <v>95.399999999999991</v>
      </c>
      <c r="E15" s="138">
        <f>VLOOKUP(B15,'Quality - 2'!$B$2:$S$22,18,FALSE)</f>
        <v>4.5</v>
      </c>
      <c r="F15" s="138">
        <f>VLOOKUP(B15,Risk!$B$4:$R$24,17,FALSE)</f>
        <v>18.099999999999998</v>
      </c>
      <c r="G15" s="144">
        <f t="shared" si="0"/>
        <v>39.333333333333329</v>
      </c>
      <c r="H15" s="144" cm="1">
        <f t="array" ref="H15">_xlfn.PERCENTRANK.EXC(_xlfn._xlws.FILTER($G$7:G$27, ISNUMBER($G$7:G$27)),G15)*100</f>
        <v>31.8</v>
      </c>
      <c r="I15" s="181">
        <f>VLOOKUP(B15,'LIQIDITY 2'!$A$3:$X$23,24,FALSE)</f>
        <v>40.9</v>
      </c>
      <c r="J15" s="136">
        <f>VLOOKUP(B15,'Momnetum ranking'!$A$3:$AH$23,34,FALSE)</f>
        <v>68.100000000000009</v>
      </c>
      <c r="K15" s="183">
        <f>VLOOKUP(B15,'Momnetum ranking'!$A$3:$H$23,8,FALSE)</f>
        <v>0.23333333333333334</v>
      </c>
      <c r="L15" s="137">
        <f>VLOOKUP(B15,'Currency- 2'!$A$3:$U$23,21,FALSE)</f>
        <v>31.8</v>
      </c>
      <c r="M15" s="146">
        <f t="shared" si="1"/>
        <v>50.398820000000008</v>
      </c>
      <c r="N15" s="137" cm="1">
        <f t="array" ref="N15">_xlfn.PERCENTRANK.EXC(_xlfn._xlws.FILTER($M$7:M$27, ISNUMBER($M$7:M$27)),M15)*100</f>
        <v>54.500000000000007</v>
      </c>
    </row>
    <row r="16" spans="2:16" x14ac:dyDescent="0.35">
      <c r="B16" s="90" t="s">
        <v>30</v>
      </c>
      <c r="C16" s="92" t="s">
        <v>443</v>
      </c>
      <c r="D16" s="138">
        <f>VLOOKUP(B16,'Value -2 '!$D$3:$AC$23,26,FALSE)</f>
        <v>54.500000000000007</v>
      </c>
      <c r="E16" s="138">
        <f>VLOOKUP(B16,'Quality - 2'!$B$2:$S$22,18,FALSE)</f>
        <v>68.100000000000009</v>
      </c>
      <c r="F16" s="138">
        <f>VLOOKUP(B16,Risk!$B$4:$R$24,17,FALSE)</f>
        <v>36.299999999999997</v>
      </c>
      <c r="G16" s="144">
        <f t="shared" si="0"/>
        <v>52.966666666666676</v>
      </c>
      <c r="H16" s="144" cm="1">
        <f t="array" ref="H16">_xlfn.PERCENTRANK.EXC(_xlfn._xlws.FILTER($G$7:G$27, ISNUMBER($G$7:G$27)),G16)*100</f>
        <v>63.6</v>
      </c>
      <c r="I16" s="181">
        <f>VLOOKUP(B16,'LIQIDITY 2'!$A$3:$X$23,24,FALSE)</f>
        <v>40.9</v>
      </c>
      <c r="J16" s="136">
        <f>VLOOKUP(B16,'Momnetum ranking'!$A$3:$AH$23,34,FALSE)</f>
        <v>90.9</v>
      </c>
      <c r="K16" s="183">
        <f>VLOOKUP(B16,'Momnetum ranking'!$A$3:$H$23,8,FALSE)</f>
        <v>0.34285714285714286</v>
      </c>
      <c r="L16" s="137">
        <f>VLOOKUP(B16,'Currency- 2'!$A$3:$U$23,21,FALSE)</f>
        <v>72.7</v>
      </c>
      <c r="M16" s="146">
        <f t="shared" si="1"/>
        <v>67.698411000000007</v>
      </c>
      <c r="N16" s="137" cm="1">
        <f t="array" ref="N16">_xlfn.PERCENTRANK.EXC(_xlfn._xlws.FILTER($M$7:M$27, ISNUMBER($M$7:M$27)),M16)*100</f>
        <v>90.9</v>
      </c>
    </row>
    <row r="17" spans="2:14" x14ac:dyDescent="0.35">
      <c r="B17" s="90" t="s">
        <v>33</v>
      </c>
      <c r="C17" s="92" t="s">
        <v>446</v>
      </c>
      <c r="D17" s="138">
        <f>VLOOKUP(B17,'Value -2 '!$D$3:$AC$23,26,FALSE)</f>
        <v>22.7</v>
      </c>
      <c r="E17" s="138">
        <f>VLOOKUP(B17,'Quality - 2'!$B$2:$S$22,18,FALSE)</f>
        <v>59</v>
      </c>
      <c r="F17" s="138">
        <f>VLOOKUP(B17,Risk!$B$4:$R$24,17,FALSE)</f>
        <v>54.500000000000007</v>
      </c>
      <c r="G17" s="144">
        <f t="shared" si="0"/>
        <v>45.400000000000006</v>
      </c>
      <c r="H17" s="144" cm="1">
        <f t="array" ref="H17">_xlfn.PERCENTRANK.EXC(_xlfn._xlws.FILTER($G$7:G$27, ISNUMBER($G$7:G$27)),G17)*100</f>
        <v>50</v>
      </c>
      <c r="I17" s="181">
        <f>VLOOKUP(B17,'LIQIDITY 2'!$A$3:$X$23,24,FALSE)</f>
        <v>4.5</v>
      </c>
      <c r="J17" s="136">
        <f>VLOOKUP(B17,'Momnetum ranking'!$A$3:$AH$23,34,FALSE)</f>
        <v>59</v>
      </c>
      <c r="K17" s="183">
        <f>VLOOKUP(B17,'Momnetum ranking'!$A$3:$H$23,8,FALSE)</f>
        <v>0.3235294117647059</v>
      </c>
      <c r="L17" s="137">
        <f>VLOOKUP(B17,'Currency- 2'!$A$3:$U$23,21,FALSE)</f>
        <v>45.4</v>
      </c>
      <c r="M17" s="146">
        <f t="shared" si="1"/>
        <v>42.658638000000003</v>
      </c>
      <c r="N17" s="137" cm="1">
        <f t="array" ref="N17">_xlfn.PERCENTRANK.EXC(_xlfn._xlws.FILTER($M$7:M$27, ISNUMBER($M$7:M$27)),M17)*100</f>
        <v>45.4</v>
      </c>
    </row>
    <row r="18" spans="2:14" x14ac:dyDescent="0.35">
      <c r="B18" s="90" t="s">
        <v>36</v>
      </c>
      <c r="C18" s="92" t="s">
        <v>454</v>
      </c>
      <c r="D18" s="138">
        <f>VLOOKUP(B18,'Value -2 '!$D$3:$AC$23,26,FALSE)</f>
        <v>9</v>
      </c>
      <c r="E18" s="138">
        <f>VLOOKUP(B18,'Quality - 2'!$B$2:$S$22,18,FALSE)</f>
        <v>36.299999999999997</v>
      </c>
      <c r="F18" s="138">
        <f>VLOOKUP(B18,Risk!$B$4:$R$24,17,FALSE)</f>
        <v>68.100000000000009</v>
      </c>
      <c r="G18" s="144">
        <f t="shared" si="0"/>
        <v>37.800000000000004</v>
      </c>
      <c r="H18" s="144" cm="1">
        <f t="array" ref="H18">_xlfn.PERCENTRANK.EXC(_xlfn._xlws.FILTER($G$7:G$27, ISNUMBER($G$7:G$27)),G18)*100</f>
        <v>27.200000000000003</v>
      </c>
      <c r="I18" s="181">
        <f>VLOOKUP(B18,'LIQIDITY 2'!$A$3:$X$23,24,FALSE)</f>
        <v>40.9</v>
      </c>
      <c r="J18" s="136">
        <f>VLOOKUP(B18,'Momnetum ranking'!$A$3:$AH$23,34,FALSE)</f>
        <v>95.399999999999991</v>
      </c>
      <c r="K18" s="183">
        <f>VLOOKUP(B18,'Momnetum ranking'!$A$3:$H$23,8,FALSE)</f>
        <v>0.19672131147540983</v>
      </c>
      <c r="L18" s="137">
        <f>VLOOKUP(B18,'Currency- 2'!$A$3:$U$23,21,FALSE)</f>
        <v>86.3</v>
      </c>
      <c r="M18" s="146">
        <f t="shared" si="1"/>
        <v>66.308865999999995</v>
      </c>
      <c r="N18" s="137" cm="1">
        <f t="array" ref="N18">_xlfn.PERCENTRANK.EXC(_xlfn._xlws.FILTER($M$7:M$27, ISNUMBER($M$7:M$27)),M18)*100</f>
        <v>86.3</v>
      </c>
    </row>
    <row r="19" spans="2:14" x14ac:dyDescent="0.35">
      <c r="B19" s="90" t="s">
        <v>7</v>
      </c>
      <c r="C19" s="92" t="s">
        <v>53</v>
      </c>
      <c r="D19" s="138">
        <f>VLOOKUP(B19,'Value -2 '!$D$3:$AC$23,26,FALSE)</f>
        <v>18.099999999999998</v>
      </c>
      <c r="E19" s="138">
        <f>VLOOKUP(B19,'Quality - 2'!$B$2:$S$22,18,FALSE)</f>
        <v>54.500000000000007</v>
      </c>
      <c r="F19" s="138">
        <f>VLOOKUP(B19,Risk!$B$4:$R$24,17,FALSE)</f>
        <v>31.8</v>
      </c>
      <c r="G19" s="144">
        <f t="shared" si="0"/>
        <v>34.800000000000004</v>
      </c>
      <c r="H19" s="144" cm="1">
        <f t="array" ref="H19">_xlfn.PERCENTRANK.EXC(_xlfn._xlws.FILTER($G$7:G$27, ISNUMBER($G$7:G$27)),G19)*100</f>
        <v>22.7</v>
      </c>
      <c r="I19" s="181">
        <f>VLOOKUP(B19,'LIQIDITY 2'!$A$3:$X$23,24,FALSE)</f>
        <v>4.5</v>
      </c>
      <c r="J19" s="136">
        <f>VLOOKUP(B19,'Momnetum ranking'!$A$3:$AH$23,34,FALSE)</f>
        <v>54.500000000000007</v>
      </c>
      <c r="K19" s="183">
        <f>VLOOKUP(B19,'Momnetum ranking'!$A$3:$H$23,8,FALSE)</f>
        <v>0.36363636363636365</v>
      </c>
      <c r="L19" s="137">
        <f>VLOOKUP(B19,'Currency- 2'!$A$3:$U$23,21,FALSE)</f>
        <v>81.8</v>
      </c>
      <c r="M19" s="146">
        <f t="shared" si="1"/>
        <v>41.318956000000007</v>
      </c>
      <c r="N19" s="137" cm="1">
        <f t="array" ref="N19">_xlfn.PERCENTRANK.EXC(_xlfn._xlws.FILTER($M$7:M$27, ISNUMBER($M$7:M$27)),M19)*100</f>
        <v>31.8</v>
      </c>
    </row>
    <row r="20" spans="2:14" x14ac:dyDescent="0.35">
      <c r="B20" s="90" t="s">
        <v>29</v>
      </c>
      <c r="C20" s="92" t="s">
        <v>445</v>
      </c>
      <c r="D20" s="138">
        <f>VLOOKUP(B20,'Value -2 '!$D$3:$AC$23,26,FALSE)</f>
        <v>36.299999999999997</v>
      </c>
      <c r="E20" s="138">
        <f>VLOOKUP(B20,'Quality - 2'!$B$2:$S$22,18,FALSE)</f>
        <v>31.8</v>
      </c>
      <c r="F20" s="138">
        <f>VLOOKUP(B20,Risk!$B$4:$R$24,17,FALSE)</f>
        <v>13.600000000000001</v>
      </c>
      <c r="G20" s="144">
        <f t="shared" si="0"/>
        <v>27.233333333333338</v>
      </c>
      <c r="H20" s="144" cm="1">
        <f t="array" ref="H20">_xlfn.PERCENTRANK.EXC(_xlfn._xlws.FILTER($G$7:G$27, ISNUMBER($G$7:G$27)),G20)*100</f>
        <v>4.5</v>
      </c>
      <c r="I20" s="181">
        <f>VLOOKUP(B20,'LIQIDITY 2'!$A$3:$X$23,24,FALSE)</f>
        <v>59</v>
      </c>
      <c r="J20" s="136">
        <f>VLOOKUP(B20,'Momnetum ranking'!$A$3:$AH$23,34,FALSE)</f>
        <v>86.3</v>
      </c>
      <c r="K20" s="183">
        <f>VLOOKUP(B20,'Momnetum ranking'!$A$3:$H$23,8,FALSE)</f>
        <v>0.30769230769230771</v>
      </c>
      <c r="L20" s="137">
        <f>VLOOKUP(B20,'Currency- 2'!$A$3:$U$23,21,FALSE)</f>
        <v>63.6</v>
      </c>
      <c r="M20" s="146">
        <f t="shared" si="1"/>
        <v>60.849183000000004</v>
      </c>
      <c r="N20" s="137" cm="1">
        <f t="array" ref="N20">_xlfn.PERCENTRANK.EXC(_xlfn._xlws.FILTER($M$7:M$27, ISNUMBER($M$7:M$27)),M20)*100</f>
        <v>81.8</v>
      </c>
    </row>
    <row r="21" spans="2:14" x14ac:dyDescent="0.35">
      <c r="B21" s="90" t="s">
        <v>764</v>
      </c>
      <c r="C21" s="92" t="s">
        <v>765</v>
      </c>
      <c r="D21" s="138">
        <f>VLOOKUP(B21,'Value -2 '!$D$3:$AC$23,26,FALSE)</f>
        <v>31.8</v>
      </c>
      <c r="E21" s="138">
        <f>VLOOKUP(B21,'Quality - 2'!$B$2:$S$22,18,FALSE)</f>
        <v>77.2</v>
      </c>
      <c r="F21" s="138">
        <f>VLOOKUP(B21,Risk!$B$4:$R$24,17,FALSE)</f>
        <v>95.399999999999991</v>
      </c>
      <c r="G21" s="144">
        <f t="shared" si="0"/>
        <v>68.13333333333334</v>
      </c>
      <c r="H21" s="144" cm="1">
        <f t="array" ref="H21">_xlfn.PERCENTRANK.EXC(_xlfn._xlws.FILTER($G$7:G$27, ISNUMBER($G$7:G$27)),G21)*100</f>
        <v>81.8</v>
      </c>
      <c r="I21" s="181">
        <f>VLOOKUP(B21,'LIQIDITY 2'!$A$3:$X$23,24,FALSE)</f>
        <v>59</v>
      </c>
      <c r="J21" s="136">
        <f>VLOOKUP(B21,'Momnetum ranking'!$A$3:$AH$23,34,FALSE)</f>
        <v>50</v>
      </c>
      <c r="K21" s="183">
        <f>VLOOKUP(B21,'Momnetum ranking'!$A$3:$H$23,8,FALSE)</f>
        <v>55</v>
      </c>
      <c r="L21" s="137">
        <f>VLOOKUP(B21,'Currency- 2'!$A$3:$U$23,21,FALSE)</f>
        <v>27.200000000000003</v>
      </c>
      <c r="M21" s="146">
        <f t="shared" si="1"/>
        <v>54.957955999999996</v>
      </c>
      <c r="N21" s="137" cm="1">
        <f t="array" ref="N21">_xlfn.PERCENTRANK.EXC(_xlfn._xlws.FILTER($M$7:M$27, ISNUMBER($M$7:M$27)),M21)*100</f>
        <v>63.6</v>
      </c>
    </row>
    <row r="22" spans="2:14" x14ac:dyDescent="0.35">
      <c r="B22" s="90" t="s">
        <v>22</v>
      </c>
      <c r="C22" s="92" t="s">
        <v>447</v>
      </c>
      <c r="D22" s="138">
        <f>VLOOKUP(B22,'Value -2 '!$D$3:$AC$23,26,FALSE)</f>
        <v>50</v>
      </c>
      <c r="E22" s="138">
        <f>VLOOKUP(B22,'Quality - 2'!$B$2:$S$22,18,FALSE)</f>
        <v>27.200000000000003</v>
      </c>
      <c r="F22" s="138">
        <f>VLOOKUP(B22,Risk!$B$4:$R$24,17,FALSE)</f>
        <v>54.500000000000007</v>
      </c>
      <c r="G22" s="144">
        <f t="shared" si="0"/>
        <v>43.900000000000006</v>
      </c>
      <c r="H22" s="144" cm="1">
        <f t="array" ref="H22">_xlfn.PERCENTRANK.EXC(_xlfn._xlws.FILTER($G$7:G$27, ISNUMBER($G$7:G$27)),G22)*100</f>
        <v>40.9</v>
      </c>
      <c r="I22" s="181">
        <f>VLOOKUP(B22,'LIQIDITY 2'!$A$3:$X$23,24,FALSE)</f>
        <v>4.5</v>
      </c>
      <c r="J22" s="136">
        <f>VLOOKUP(B22,'Momnetum ranking'!$A$3:$AH$23,34,FALSE)</f>
        <v>9</v>
      </c>
      <c r="K22" s="183">
        <f>VLOOKUP(B22,'Momnetum ranking'!$A$3:$H$23,8,FALSE)</f>
        <v>0.30303030303030304</v>
      </c>
      <c r="L22" s="137">
        <f>VLOOKUP(B22,'Currency- 2'!$A$3:$U$23,21,FALSE)</f>
        <v>18.099999999999998</v>
      </c>
      <c r="M22" s="146">
        <f t="shared" si="1"/>
        <v>19.478683</v>
      </c>
      <c r="N22" s="137" cm="1">
        <f t="array" ref="N22">_xlfn.PERCENTRANK.EXC(_xlfn._xlws.FILTER($M$7:M$27, ISNUMBER($M$7:M$27)),M22)*100</f>
        <v>4.5</v>
      </c>
    </row>
    <row r="23" spans="2:14" x14ac:dyDescent="0.35">
      <c r="B23" s="90" t="s">
        <v>37</v>
      </c>
      <c r="C23" s="92" t="s">
        <v>453</v>
      </c>
      <c r="D23" s="138">
        <f>VLOOKUP(B23,'Value -2 '!$D$3:$AC$23,26,FALSE)</f>
        <v>45.4</v>
      </c>
      <c r="E23" s="138">
        <f>VLOOKUP(B23,'Quality - 2'!$B$2:$S$22,18,FALSE)</f>
        <v>22.7</v>
      </c>
      <c r="F23" s="138">
        <f>VLOOKUP(B23,Risk!$B$4:$R$24,17,FALSE)</f>
        <v>22.7</v>
      </c>
      <c r="G23" s="144">
        <f t="shared" si="0"/>
        <v>30.266666666666669</v>
      </c>
      <c r="H23" s="144" cm="1">
        <f t="array" ref="H23">_xlfn.PERCENTRANK.EXC(_xlfn._xlws.FILTER($G$7:G$27, ISNUMBER($G$7:G$27)),G23)*100</f>
        <v>9</v>
      </c>
      <c r="I23" s="181">
        <f>VLOOKUP(B23,'LIQIDITY 2'!$A$3:$X$23,24,FALSE)</f>
        <v>86.3</v>
      </c>
      <c r="J23" s="136">
        <f>VLOOKUP(B23,'Momnetum ranking'!$A$3:$AH$23,34,FALSE)</f>
        <v>22.7</v>
      </c>
      <c r="K23" s="183">
        <f>VLOOKUP(B23,'Momnetum ranking'!$A$3:$H$23,8,FALSE)</f>
        <v>0.26666666666666666</v>
      </c>
      <c r="L23" s="137">
        <f>VLOOKUP(B23,'Currency- 2'!$A$3:$U$23,21,FALSE)</f>
        <v>22.7</v>
      </c>
      <c r="M23" s="146">
        <f t="shared" si="1"/>
        <v>37.689092000000002</v>
      </c>
      <c r="N23" s="137" cm="1">
        <f t="array" ref="N23">_xlfn.PERCENTRANK.EXC(_xlfn._xlws.FILTER($M$7:M$27, ISNUMBER($M$7:M$27)),M23)*100</f>
        <v>22.7</v>
      </c>
    </row>
    <row r="24" spans="2:14" x14ac:dyDescent="0.35">
      <c r="B24" s="90" t="s">
        <v>25</v>
      </c>
      <c r="C24" s="92" t="s">
        <v>451</v>
      </c>
      <c r="D24" s="138">
        <f>VLOOKUP(B24,'Value -2 '!$D$3:$AC$23,26,FALSE)</f>
        <v>59</v>
      </c>
      <c r="E24" s="138">
        <f>VLOOKUP(B24,'Quality - 2'!$B$2:$S$22,18,FALSE)</f>
        <v>45.4</v>
      </c>
      <c r="F24" s="138">
        <f>VLOOKUP(B24,Risk!$B$4:$R$24,17,FALSE)</f>
        <v>27.200000000000003</v>
      </c>
      <c r="G24" s="144">
        <f t="shared" si="0"/>
        <v>43.866666666666667</v>
      </c>
      <c r="H24" s="144" cm="1">
        <f t="array" ref="H24">_xlfn.PERCENTRANK.EXC(_xlfn._xlws.FILTER($G$7:G$27, ISNUMBER($G$7:G$27)),G24)*100</f>
        <v>36.299999999999997</v>
      </c>
      <c r="I24" s="181">
        <f>VLOOKUP(B24,'LIQIDITY 2'!$A$3:$X$23,24,FALSE)</f>
        <v>4.5</v>
      </c>
      <c r="J24" s="136">
        <f>VLOOKUP(B24,'Momnetum ranking'!$A$3:$AH$23,34,FALSE)</f>
        <v>18.099999999999998</v>
      </c>
      <c r="K24" s="183">
        <f>VLOOKUP(B24,'Momnetum ranking'!$A$3:$H$23,8,FALSE)</f>
        <v>0.1326530612244898</v>
      </c>
      <c r="L24" s="137">
        <f>VLOOKUP(B24,'Currency- 2'!$A$3:$U$23,21,FALSE)</f>
        <v>4.5</v>
      </c>
      <c r="M24" s="146">
        <f t="shared" si="1"/>
        <v>21.748683999999997</v>
      </c>
      <c r="N24" s="137" cm="1">
        <f t="array" ref="N24">_xlfn.PERCENTRANK.EXC(_xlfn._xlws.FILTER($M$7:M$27, ISNUMBER($M$7:M$27)),M24)*100</f>
        <v>9</v>
      </c>
    </row>
    <row r="25" spans="2:14" x14ac:dyDescent="0.35">
      <c r="B25" s="90" t="s">
        <v>27</v>
      </c>
      <c r="C25" s="92" t="s">
        <v>441</v>
      </c>
      <c r="D25" s="138">
        <f>VLOOKUP(B25,'Value -2 '!$D$3:$AC$23,26,FALSE)</f>
        <v>90.9</v>
      </c>
      <c r="E25" s="138">
        <f>VLOOKUP(B25,'Quality - 2'!$B$2:$S$22,18,FALSE)</f>
        <v>59</v>
      </c>
      <c r="F25" s="138">
        <f>VLOOKUP(B25,Risk!$B$4:$R$24,17,FALSE)</f>
        <v>36.299999999999997</v>
      </c>
      <c r="G25" s="144">
        <f t="shared" si="0"/>
        <v>62.06666666666667</v>
      </c>
      <c r="H25" s="144" cm="1">
        <f t="array" ref="H25">_xlfn.PERCENTRANK.EXC(_xlfn._xlws.FILTER($G$7:G$27, ISNUMBER($G$7:G$27)),G25)*100</f>
        <v>77.2</v>
      </c>
      <c r="I25" s="181">
        <f>VLOOKUP(B25,'LIQIDITY 2'!$A$3:$X$23,24,FALSE)</f>
        <v>59</v>
      </c>
      <c r="J25" s="136">
        <f>VLOOKUP(B25,'Momnetum ranking'!$A$3:$AH$23,34,FALSE)</f>
        <v>4.5</v>
      </c>
      <c r="K25" s="183">
        <f>VLOOKUP(B25,'Momnetum ranking'!$A$3:$H$23,8,FALSE)</f>
        <v>0.2413793103448276</v>
      </c>
      <c r="L25" s="137">
        <f>VLOOKUP(B25,'Currency- 2'!$A$3:$U$23,21,FALSE)</f>
        <v>9</v>
      </c>
      <c r="M25" s="146">
        <f t="shared" si="1"/>
        <v>33.118137999999995</v>
      </c>
      <c r="N25" s="137" cm="1">
        <f t="array" ref="N25">_xlfn.PERCENTRANK.EXC(_xlfn._xlws.FILTER($M$7:M$27, ISNUMBER($M$7:M$27)),M25)*100</f>
        <v>13.600000000000001</v>
      </c>
    </row>
    <row r="26" spans="2:14" x14ac:dyDescent="0.35">
      <c r="B26" s="90" t="s">
        <v>31</v>
      </c>
      <c r="C26" s="92" t="s">
        <v>449</v>
      </c>
      <c r="D26" s="138">
        <f>VLOOKUP(B26,'Value -2 '!$D$3:$AC$23,26,FALSE)</f>
        <v>63.6</v>
      </c>
      <c r="E26" s="138">
        <f>VLOOKUP(B26,'Quality - 2'!$B$2:$S$22,18,FALSE)</f>
        <v>36.299999999999997</v>
      </c>
      <c r="F26" s="138">
        <f>VLOOKUP(B26,Risk!$B$4:$R$24,17,FALSE)</f>
        <v>72.7</v>
      </c>
      <c r="G26" s="144">
        <f t="shared" si="0"/>
        <v>57.533333333333339</v>
      </c>
      <c r="H26" s="144" cm="1">
        <f t="array" ref="H26">_xlfn.PERCENTRANK.EXC(_xlfn._xlws.FILTER($G$7:G$27, ISNUMBER($G$7:G$27)),G26)*100</f>
        <v>72.7</v>
      </c>
      <c r="I26" s="181">
        <f>VLOOKUP(B26,'LIQIDITY 2'!$A$3:$X$23,24,FALSE)</f>
        <v>4.5</v>
      </c>
      <c r="J26" s="136">
        <f>VLOOKUP(B26,'Momnetum ranking'!$A$3:$AH$23,34,FALSE)</f>
        <v>36.299999999999997</v>
      </c>
      <c r="K26" s="183">
        <f>VLOOKUP(B26,'Momnetum ranking'!$A$3:$H$23,8,FALSE)</f>
        <v>0.11428571428571428</v>
      </c>
      <c r="L26" s="137">
        <f>VLOOKUP(B26,'Currency- 2'!$A$3:$U$23,21,FALSE)</f>
        <v>90.9</v>
      </c>
      <c r="M26" s="146">
        <f t="shared" si="1"/>
        <v>41.768274000000005</v>
      </c>
      <c r="N26" s="137" cm="1">
        <f t="array" ref="N26">_xlfn.PERCENTRANK.EXC(_xlfn._xlws.FILTER($M$7:M$27, ISNUMBER($M$7:M$27)),M26)*100</f>
        <v>36.299999999999997</v>
      </c>
    </row>
    <row r="27" spans="2:14" x14ac:dyDescent="0.35">
      <c r="B27" s="91" t="s">
        <v>35</v>
      </c>
      <c r="C27" s="93" t="s">
        <v>442</v>
      </c>
      <c r="D27" s="139">
        <f>VLOOKUP(B27,'Value -2 '!$D$3:$AC$23,26,FALSE)</f>
        <v>40.9</v>
      </c>
      <c r="E27" s="139">
        <f>VLOOKUP(B27,'Quality - 2'!$B$2:$S$22,18,FALSE)</f>
        <v>50</v>
      </c>
      <c r="F27" s="139">
        <f>VLOOKUP(B27,Risk!$B$4:$R$24,17,FALSE)</f>
        <v>77.2</v>
      </c>
      <c r="G27" s="145">
        <f t="shared" si="0"/>
        <v>56.033333333333346</v>
      </c>
      <c r="H27" s="145" cm="1">
        <f t="array" ref="H27">_xlfn.PERCENTRANK.EXC(_xlfn._xlws.FILTER($G$7:G$27, ISNUMBER($G$7:G$27)),G27)*100</f>
        <v>68.100000000000009</v>
      </c>
      <c r="I27" s="182">
        <f>VLOOKUP(B27,'LIQIDITY 2'!$A$3:$X$23,24,FALSE)</f>
        <v>4.5</v>
      </c>
      <c r="J27" s="140">
        <f>VLOOKUP(B27,'Momnetum ranking'!$A$3:$AH$23,34,FALSE)</f>
        <v>45.4</v>
      </c>
      <c r="K27" s="184">
        <f>VLOOKUP(B27,'Momnetum ranking'!$A$3:$H$23,8,FALSE)</f>
        <v>0.25974025974025972</v>
      </c>
      <c r="L27" s="141">
        <f>VLOOKUP(B27,'Currency- 2'!$A$3:$U$23,21,FALSE)</f>
        <v>40.9</v>
      </c>
      <c r="M27" s="147">
        <f t="shared" si="1"/>
        <v>39.958319000000003</v>
      </c>
      <c r="N27" s="141" cm="1">
        <f t="array" ref="N27">_xlfn.PERCENTRANK.EXC(_xlfn._xlws.FILTER($M$7:M$27, ISNUMBER($M$7:M$27)),M27)*100</f>
        <v>27.200000000000003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4" zoomScale="82" zoomScaleNormal="82" workbookViewId="0">
      <selection activeCell="R12" sqref="R12"/>
    </sheetView>
  </sheetViews>
  <sheetFormatPr defaultRowHeight="14.5" x14ac:dyDescent="0.35"/>
  <cols>
    <col min="2" max="2" width="12.08984375" bestFit="1" customWidth="1"/>
    <col min="3" max="3" width="25.36328125" customWidth="1"/>
    <col min="4" max="4" width="15.453125" customWidth="1"/>
    <col min="5" max="5" width="14.453125" customWidth="1"/>
    <col min="6" max="6" width="11.6328125" bestFit="1" customWidth="1"/>
    <col min="7" max="7" width="7.36328125" bestFit="1" customWidth="1"/>
    <col min="8" max="8" width="10.08984375" bestFit="1" customWidth="1"/>
    <col min="9" max="9" width="11.453125" bestFit="1" customWidth="1"/>
    <col min="10" max="10" width="14.453125" hidden="1" customWidth="1"/>
    <col min="11" max="11" width="20.08984375" bestFit="1" customWidth="1"/>
    <col min="12" max="12" width="12" hidden="1" customWidth="1"/>
    <col min="13" max="13" width="15.36328125" bestFit="1" customWidth="1"/>
    <col min="14" max="14" width="12.6328125" hidden="1" customWidth="1"/>
    <col min="15" max="15" width="18.453125" bestFit="1" customWidth="1"/>
    <col min="16" max="16" width="13.36328125" hidden="1" customWidth="1"/>
    <col min="17" max="17" width="19.90625" bestFit="1" customWidth="1"/>
    <col min="18" max="18" width="20.6328125" bestFit="1" customWidth="1"/>
    <col min="19" max="19" width="21.6328125" bestFit="1" customWidth="1"/>
  </cols>
  <sheetData>
    <row r="1" spans="2:21" ht="15" thickBot="1" x14ac:dyDescent="0.4"/>
    <row r="2" spans="2:21" x14ac:dyDescent="0.35">
      <c r="C2" s="150" t="s">
        <v>856</v>
      </c>
      <c r="D2" s="151">
        <v>0.5</v>
      </c>
      <c r="E2" s="74" t="s">
        <v>870</v>
      </c>
      <c r="F2" s="148">
        <v>0.1</v>
      </c>
      <c r="R2" s="169" t="s">
        <v>896</v>
      </c>
      <c r="S2" s="169" t="s">
        <v>896</v>
      </c>
    </row>
    <row r="3" spans="2:21" ht="15" thickBot="1" x14ac:dyDescent="0.4">
      <c r="C3" s="152" t="s">
        <v>857</v>
      </c>
      <c r="D3" s="153">
        <v>70</v>
      </c>
      <c r="E3" s="68" t="s">
        <v>858</v>
      </c>
      <c r="F3" s="70">
        <v>50</v>
      </c>
      <c r="R3" s="173">
        <f>COUNTIF(R9:R29,"&gt;0")</f>
        <v>16</v>
      </c>
      <c r="S3" s="173">
        <f>COUNTIF(S9:S29,"&gt;0")</f>
        <v>15</v>
      </c>
    </row>
    <row r="4" spans="2:21" ht="15" thickBot="1" x14ac:dyDescent="0.4">
      <c r="C4" s="152" t="s">
        <v>859</v>
      </c>
      <c r="D4" s="154">
        <v>0.3</v>
      </c>
      <c r="E4" s="68" t="s">
        <v>865</v>
      </c>
      <c r="F4" s="149">
        <v>0.1</v>
      </c>
    </row>
    <row r="5" spans="2:21" ht="15" thickBot="1" x14ac:dyDescent="0.4">
      <c r="C5" s="155" t="s">
        <v>860</v>
      </c>
      <c r="D5" s="156">
        <v>70</v>
      </c>
      <c r="E5" s="12" t="s">
        <v>857</v>
      </c>
      <c r="F5" s="14">
        <v>60</v>
      </c>
      <c r="Q5" s="74" t="s">
        <v>894</v>
      </c>
      <c r="R5" s="11"/>
    </row>
    <row r="6" spans="2:21" ht="15" thickBot="1" x14ac:dyDescent="0.4">
      <c r="Q6" s="12" t="s">
        <v>895</v>
      </c>
      <c r="R6" s="172">
        <v>0.01</v>
      </c>
    </row>
    <row r="7" spans="2:21" ht="15" thickBot="1" x14ac:dyDescent="0.4"/>
    <row r="8" spans="2:21" ht="15" thickBot="1" x14ac:dyDescent="0.4">
      <c r="B8" s="160" t="s">
        <v>861</v>
      </c>
      <c r="C8" s="161" t="s">
        <v>534</v>
      </c>
      <c r="D8" s="161" t="s">
        <v>562</v>
      </c>
      <c r="E8" s="161" t="s">
        <v>862</v>
      </c>
      <c r="F8" s="161" t="s">
        <v>561</v>
      </c>
      <c r="G8" s="161" t="s">
        <v>563</v>
      </c>
      <c r="H8" s="161" t="s">
        <v>564</v>
      </c>
      <c r="I8" s="161" t="s">
        <v>567</v>
      </c>
      <c r="J8" s="161" t="s">
        <v>866</v>
      </c>
      <c r="K8" s="161" t="s">
        <v>898</v>
      </c>
      <c r="L8" s="161" t="s">
        <v>867</v>
      </c>
      <c r="M8" s="161" t="s">
        <v>903</v>
      </c>
      <c r="N8" s="161" t="s">
        <v>868</v>
      </c>
      <c r="O8" s="161" t="s">
        <v>899</v>
      </c>
      <c r="P8" s="161" t="s">
        <v>869</v>
      </c>
      <c r="Q8" s="161" t="s">
        <v>900</v>
      </c>
      <c r="R8" s="161" t="s">
        <v>901</v>
      </c>
      <c r="S8" s="175" t="s">
        <v>902</v>
      </c>
    </row>
    <row r="9" spans="2:21" x14ac:dyDescent="0.35">
      <c r="B9" s="74" t="s">
        <v>437</v>
      </c>
      <c r="C9" s="10" t="str" cm="1">
        <f t="array" ref="C9">_xll.FDS(B9,"FG_COMPANY_NAME")</f>
        <v>iShares MSCI China A ETF</v>
      </c>
      <c r="D9" s="10" t="s">
        <v>622</v>
      </c>
      <c r="E9" s="185">
        <f>HLOOKUP(B9,'Monthly Returns'!$A$1:$V$139,139,FALSE)</f>
        <v>0.20856644568246702</v>
      </c>
      <c r="F9" s="10">
        <f>VLOOKUP(B9,OUTPUT_COUNTRY!$B$7:$N$27, 9, FALSE)</f>
        <v>27.200000000000003</v>
      </c>
      <c r="G9" s="186">
        <f>VLOOKUP(B9,OUTPUT_COUNTRY!$B$7:$N$27, 7, FALSE)</f>
        <v>95.399999999999991</v>
      </c>
      <c r="H9" s="10">
        <f>VLOOKUP(B9,OUTPUT_COUNTRY!$B$7:$N$27, 8, FALSE)</f>
        <v>90.9</v>
      </c>
      <c r="I9" s="10">
        <f>VLOOKUP(B9,OUTPUT_COUNTRY!$B$7:$N$27, 11, FALSE)</f>
        <v>50</v>
      </c>
      <c r="J9" s="186">
        <f t="shared" ref="J9:J29" si="0">IF(F9&gt;=$D$3,1/E9,0)</f>
        <v>0</v>
      </c>
      <c r="K9" s="185">
        <f t="shared" ref="K9:K29" si="1">J9/$J$30</f>
        <v>0</v>
      </c>
      <c r="L9" s="10">
        <f t="shared" ref="L9:L29" si="2">IF(G9&gt;=$D$5,1/E9,0)</f>
        <v>4.7946350944794585</v>
      </c>
      <c r="M9" s="185">
        <f t="shared" ref="M9:M29" si="3">L9/$L$30</f>
        <v>0.16637060733638459</v>
      </c>
      <c r="N9" s="10">
        <f>IF(H9&gt;=$F$3,1/E9,0)</f>
        <v>4.7946350944794585</v>
      </c>
      <c r="O9" s="185">
        <f t="shared" ref="O9:O29" si="4">N9/$N$30</f>
        <v>0.12680103310913182</v>
      </c>
      <c r="P9" s="10">
        <f>IF(I9&gt;=$F$5,1/E9,0)</f>
        <v>0</v>
      </c>
      <c r="Q9" s="185">
        <f t="shared" ref="Q9:Q29" si="5">P9/$P$30</f>
        <v>0</v>
      </c>
      <c r="R9" s="185">
        <f t="shared" ref="R9:R29" si="6">IF($D$2*K9+$D$4*M9+$F$2*O9+$F$4*Q9 = 0,"",$D$2*K9+$D$4*M9+$F$2*O9+$F$4*Q9)</f>
        <v>6.2591285511828548E-2</v>
      </c>
      <c r="S9" s="187">
        <f t="shared" ref="S9:S29" si="7">IFERROR(IF(R9&gt;=$R$6, R9/SUMIF($R$9:$R$29,"&gt;="&amp;$R$6), ""),"")</f>
        <v>6.3069791542258391E-2</v>
      </c>
      <c r="U9" s="61"/>
    </row>
    <row r="10" spans="2:21" x14ac:dyDescent="0.35">
      <c r="B10" s="68" t="s">
        <v>27</v>
      </c>
      <c r="C10" t="str" cm="1">
        <f t="array" ref="C10">_xll.FDS(B10,"FG_COMPANY_NAME")</f>
        <v>iShares MSCI Chile ETF</v>
      </c>
      <c r="D10" t="s">
        <v>621</v>
      </c>
      <c r="E10" s="157">
        <f>HLOOKUP(B10,'Monthly Returns'!$A$1:$V$139,139,FALSE)</f>
        <v>0.29925150952965468</v>
      </c>
      <c r="F10">
        <f>VLOOKUP(B10,OUTPUT_COUNTRY!$B$7:$N$27, 9, FALSE)</f>
        <v>4.5</v>
      </c>
      <c r="G10" s="56">
        <f>VLOOKUP(B10,OUTPUT_COUNTRY!$B$7:$N$27, 7, FALSE)</f>
        <v>77.2</v>
      </c>
      <c r="H10">
        <f>VLOOKUP(B10,OUTPUT_COUNTRY!$B$7:$N$27, 8, FALSE)</f>
        <v>59</v>
      </c>
      <c r="I10">
        <f>VLOOKUP(B10,OUTPUT_COUNTRY!$B$7:$N$27, 11, FALSE)</f>
        <v>9</v>
      </c>
      <c r="J10" s="56">
        <f t="shared" si="0"/>
        <v>0</v>
      </c>
      <c r="K10" s="157">
        <f t="shared" si="1"/>
        <v>0</v>
      </c>
      <c r="L10">
        <f t="shared" si="2"/>
        <v>3.3416706955688853</v>
      </c>
      <c r="M10" s="157">
        <f t="shared" si="3"/>
        <v>0.115953721646121</v>
      </c>
      <c r="N10">
        <f t="shared" ref="N10:N29" si="8">IF(H10&gt;=$F$3,1/E10,0)</f>
        <v>3.3416706955688853</v>
      </c>
      <c r="O10" s="157">
        <f t="shared" si="4"/>
        <v>8.8375296171449069E-2</v>
      </c>
      <c r="P10">
        <f t="shared" ref="P10:P29" si="9">IF(I10&gt;=$F$5,1/E10,0)</f>
        <v>0</v>
      </c>
      <c r="Q10" s="157">
        <f t="shared" si="5"/>
        <v>0</v>
      </c>
      <c r="R10" s="157">
        <f t="shared" si="6"/>
        <v>4.3623646110981205E-2</v>
      </c>
      <c r="S10" s="176">
        <f t="shared" si="7"/>
        <v>4.3957145855598165E-2</v>
      </c>
      <c r="U10" s="61"/>
    </row>
    <row r="11" spans="2:21" x14ac:dyDescent="0.35">
      <c r="B11" s="68" t="s">
        <v>35</v>
      </c>
      <c r="C11" t="str" cm="1">
        <f t="array" ref="C11">_xll.FDS(B11,"FG_COMPANY_NAME")</f>
        <v>iShares MSCI Indonesia ETF</v>
      </c>
      <c r="D11" t="s">
        <v>658</v>
      </c>
      <c r="E11" s="157">
        <f>HLOOKUP(B11,'Monthly Returns'!$A$1:$V$139,139,FALSE)</f>
        <v>0.21655874284422644</v>
      </c>
      <c r="F11">
        <f>VLOOKUP(B11,OUTPUT_COUNTRY!$B$7:$N$27, 9, FALSE)</f>
        <v>45.4</v>
      </c>
      <c r="G11" s="56">
        <f>VLOOKUP(B11,OUTPUT_COUNTRY!$B$7:$N$27, 7, FALSE)</f>
        <v>68.100000000000009</v>
      </c>
      <c r="H11">
        <f>VLOOKUP(B11,OUTPUT_COUNTRY!$B$7:$N$27, 8, FALSE)</f>
        <v>4.5</v>
      </c>
      <c r="I11">
        <f>VLOOKUP(B11,OUTPUT_COUNTRY!$B$7:$N$27, 11, FALSE)</f>
        <v>40.9</v>
      </c>
      <c r="J11" s="56">
        <f t="shared" si="0"/>
        <v>0</v>
      </c>
      <c r="K11" s="157">
        <f t="shared" si="1"/>
        <v>0</v>
      </c>
      <c r="L11">
        <f t="shared" si="2"/>
        <v>0</v>
      </c>
      <c r="M11" s="157">
        <f t="shared" si="3"/>
        <v>0</v>
      </c>
      <c r="N11">
        <f t="shared" si="8"/>
        <v>0</v>
      </c>
      <c r="O11" s="157">
        <f t="shared" si="4"/>
        <v>0</v>
      </c>
      <c r="P11">
        <f t="shared" si="9"/>
        <v>0</v>
      </c>
      <c r="Q11" s="157">
        <f t="shared" si="5"/>
        <v>0</v>
      </c>
      <c r="R11" s="157" t="str">
        <f t="shared" si="6"/>
        <v/>
      </c>
      <c r="S11" s="176" t="str">
        <f t="shared" si="7"/>
        <v/>
      </c>
      <c r="U11" s="61"/>
    </row>
    <row r="12" spans="2:21" x14ac:dyDescent="0.35">
      <c r="B12" s="68" t="s">
        <v>30</v>
      </c>
      <c r="C12" t="str" cm="1">
        <f t="array" ref="C12">_xll.FDS(B12,"FG_COMPANY_NAME")</f>
        <v>iShares MSCI Philippines ETF</v>
      </c>
      <c r="D12" t="s">
        <v>706</v>
      </c>
      <c r="E12" s="157">
        <f>HLOOKUP(B12,'Monthly Returns'!$A$1:$V$139,139,FALSE)</f>
        <v>0.21589772156796549</v>
      </c>
      <c r="F12">
        <f>VLOOKUP(B12,OUTPUT_COUNTRY!$B$7:$N$27, 9, FALSE)</f>
        <v>90.9</v>
      </c>
      <c r="G12" s="56">
        <f>VLOOKUP(B12,OUTPUT_COUNTRY!$B$7:$N$27, 7, FALSE)</f>
        <v>63.6</v>
      </c>
      <c r="H12">
        <f>VLOOKUP(B12,OUTPUT_COUNTRY!$B$7:$N$27, 8, FALSE)</f>
        <v>40.9</v>
      </c>
      <c r="I12">
        <f>VLOOKUP(B12,OUTPUT_COUNTRY!$B$7:$N$27, 11, FALSE)</f>
        <v>72.7</v>
      </c>
      <c r="J12" s="56">
        <f t="shared" si="0"/>
        <v>4.6318228499006917</v>
      </c>
      <c r="K12" s="157">
        <f t="shared" si="1"/>
        <v>0.17931495384420798</v>
      </c>
      <c r="L12">
        <f t="shared" si="2"/>
        <v>0</v>
      </c>
      <c r="M12" s="157">
        <f t="shared" si="3"/>
        <v>0</v>
      </c>
      <c r="N12">
        <f t="shared" si="8"/>
        <v>0</v>
      </c>
      <c r="O12" s="157">
        <f t="shared" si="4"/>
        <v>0</v>
      </c>
      <c r="P12">
        <f t="shared" si="9"/>
        <v>4.6318228499006917</v>
      </c>
      <c r="Q12" s="157">
        <f t="shared" si="5"/>
        <v>0.1196844770707623</v>
      </c>
      <c r="R12" s="157">
        <f t="shared" si="6"/>
        <v>0.10162592462918021</v>
      </c>
      <c r="S12" s="176">
        <f t="shared" si="7"/>
        <v>0.10240284776449243</v>
      </c>
      <c r="U12" s="61"/>
    </row>
    <row r="13" spans="2:21" x14ac:dyDescent="0.35">
      <c r="B13" s="68" t="s">
        <v>23</v>
      </c>
      <c r="C13" t="str" cm="1">
        <f t="array" ref="C13">_xll.FDS(B13,"FG_COMPANY_NAME")</f>
        <v>iShares MSCI Poland ETF</v>
      </c>
      <c r="D13" t="s">
        <v>707</v>
      </c>
      <c r="E13" s="157">
        <f>HLOOKUP(B13,'Monthly Returns'!$A$1:$V$139,139,FALSE)</f>
        <v>0.31881032239823515</v>
      </c>
      <c r="F13">
        <f>VLOOKUP(B13,OUTPUT_COUNTRY!$B$7:$N$27, 9, FALSE)</f>
        <v>72.7</v>
      </c>
      <c r="G13" s="56">
        <f>VLOOKUP(B13,OUTPUT_COUNTRY!$B$7:$N$27, 7, FALSE)</f>
        <v>13.600000000000001</v>
      </c>
      <c r="H13">
        <f>VLOOKUP(B13,OUTPUT_COUNTRY!$B$7:$N$27, 8, FALSE)</f>
        <v>59</v>
      </c>
      <c r="I13">
        <f>VLOOKUP(B13,OUTPUT_COUNTRY!$B$7:$N$27, 11, FALSE)</f>
        <v>59</v>
      </c>
      <c r="J13" s="56">
        <f t="shared" si="0"/>
        <v>3.1366612990368337</v>
      </c>
      <c r="K13" s="157">
        <f t="shared" si="1"/>
        <v>0.12143173309699495</v>
      </c>
      <c r="L13">
        <f t="shared" si="2"/>
        <v>0</v>
      </c>
      <c r="M13" s="157">
        <f t="shared" si="3"/>
        <v>0</v>
      </c>
      <c r="N13">
        <f t="shared" si="8"/>
        <v>3.1366612990368337</v>
      </c>
      <c r="O13" s="157">
        <f t="shared" si="4"/>
        <v>8.2953527305811112E-2</v>
      </c>
      <c r="P13">
        <f t="shared" si="9"/>
        <v>0</v>
      </c>
      <c r="Q13" s="157">
        <f t="shared" si="5"/>
        <v>0</v>
      </c>
      <c r="R13" s="157">
        <f t="shared" si="6"/>
        <v>6.9011219279078592E-2</v>
      </c>
      <c r="S13" s="176">
        <f t="shared" si="7"/>
        <v>6.9538805257259459E-2</v>
      </c>
      <c r="U13" s="61"/>
    </row>
    <row r="14" spans="2:21" x14ac:dyDescent="0.35">
      <c r="B14" s="68" t="s">
        <v>29</v>
      </c>
      <c r="C14" t="str" cm="1">
        <f t="array" ref="C14">_xll.FDS(B14,"FG_COMPANY_NAME")</f>
        <v>iShares MSCI Peru and Global Exposure ETF</v>
      </c>
      <c r="D14" t="s">
        <v>705</v>
      </c>
      <c r="E14" s="157">
        <f>HLOOKUP(B14,'Monthly Returns'!$A$1:$V$139,139,FALSE)</f>
        <v>0.26887854907409764</v>
      </c>
      <c r="F14">
        <f>VLOOKUP(B14,OUTPUT_COUNTRY!$B$7:$N$27, 9, FALSE)</f>
        <v>86.3</v>
      </c>
      <c r="G14" s="56">
        <f>VLOOKUP(B14,OUTPUT_COUNTRY!$B$7:$N$27, 7, FALSE)</f>
        <v>4.5</v>
      </c>
      <c r="H14">
        <f>VLOOKUP(B14,OUTPUT_COUNTRY!$B$7:$N$27, 8, FALSE)</f>
        <v>59</v>
      </c>
      <c r="I14">
        <f>VLOOKUP(B14,OUTPUT_COUNTRY!$B$7:$N$27, 11, FALSE)</f>
        <v>63.6</v>
      </c>
      <c r="J14" s="56">
        <f t="shared" si="0"/>
        <v>3.7191512801730409</v>
      </c>
      <c r="K14" s="157">
        <f t="shared" si="1"/>
        <v>0.14398206964201027</v>
      </c>
      <c r="L14">
        <f t="shared" si="2"/>
        <v>0</v>
      </c>
      <c r="M14" s="157">
        <f t="shared" si="3"/>
        <v>0</v>
      </c>
      <c r="N14">
        <f t="shared" si="8"/>
        <v>3.7191512801730409</v>
      </c>
      <c r="O14" s="157">
        <f t="shared" si="4"/>
        <v>9.835831409945732E-2</v>
      </c>
      <c r="P14">
        <f t="shared" si="9"/>
        <v>3.7191512801730409</v>
      </c>
      <c r="Q14" s="157">
        <f t="shared" si="5"/>
        <v>9.6101403386813514E-2</v>
      </c>
      <c r="R14" s="157">
        <f t="shared" si="6"/>
        <v>9.1437006569632218E-2</v>
      </c>
      <c r="S14" s="176">
        <f t="shared" si="7"/>
        <v>9.2136036134055438E-2</v>
      </c>
      <c r="U14" s="61"/>
    </row>
    <row r="15" spans="2:21" x14ac:dyDescent="0.35">
      <c r="B15" s="68" t="s">
        <v>33</v>
      </c>
      <c r="C15" t="str" cm="1">
        <f t="array" ref="C15">_xll.FDS(B15,"FG_COMPANY_NAME")</f>
        <v>iShares MSCI Malaysia ETF</v>
      </c>
      <c r="D15" t="s">
        <v>680</v>
      </c>
      <c r="E15" s="157">
        <f>HLOOKUP(B15,'Monthly Returns'!$A$1:$V$139,139,FALSE)</f>
        <v>0.15404987069525683</v>
      </c>
      <c r="F15">
        <f>VLOOKUP(B15,OUTPUT_COUNTRY!$B$7:$N$27, 9, FALSE)</f>
        <v>59</v>
      </c>
      <c r="G15" s="56">
        <f>VLOOKUP(B15,OUTPUT_COUNTRY!$B$7:$N$27, 7, FALSE)</f>
        <v>50</v>
      </c>
      <c r="H15">
        <f>VLOOKUP(B15,OUTPUT_COUNTRY!$B$7:$N$27, 8, FALSE)</f>
        <v>4.5</v>
      </c>
      <c r="I15">
        <f>VLOOKUP(B15,OUTPUT_COUNTRY!$B$7:$N$27, 11, FALSE)</f>
        <v>45.4</v>
      </c>
      <c r="J15" s="56">
        <f t="shared" si="0"/>
        <v>0</v>
      </c>
      <c r="K15" s="157">
        <f t="shared" si="1"/>
        <v>0</v>
      </c>
      <c r="L15">
        <f t="shared" si="2"/>
        <v>0</v>
      </c>
      <c r="M15" s="157">
        <f t="shared" si="3"/>
        <v>0</v>
      </c>
      <c r="N15">
        <f t="shared" si="8"/>
        <v>0</v>
      </c>
      <c r="O15" s="157">
        <f t="shared" si="4"/>
        <v>0</v>
      </c>
      <c r="P15">
        <f t="shared" si="9"/>
        <v>0</v>
      </c>
      <c r="Q15" s="157">
        <f t="shared" si="5"/>
        <v>0</v>
      </c>
      <c r="R15" s="157" t="str">
        <f t="shared" si="6"/>
        <v/>
      </c>
      <c r="S15" s="176" t="str">
        <f t="shared" si="7"/>
        <v/>
      </c>
      <c r="U15" s="61"/>
    </row>
    <row r="16" spans="2:21" x14ac:dyDescent="0.35">
      <c r="B16" s="68" t="s">
        <v>24</v>
      </c>
      <c r="C16" t="str" cm="1">
        <f t="array" ref="C16">_xll.FDS(B16,"FG_COMPANY_NAME")</f>
        <v>iShares MSCI Taiwan ETF</v>
      </c>
      <c r="D16" t="s">
        <v>727</v>
      </c>
      <c r="E16" s="157">
        <f>HLOOKUP(B16,'Monthly Returns'!$A$1:$V$139,139,FALSE)</f>
        <v>0.18987132856258526</v>
      </c>
      <c r="F16">
        <f>VLOOKUP(B16,OUTPUT_COUNTRY!$B$7:$N$27, 9, FALSE)</f>
        <v>81.8</v>
      </c>
      <c r="G16" s="56">
        <f>VLOOKUP(B16,OUTPUT_COUNTRY!$B$7:$N$27, 7, FALSE)</f>
        <v>81.8</v>
      </c>
      <c r="H16">
        <f>VLOOKUP(B16,OUTPUT_COUNTRY!$B$7:$N$27, 8, FALSE)</f>
        <v>59</v>
      </c>
      <c r="I16">
        <f>VLOOKUP(B16,OUTPUT_COUNTRY!$B$7:$N$27, 11, FALSE)</f>
        <v>77.2</v>
      </c>
      <c r="J16" s="56">
        <f t="shared" si="0"/>
        <v>5.2667246159305225</v>
      </c>
      <c r="K16" s="157">
        <f t="shared" si="1"/>
        <v>0.2038943439807902</v>
      </c>
      <c r="L16">
        <f t="shared" si="2"/>
        <v>5.2667246159305225</v>
      </c>
      <c r="M16" s="157">
        <f t="shared" si="3"/>
        <v>0.18275179565484279</v>
      </c>
      <c r="N16">
        <f t="shared" si="8"/>
        <v>5.2667246159305225</v>
      </c>
      <c r="O16" s="157">
        <f t="shared" si="4"/>
        <v>0.13928612068314034</v>
      </c>
      <c r="P16">
        <f t="shared" si="9"/>
        <v>5.2667246159305225</v>
      </c>
      <c r="Q16" s="157">
        <f t="shared" si="5"/>
        <v>0.13609008849439716</v>
      </c>
      <c r="R16" s="157">
        <f t="shared" si="6"/>
        <v>0.1843103316046017</v>
      </c>
      <c r="S16" s="176">
        <f t="shared" si="7"/>
        <v>0.18571937128835544</v>
      </c>
      <c r="U16" s="61"/>
    </row>
    <row r="17" spans="2:21" x14ac:dyDescent="0.35">
      <c r="B17" s="68" t="s">
        <v>7</v>
      </c>
      <c r="C17" t="str" cm="1">
        <f t="array" ref="C17">_xll.FDS(B17,"FG_COMPANY_NAME")</f>
        <v>iShares MSCI Mexico ETF</v>
      </c>
      <c r="D17" t="s">
        <v>685</v>
      </c>
      <c r="E17" s="157">
        <f>HLOOKUP(B17,'Monthly Returns'!$A$1:$V$139,139,FALSE)</f>
        <v>0.25256660846007178</v>
      </c>
      <c r="F17">
        <f>VLOOKUP(B17,OUTPUT_COUNTRY!$B$7:$N$27, 9, FALSE)</f>
        <v>54.500000000000007</v>
      </c>
      <c r="G17" s="56">
        <f>VLOOKUP(B17,OUTPUT_COUNTRY!$B$7:$N$27, 7, FALSE)</f>
        <v>22.7</v>
      </c>
      <c r="H17">
        <f>VLOOKUP(B17,OUTPUT_COUNTRY!$B$7:$N$27, 8, FALSE)</f>
        <v>4.5</v>
      </c>
      <c r="I17">
        <f>VLOOKUP(B17,OUTPUT_COUNTRY!$B$7:$N$27, 11, FALSE)</f>
        <v>81.8</v>
      </c>
      <c r="J17" s="56">
        <f t="shared" si="0"/>
        <v>0</v>
      </c>
      <c r="K17" s="157">
        <f t="shared" si="1"/>
        <v>0</v>
      </c>
      <c r="L17">
        <f t="shared" si="2"/>
        <v>0</v>
      </c>
      <c r="M17" s="157">
        <f t="shared" si="3"/>
        <v>0</v>
      </c>
      <c r="N17">
        <f t="shared" si="8"/>
        <v>0</v>
      </c>
      <c r="O17" s="157">
        <f t="shared" si="4"/>
        <v>0</v>
      </c>
      <c r="P17">
        <f t="shared" si="9"/>
        <v>3.9593515789641285</v>
      </c>
      <c r="Q17" s="157">
        <f t="shared" si="5"/>
        <v>0.10230808444623023</v>
      </c>
      <c r="R17" s="157">
        <f t="shared" si="6"/>
        <v>1.0230808444623023E-2</v>
      </c>
      <c r="S17" s="176">
        <f t="shared" si="7"/>
        <v>1.0309022264596407E-2</v>
      </c>
      <c r="U17" s="61"/>
    </row>
    <row r="18" spans="2:21" x14ac:dyDescent="0.35">
      <c r="B18" s="68" t="s">
        <v>21</v>
      </c>
      <c r="C18" t="str" cm="1">
        <f t="array" ref="C18">_xll.FDS(B18,"FG_COMPANY_NAME")</f>
        <v>iShares MSCI South Korea ETF</v>
      </c>
      <c r="D18" t="s">
        <v>667</v>
      </c>
      <c r="E18" s="157">
        <f>HLOOKUP(B18,'Monthly Returns'!$A$1:$V$139,139,FALSE)</f>
        <v>0.24703635027433019</v>
      </c>
      <c r="F18">
        <f>VLOOKUP(B18,OUTPUT_COUNTRY!$B$7:$N$27, 9, FALSE)</f>
        <v>77.2</v>
      </c>
      <c r="G18" s="56">
        <f>VLOOKUP(B18,OUTPUT_COUNTRY!$B$7:$N$27, 7, FALSE)</f>
        <v>40.9</v>
      </c>
      <c r="H18">
        <f>VLOOKUP(B18,OUTPUT_COUNTRY!$B$7:$N$27, 8, FALSE)</f>
        <v>40.9</v>
      </c>
      <c r="I18">
        <f>VLOOKUP(B18,OUTPUT_COUNTRY!$B$7:$N$27, 11, FALSE)</f>
        <v>36.299999999999997</v>
      </c>
      <c r="J18" s="56">
        <f t="shared" si="0"/>
        <v>4.0479872653944042</v>
      </c>
      <c r="K18" s="157">
        <f t="shared" si="1"/>
        <v>0.15671252402748997</v>
      </c>
      <c r="L18">
        <f t="shared" si="2"/>
        <v>0</v>
      </c>
      <c r="M18" s="157">
        <f t="shared" si="3"/>
        <v>0</v>
      </c>
      <c r="N18">
        <f t="shared" si="8"/>
        <v>0</v>
      </c>
      <c r="O18" s="157">
        <f t="shared" si="4"/>
        <v>0</v>
      </c>
      <c r="P18">
        <f t="shared" si="9"/>
        <v>0</v>
      </c>
      <c r="Q18" s="157">
        <f t="shared" si="5"/>
        <v>0</v>
      </c>
      <c r="R18" s="157">
        <f t="shared" si="6"/>
        <v>7.8356262013744987E-2</v>
      </c>
      <c r="S18" s="176">
        <f t="shared" si="7"/>
        <v>7.8955290194567901E-2</v>
      </c>
      <c r="U18" s="61"/>
    </row>
    <row r="19" spans="2:21" x14ac:dyDescent="0.35">
      <c r="B19" s="68" t="s">
        <v>12</v>
      </c>
      <c r="C19" t="str" cm="1">
        <f t="array" ref="C19">_xll.FDS(B19,"FG_COMPANY_NAME")</f>
        <v>iShares MSCI Brazil ETF</v>
      </c>
      <c r="D19" t="s">
        <v>610</v>
      </c>
      <c r="E19" s="157">
        <f>HLOOKUP(B19,'Monthly Returns'!$A$1:$V$139,139,FALSE)</f>
        <v>0.34857899404333625</v>
      </c>
      <c r="F19">
        <f>VLOOKUP(B19,OUTPUT_COUNTRY!$B$7:$N$27, 9, FALSE)</f>
        <v>31.8</v>
      </c>
      <c r="G19" s="56">
        <f>VLOOKUP(B19,OUTPUT_COUNTRY!$B$7:$N$27, 7, FALSE)</f>
        <v>18.099999999999998</v>
      </c>
      <c r="H19">
        <f>VLOOKUP(B19,OUTPUT_COUNTRY!$B$7:$N$27, 8, FALSE)</f>
        <v>59</v>
      </c>
      <c r="I19">
        <f>VLOOKUP(B19,OUTPUT_COUNTRY!$B$7:$N$27, 11, FALSE)</f>
        <v>13.600000000000001</v>
      </c>
      <c r="J19" s="56">
        <f t="shared" si="0"/>
        <v>0</v>
      </c>
      <c r="K19" s="157">
        <f t="shared" si="1"/>
        <v>0</v>
      </c>
      <c r="L19">
        <f t="shared" si="2"/>
        <v>0</v>
      </c>
      <c r="M19" s="157">
        <f t="shared" si="3"/>
        <v>0</v>
      </c>
      <c r="N19">
        <f t="shared" si="8"/>
        <v>2.8687901941551801</v>
      </c>
      <c r="O19" s="157">
        <f t="shared" si="4"/>
        <v>7.5869289992696903E-2</v>
      </c>
      <c r="P19">
        <f t="shared" si="9"/>
        <v>0</v>
      </c>
      <c r="Q19" s="157">
        <f t="shared" si="5"/>
        <v>0</v>
      </c>
      <c r="R19" s="157">
        <f t="shared" si="6"/>
        <v>7.586928999269691E-3</v>
      </c>
      <c r="S19" s="176" t="str">
        <f t="shared" si="7"/>
        <v/>
      </c>
      <c r="U19" s="61"/>
    </row>
    <row r="20" spans="2:21" x14ac:dyDescent="0.35">
      <c r="B20" s="68" t="s">
        <v>22</v>
      </c>
      <c r="C20" t="str" cm="1">
        <f t="array" ref="C20">_xll.FDS(B20,"FG_COMPANY_NAME")</f>
        <v>iShares MSCI South Africa ETF</v>
      </c>
      <c r="D20" t="s">
        <v>720</v>
      </c>
      <c r="E20" s="157">
        <f>HLOOKUP(B20,'Monthly Returns'!$A$1:$V$139,139,FALSE)</f>
        <v>0.26752086022767657</v>
      </c>
      <c r="F20">
        <f>VLOOKUP(B20,OUTPUT_COUNTRY!$B$7:$N$27, 9, FALSE)</f>
        <v>9</v>
      </c>
      <c r="G20" s="56">
        <f>VLOOKUP(B20,OUTPUT_COUNTRY!$B$7:$N$27, 7, FALSE)</f>
        <v>40.9</v>
      </c>
      <c r="H20">
        <f>VLOOKUP(B20,OUTPUT_COUNTRY!$B$7:$N$27, 8, FALSE)</f>
        <v>4.5</v>
      </c>
      <c r="I20">
        <f>VLOOKUP(B20,OUTPUT_COUNTRY!$B$7:$N$27, 11, FALSE)</f>
        <v>18.099999999999998</v>
      </c>
      <c r="J20" s="56">
        <f t="shared" si="0"/>
        <v>0</v>
      </c>
      <c r="K20" s="157">
        <f t="shared" si="1"/>
        <v>0</v>
      </c>
      <c r="L20">
        <f t="shared" si="2"/>
        <v>0</v>
      </c>
      <c r="M20" s="157">
        <f t="shared" si="3"/>
        <v>0</v>
      </c>
      <c r="N20">
        <f t="shared" si="8"/>
        <v>0</v>
      </c>
      <c r="O20" s="157">
        <f t="shared" si="4"/>
        <v>0</v>
      </c>
      <c r="P20">
        <f t="shared" si="9"/>
        <v>0</v>
      </c>
      <c r="Q20" s="157">
        <f t="shared" si="5"/>
        <v>0</v>
      </c>
      <c r="R20" s="157" t="str">
        <f t="shared" si="6"/>
        <v/>
      </c>
      <c r="S20" s="176" t="str">
        <f t="shared" si="7"/>
        <v/>
      </c>
      <c r="U20" s="61"/>
    </row>
    <row r="21" spans="2:21" x14ac:dyDescent="0.35">
      <c r="B21" s="68" t="s">
        <v>28</v>
      </c>
      <c r="C21" t="str" cm="1">
        <f t="array" ref="C21">_xll.FDS(B21,"FG_COMPANY_NAME")</f>
        <v>Global X MSCI Greece ETF</v>
      </c>
      <c r="D21" t="s">
        <v>647</v>
      </c>
      <c r="E21" s="157">
        <f>HLOOKUP(B21,'Monthly Returns'!$A$1:$V$139,139,FALSE)</f>
        <v>0.30083834948728633</v>
      </c>
      <c r="F21">
        <f>VLOOKUP(B21,OUTPUT_COUNTRY!$B$7:$N$27, 9, FALSE)</f>
        <v>68.100000000000009</v>
      </c>
      <c r="G21" s="56">
        <f>VLOOKUP(B21,OUTPUT_COUNTRY!$B$7:$N$27, 7, FALSE)</f>
        <v>31.8</v>
      </c>
      <c r="H21">
        <f>VLOOKUP(B21,OUTPUT_COUNTRY!$B$7:$N$27, 8, FALSE)</f>
        <v>40.9</v>
      </c>
      <c r="I21">
        <f>VLOOKUP(B21,OUTPUT_COUNTRY!$B$7:$N$27, 11, FALSE)</f>
        <v>31.8</v>
      </c>
      <c r="J21" s="56">
        <f t="shared" si="0"/>
        <v>0</v>
      </c>
      <c r="K21" s="157">
        <f t="shared" si="1"/>
        <v>0</v>
      </c>
      <c r="L21">
        <f t="shared" si="2"/>
        <v>0</v>
      </c>
      <c r="M21" s="157">
        <f t="shared" si="3"/>
        <v>0</v>
      </c>
      <c r="N21">
        <f t="shared" si="8"/>
        <v>0</v>
      </c>
      <c r="O21" s="157">
        <f t="shared" si="4"/>
        <v>0</v>
      </c>
      <c r="P21">
        <f t="shared" si="9"/>
        <v>0</v>
      </c>
      <c r="Q21" s="157">
        <f t="shared" si="5"/>
        <v>0</v>
      </c>
      <c r="R21" s="157" t="str">
        <f t="shared" si="6"/>
        <v/>
      </c>
      <c r="S21" s="176" t="str">
        <f t="shared" si="7"/>
        <v/>
      </c>
      <c r="U21" s="61"/>
    </row>
    <row r="22" spans="2:21" x14ac:dyDescent="0.35">
      <c r="B22" s="68" t="s">
        <v>32</v>
      </c>
      <c r="C22" t="str" cm="1">
        <f t="array" ref="C22">_xll.FDS(B22,"FG_COMPANY_NAME")</f>
        <v>iShares MSCI India ETF</v>
      </c>
      <c r="D22" t="s">
        <v>657</v>
      </c>
      <c r="E22" s="157">
        <f>HLOOKUP(B22,'Monthly Returns'!$A$1:$V$139,139,FALSE)</f>
        <v>0.17569312868590031</v>
      </c>
      <c r="F22">
        <f>VLOOKUP(B22,OUTPUT_COUNTRY!$B$7:$N$27, 9, FALSE)</f>
        <v>63.6</v>
      </c>
      <c r="G22" s="56">
        <f>VLOOKUP(B22,OUTPUT_COUNTRY!$B$7:$N$27, 7, FALSE)</f>
        <v>54.500000000000007</v>
      </c>
      <c r="H22">
        <f>VLOOKUP(B22,OUTPUT_COUNTRY!$B$7:$N$27, 8, FALSE)</f>
        <v>4.5</v>
      </c>
      <c r="I22">
        <f>VLOOKUP(B22,OUTPUT_COUNTRY!$B$7:$N$27, 11, FALSE)</f>
        <v>68.100000000000009</v>
      </c>
      <c r="J22" s="56">
        <f t="shared" si="0"/>
        <v>0</v>
      </c>
      <c r="K22" s="157">
        <f t="shared" si="1"/>
        <v>0</v>
      </c>
      <c r="L22">
        <f t="shared" si="2"/>
        <v>0</v>
      </c>
      <c r="M22" s="157">
        <f t="shared" si="3"/>
        <v>0</v>
      </c>
      <c r="N22">
        <f t="shared" si="8"/>
        <v>0</v>
      </c>
      <c r="O22" s="157">
        <f t="shared" si="4"/>
        <v>0</v>
      </c>
      <c r="P22">
        <f t="shared" si="9"/>
        <v>5.6917422296450448</v>
      </c>
      <c r="Q22" s="157">
        <f t="shared" si="5"/>
        <v>0.14707237613615715</v>
      </c>
      <c r="R22" s="157">
        <f t="shared" si="6"/>
        <v>1.4707237613615715E-2</v>
      </c>
      <c r="S22" s="176">
        <f t="shared" si="7"/>
        <v>1.4819673423673489E-2</v>
      </c>
      <c r="U22" s="61"/>
    </row>
    <row r="23" spans="2:21" x14ac:dyDescent="0.35">
      <c r="B23" s="68" t="s">
        <v>26</v>
      </c>
      <c r="C23" t="str" cm="1">
        <f t="array" ref="C23">_xll.FDS(B23,"FG_COMPANY_NAME")</f>
        <v>iShares MSCI China ETF</v>
      </c>
      <c r="D23" t="s">
        <v>622</v>
      </c>
      <c r="E23" s="157">
        <f>HLOOKUP(B23,'Monthly Returns'!$A$1:$V$139,139,FALSE)</f>
        <v>0.24450203627856049</v>
      </c>
      <c r="F23">
        <f>VLOOKUP(B23,OUTPUT_COUNTRY!$B$7:$N$27, 9, FALSE)</f>
        <v>13.600000000000001</v>
      </c>
      <c r="G23" s="56">
        <f>VLOOKUP(B23,OUTPUT_COUNTRY!$B$7:$N$27, 7, FALSE)</f>
        <v>90.9</v>
      </c>
      <c r="H23">
        <f>VLOOKUP(B23,OUTPUT_COUNTRY!$B$7:$N$27, 8, FALSE)</f>
        <v>90.9</v>
      </c>
      <c r="I23">
        <f>VLOOKUP(B23,OUTPUT_COUNTRY!$B$7:$N$27, 11, FALSE)</f>
        <v>50</v>
      </c>
      <c r="J23" s="56">
        <f t="shared" si="0"/>
        <v>0</v>
      </c>
      <c r="K23" s="157">
        <f t="shared" si="1"/>
        <v>0</v>
      </c>
      <c r="L23">
        <f t="shared" si="2"/>
        <v>4.0899454876551733</v>
      </c>
      <c r="M23" s="157">
        <f t="shared" si="3"/>
        <v>0.14191835277253173</v>
      </c>
      <c r="N23">
        <f t="shared" si="8"/>
        <v>4.0899454876551733</v>
      </c>
      <c r="O23" s="157">
        <f t="shared" si="4"/>
        <v>0.10816450115084557</v>
      </c>
      <c r="P23">
        <f t="shared" si="9"/>
        <v>0</v>
      </c>
      <c r="Q23" s="157">
        <f t="shared" si="5"/>
        <v>0</v>
      </c>
      <c r="R23" s="157">
        <f t="shared" si="6"/>
        <v>5.3391955946844073E-2</v>
      </c>
      <c r="S23" s="176">
        <f t="shared" si="7"/>
        <v>5.3800133741693512E-2</v>
      </c>
      <c r="U23" s="61"/>
    </row>
    <row r="24" spans="2:21" x14ac:dyDescent="0.35">
      <c r="B24" s="68" t="s">
        <v>31</v>
      </c>
      <c r="C24" t="str" cm="1">
        <f t="array" ref="C24">_xll.FDS(B24,"FG_COMPANY_NAME")</f>
        <v>iShares MSCI Qatar ETF</v>
      </c>
      <c r="D24" t="s">
        <v>709</v>
      </c>
      <c r="E24" s="157">
        <f>HLOOKUP(B24,'Monthly Returns'!$A$1:$V$139,139,FALSE)</f>
        <v>0.19601731104358291</v>
      </c>
      <c r="F24">
        <f>VLOOKUP(B24,OUTPUT_COUNTRY!$B$7:$N$27, 9, FALSE)</f>
        <v>36.299999999999997</v>
      </c>
      <c r="G24" s="56">
        <f>VLOOKUP(B24,OUTPUT_COUNTRY!$B$7:$N$27, 7, FALSE)</f>
        <v>72.7</v>
      </c>
      <c r="H24">
        <f>VLOOKUP(B24,OUTPUT_COUNTRY!$B$7:$N$27, 8, FALSE)</f>
        <v>4.5</v>
      </c>
      <c r="I24">
        <f>VLOOKUP(B24,OUTPUT_COUNTRY!$B$7:$N$27, 11, FALSE)</f>
        <v>90.9</v>
      </c>
      <c r="J24" s="56">
        <f t="shared" si="0"/>
        <v>0</v>
      </c>
      <c r="K24" s="157">
        <f t="shared" si="1"/>
        <v>0</v>
      </c>
      <c r="L24">
        <f t="shared" si="2"/>
        <v>5.1015902354545508</v>
      </c>
      <c r="M24" s="157">
        <f t="shared" si="3"/>
        <v>0.17702174391356679</v>
      </c>
      <c r="N24">
        <f t="shared" si="8"/>
        <v>0</v>
      </c>
      <c r="O24" s="157">
        <f t="shared" si="4"/>
        <v>0</v>
      </c>
      <c r="P24">
        <f t="shared" si="9"/>
        <v>5.1015902354545508</v>
      </c>
      <c r="Q24" s="157">
        <f t="shared" si="5"/>
        <v>0.1318230811812624</v>
      </c>
      <c r="R24" s="157">
        <f t="shared" si="6"/>
        <v>6.6288831292196274E-2</v>
      </c>
      <c r="S24" s="176">
        <f t="shared" si="7"/>
        <v>6.6795604803302197E-2</v>
      </c>
      <c r="U24" s="61"/>
    </row>
    <row r="25" spans="2:21" x14ac:dyDescent="0.35">
      <c r="B25" s="68" t="s">
        <v>764</v>
      </c>
      <c r="C25" t="str" cm="1">
        <f t="array" ref="C25">_xll.FDS(B25,"FG_COMPANY_NAME")</f>
        <v>Thailand SET</v>
      </c>
      <c r="D25" t="s">
        <v>730</v>
      </c>
      <c r="E25" s="157">
        <f>HLOOKUP(B25,'Monthly Returns'!$A$1:$V$139,139,FALSE)</f>
        <v>0.16065709402254297</v>
      </c>
      <c r="F25">
        <f>VLOOKUP(B25,OUTPUT_COUNTRY!$B$7:$N$27, 9, FALSE)</f>
        <v>50</v>
      </c>
      <c r="G25" s="56">
        <f>VLOOKUP(B25,OUTPUT_COUNTRY!$B$7:$N$27, 7, FALSE)</f>
        <v>81.8</v>
      </c>
      <c r="H25">
        <f>VLOOKUP(B25,OUTPUT_COUNTRY!$B$7:$N$27, 8, FALSE)</f>
        <v>59</v>
      </c>
      <c r="I25">
        <f>VLOOKUP(B25,OUTPUT_COUNTRY!$B$7:$N$27, 11, FALSE)</f>
        <v>27.200000000000003</v>
      </c>
      <c r="J25" s="56">
        <f t="shared" si="0"/>
        <v>0</v>
      </c>
      <c r="K25" s="157">
        <f t="shared" si="1"/>
        <v>0</v>
      </c>
      <c r="L25">
        <f t="shared" si="2"/>
        <v>6.224437246821374</v>
      </c>
      <c r="M25" s="157">
        <f t="shared" si="3"/>
        <v>0.21598377867655308</v>
      </c>
      <c r="N25">
        <f t="shared" si="8"/>
        <v>6.224437246821374</v>
      </c>
      <c r="O25" s="157">
        <f t="shared" si="4"/>
        <v>0.16461421106450208</v>
      </c>
      <c r="P25">
        <f t="shared" si="9"/>
        <v>0</v>
      </c>
      <c r="Q25" s="157">
        <f t="shared" si="5"/>
        <v>0</v>
      </c>
      <c r="R25" s="157">
        <f t="shared" si="6"/>
        <v>8.1256554709416132E-2</v>
      </c>
      <c r="S25" s="176">
        <f t="shared" si="7"/>
        <v>8.1877755426456214E-2</v>
      </c>
      <c r="U25" s="61"/>
    </row>
    <row r="26" spans="2:21" x14ac:dyDescent="0.35">
      <c r="B26" s="68" t="s">
        <v>25</v>
      </c>
      <c r="C26" t="str" cm="1">
        <f t="array" ref="C26">_xll.FDS(B26,"FG_COMPANY_NAME")</f>
        <v>iShares MSCI Turkey ETF</v>
      </c>
      <c r="D26" t="s">
        <v>734</v>
      </c>
      <c r="E26" s="157">
        <f>HLOOKUP(B26,'Monthly Returns'!$A$1:$V$139,139,FALSE)</f>
        <v>0.32629462584446117</v>
      </c>
      <c r="F26">
        <f>VLOOKUP(B26,OUTPUT_COUNTRY!$B$7:$N$27, 9, FALSE)</f>
        <v>18.099999999999998</v>
      </c>
      <c r="G26" s="56">
        <f>VLOOKUP(B26,OUTPUT_COUNTRY!$B$7:$N$27, 7, FALSE)</f>
        <v>36.299999999999997</v>
      </c>
      <c r="H26">
        <f>VLOOKUP(B26,OUTPUT_COUNTRY!$B$7:$N$27, 8, FALSE)</f>
        <v>4.5</v>
      </c>
      <c r="I26">
        <f>VLOOKUP(B26,OUTPUT_COUNTRY!$B$7:$N$27, 11, FALSE)</f>
        <v>4.5</v>
      </c>
      <c r="J26" s="56">
        <f t="shared" si="0"/>
        <v>0</v>
      </c>
      <c r="K26" s="157">
        <f t="shared" si="1"/>
        <v>0</v>
      </c>
      <c r="L26">
        <f t="shared" si="2"/>
        <v>0</v>
      </c>
      <c r="M26" s="157">
        <f t="shared" si="3"/>
        <v>0</v>
      </c>
      <c r="N26">
        <f t="shared" si="8"/>
        <v>0</v>
      </c>
      <c r="O26" s="157">
        <f t="shared" si="4"/>
        <v>0</v>
      </c>
      <c r="P26">
        <f t="shared" si="9"/>
        <v>0</v>
      </c>
      <c r="Q26" s="157">
        <f t="shared" si="5"/>
        <v>0</v>
      </c>
      <c r="R26" s="157" t="str">
        <f t="shared" si="6"/>
        <v/>
      </c>
      <c r="S26" s="176" t="str">
        <f t="shared" si="7"/>
        <v/>
      </c>
      <c r="U26" s="61"/>
    </row>
    <row r="27" spans="2:21" x14ac:dyDescent="0.35">
      <c r="B27" s="68" t="s">
        <v>34</v>
      </c>
      <c r="C27" t="str" cm="1">
        <f t="array" ref="C27">_xll.FDS(B27,"FG_COMPANY_NAME")</f>
        <v>iShares MSCI UAE ETF</v>
      </c>
      <c r="D27" t="s">
        <v>738</v>
      </c>
      <c r="E27" s="157">
        <f>HLOOKUP(B27,'Monthly Returns'!$A$1:$V$139,139,FALSE)</f>
        <v>0.18862268101258445</v>
      </c>
      <c r="F27">
        <f>VLOOKUP(B27,OUTPUT_COUNTRY!$B$7:$N$27, 9, FALSE)</f>
        <v>40.9</v>
      </c>
      <c r="G27" s="56">
        <f>VLOOKUP(B27,OUTPUT_COUNTRY!$B$7:$N$27, 7, FALSE)</f>
        <v>59</v>
      </c>
      <c r="H27">
        <f>VLOOKUP(B27,OUTPUT_COUNTRY!$B$7:$N$27, 8, FALSE)</f>
        <v>4.5</v>
      </c>
      <c r="I27">
        <f>VLOOKUP(B27,OUTPUT_COUNTRY!$B$7:$N$27, 11, FALSE)</f>
        <v>95.399999999999991</v>
      </c>
      <c r="J27" s="56">
        <f t="shared" si="0"/>
        <v>0</v>
      </c>
      <c r="K27" s="157">
        <f t="shared" si="1"/>
        <v>0</v>
      </c>
      <c r="L27">
        <f t="shared" si="2"/>
        <v>0</v>
      </c>
      <c r="M27" s="157">
        <f t="shared" si="3"/>
        <v>0</v>
      </c>
      <c r="N27">
        <f t="shared" si="8"/>
        <v>0</v>
      </c>
      <c r="O27" s="157">
        <f t="shared" si="4"/>
        <v>0</v>
      </c>
      <c r="P27">
        <f t="shared" si="9"/>
        <v>5.3015893668337926</v>
      </c>
      <c r="Q27" s="157">
        <f t="shared" si="5"/>
        <v>0.13699097991777051</v>
      </c>
      <c r="R27" s="157">
        <f t="shared" si="6"/>
        <v>1.3699097991777051E-2</v>
      </c>
      <c r="S27" s="176">
        <f t="shared" si="7"/>
        <v>1.3803826644446694E-2</v>
      </c>
      <c r="U27" s="61"/>
    </row>
    <row r="28" spans="2:21" x14ac:dyDescent="0.35">
      <c r="B28" s="68" t="s">
        <v>37</v>
      </c>
      <c r="C28" t="str" cm="1">
        <f t="array" ref="C28">_xll.FDS(B28,"FG_COMPANY_NAME")</f>
        <v>VanEck Vietnam ETF</v>
      </c>
      <c r="D28" t="s">
        <v>743</v>
      </c>
      <c r="E28" s="157">
        <f>HLOOKUP(B28,'Monthly Returns'!$A$1:$V$139,139,FALSE)</f>
        <v>0.22881956739696482</v>
      </c>
      <c r="F28">
        <f>VLOOKUP(B28,OUTPUT_COUNTRY!$B$7:$N$27, 9, FALSE)</f>
        <v>22.7</v>
      </c>
      <c r="G28" s="56">
        <f>VLOOKUP(B28,OUTPUT_COUNTRY!$B$7:$N$27, 7, FALSE)</f>
        <v>9</v>
      </c>
      <c r="H28">
        <f>VLOOKUP(B28,OUTPUT_COUNTRY!$B$7:$N$27, 8, FALSE)</f>
        <v>86.3</v>
      </c>
      <c r="I28">
        <f>VLOOKUP(B28,OUTPUT_COUNTRY!$B$7:$N$27, 11, FALSE)</f>
        <v>22.7</v>
      </c>
      <c r="J28" s="56">
        <f t="shared" si="0"/>
        <v>0</v>
      </c>
      <c r="K28" s="157">
        <f t="shared" si="1"/>
        <v>0</v>
      </c>
      <c r="L28">
        <f t="shared" si="2"/>
        <v>0</v>
      </c>
      <c r="M28" s="157">
        <f t="shared" si="3"/>
        <v>0</v>
      </c>
      <c r="N28">
        <f t="shared" si="8"/>
        <v>4.37025561832814</v>
      </c>
      <c r="O28" s="157">
        <f t="shared" si="4"/>
        <v>0.11557770642296583</v>
      </c>
      <c r="P28">
        <f t="shared" si="9"/>
        <v>0</v>
      </c>
      <c r="Q28" s="157">
        <f t="shared" si="5"/>
        <v>0</v>
      </c>
      <c r="R28" s="157">
        <f t="shared" si="6"/>
        <v>1.1557770642296584E-2</v>
      </c>
      <c r="S28" s="176">
        <f t="shared" si="7"/>
        <v>1.1646128996106378E-2</v>
      </c>
      <c r="U28" s="61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713</v>
      </c>
      <c r="E29" s="158">
        <f>HLOOKUP(B29,'Monthly Returns'!$A$1:$V$139,139,FALSE)</f>
        <v>0.19887403587219316</v>
      </c>
      <c r="F29" s="13">
        <f>VLOOKUP(B29,OUTPUT_COUNTRY!$B$7:$N$27, 9, FALSE)</f>
        <v>95.399999999999991</v>
      </c>
      <c r="G29" s="159">
        <f>VLOOKUP(B29,OUTPUT_COUNTRY!$B$7:$N$27, 7, FALSE)</f>
        <v>27.200000000000003</v>
      </c>
      <c r="H29" s="13">
        <f>VLOOKUP(B29,OUTPUT_COUNTRY!$B$7:$N$27, 8, FALSE)</f>
        <v>40.9</v>
      </c>
      <c r="I29" s="13">
        <f>VLOOKUP(B29,OUTPUT_COUNTRY!$B$7:$N$27, 11, FALSE)</f>
        <v>86.3</v>
      </c>
      <c r="J29" s="159">
        <f t="shared" si="0"/>
        <v>5.028308474831034</v>
      </c>
      <c r="K29" s="158">
        <f t="shared" si="1"/>
        <v>0.19466437540850651</v>
      </c>
      <c r="L29" s="13">
        <f t="shared" si="2"/>
        <v>0</v>
      </c>
      <c r="M29" s="158">
        <f t="shared" si="3"/>
        <v>0</v>
      </c>
      <c r="N29" s="13">
        <f t="shared" si="8"/>
        <v>0</v>
      </c>
      <c r="O29" s="158">
        <f t="shared" si="4"/>
        <v>0</v>
      </c>
      <c r="P29" s="13">
        <f t="shared" si="9"/>
        <v>5.028308474831034</v>
      </c>
      <c r="Q29" s="158">
        <f t="shared" si="5"/>
        <v>0.12992950936660666</v>
      </c>
      <c r="R29" s="158">
        <f t="shared" si="6"/>
        <v>0.11032513864091392</v>
      </c>
      <c r="S29" s="177">
        <f t="shared" si="7"/>
        <v>0.11116856666313772</v>
      </c>
      <c r="U29" s="61"/>
    </row>
    <row r="30" spans="2:21" x14ac:dyDescent="0.35">
      <c r="J30" s="56">
        <f>SUM(J9:J29)</f>
        <v>25.830655785266529</v>
      </c>
      <c r="L30" s="56">
        <f>SUM(L9:L29)</f>
        <v>28.819003375909965</v>
      </c>
      <c r="N30">
        <f>SUM(N9:N29)</f>
        <v>37.812271532148607</v>
      </c>
      <c r="P30">
        <f>SUM(P9:P29)</f>
        <v>38.700280631732809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N11" sqref="N11"/>
    </sheetView>
  </sheetViews>
  <sheetFormatPr defaultRowHeight="14.5" x14ac:dyDescent="0.35"/>
  <cols>
    <col min="3" max="3" width="8.36328125" bestFit="1" customWidth="1"/>
    <col min="4" max="4" width="34.36328125" bestFit="1" customWidth="1"/>
    <col min="5" max="5" width="9.6328125" customWidth="1"/>
    <col min="6" max="6" width="8.6328125" bestFit="1" customWidth="1"/>
    <col min="7" max="7" width="8" customWidth="1"/>
    <col min="8" max="8" width="14.36328125" customWidth="1"/>
    <col min="9" max="9" width="11.453125" customWidth="1"/>
    <col min="10" max="10" width="12.90625" customWidth="1"/>
    <col min="11" max="11" width="13.08984375" customWidth="1"/>
    <col min="12" max="12" width="17" customWidth="1"/>
  </cols>
  <sheetData>
    <row r="2" spans="3:12" x14ac:dyDescent="0.35">
      <c r="C2" s="199" t="s">
        <v>562</v>
      </c>
      <c r="D2" s="200"/>
      <c r="E2" s="204" t="s">
        <v>809</v>
      </c>
      <c r="F2" s="205"/>
      <c r="G2" s="206"/>
      <c r="H2" s="207" t="s">
        <v>809</v>
      </c>
      <c r="I2" s="197" t="s">
        <v>564</v>
      </c>
      <c r="J2" s="199" t="s">
        <v>561</v>
      </c>
      <c r="K2" s="197" t="s">
        <v>567</v>
      </c>
      <c r="L2" s="197" t="s">
        <v>757</v>
      </c>
    </row>
    <row r="3" spans="3:12" x14ac:dyDescent="0.35">
      <c r="C3" s="201"/>
      <c r="D3" s="202"/>
      <c r="E3" s="180" t="s">
        <v>563</v>
      </c>
      <c r="F3" s="180" t="s">
        <v>565</v>
      </c>
      <c r="G3" s="180" t="s">
        <v>566</v>
      </c>
      <c r="H3" s="208"/>
      <c r="I3" s="210"/>
      <c r="J3" s="211"/>
      <c r="K3" s="210"/>
      <c r="L3" s="210"/>
    </row>
    <row r="4" spans="3:12" x14ac:dyDescent="0.35">
      <c r="C4" s="90" t="s">
        <v>24</v>
      </c>
      <c r="D4" s="92" t="s">
        <v>40</v>
      </c>
      <c r="E4" s="136" t="str">
        <f>IF(VLOOKUP(C4,OUTPUT_COUNTRY!$B$7:$N$27,3,FALSE)&gt;75,"++",(IF(VLOOKUP(C4,OUTPUT_COUNTRY!$B$7:$N$27,3,FALSE)&gt;50,"+",(IF(VLOOKUP(C4,OUTPUT_COUNTRY!$B$7:$N$27,3,FALSE)&gt;25,"-","--")))))</f>
        <v>-</v>
      </c>
      <c r="F4" s="136" t="str">
        <f>IF(VLOOKUP(C4,OUTPUT_COUNTRY!$B$7:$N$27,4,FALSE)&gt;75,"++",(IF(VLOOKUP(C4,OUTPUT_COUNTRY!$B$7:$N$27,4,FALSE)&gt;50,"+",(IF(VLOOKUP(C4,OUTPUT_COUNTRY!$B$7:$N$27,4,FALSE)&gt;25,"-","--")))))</f>
        <v>++</v>
      </c>
      <c r="G4" s="138" t="str">
        <f>IF(VLOOKUP(C4,OUTPUT_COUNTRY!$B$7:$N$27,5,FALSE)&gt;75,"++",(IF(VLOOKUP(C4,OUTPUT_COUNTRY!$B$7:$N$27,5,FALSE)&gt;50,"+",(IF(VLOOKUP(C4,OUTPUT_COUNTRY!$B$7:$N$27,5,FALSE)&gt;25,"-","--")))))</f>
        <v>++</v>
      </c>
      <c r="H4" s="134" t="str">
        <f>IF(VLOOKUP(C4,OUTPUT_COUNTRY!$B$7:$N$27,7,FALSE)&gt;75,"++",(IF(VLOOKUP(C4,OUTPUT_COUNTRY!$B$7:$N$27,7,FALSE)&gt;50,"+",(IF(VLOOKUP(C4,OUTPUT_COUNTRY!$B$7:$N$27,7,FALSE)&gt;25,"-","--")))))</f>
        <v>++</v>
      </c>
      <c r="I4" s="134" t="str">
        <f>IF(VLOOKUP(C4,OUTPUT_COUNTRY!$B$7:$N$27,8,FALSE)&gt;75,"++",(IF(VLOOKUP(C4,OUTPUT_COUNTRY!$B$7:$N$27,8,FALSE)&gt;50,"+",(IF(VLOOKUP(C4,OUTPUT_COUNTRY!$B$7:$N$27,8,FALSE)&gt;25,"-","--")))))</f>
        <v>+</v>
      </c>
      <c r="J4" s="134" t="str">
        <f>IF(VLOOKUP(C4,OUTPUT_COUNTRY!$B$7:$N$27,9,FALSE)&gt;75,"++",(IF(VLOOKUP(C4,OUTPUT_COUNTRY!$B$7:$N$27,9,FALSE)&gt;50,"+",(IF(VLOOKUP(C4,OUTPUT_COUNTRY!$B$7:$N$27,9,FALSE)&gt;25,"-","--")))))</f>
        <v>++</v>
      </c>
      <c r="K4" s="134" t="str">
        <f>IF(VLOOKUP(C4,OUTPUT_COUNTRY!$B$7:$N$27,11,FALSE)&gt;75,"++",(IF(VLOOKUP(C4,OUTPUT_COUNTRY!$B$7:$N$27,11,FALSE)&gt;50,"+",(IF(VLOOKUP(C4,OUTPUT_COUNTRY!$B$7:$N$27,11,FALSE)&gt;25,"-","--")))))</f>
        <v>++</v>
      </c>
      <c r="L4" s="135" t="str">
        <f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90" t="s">
        <v>37</v>
      </c>
      <c r="D5" s="92" t="s">
        <v>453</v>
      </c>
      <c r="E5" s="136" t="str">
        <f>IF(VLOOKUP(C5,OUTPUT_COUNTRY!$B$7:$N$27,3,FALSE)&gt;75,"++",(IF(VLOOKUP(C5,OUTPUT_COUNTRY!$B$7:$N$27,3,FALSE)&gt;50,"+",(IF(VLOOKUP(C5,OUTPUT_COUNTRY!$B$7:$N$27,3,FALSE)&gt;25,"-","--")))))</f>
        <v>-</v>
      </c>
      <c r="F5" s="136" t="str">
        <f>IF(VLOOKUP(C5,OUTPUT_COUNTRY!$B$7:$N$27,4,FALSE)&gt;75,"++",(IF(VLOOKUP(C5,OUTPUT_COUNTRY!$B$7:$N$27,4,FALSE)&gt;50,"+",(IF(VLOOKUP(C5,OUTPUT_COUNTRY!$B$7:$N$27,4,FALSE)&gt;25,"-","--")))))</f>
        <v>--</v>
      </c>
      <c r="G5" s="138" t="str">
        <f>IF(VLOOKUP(C5,OUTPUT_COUNTRY!$B$7:$N$27,5,FALSE)&gt;75,"++",(IF(VLOOKUP(C5,OUTPUT_COUNTRY!$B$7:$N$27,5,FALSE)&gt;50,"+",(IF(VLOOKUP(C5,OUTPUT_COUNTRY!$B$7:$N$27,5,FALSE)&gt;25,"-","--")))))</f>
        <v>--</v>
      </c>
      <c r="H5" s="138" t="str">
        <f>IF(VLOOKUP(C5,OUTPUT_COUNTRY!$B$7:$N$27,7,FALSE)&gt;75,"++",(IF(VLOOKUP(C5,OUTPUT_COUNTRY!$B$7:$N$27,7,FALSE)&gt;50,"+",(IF(VLOOKUP(C5,OUTPUT_COUNTRY!$B$7:$N$27,7,FALSE)&gt;25,"-","--")))))</f>
        <v>--</v>
      </c>
      <c r="I5" s="138" t="str">
        <f>IF(VLOOKUP(C5,OUTPUT_COUNTRY!$B$7:$N$27,8,FALSE)&gt;75,"++",(IF(VLOOKUP(C5,OUTPUT_COUNTRY!$B$7:$N$27,8,FALSE)&gt;50,"+",(IF(VLOOKUP(C5,OUTPUT_COUNTRY!$B$7:$N$27,8,FALSE)&gt;25,"-","--")))))</f>
        <v>++</v>
      </c>
      <c r="J5" s="138" t="str">
        <f>IF(VLOOKUP(C5,OUTPUT_COUNTRY!$B$7:$N$27,9,FALSE)&gt;75,"++",(IF(VLOOKUP(C5,OUTPUT_COUNTRY!$B$7:$N$27,9,FALSE)&gt;50,"+",(IF(VLOOKUP(C5,OUTPUT_COUNTRY!$B$7:$N$27,9,FALSE)&gt;25,"-","--")))))</f>
        <v>--</v>
      </c>
      <c r="K5" s="138" t="str">
        <f>IF(VLOOKUP(C5,OUTPUT_COUNTRY!$B$7:$N$27,11,FALSE)&gt;75,"++",(IF(VLOOKUP(C5,OUTPUT_COUNTRY!$B$7:$N$27,11,FALSE)&gt;50,"+",(IF(VLOOKUP(C5,OUTPUT_COUNTRY!$B$7:$N$27,11,FALSE)&gt;25,"-","--")))))</f>
        <v>--</v>
      </c>
      <c r="L5" s="136" t="str">
        <f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90" t="s">
        <v>36</v>
      </c>
      <c r="D6" s="92" t="s">
        <v>454</v>
      </c>
      <c r="E6" s="136" t="str">
        <f>IF(VLOOKUP(C6,OUTPUT_COUNTRY!$B$7:$N$27,3,FALSE)&gt;75,"++",(IF(VLOOKUP(C6,OUTPUT_COUNTRY!$B$7:$N$27,3,FALSE)&gt;50,"+",(IF(VLOOKUP(C6,OUTPUT_COUNTRY!$B$7:$N$27,3,FALSE)&gt;25,"-","--")))))</f>
        <v>--</v>
      </c>
      <c r="F6" s="136" t="str">
        <f>IF(VLOOKUP(C6,OUTPUT_COUNTRY!$B$7:$N$27,4,FALSE)&gt;75,"++",(IF(VLOOKUP(C6,OUTPUT_COUNTRY!$B$7:$N$27,4,FALSE)&gt;50,"+",(IF(VLOOKUP(C6,OUTPUT_COUNTRY!$B$7:$N$27,4,FALSE)&gt;25,"-","--")))))</f>
        <v>-</v>
      </c>
      <c r="G6" s="138" t="str">
        <f>IF(VLOOKUP(C6,OUTPUT_COUNTRY!$B$7:$N$27,5,FALSE)&gt;75,"++",(IF(VLOOKUP(C6,OUTPUT_COUNTRY!$B$7:$N$27,5,FALSE)&gt;50,"+",(IF(VLOOKUP(C6,OUTPUT_COUNTRY!$B$7:$N$27,5,FALSE)&gt;25,"-","--")))))</f>
        <v>+</v>
      </c>
      <c r="H6" s="138" t="str">
        <f>IF(VLOOKUP(C6,OUTPUT_COUNTRY!$B$7:$N$27,7,FALSE)&gt;75,"++",(IF(VLOOKUP(C6,OUTPUT_COUNTRY!$B$7:$N$27,7,FALSE)&gt;50,"+",(IF(VLOOKUP(C6,OUTPUT_COUNTRY!$B$7:$N$27,7,FALSE)&gt;25,"-","--")))))</f>
        <v>-</v>
      </c>
      <c r="I6" s="138" t="str">
        <f>IF(VLOOKUP(C6,OUTPUT_COUNTRY!$B$7:$N$27,8,FALSE)&gt;75,"++",(IF(VLOOKUP(C6,OUTPUT_COUNTRY!$B$7:$N$27,8,FALSE)&gt;50,"+",(IF(VLOOKUP(C6,OUTPUT_COUNTRY!$B$7:$N$27,8,FALSE)&gt;25,"-","--")))))</f>
        <v>-</v>
      </c>
      <c r="J6" s="138" t="str">
        <f>IF(VLOOKUP(C6,OUTPUT_COUNTRY!$B$7:$N$27,9,FALSE)&gt;75,"++",(IF(VLOOKUP(C6,OUTPUT_COUNTRY!$B$7:$N$27,9,FALSE)&gt;50,"+",(IF(VLOOKUP(C6,OUTPUT_COUNTRY!$B$7:$N$27,9,FALSE)&gt;25,"-","--")))))</f>
        <v>++</v>
      </c>
      <c r="K6" s="138" t="str">
        <f>IF(VLOOKUP(C6,OUTPUT_COUNTRY!$B$7:$N$27,11,FALSE)&gt;75,"++",(IF(VLOOKUP(C6,OUTPUT_COUNTRY!$B$7:$N$27,11,FALSE)&gt;50,"+",(IF(VLOOKUP(C6,OUTPUT_COUNTRY!$B$7:$N$27,11,FALSE)&gt;25,"-","--")))))</f>
        <v>++</v>
      </c>
      <c r="L6" s="136" t="str">
        <f>IF(VLOOKUP(C6,OUTPUT_COUNTRY!$B$7:$N$27,13,FALSE)&gt;75,"++",(IF(VLOOKUP(C6,OUTPUT_COUNTRY!$B$7:$N$27,13,FALSE)&gt;50,"+",(IF(VLOOKUP(C6,OUTPUT_COUNTRY!$B$7:$N$27,13,FALSE)&gt;25,"-","--")))))</f>
        <v>++</v>
      </c>
    </row>
    <row r="7" spans="3:12" x14ac:dyDescent="0.35">
      <c r="C7" s="90" t="s">
        <v>764</v>
      </c>
      <c r="D7" s="92" t="s">
        <v>765</v>
      </c>
      <c r="E7" s="136" t="str">
        <f>IF(VLOOKUP(C7,OUTPUT_COUNTRY!$B$7:$N$27,3,FALSE)&gt;75,"++",(IF(VLOOKUP(C7,OUTPUT_COUNTRY!$B$7:$N$27,3,FALSE)&gt;50,"+",(IF(VLOOKUP(C7,OUTPUT_COUNTRY!$B$7:$N$27,3,FALSE)&gt;25,"-","--")))))</f>
        <v>-</v>
      </c>
      <c r="F7" s="136" t="str">
        <f>IF(VLOOKUP(C7,OUTPUT_COUNTRY!$B$7:$N$27,4,FALSE)&gt;75,"++",(IF(VLOOKUP(C7,OUTPUT_COUNTRY!$B$7:$N$27,4,FALSE)&gt;50,"+",(IF(VLOOKUP(C7,OUTPUT_COUNTRY!$B$7:$N$27,4,FALSE)&gt;25,"-","--")))))</f>
        <v>++</v>
      </c>
      <c r="G7" s="138" t="str">
        <f>IF(VLOOKUP(C7,OUTPUT_COUNTRY!$B$7:$N$27,5,FALSE)&gt;75,"++",(IF(VLOOKUP(C7,OUTPUT_COUNTRY!$B$7:$N$27,5,FALSE)&gt;50,"+",(IF(VLOOKUP(C7,OUTPUT_COUNTRY!$B$7:$N$27,5,FALSE)&gt;25,"-","--")))))</f>
        <v>++</v>
      </c>
      <c r="H7" s="138" t="str">
        <f>IF(VLOOKUP(C7,OUTPUT_COUNTRY!$B$7:$N$27,7,FALSE)&gt;75,"++",(IF(VLOOKUP(C7,OUTPUT_COUNTRY!$B$7:$N$27,7,FALSE)&gt;50,"+",(IF(VLOOKUP(C7,OUTPUT_COUNTRY!$B$7:$N$27,7,FALSE)&gt;25,"-","--")))))</f>
        <v>++</v>
      </c>
      <c r="I7" s="138" t="str">
        <f>IF(VLOOKUP(C7,OUTPUT_COUNTRY!$B$7:$N$27,8,FALSE)&gt;75,"++",(IF(VLOOKUP(C7,OUTPUT_COUNTRY!$B$7:$N$27,8,FALSE)&gt;50,"+",(IF(VLOOKUP(C7,OUTPUT_COUNTRY!$B$7:$N$27,8,FALSE)&gt;25,"-","--")))))</f>
        <v>+</v>
      </c>
      <c r="J7" s="138" t="str">
        <f>IF(VLOOKUP(C7,OUTPUT_COUNTRY!$B$7:$N$27,9,FALSE)&gt;75,"++",(IF(VLOOKUP(C7,OUTPUT_COUNTRY!$B$7:$N$27,9,FALSE)&gt;50,"+",(IF(VLOOKUP(C7,OUTPUT_COUNTRY!$B$7:$N$27,9,FALSE)&gt;25,"-","--")))))</f>
        <v>-</v>
      </c>
      <c r="K7" s="138" t="str">
        <f>IF(VLOOKUP(C7,OUTPUT_COUNTRY!$B$7:$N$27,11,FALSE)&gt;75,"++",(IF(VLOOKUP(C7,OUTPUT_COUNTRY!$B$7:$N$27,11,FALSE)&gt;50,"+",(IF(VLOOKUP(C7,OUTPUT_COUNTRY!$B$7:$N$27,11,FALSE)&gt;25,"-","--")))))</f>
        <v>-</v>
      </c>
      <c r="L7" s="136" t="str">
        <f>IF(VLOOKUP(C7,OUTPUT_COUNTRY!$B$7:$N$27,13,FALSE)&gt;75,"++",(IF(VLOOKUP(C7,OUTPUT_COUNTRY!$B$7:$N$27,13,FALSE)&gt;50,"+",(IF(VLOOKUP(C7,OUTPUT_COUNTRY!$B$7:$N$27,13,FALSE)&gt;25,"-","--")))))</f>
        <v>+</v>
      </c>
    </row>
    <row r="8" spans="3:12" x14ac:dyDescent="0.35">
      <c r="C8" s="90" t="s">
        <v>7</v>
      </c>
      <c r="D8" s="92" t="s">
        <v>53</v>
      </c>
      <c r="E8" s="136" t="str">
        <f>IF(VLOOKUP(C8,OUTPUT_COUNTRY!$B$7:$N$27,3,FALSE)&gt;75,"++",(IF(VLOOKUP(C8,OUTPUT_COUNTRY!$B$7:$N$27,3,FALSE)&gt;50,"+",(IF(VLOOKUP(C8,OUTPUT_COUNTRY!$B$7:$N$27,3,FALSE)&gt;25,"-","--")))))</f>
        <v>--</v>
      </c>
      <c r="F8" s="136" t="str">
        <f>IF(VLOOKUP(C8,OUTPUT_COUNTRY!$B$7:$N$27,4,FALSE)&gt;75,"++",(IF(VLOOKUP(C8,OUTPUT_COUNTRY!$B$7:$N$27,4,FALSE)&gt;50,"+",(IF(VLOOKUP(C8,OUTPUT_COUNTRY!$B$7:$N$27,4,FALSE)&gt;25,"-","--")))))</f>
        <v>+</v>
      </c>
      <c r="G8" s="138" t="str">
        <f>IF(VLOOKUP(C8,OUTPUT_COUNTRY!$B$7:$N$27,5,FALSE)&gt;75,"++",(IF(VLOOKUP(C8,OUTPUT_COUNTRY!$B$7:$N$27,5,FALSE)&gt;50,"+",(IF(VLOOKUP(C8,OUTPUT_COUNTRY!$B$7:$N$27,5,FALSE)&gt;25,"-","--")))))</f>
        <v>-</v>
      </c>
      <c r="H8" s="138" t="str">
        <f>IF(VLOOKUP(C8,OUTPUT_COUNTRY!$B$7:$N$27,7,FALSE)&gt;75,"++",(IF(VLOOKUP(C8,OUTPUT_COUNTRY!$B$7:$N$27,7,FALSE)&gt;50,"+",(IF(VLOOKUP(C8,OUTPUT_COUNTRY!$B$7:$N$27,7,FALSE)&gt;25,"-","--")))))</f>
        <v>--</v>
      </c>
      <c r="I8" s="138" t="str">
        <f>IF(VLOOKUP(C8,OUTPUT_COUNTRY!$B$7:$N$27,8,FALSE)&gt;75,"++",(IF(VLOOKUP(C8,OUTPUT_COUNTRY!$B$7:$N$27,8,FALSE)&gt;50,"+",(IF(VLOOKUP(C8,OUTPUT_COUNTRY!$B$7:$N$27,8,FALSE)&gt;25,"-","--")))))</f>
        <v>--</v>
      </c>
      <c r="J8" s="138" t="str">
        <f>IF(VLOOKUP(C8,OUTPUT_COUNTRY!$B$7:$N$27,9,FALSE)&gt;75,"++",(IF(VLOOKUP(C8,OUTPUT_COUNTRY!$B$7:$N$27,9,FALSE)&gt;50,"+",(IF(VLOOKUP(C8,OUTPUT_COUNTRY!$B$7:$N$27,9,FALSE)&gt;25,"-","--")))))</f>
        <v>+</v>
      </c>
      <c r="K8" s="138" t="str">
        <f>IF(VLOOKUP(C8,OUTPUT_COUNTRY!$B$7:$N$27,11,FALSE)&gt;75,"++",(IF(VLOOKUP(C8,OUTPUT_COUNTRY!$B$7:$N$27,11,FALSE)&gt;50,"+",(IF(VLOOKUP(C8,OUTPUT_COUNTRY!$B$7:$N$27,11,FALSE)&gt;25,"-","--")))))</f>
        <v>++</v>
      </c>
      <c r="L8" s="136" t="str">
        <f>IF(VLOOKUP(C8,OUTPUT_COUNTRY!$B$7:$N$27,13,FALSE)&gt;75,"++",(IF(VLOOKUP(C8,OUTPUT_COUNTRY!$B$7:$N$27,13,FALSE)&gt;50,"+",(IF(VLOOKUP(C8,OUTPUT_COUNTRY!$B$7:$N$27,13,FALSE)&gt;25,"-","--")))))</f>
        <v>-</v>
      </c>
    </row>
    <row r="9" spans="3:12" x14ac:dyDescent="0.35">
      <c r="C9" s="90" t="s">
        <v>35</v>
      </c>
      <c r="D9" s="92" t="s">
        <v>442</v>
      </c>
      <c r="E9" s="136" t="str">
        <f>IF(VLOOKUP(C9,OUTPUT_COUNTRY!$B$7:$N$27,3,FALSE)&gt;75,"++",(IF(VLOOKUP(C9,OUTPUT_COUNTRY!$B$7:$N$27,3,FALSE)&gt;50,"+",(IF(VLOOKUP(C9,OUTPUT_COUNTRY!$B$7:$N$27,3,FALSE)&gt;25,"-","--")))))</f>
        <v>-</v>
      </c>
      <c r="F9" s="136" t="str">
        <f>IF(VLOOKUP(C9,OUTPUT_COUNTRY!$B$7:$N$27,4,FALSE)&gt;75,"++",(IF(VLOOKUP(C9,OUTPUT_COUNTRY!$B$7:$N$27,4,FALSE)&gt;50,"+",(IF(VLOOKUP(C9,OUTPUT_COUNTRY!$B$7:$N$27,4,FALSE)&gt;25,"-","--")))))</f>
        <v>-</v>
      </c>
      <c r="G9" s="138" t="str">
        <f>IF(VLOOKUP(C9,OUTPUT_COUNTRY!$B$7:$N$27,5,FALSE)&gt;75,"++",(IF(VLOOKUP(C9,OUTPUT_COUNTRY!$B$7:$N$27,5,FALSE)&gt;50,"+",(IF(VLOOKUP(C9,OUTPUT_COUNTRY!$B$7:$N$27,5,FALSE)&gt;25,"-","--")))))</f>
        <v>++</v>
      </c>
      <c r="H9" s="138" t="str">
        <f>IF(VLOOKUP(C9,OUTPUT_COUNTRY!$B$7:$N$27,7,FALSE)&gt;75,"++",(IF(VLOOKUP(C9,OUTPUT_COUNTRY!$B$7:$N$27,7,FALSE)&gt;50,"+",(IF(VLOOKUP(C9,OUTPUT_COUNTRY!$B$7:$N$27,7,FALSE)&gt;25,"-","--")))))</f>
        <v>+</v>
      </c>
      <c r="I9" s="138" t="str">
        <f>IF(VLOOKUP(C9,OUTPUT_COUNTRY!$B$7:$N$27,8,FALSE)&gt;75,"++",(IF(VLOOKUP(C9,OUTPUT_COUNTRY!$B$7:$N$27,8,FALSE)&gt;50,"+",(IF(VLOOKUP(C9,OUTPUT_COUNTRY!$B$7:$N$27,8,FALSE)&gt;25,"-","--")))))</f>
        <v>--</v>
      </c>
      <c r="J9" s="138" t="str">
        <f>IF(VLOOKUP(C9,OUTPUT_COUNTRY!$B$7:$N$27,9,FALSE)&gt;75,"++",(IF(VLOOKUP(C9,OUTPUT_COUNTRY!$B$7:$N$27,9,FALSE)&gt;50,"+",(IF(VLOOKUP(C9,OUTPUT_COUNTRY!$B$7:$N$27,9,FALSE)&gt;25,"-","--")))))</f>
        <v>-</v>
      </c>
      <c r="K9" s="138" t="str">
        <f>IF(VLOOKUP(C9,OUTPUT_COUNTRY!$B$7:$N$27,11,FALSE)&gt;75,"++",(IF(VLOOKUP(C9,OUTPUT_COUNTRY!$B$7:$N$27,11,FALSE)&gt;50,"+",(IF(VLOOKUP(C9,OUTPUT_COUNTRY!$B$7:$N$27,11,FALSE)&gt;25,"-","--")))))</f>
        <v>-</v>
      </c>
      <c r="L9" s="136" t="str">
        <f>IF(VLOOKUP(C9,OUTPUT_COUNTRY!$B$7:$N$27,13,FALSE)&gt;75,"++",(IF(VLOOKUP(C9,OUTPUT_COUNTRY!$B$7:$N$27,13,FALSE)&gt;50,"+",(IF(VLOOKUP(C9,OUTPUT_COUNTRY!$B$7:$N$27,13,FALSE)&gt;25,"-","--")))))</f>
        <v>-</v>
      </c>
    </row>
    <row r="10" spans="3:12" x14ac:dyDescent="0.35">
      <c r="C10" s="90" t="s">
        <v>437</v>
      </c>
      <c r="D10" s="92" t="s">
        <v>440</v>
      </c>
      <c r="E10" s="136" t="str">
        <f>IF(VLOOKUP(C10,OUTPUT_COUNTRY!$B$7:$N$27,3,FALSE)&gt;75,"++",(IF(VLOOKUP(C10,OUTPUT_COUNTRY!$B$7:$N$27,3,FALSE)&gt;50,"+",(IF(VLOOKUP(C10,OUTPUT_COUNTRY!$B$7:$N$27,3,FALSE)&gt;25,"-","--")))))</f>
        <v>+</v>
      </c>
      <c r="F10" s="136" t="str">
        <f>IF(VLOOKUP(C10,OUTPUT_COUNTRY!$B$7:$N$27,4,FALSE)&gt;75,"++",(IF(VLOOKUP(C10,OUTPUT_COUNTRY!$B$7:$N$27,4,FALSE)&gt;50,"+",(IF(VLOOKUP(C10,OUTPUT_COUNTRY!$B$7:$N$27,4,FALSE)&gt;25,"-","--")))))</f>
        <v>++</v>
      </c>
      <c r="G10" s="138" t="str">
        <f>IF(VLOOKUP(C10,OUTPUT_COUNTRY!$B$7:$N$27,5,FALSE)&gt;75,"++",(IF(VLOOKUP(C10,OUTPUT_COUNTRY!$B$7:$N$27,5,FALSE)&gt;50,"+",(IF(VLOOKUP(C10,OUTPUT_COUNTRY!$B$7:$N$27,5,FALSE)&gt;25,"-","--")))))</f>
        <v>++</v>
      </c>
      <c r="H10" s="138" t="str">
        <f>IF(VLOOKUP(C10,OUTPUT_COUNTRY!$B$7:$N$27,7,FALSE)&gt;75,"++",(IF(VLOOKUP(C10,OUTPUT_COUNTRY!$B$7:$N$27,7,FALSE)&gt;50,"+",(IF(VLOOKUP(C10,OUTPUT_COUNTRY!$B$7:$N$27,7,FALSE)&gt;25,"-","--")))))</f>
        <v>++</v>
      </c>
      <c r="I10" s="138" t="str">
        <f>IF(VLOOKUP(C10,OUTPUT_COUNTRY!$B$7:$N$27,8,FALSE)&gt;75,"++",(IF(VLOOKUP(C10,OUTPUT_COUNTRY!$B$7:$N$27,8,FALSE)&gt;50,"+",(IF(VLOOKUP(C10,OUTPUT_COUNTRY!$B$7:$N$27,8,FALSE)&gt;25,"-","--")))))</f>
        <v>++</v>
      </c>
      <c r="J10" s="138" t="str">
        <f>IF(VLOOKUP(C10,OUTPUT_COUNTRY!$B$7:$N$27,9,FALSE)&gt;75,"++",(IF(VLOOKUP(C10,OUTPUT_COUNTRY!$B$7:$N$27,9,FALSE)&gt;50,"+",(IF(VLOOKUP(C10,OUTPUT_COUNTRY!$B$7:$N$27,9,FALSE)&gt;25,"-","--")))))</f>
        <v>-</v>
      </c>
      <c r="K10" s="138" t="str">
        <f>IF(VLOOKUP(C10,OUTPUT_COUNTRY!$B$7:$N$27,11,FALSE)&gt;75,"++",(IF(VLOOKUP(C10,OUTPUT_COUNTRY!$B$7:$N$27,11,FALSE)&gt;50,"+",(IF(VLOOKUP(C10,OUTPUT_COUNTRY!$B$7:$N$27,11,FALSE)&gt;25,"-","--")))))</f>
        <v>-</v>
      </c>
      <c r="L10" s="136" t="str">
        <f>IF(VLOOKUP(C10,OUTPUT_COUNTRY!$B$7:$N$27,13,FALSE)&gt;75,"++",(IF(VLOOKUP(C10,OUTPUT_COUNTRY!$B$7:$N$27,13,FALSE)&gt;50,"+",(IF(VLOOKUP(C10,OUTPUT_COUNTRY!$B$7:$N$27,13,FALSE)&gt;25,"-","--")))))</f>
        <v>++</v>
      </c>
    </row>
    <row r="11" spans="3:12" x14ac:dyDescent="0.35">
      <c r="C11" s="90" t="s">
        <v>23</v>
      </c>
      <c r="D11" s="92" t="s">
        <v>444</v>
      </c>
      <c r="E11" s="136" t="str">
        <f>IF(VLOOKUP(C11,OUTPUT_COUNTRY!$B$7:$N$27,3,FALSE)&gt;75,"++",(IF(VLOOKUP(C11,OUTPUT_COUNTRY!$B$7:$N$27,3,FALSE)&gt;50,"+",(IF(VLOOKUP(C11,OUTPUT_COUNTRY!$B$7:$N$27,3,FALSE)&gt;25,"-","--")))))</f>
        <v>++</v>
      </c>
      <c r="F11" s="136" t="str">
        <f>IF(VLOOKUP(C11,OUTPUT_COUNTRY!$B$7:$N$27,4,FALSE)&gt;75,"++",(IF(VLOOKUP(C11,OUTPUT_COUNTRY!$B$7:$N$27,4,FALSE)&gt;50,"+",(IF(VLOOKUP(C11,OUTPUT_COUNTRY!$B$7:$N$27,4,FALSE)&gt;25,"-","--")))))</f>
        <v>--</v>
      </c>
      <c r="G11" s="138" t="str">
        <f>IF(VLOOKUP(C11,OUTPUT_COUNTRY!$B$7:$N$27,5,FALSE)&gt;75,"++",(IF(VLOOKUP(C11,OUTPUT_COUNTRY!$B$7:$N$27,5,FALSE)&gt;50,"+",(IF(VLOOKUP(C11,OUTPUT_COUNTRY!$B$7:$N$27,5,FALSE)&gt;25,"-","--")))))</f>
        <v>--</v>
      </c>
      <c r="H11" s="138" t="str">
        <f>IF(VLOOKUP(C11,OUTPUT_COUNTRY!$B$7:$N$27,7,FALSE)&gt;75,"++",(IF(VLOOKUP(C11,OUTPUT_COUNTRY!$B$7:$N$27,7,FALSE)&gt;50,"+",(IF(VLOOKUP(C11,OUTPUT_COUNTRY!$B$7:$N$27,7,FALSE)&gt;25,"-","--")))))</f>
        <v>--</v>
      </c>
      <c r="I11" s="138" t="str">
        <f>IF(VLOOKUP(C11,OUTPUT_COUNTRY!$B$7:$N$27,8,FALSE)&gt;75,"++",(IF(VLOOKUP(C11,OUTPUT_COUNTRY!$B$7:$N$27,8,FALSE)&gt;50,"+",(IF(VLOOKUP(C11,OUTPUT_COUNTRY!$B$7:$N$27,8,FALSE)&gt;25,"-","--")))))</f>
        <v>+</v>
      </c>
      <c r="J11" s="138" t="str">
        <f>IF(VLOOKUP(C11,OUTPUT_COUNTRY!$B$7:$N$27,9,FALSE)&gt;75,"++",(IF(VLOOKUP(C11,OUTPUT_COUNTRY!$B$7:$N$27,9,FALSE)&gt;50,"+",(IF(VLOOKUP(C11,OUTPUT_COUNTRY!$B$7:$N$27,9,FALSE)&gt;25,"-","--")))))</f>
        <v>+</v>
      </c>
      <c r="K11" s="138" t="str">
        <f>IF(VLOOKUP(C11,OUTPUT_COUNTRY!$B$7:$N$27,11,FALSE)&gt;75,"++",(IF(VLOOKUP(C11,OUTPUT_COUNTRY!$B$7:$N$27,11,FALSE)&gt;50,"+",(IF(VLOOKUP(C11,OUTPUT_COUNTRY!$B$7:$N$27,11,FALSE)&gt;25,"-","--")))))</f>
        <v>+</v>
      </c>
      <c r="L11" s="136" t="str">
        <f>IF(VLOOKUP(C11,OUTPUT_COUNTRY!$B$7:$N$27,13,FALSE)&gt;75,"++",(IF(VLOOKUP(C11,OUTPUT_COUNTRY!$B$7:$N$27,13,FALSE)&gt;50,"+",(IF(VLOOKUP(C11,OUTPUT_COUNTRY!$B$7:$N$27,13,FALSE)&gt;25,"-","--")))))</f>
        <v>+</v>
      </c>
    </row>
    <row r="12" spans="3:12" x14ac:dyDescent="0.35">
      <c r="C12" s="90" t="s">
        <v>21</v>
      </c>
      <c r="D12" s="92" t="s">
        <v>38</v>
      </c>
      <c r="E12" s="136" t="str">
        <f>IF(VLOOKUP(C12,OUTPUT_COUNTRY!$B$7:$N$27,3,FALSE)&gt;75,"++",(IF(VLOOKUP(C12,OUTPUT_COUNTRY!$B$7:$N$27,3,FALSE)&gt;50,"+",(IF(VLOOKUP(C12,OUTPUT_COUNTRY!$B$7:$N$27,3,FALSE)&gt;25,"-","--")))))</f>
        <v>--</v>
      </c>
      <c r="F12" s="136" t="str">
        <f>IF(VLOOKUP(C12,OUTPUT_COUNTRY!$B$7:$N$27,4,FALSE)&gt;75,"++",(IF(VLOOKUP(C12,OUTPUT_COUNTRY!$B$7:$N$27,4,FALSE)&gt;50,"+",(IF(VLOOKUP(C12,OUTPUT_COUNTRY!$B$7:$N$27,4,FALSE)&gt;25,"-","--")))))</f>
        <v>+</v>
      </c>
      <c r="G12" s="138" t="str">
        <f>IF(VLOOKUP(C12,OUTPUT_COUNTRY!$B$7:$N$27,5,FALSE)&gt;75,"++",(IF(VLOOKUP(C12,OUTPUT_COUNTRY!$B$7:$N$27,5,FALSE)&gt;50,"+",(IF(VLOOKUP(C12,OUTPUT_COUNTRY!$B$7:$N$27,5,FALSE)&gt;25,"-","--")))))</f>
        <v>-</v>
      </c>
      <c r="H12" s="138" t="str">
        <f>IF(VLOOKUP(C12,OUTPUT_COUNTRY!$B$7:$N$27,7,FALSE)&gt;75,"++",(IF(VLOOKUP(C12,OUTPUT_COUNTRY!$B$7:$N$27,7,FALSE)&gt;50,"+",(IF(VLOOKUP(C12,OUTPUT_COUNTRY!$B$7:$N$27,7,FALSE)&gt;25,"-","--")))))</f>
        <v>-</v>
      </c>
      <c r="I12" s="138" t="str">
        <f>IF(VLOOKUP(C12,OUTPUT_COUNTRY!$B$7:$N$27,8,FALSE)&gt;75,"++",(IF(VLOOKUP(C12,OUTPUT_COUNTRY!$B$7:$N$27,8,FALSE)&gt;50,"+",(IF(VLOOKUP(C12,OUTPUT_COUNTRY!$B$7:$N$27,8,FALSE)&gt;25,"-","--")))))</f>
        <v>-</v>
      </c>
      <c r="J12" s="138" t="str">
        <f>IF(VLOOKUP(C12,OUTPUT_COUNTRY!$B$7:$N$27,9,FALSE)&gt;75,"++",(IF(VLOOKUP(C12,OUTPUT_COUNTRY!$B$7:$N$27,9,FALSE)&gt;50,"+",(IF(VLOOKUP(C12,OUTPUT_COUNTRY!$B$7:$N$27,9,FALSE)&gt;25,"-","--")))))</f>
        <v>++</v>
      </c>
      <c r="K12" s="138" t="str">
        <f>IF(VLOOKUP(C12,OUTPUT_COUNTRY!$B$7:$N$27,11,FALSE)&gt;75,"++",(IF(VLOOKUP(C12,OUTPUT_COUNTRY!$B$7:$N$27,11,FALSE)&gt;50,"+",(IF(VLOOKUP(C12,OUTPUT_COUNTRY!$B$7:$N$27,11,FALSE)&gt;25,"-","--")))))</f>
        <v>-</v>
      </c>
      <c r="L12" s="136" t="str">
        <f>IF(VLOOKUP(C12,OUTPUT_COUNTRY!$B$7:$N$27,13,FALSE)&gt;75,"++",(IF(VLOOKUP(C12,OUTPUT_COUNTRY!$B$7:$N$27,13,FALSE)&gt;50,"+",(IF(VLOOKUP(C12,OUTPUT_COUNTRY!$B$7:$N$27,13,FALSE)&gt;25,"-","--")))))</f>
        <v>+</v>
      </c>
    </row>
    <row r="13" spans="3:12" x14ac:dyDescent="0.35">
      <c r="C13" s="90" t="s">
        <v>28</v>
      </c>
      <c r="D13" s="92" t="s">
        <v>448</v>
      </c>
      <c r="E13" s="136" t="str">
        <f>IF(VLOOKUP(C13,OUTPUT_COUNTRY!$B$7:$N$27,3,FALSE)&gt;75,"++",(IF(VLOOKUP(C13,OUTPUT_COUNTRY!$B$7:$N$27,3,FALSE)&gt;50,"+",(IF(VLOOKUP(C13,OUTPUT_COUNTRY!$B$7:$N$27,3,FALSE)&gt;25,"-","--")))))</f>
        <v>++</v>
      </c>
      <c r="F13" s="136" t="str">
        <f>IF(VLOOKUP(C13,OUTPUT_COUNTRY!$B$7:$N$27,4,FALSE)&gt;75,"++",(IF(VLOOKUP(C13,OUTPUT_COUNTRY!$B$7:$N$27,4,FALSE)&gt;50,"+",(IF(VLOOKUP(C13,OUTPUT_COUNTRY!$B$7:$N$27,4,FALSE)&gt;25,"-","--")))))</f>
        <v>--</v>
      </c>
      <c r="G13" s="138" t="str">
        <f>IF(VLOOKUP(C13,OUTPUT_COUNTRY!$B$7:$N$27,5,FALSE)&gt;75,"++",(IF(VLOOKUP(C13,OUTPUT_COUNTRY!$B$7:$N$27,5,FALSE)&gt;50,"+",(IF(VLOOKUP(C13,OUTPUT_COUNTRY!$B$7:$N$27,5,FALSE)&gt;25,"-","--")))))</f>
        <v>--</v>
      </c>
      <c r="H13" s="138" t="str">
        <f>IF(VLOOKUP(C13,OUTPUT_COUNTRY!$B$7:$N$27,7,FALSE)&gt;75,"++",(IF(VLOOKUP(C13,OUTPUT_COUNTRY!$B$7:$N$27,7,FALSE)&gt;50,"+",(IF(VLOOKUP(C13,OUTPUT_COUNTRY!$B$7:$N$27,7,FALSE)&gt;25,"-","--")))))</f>
        <v>-</v>
      </c>
      <c r="I13" s="138" t="str">
        <f>IF(VLOOKUP(C13,OUTPUT_COUNTRY!$B$7:$N$27,8,FALSE)&gt;75,"++",(IF(VLOOKUP(C13,OUTPUT_COUNTRY!$B$7:$N$27,8,FALSE)&gt;50,"+",(IF(VLOOKUP(C13,OUTPUT_COUNTRY!$B$7:$N$27,8,FALSE)&gt;25,"-","--")))))</f>
        <v>-</v>
      </c>
      <c r="J13" s="138" t="str">
        <f>IF(VLOOKUP(C13,OUTPUT_COUNTRY!$B$7:$N$27,9,FALSE)&gt;75,"++",(IF(VLOOKUP(C13,OUTPUT_COUNTRY!$B$7:$N$27,9,FALSE)&gt;50,"+",(IF(VLOOKUP(C13,OUTPUT_COUNTRY!$B$7:$N$27,9,FALSE)&gt;25,"-","--")))))</f>
        <v>+</v>
      </c>
      <c r="K13" s="138" t="str">
        <f>IF(VLOOKUP(C13,OUTPUT_COUNTRY!$B$7:$N$27,11,FALSE)&gt;75,"++",(IF(VLOOKUP(C13,OUTPUT_COUNTRY!$B$7:$N$27,11,FALSE)&gt;50,"+",(IF(VLOOKUP(C13,OUTPUT_COUNTRY!$B$7:$N$27,11,FALSE)&gt;25,"-","--")))))</f>
        <v>-</v>
      </c>
      <c r="L13" s="136" t="str">
        <f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90" t="s">
        <v>26</v>
      </c>
      <c r="D14" s="92" t="s">
        <v>41</v>
      </c>
      <c r="E14" s="136" t="str">
        <f>IF(VLOOKUP(C14,OUTPUT_COUNTRY!$B$7:$N$27,3,FALSE)&gt;75,"++",(IF(VLOOKUP(C14,OUTPUT_COUNTRY!$B$7:$N$27,3,FALSE)&gt;50,"+",(IF(VLOOKUP(C14,OUTPUT_COUNTRY!$B$7:$N$27,3,FALSE)&gt;25,"-","--")))))</f>
        <v>++</v>
      </c>
      <c r="F14" s="136" t="str">
        <f>IF(VLOOKUP(C14,OUTPUT_COUNTRY!$B$7:$N$27,4,FALSE)&gt;75,"++",(IF(VLOOKUP(C14,OUTPUT_COUNTRY!$B$7:$N$27,4,FALSE)&gt;50,"+",(IF(VLOOKUP(C14,OUTPUT_COUNTRY!$B$7:$N$27,4,FALSE)&gt;25,"-","--")))))</f>
        <v>++</v>
      </c>
      <c r="G14" s="138" t="str">
        <f>IF(VLOOKUP(C14,OUTPUT_COUNTRY!$B$7:$N$27,5,FALSE)&gt;75,"++",(IF(VLOOKUP(C14,OUTPUT_COUNTRY!$B$7:$N$27,5,FALSE)&gt;50,"+",(IF(VLOOKUP(C14,OUTPUT_COUNTRY!$B$7:$N$27,5,FALSE)&gt;25,"-","--")))))</f>
        <v>++</v>
      </c>
      <c r="H14" s="138" t="str">
        <f>IF(VLOOKUP(C14,OUTPUT_COUNTRY!$B$7:$N$27,7,FALSE)&gt;75,"++",(IF(VLOOKUP(C14,OUTPUT_COUNTRY!$B$7:$N$27,7,FALSE)&gt;50,"+",(IF(VLOOKUP(C14,OUTPUT_COUNTRY!$B$7:$N$27,7,FALSE)&gt;25,"-","--")))))</f>
        <v>++</v>
      </c>
      <c r="I14" s="138" t="str">
        <f>IF(VLOOKUP(C14,OUTPUT_COUNTRY!$B$7:$N$27,8,FALSE)&gt;75,"++",(IF(VLOOKUP(C14,OUTPUT_COUNTRY!$B$7:$N$27,8,FALSE)&gt;50,"+",(IF(VLOOKUP(C14,OUTPUT_COUNTRY!$B$7:$N$27,8,FALSE)&gt;25,"-","--")))))</f>
        <v>++</v>
      </c>
      <c r="J14" s="138" t="str">
        <f>IF(VLOOKUP(C14,OUTPUT_COUNTRY!$B$7:$N$27,9,FALSE)&gt;75,"++",(IF(VLOOKUP(C14,OUTPUT_COUNTRY!$B$7:$N$27,9,FALSE)&gt;50,"+",(IF(VLOOKUP(C14,OUTPUT_COUNTRY!$B$7:$N$27,9,FALSE)&gt;25,"-","--")))))</f>
        <v>--</v>
      </c>
      <c r="K14" s="138" t="str">
        <f>IF(VLOOKUP(C14,OUTPUT_COUNTRY!$B$7:$N$27,11,FALSE)&gt;75,"++",(IF(VLOOKUP(C14,OUTPUT_COUNTRY!$B$7:$N$27,11,FALSE)&gt;50,"+",(IF(VLOOKUP(C14,OUTPUT_COUNTRY!$B$7:$N$27,11,FALSE)&gt;25,"-","--")))))</f>
        <v>-</v>
      </c>
      <c r="L14" s="136" t="str">
        <f>IF(VLOOKUP(C14,OUTPUT_COUNTRY!$B$7:$N$27,13,FALSE)&gt;75,"++",(IF(VLOOKUP(C14,OUTPUT_COUNTRY!$B$7:$N$27,13,FALSE)&gt;50,"+",(IF(VLOOKUP(C14,OUTPUT_COUNTRY!$B$7:$N$27,13,FALSE)&gt;25,"-","--")))))</f>
        <v>+</v>
      </c>
    </row>
    <row r="15" spans="3:12" x14ac:dyDescent="0.35">
      <c r="C15" s="90" t="s">
        <v>32</v>
      </c>
      <c r="D15" s="92" t="s">
        <v>52</v>
      </c>
      <c r="E15" s="136" t="str">
        <f>IF(VLOOKUP(C15,OUTPUT_COUNTRY!$B$7:$N$27,3,FALSE)&gt;75,"++",(IF(VLOOKUP(C15,OUTPUT_COUNTRY!$B$7:$N$27,3,FALSE)&gt;50,"+",(IF(VLOOKUP(C15,OUTPUT_COUNTRY!$B$7:$N$27,3,FALSE)&gt;25,"-","--")))))</f>
        <v>--</v>
      </c>
      <c r="F15" s="136" t="str">
        <f>IF(VLOOKUP(C15,OUTPUT_COUNTRY!$B$7:$N$27,4,FALSE)&gt;75,"++",(IF(VLOOKUP(C15,OUTPUT_COUNTRY!$B$7:$N$27,4,FALSE)&gt;50,"+",(IF(VLOOKUP(C15,OUTPUT_COUNTRY!$B$7:$N$27,4,FALSE)&gt;25,"-","--")))))</f>
        <v>++</v>
      </c>
      <c r="G15" s="138" t="str">
        <f>IF(VLOOKUP(C15,OUTPUT_COUNTRY!$B$7:$N$27,5,FALSE)&gt;75,"++",(IF(VLOOKUP(C15,OUTPUT_COUNTRY!$B$7:$N$27,5,FALSE)&gt;50,"+",(IF(VLOOKUP(C15,OUTPUT_COUNTRY!$B$7:$N$27,5,FALSE)&gt;25,"-","--")))))</f>
        <v>-</v>
      </c>
      <c r="H15" s="138" t="str">
        <f>IF(VLOOKUP(C15,OUTPUT_COUNTRY!$B$7:$N$27,7,FALSE)&gt;75,"++",(IF(VLOOKUP(C15,OUTPUT_COUNTRY!$B$7:$N$27,7,FALSE)&gt;50,"+",(IF(VLOOKUP(C15,OUTPUT_COUNTRY!$B$7:$N$27,7,FALSE)&gt;25,"-","--")))))</f>
        <v>+</v>
      </c>
      <c r="I15" s="138" t="str">
        <f>IF(VLOOKUP(C15,OUTPUT_COUNTRY!$B$7:$N$27,8,FALSE)&gt;75,"++",(IF(VLOOKUP(C15,OUTPUT_COUNTRY!$B$7:$N$27,8,FALSE)&gt;50,"+",(IF(VLOOKUP(C15,OUTPUT_COUNTRY!$B$7:$N$27,8,FALSE)&gt;25,"-","--")))))</f>
        <v>--</v>
      </c>
      <c r="J15" s="138" t="str">
        <f>IF(VLOOKUP(C15,OUTPUT_COUNTRY!$B$7:$N$27,9,FALSE)&gt;75,"++",(IF(VLOOKUP(C15,OUTPUT_COUNTRY!$B$7:$N$27,9,FALSE)&gt;50,"+",(IF(VLOOKUP(C15,OUTPUT_COUNTRY!$B$7:$N$27,9,FALSE)&gt;25,"-","--")))))</f>
        <v>+</v>
      </c>
      <c r="K15" s="138" t="str">
        <f>IF(VLOOKUP(C15,OUTPUT_COUNTRY!$B$7:$N$27,11,FALSE)&gt;75,"++",(IF(VLOOKUP(C15,OUTPUT_COUNTRY!$B$7:$N$27,11,FALSE)&gt;50,"+",(IF(VLOOKUP(C15,OUTPUT_COUNTRY!$B$7:$N$27,11,FALSE)&gt;25,"-","--")))))</f>
        <v>+</v>
      </c>
      <c r="L15" s="136" t="str">
        <f>IF(VLOOKUP(C15,OUTPUT_COUNTRY!$B$7:$N$27,13,FALSE)&gt;75,"++",(IF(VLOOKUP(C15,OUTPUT_COUNTRY!$B$7:$N$27,13,FALSE)&gt;50,"+",(IF(VLOOKUP(C15,OUTPUT_COUNTRY!$B$7:$N$27,13,FALSE)&gt;25,"-","--")))))</f>
        <v>-</v>
      </c>
    </row>
    <row r="16" spans="3:12" x14ac:dyDescent="0.35">
      <c r="C16" s="90" t="s">
        <v>27</v>
      </c>
      <c r="D16" s="92" t="s">
        <v>441</v>
      </c>
      <c r="E16" s="136" t="str">
        <f>IF(VLOOKUP(C16,OUTPUT_COUNTRY!$B$7:$N$27,3,FALSE)&gt;75,"++",(IF(VLOOKUP(C16,OUTPUT_COUNTRY!$B$7:$N$27,3,FALSE)&gt;50,"+",(IF(VLOOKUP(C16,OUTPUT_COUNTRY!$B$7:$N$27,3,FALSE)&gt;25,"-","--")))))</f>
        <v>++</v>
      </c>
      <c r="F16" s="136" t="str">
        <f>IF(VLOOKUP(C16,OUTPUT_COUNTRY!$B$7:$N$27,4,FALSE)&gt;75,"++",(IF(VLOOKUP(C16,OUTPUT_COUNTRY!$B$7:$N$27,4,FALSE)&gt;50,"+",(IF(VLOOKUP(C16,OUTPUT_COUNTRY!$B$7:$N$27,4,FALSE)&gt;25,"-","--")))))</f>
        <v>+</v>
      </c>
      <c r="G16" s="138" t="str">
        <f>IF(VLOOKUP(C16,OUTPUT_COUNTRY!$B$7:$N$27,5,FALSE)&gt;75,"++",(IF(VLOOKUP(C16,OUTPUT_COUNTRY!$B$7:$N$27,5,FALSE)&gt;50,"+",(IF(VLOOKUP(C16,OUTPUT_COUNTRY!$B$7:$N$27,5,FALSE)&gt;25,"-","--")))))</f>
        <v>-</v>
      </c>
      <c r="H16" s="138" t="str">
        <f>IF(VLOOKUP(C16,OUTPUT_COUNTRY!$B$7:$N$27,7,FALSE)&gt;75,"++",(IF(VLOOKUP(C16,OUTPUT_COUNTRY!$B$7:$N$27,7,FALSE)&gt;50,"+",(IF(VLOOKUP(C16,OUTPUT_COUNTRY!$B$7:$N$27,7,FALSE)&gt;25,"-","--")))))</f>
        <v>++</v>
      </c>
      <c r="I16" s="138" t="str">
        <f>IF(VLOOKUP(C16,OUTPUT_COUNTRY!$B$7:$N$27,8,FALSE)&gt;75,"++",(IF(VLOOKUP(C16,OUTPUT_COUNTRY!$B$7:$N$27,8,FALSE)&gt;50,"+",(IF(VLOOKUP(C16,OUTPUT_COUNTRY!$B$7:$N$27,8,FALSE)&gt;25,"-","--")))))</f>
        <v>+</v>
      </c>
      <c r="J16" s="138" t="str">
        <f>IF(VLOOKUP(C16,OUTPUT_COUNTRY!$B$7:$N$27,9,FALSE)&gt;75,"++",(IF(VLOOKUP(C16,OUTPUT_COUNTRY!$B$7:$N$27,9,FALSE)&gt;50,"+",(IF(VLOOKUP(C16,OUTPUT_COUNTRY!$B$7:$N$27,9,FALSE)&gt;25,"-","--")))))</f>
        <v>--</v>
      </c>
      <c r="K16" s="138" t="str">
        <f>IF(VLOOKUP(C16,OUTPUT_COUNTRY!$B$7:$N$27,11,FALSE)&gt;75,"++",(IF(VLOOKUP(C16,OUTPUT_COUNTRY!$B$7:$N$27,11,FALSE)&gt;50,"+",(IF(VLOOKUP(C16,OUTPUT_COUNTRY!$B$7:$N$27,11,FALSE)&gt;25,"-","--")))))</f>
        <v>--</v>
      </c>
      <c r="L16" s="136" t="str">
        <f>IF(VLOOKUP(C16,OUTPUT_COUNTRY!$B$7:$N$27,13,FALSE)&gt;75,"++",(IF(VLOOKUP(C16,OUTPUT_COUNTRY!$B$7:$N$27,13,FALSE)&gt;50,"+",(IF(VLOOKUP(C16,OUTPUT_COUNTRY!$B$7:$N$27,13,FALSE)&gt;25,"-","--")))))</f>
        <v>--</v>
      </c>
    </row>
    <row r="17" spans="3:12" x14ac:dyDescent="0.35">
      <c r="C17" s="90" t="s">
        <v>25</v>
      </c>
      <c r="D17" s="92" t="s">
        <v>451</v>
      </c>
      <c r="E17" s="136" t="str">
        <f>IF(VLOOKUP(C17,OUTPUT_COUNTRY!$B$7:$N$27,3,FALSE)&gt;75,"++",(IF(VLOOKUP(C17,OUTPUT_COUNTRY!$B$7:$N$27,3,FALSE)&gt;50,"+",(IF(VLOOKUP(C17,OUTPUT_COUNTRY!$B$7:$N$27,3,FALSE)&gt;25,"-","--")))))</f>
        <v>+</v>
      </c>
      <c r="F17" s="136" t="str">
        <f>IF(VLOOKUP(C17,OUTPUT_COUNTRY!$B$7:$N$27,4,FALSE)&gt;75,"++",(IF(VLOOKUP(C17,OUTPUT_COUNTRY!$B$7:$N$27,4,FALSE)&gt;50,"+",(IF(VLOOKUP(C17,OUTPUT_COUNTRY!$B$7:$N$27,4,FALSE)&gt;25,"-","--")))))</f>
        <v>-</v>
      </c>
      <c r="G17" s="138" t="str">
        <f>IF(VLOOKUP(C17,OUTPUT_COUNTRY!$B$7:$N$27,5,FALSE)&gt;75,"++",(IF(VLOOKUP(C17,OUTPUT_COUNTRY!$B$7:$N$27,5,FALSE)&gt;50,"+",(IF(VLOOKUP(C17,OUTPUT_COUNTRY!$B$7:$N$27,5,FALSE)&gt;25,"-","--")))))</f>
        <v>-</v>
      </c>
      <c r="H17" s="138" t="str">
        <f>IF(VLOOKUP(C17,OUTPUT_COUNTRY!$B$7:$N$27,7,FALSE)&gt;75,"++",(IF(VLOOKUP(C17,OUTPUT_COUNTRY!$B$7:$N$27,7,FALSE)&gt;50,"+",(IF(VLOOKUP(C17,OUTPUT_COUNTRY!$B$7:$N$27,7,FALSE)&gt;25,"-","--")))))</f>
        <v>-</v>
      </c>
      <c r="I17" s="138" t="str">
        <f>IF(VLOOKUP(C17,OUTPUT_COUNTRY!$B$7:$N$27,8,FALSE)&gt;75,"++",(IF(VLOOKUP(C17,OUTPUT_COUNTRY!$B$7:$N$27,8,FALSE)&gt;50,"+",(IF(VLOOKUP(C17,OUTPUT_COUNTRY!$B$7:$N$27,8,FALSE)&gt;25,"-","--")))))</f>
        <v>--</v>
      </c>
      <c r="J17" s="138" t="str">
        <f>IF(VLOOKUP(C17,OUTPUT_COUNTRY!$B$7:$N$27,9,FALSE)&gt;75,"++",(IF(VLOOKUP(C17,OUTPUT_COUNTRY!$B$7:$N$27,9,FALSE)&gt;50,"+",(IF(VLOOKUP(C17,OUTPUT_COUNTRY!$B$7:$N$27,9,FALSE)&gt;25,"-","--")))))</f>
        <v>--</v>
      </c>
      <c r="K17" s="138" t="str">
        <f>IF(VLOOKUP(C17,OUTPUT_COUNTRY!$B$7:$N$27,11,FALSE)&gt;75,"++",(IF(VLOOKUP(C17,OUTPUT_COUNTRY!$B$7:$N$27,11,FALSE)&gt;50,"+",(IF(VLOOKUP(C17,OUTPUT_COUNTRY!$B$7:$N$27,11,FALSE)&gt;25,"-","--")))))</f>
        <v>--</v>
      </c>
      <c r="L17" s="136" t="str">
        <f>IF(VLOOKUP(C17,OUTPUT_COUNTRY!$B$7:$N$27,13,FALSE)&gt;75,"++",(IF(VLOOKUP(C17,OUTPUT_COUNTRY!$B$7:$N$27,13,FALSE)&gt;50,"+",(IF(VLOOKUP(C17,OUTPUT_COUNTRY!$B$7:$N$27,13,FALSE)&gt;25,"-","--")))))</f>
        <v>--</v>
      </c>
    </row>
    <row r="18" spans="3:12" x14ac:dyDescent="0.35">
      <c r="C18" s="90" t="s">
        <v>12</v>
      </c>
      <c r="D18" s="92" t="s">
        <v>54</v>
      </c>
      <c r="E18" s="136" t="str">
        <f>IF(VLOOKUP(C18,OUTPUT_COUNTRY!$B$7:$N$27,3,FALSE)&gt;75,"++",(IF(VLOOKUP(C18,OUTPUT_COUNTRY!$B$7:$N$27,3,FALSE)&gt;50,"+",(IF(VLOOKUP(C18,OUTPUT_COUNTRY!$B$7:$N$27,3,FALSE)&gt;25,"-","--")))))</f>
        <v>+</v>
      </c>
      <c r="F18" s="136" t="str">
        <f>IF(VLOOKUP(C18,OUTPUT_COUNTRY!$B$7:$N$27,4,FALSE)&gt;75,"++",(IF(VLOOKUP(C18,OUTPUT_COUNTRY!$B$7:$N$27,4,FALSE)&gt;50,"+",(IF(VLOOKUP(C18,OUTPUT_COUNTRY!$B$7:$N$27,4,FALSE)&gt;25,"-","--")))))</f>
        <v>--</v>
      </c>
      <c r="G18" s="138" t="str">
        <f>IF(VLOOKUP(C18,OUTPUT_COUNTRY!$B$7:$N$27,5,FALSE)&gt;75,"++",(IF(VLOOKUP(C18,OUTPUT_COUNTRY!$B$7:$N$27,5,FALSE)&gt;50,"+",(IF(VLOOKUP(C18,OUTPUT_COUNTRY!$B$7:$N$27,5,FALSE)&gt;25,"-","--")))))</f>
        <v>--</v>
      </c>
      <c r="H18" s="138" t="str">
        <f>IF(VLOOKUP(C18,OUTPUT_COUNTRY!$B$7:$N$27,7,FALSE)&gt;75,"++",(IF(VLOOKUP(C18,OUTPUT_COUNTRY!$B$7:$N$27,7,FALSE)&gt;50,"+",(IF(VLOOKUP(C18,OUTPUT_COUNTRY!$B$7:$N$27,7,FALSE)&gt;25,"-","--")))))</f>
        <v>--</v>
      </c>
      <c r="I18" s="138" t="str">
        <f>IF(VLOOKUP(C18,OUTPUT_COUNTRY!$B$7:$N$27,8,FALSE)&gt;75,"++",(IF(VLOOKUP(C18,OUTPUT_COUNTRY!$B$7:$N$27,8,FALSE)&gt;50,"+",(IF(VLOOKUP(C18,OUTPUT_COUNTRY!$B$7:$N$27,8,FALSE)&gt;25,"-","--")))))</f>
        <v>+</v>
      </c>
      <c r="J18" s="138" t="str">
        <f>IF(VLOOKUP(C18,OUTPUT_COUNTRY!$B$7:$N$27,9,FALSE)&gt;75,"++",(IF(VLOOKUP(C18,OUTPUT_COUNTRY!$B$7:$N$27,9,FALSE)&gt;50,"+",(IF(VLOOKUP(C18,OUTPUT_COUNTRY!$B$7:$N$27,9,FALSE)&gt;25,"-","--")))))</f>
        <v>-</v>
      </c>
      <c r="K18" s="138" t="str">
        <f>IF(VLOOKUP(C18,OUTPUT_COUNTRY!$B$7:$N$27,11,FALSE)&gt;75,"++",(IF(VLOOKUP(C18,OUTPUT_COUNTRY!$B$7:$N$27,11,FALSE)&gt;50,"+",(IF(VLOOKUP(C18,OUTPUT_COUNTRY!$B$7:$N$27,11,FALSE)&gt;25,"-","--")))))</f>
        <v>--</v>
      </c>
      <c r="L18" s="136" t="str">
        <f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90" t="s">
        <v>29</v>
      </c>
      <c r="D19" s="92" t="s">
        <v>445</v>
      </c>
      <c r="E19" s="136" t="str">
        <f>IF(VLOOKUP(C19,OUTPUT_COUNTRY!$B$7:$N$27,3,FALSE)&gt;75,"++",(IF(VLOOKUP(C19,OUTPUT_COUNTRY!$B$7:$N$27,3,FALSE)&gt;50,"+",(IF(VLOOKUP(C19,OUTPUT_COUNTRY!$B$7:$N$27,3,FALSE)&gt;25,"-","--")))))</f>
        <v>-</v>
      </c>
      <c r="F19" s="136" t="str">
        <f>IF(VLOOKUP(C19,OUTPUT_COUNTRY!$B$7:$N$27,4,FALSE)&gt;75,"++",(IF(VLOOKUP(C19,OUTPUT_COUNTRY!$B$7:$N$27,4,FALSE)&gt;50,"+",(IF(VLOOKUP(C19,OUTPUT_COUNTRY!$B$7:$N$27,4,FALSE)&gt;25,"-","--")))))</f>
        <v>-</v>
      </c>
      <c r="G19" s="138" t="str">
        <f>IF(VLOOKUP(C19,OUTPUT_COUNTRY!$B$7:$N$27,5,FALSE)&gt;75,"++",(IF(VLOOKUP(C19,OUTPUT_COUNTRY!$B$7:$N$27,5,FALSE)&gt;50,"+",(IF(VLOOKUP(C19,OUTPUT_COUNTRY!$B$7:$N$27,5,FALSE)&gt;25,"-","--")))))</f>
        <v>--</v>
      </c>
      <c r="H19" s="138" t="str">
        <f>IF(VLOOKUP(C19,OUTPUT_COUNTRY!$B$7:$N$27,7,FALSE)&gt;75,"++",(IF(VLOOKUP(C19,OUTPUT_COUNTRY!$B$7:$N$27,7,FALSE)&gt;50,"+",(IF(VLOOKUP(C19,OUTPUT_COUNTRY!$B$7:$N$27,7,FALSE)&gt;25,"-","--")))))</f>
        <v>--</v>
      </c>
      <c r="I19" s="138" t="str">
        <f>IF(VLOOKUP(C19,OUTPUT_COUNTRY!$B$7:$N$27,8,FALSE)&gt;75,"++",(IF(VLOOKUP(C19,OUTPUT_COUNTRY!$B$7:$N$27,8,FALSE)&gt;50,"+",(IF(VLOOKUP(C19,OUTPUT_COUNTRY!$B$7:$N$27,8,FALSE)&gt;25,"-","--")))))</f>
        <v>+</v>
      </c>
      <c r="J19" s="138" t="str">
        <f>IF(VLOOKUP(C19,OUTPUT_COUNTRY!$B$7:$N$27,9,FALSE)&gt;75,"++",(IF(VLOOKUP(C19,OUTPUT_COUNTRY!$B$7:$N$27,9,FALSE)&gt;50,"+",(IF(VLOOKUP(C19,OUTPUT_COUNTRY!$B$7:$N$27,9,FALSE)&gt;25,"-","--")))))</f>
        <v>++</v>
      </c>
      <c r="K19" s="138" t="str">
        <f>IF(VLOOKUP(C19,OUTPUT_COUNTRY!$B$7:$N$27,11,FALSE)&gt;75,"++",(IF(VLOOKUP(C19,OUTPUT_COUNTRY!$B$7:$N$27,11,FALSE)&gt;50,"+",(IF(VLOOKUP(C19,OUTPUT_COUNTRY!$B$7:$N$27,11,FALSE)&gt;25,"-","--")))))</f>
        <v>+</v>
      </c>
      <c r="L19" s="136" t="str">
        <f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90" t="s">
        <v>33</v>
      </c>
      <c r="D20" s="92" t="s">
        <v>446</v>
      </c>
      <c r="E20" s="136" t="str">
        <f>IF(VLOOKUP(C20,OUTPUT_COUNTRY!$B$7:$N$27,3,FALSE)&gt;75,"++",(IF(VLOOKUP(C20,OUTPUT_COUNTRY!$B$7:$N$27,3,FALSE)&gt;50,"+",(IF(VLOOKUP(C20,OUTPUT_COUNTRY!$B$7:$N$27,3,FALSE)&gt;25,"-","--")))))</f>
        <v>--</v>
      </c>
      <c r="F20" s="136" t="str">
        <f>IF(VLOOKUP(C20,OUTPUT_COUNTRY!$B$7:$N$27,4,FALSE)&gt;75,"++",(IF(VLOOKUP(C20,OUTPUT_COUNTRY!$B$7:$N$27,4,FALSE)&gt;50,"+",(IF(VLOOKUP(C20,OUTPUT_COUNTRY!$B$7:$N$27,4,FALSE)&gt;25,"-","--")))))</f>
        <v>+</v>
      </c>
      <c r="G20" s="138" t="str">
        <f>IF(VLOOKUP(C20,OUTPUT_COUNTRY!$B$7:$N$27,5,FALSE)&gt;75,"++",(IF(VLOOKUP(C20,OUTPUT_COUNTRY!$B$7:$N$27,5,FALSE)&gt;50,"+",(IF(VLOOKUP(C20,OUTPUT_COUNTRY!$B$7:$N$27,5,FALSE)&gt;25,"-","--")))))</f>
        <v>+</v>
      </c>
      <c r="H20" s="138" t="str">
        <f>IF(VLOOKUP(C20,OUTPUT_COUNTRY!$B$7:$N$27,7,FALSE)&gt;75,"++",(IF(VLOOKUP(C20,OUTPUT_COUNTRY!$B$7:$N$27,7,FALSE)&gt;50,"+",(IF(VLOOKUP(C20,OUTPUT_COUNTRY!$B$7:$N$27,7,FALSE)&gt;25,"-","--")))))</f>
        <v>-</v>
      </c>
      <c r="I20" s="138" t="str">
        <f>IF(VLOOKUP(C20,OUTPUT_COUNTRY!$B$7:$N$27,8,FALSE)&gt;75,"++",(IF(VLOOKUP(C20,OUTPUT_COUNTRY!$B$7:$N$27,8,FALSE)&gt;50,"+",(IF(VLOOKUP(C20,OUTPUT_COUNTRY!$B$7:$N$27,8,FALSE)&gt;25,"-","--")))))</f>
        <v>--</v>
      </c>
      <c r="J20" s="138" t="str">
        <f>IF(VLOOKUP(C20,OUTPUT_COUNTRY!$B$7:$N$27,9,FALSE)&gt;75,"++",(IF(VLOOKUP(C20,OUTPUT_COUNTRY!$B$7:$N$27,9,FALSE)&gt;50,"+",(IF(VLOOKUP(C20,OUTPUT_COUNTRY!$B$7:$N$27,9,FALSE)&gt;25,"-","--")))))</f>
        <v>+</v>
      </c>
      <c r="K20" s="138" t="str">
        <f>IF(VLOOKUP(C20,OUTPUT_COUNTRY!$B$7:$N$27,11,FALSE)&gt;75,"++",(IF(VLOOKUP(C20,OUTPUT_COUNTRY!$B$7:$N$27,11,FALSE)&gt;50,"+",(IF(VLOOKUP(C20,OUTPUT_COUNTRY!$B$7:$N$27,11,FALSE)&gt;25,"-","--")))))</f>
        <v>-</v>
      </c>
      <c r="L20" s="136" t="str">
        <f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90" t="s">
        <v>31</v>
      </c>
      <c r="D21" s="92" t="s">
        <v>449</v>
      </c>
      <c r="E21" s="136" t="str">
        <f>IF(VLOOKUP(C21,OUTPUT_COUNTRY!$B$7:$N$27,3,FALSE)&gt;75,"++",(IF(VLOOKUP(C21,OUTPUT_COUNTRY!$B$7:$N$27,3,FALSE)&gt;50,"+",(IF(VLOOKUP(C21,OUTPUT_COUNTRY!$B$7:$N$27,3,FALSE)&gt;25,"-","--")))))</f>
        <v>+</v>
      </c>
      <c r="F21" s="136" t="str">
        <f>IF(VLOOKUP(C21,OUTPUT_COUNTRY!$B$7:$N$27,4,FALSE)&gt;75,"++",(IF(VLOOKUP(C21,OUTPUT_COUNTRY!$B$7:$N$27,4,FALSE)&gt;50,"+",(IF(VLOOKUP(C21,OUTPUT_COUNTRY!$B$7:$N$27,4,FALSE)&gt;25,"-","--")))))</f>
        <v>-</v>
      </c>
      <c r="G21" s="138" t="str">
        <f>IF(VLOOKUP(C21,OUTPUT_COUNTRY!$B$7:$N$27,5,FALSE)&gt;75,"++",(IF(VLOOKUP(C21,OUTPUT_COUNTRY!$B$7:$N$27,5,FALSE)&gt;50,"+",(IF(VLOOKUP(C21,OUTPUT_COUNTRY!$B$7:$N$27,5,FALSE)&gt;25,"-","--")))))</f>
        <v>+</v>
      </c>
      <c r="H21" s="138" t="str">
        <f>IF(VLOOKUP(C21,OUTPUT_COUNTRY!$B$7:$N$27,7,FALSE)&gt;75,"++",(IF(VLOOKUP(C21,OUTPUT_COUNTRY!$B$7:$N$27,7,FALSE)&gt;50,"+",(IF(VLOOKUP(C21,OUTPUT_COUNTRY!$B$7:$N$27,7,FALSE)&gt;25,"-","--")))))</f>
        <v>+</v>
      </c>
      <c r="I21" s="138" t="str">
        <f>IF(VLOOKUP(C21,OUTPUT_COUNTRY!$B$7:$N$27,8,FALSE)&gt;75,"++",(IF(VLOOKUP(C21,OUTPUT_COUNTRY!$B$7:$N$27,8,FALSE)&gt;50,"+",(IF(VLOOKUP(C21,OUTPUT_COUNTRY!$B$7:$N$27,8,FALSE)&gt;25,"-","--")))))</f>
        <v>--</v>
      </c>
      <c r="J21" s="138" t="str">
        <f>IF(VLOOKUP(C21,OUTPUT_COUNTRY!$B$7:$N$27,9,FALSE)&gt;75,"++",(IF(VLOOKUP(C21,OUTPUT_COUNTRY!$B$7:$N$27,9,FALSE)&gt;50,"+",(IF(VLOOKUP(C21,OUTPUT_COUNTRY!$B$7:$N$27,9,FALSE)&gt;25,"-","--")))))</f>
        <v>-</v>
      </c>
      <c r="K21" s="138" t="str">
        <f>IF(VLOOKUP(C21,OUTPUT_COUNTRY!$B$7:$N$27,11,FALSE)&gt;75,"++",(IF(VLOOKUP(C21,OUTPUT_COUNTRY!$B$7:$N$27,11,FALSE)&gt;50,"+",(IF(VLOOKUP(C21,OUTPUT_COUNTRY!$B$7:$N$27,11,FALSE)&gt;25,"-","--")))))</f>
        <v>++</v>
      </c>
      <c r="L21" s="136" t="str">
        <f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90" t="s">
        <v>30</v>
      </c>
      <c r="D22" s="92" t="s">
        <v>443</v>
      </c>
      <c r="E22" s="136" t="str">
        <f>IF(VLOOKUP(C22,OUTPUT_COUNTRY!$B$7:$N$27,3,FALSE)&gt;75,"++",(IF(VLOOKUP(C22,OUTPUT_COUNTRY!$B$7:$N$27,3,FALSE)&gt;50,"+",(IF(VLOOKUP(C22,OUTPUT_COUNTRY!$B$7:$N$27,3,FALSE)&gt;25,"-","--")))))</f>
        <v>+</v>
      </c>
      <c r="F22" s="136" t="str">
        <f>IF(VLOOKUP(C22,OUTPUT_COUNTRY!$B$7:$N$27,4,FALSE)&gt;75,"++",(IF(VLOOKUP(C22,OUTPUT_COUNTRY!$B$7:$N$27,4,FALSE)&gt;50,"+",(IF(VLOOKUP(C22,OUTPUT_COUNTRY!$B$7:$N$27,4,FALSE)&gt;25,"-","--")))))</f>
        <v>+</v>
      </c>
      <c r="G22" s="138" t="str">
        <f>IF(VLOOKUP(C22,OUTPUT_COUNTRY!$B$7:$N$27,5,FALSE)&gt;75,"++",(IF(VLOOKUP(C22,OUTPUT_COUNTRY!$B$7:$N$27,5,FALSE)&gt;50,"+",(IF(VLOOKUP(C22,OUTPUT_COUNTRY!$B$7:$N$27,5,FALSE)&gt;25,"-","--")))))</f>
        <v>-</v>
      </c>
      <c r="H22" s="138" t="str">
        <f>IF(VLOOKUP(C22,OUTPUT_COUNTRY!$B$7:$N$27,7,FALSE)&gt;75,"++",(IF(VLOOKUP(C22,OUTPUT_COUNTRY!$B$7:$N$27,7,FALSE)&gt;50,"+",(IF(VLOOKUP(C22,OUTPUT_COUNTRY!$B$7:$N$27,7,FALSE)&gt;25,"-","--")))))</f>
        <v>+</v>
      </c>
      <c r="I22" s="138" t="str">
        <f>IF(VLOOKUP(C22,OUTPUT_COUNTRY!$B$7:$N$27,8,FALSE)&gt;75,"++",(IF(VLOOKUP(C22,OUTPUT_COUNTRY!$B$7:$N$27,8,FALSE)&gt;50,"+",(IF(VLOOKUP(C22,OUTPUT_COUNTRY!$B$7:$N$27,8,FALSE)&gt;25,"-","--")))))</f>
        <v>-</v>
      </c>
      <c r="J22" s="138" t="str">
        <f>IF(VLOOKUP(C22,OUTPUT_COUNTRY!$B$7:$N$27,9,FALSE)&gt;75,"++",(IF(VLOOKUP(C22,OUTPUT_COUNTRY!$B$7:$N$27,9,FALSE)&gt;50,"+",(IF(VLOOKUP(C22,OUTPUT_COUNTRY!$B$7:$N$27,9,FALSE)&gt;25,"-","--")))))</f>
        <v>++</v>
      </c>
      <c r="K22" s="138" t="str">
        <f>IF(VLOOKUP(C22,OUTPUT_COUNTRY!$B$7:$N$27,11,FALSE)&gt;75,"++",(IF(VLOOKUP(C22,OUTPUT_COUNTRY!$B$7:$N$27,11,FALSE)&gt;50,"+",(IF(VLOOKUP(C22,OUTPUT_COUNTRY!$B$7:$N$27,11,FALSE)&gt;25,"-","--")))))</f>
        <v>+</v>
      </c>
      <c r="L22" s="136" t="str">
        <f>IF(VLOOKUP(C22,OUTPUT_COUNTRY!$B$7:$N$27,13,FALSE)&gt;75,"++",(IF(VLOOKUP(C22,OUTPUT_COUNTRY!$B$7:$N$27,13,FALSE)&gt;50,"+",(IF(VLOOKUP(C22,OUTPUT_COUNTRY!$B$7:$N$27,13,FALSE)&gt;25,"-","--")))))</f>
        <v>++</v>
      </c>
    </row>
    <row r="23" spans="3:12" x14ac:dyDescent="0.35">
      <c r="C23" s="90" t="s">
        <v>34</v>
      </c>
      <c r="D23" s="92" t="s">
        <v>452</v>
      </c>
      <c r="E23" s="136" t="str">
        <f>IF(VLOOKUP(C23,OUTPUT_COUNTRY!$B$7:$N$27,3,FALSE)&gt;75,"++",(IF(VLOOKUP(C23,OUTPUT_COUNTRY!$B$7:$N$27,3,FALSE)&gt;50,"+",(IF(VLOOKUP(C23,OUTPUT_COUNTRY!$B$7:$N$27,3,FALSE)&gt;25,"-","--")))))</f>
        <v>++</v>
      </c>
      <c r="F23" s="136" t="str">
        <f>IF(VLOOKUP(C23,OUTPUT_COUNTRY!$B$7:$N$27,4,FALSE)&gt;75,"++",(IF(VLOOKUP(C23,OUTPUT_COUNTRY!$B$7:$N$27,4,FALSE)&gt;50,"+",(IF(VLOOKUP(C23,OUTPUT_COUNTRY!$B$7:$N$27,4,FALSE)&gt;25,"-","--")))))</f>
        <v>--</v>
      </c>
      <c r="G23" s="138" t="str">
        <f>IF(VLOOKUP(C23,OUTPUT_COUNTRY!$B$7:$N$27,5,FALSE)&gt;75,"++",(IF(VLOOKUP(C23,OUTPUT_COUNTRY!$B$7:$N$27,5,FALSE)&gt;50,"+",(IF(VLOOKUP(C23,OUTPUT_COUNTRY!$B$7:$N$27,5,FALSE)&gt;25,"-","--")))))</f>
        <v>+</v>
      </c>
      <c r="H23" s="138" t="str">
        <f>IF(VLOOKUP(C23,OUTPUT_COUNTRY!$B$7:$N$27,7,FALSE)&gt;75,"++",(IF(VLOOKUP(C23,OUTPUT_COUNTRY!$B$7:$N$27,7,FALSE)&gt;50,"+",(IF(VLOOKUP(C23,OUTPUT_COUNTRY!$B$7:$N$27,7,FALSE)&gt;25,"-","--")))))</f>
        <v>+</v>
      </c>
      <c r="I23" s="138" t="str">
        <f>IF(VLOOKUP(C23,OUTPUT_COUNTRY!$B$7:$N$27,8,FALSE)&gt;75,"++",(IF(VLOOKUP(C23,OUTPUT_COUNTRY!$B$7:$N$27,8,FALSE)&gt;50,"+",(IF(VLOOKUP(C23,OUTPUT_COUNTRY!$B$7:$N$27,8,FALSE)&gt;25,"-","--")))))</f>
        <v>--</v>
      </c>
      <c r="J23" s="138" t="str">
        <f>IF(VLOOKUP(C23,OUTPUT_COUNTRY!$B$7:$N$27,9,FALSE)&gt;75,"++",(IF(VLOOKUP(C23,OUTPUT_COUNTRY!$B$7:$N$27,9,FALSE)&gt;50,"+",(IF(VLOOKUP(C23,OUTPUT_COUNTRY!$B$7:$N$27,9,FALSE)&gt;25,"-","--")))))</f>
        <v>-</v>
      </c>
      <c r="K23" s="138" t="str">
        <f>IF(VLOOKUP(C23,OUTPUT_COUNTRY!$B$7:$N$27,11,FALSE)&gt;75,"++",(IF(VLOOKUP(C23,OUTPUT_COUNTRY!$B$7:$N$27,11,FALSE)&gt;50,"+",(IF(VLOOKUP(C23,OUTPUT_COUNTRY!$B$7:$N$27,11,FALSE)&gt;25,"-","--")))))</f>
        <v>++</v>
      </c>
      <c r="L23" s="136" t="str">
        <f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91" t="s">
        <v>22</v>
      </c>
      <c r="D24" s="93" t="s">
        <v>447</v>
      </c>
      <c r="E24" s="140" t="str">
        <f>IF(VLOOKUP(C24,OUTPUT_COUNTRY!$B$7:$N$27,3,FALSE)&gt;75,"++",(IF(VLOOKUP(C24,OUTPUT_COUNTRY!$B$7:$N$27,3,FALSE)&gt;50,"+",(IF(VLOOKUP(C24,OUTPUT_COUNTRY!$B$7:$N$27,3,FALSE)&gt;25,"-","--")))))</f>
        <v>-</v>
      </c>
      <c r="F24" s="140" t="str">
        <f>IF(VLOOKUP(C24,OUTPUT_COUNTRY!$B$7:$N$27,4,FALSE)&gt;75,"++",(IF(VLOOKUP(C24,OUTPUT_COUNTRY!$B$7:$N$27,4,FALSE)&gt;50,"+",(IF(VLOOKUP(C24,OUTPUT_COUNTRY!$B$7:$N$27,4,FALSE)&gt;25,"-","--")))))</f>
        <v>-</v>
      </c>
      <c r="G24" s="139" t="str">
        <f>IF(VLOOKUP(C24,OUTPUT_COUNTRY!$B$7:$N$27,5,FALSE)&gt;75,"++",(IF(VLOOKUP(C24,OUTPUT_COUNTRY!$B$7:$N$27,5,FALSE)&gt;50,"+",(IF(VLOOKUP(C24,OUTPUT_COUNTRY!$B$7:$N$27,5,FALSE)&gt;25,"-","--")))))</f>
        <v>+</v>
      </c>
      <c r="H24" s="139" t="str">
        <f>IF(VLOOKUP(C24,OUTPUT_COUNTRY!$B$7:$N$27,7,FALSE)&gt;75,"++",(IF(VLOOKUP(C24,OUTPUT_COUNTRY!$B$7:$N$27,7,FALSE)&gt;50,"+",(IF(VLOOKUP(C24,OUTPUT_COUNTRY!$B$7:$N$27,7,FALSE)&gt;25,"-","--")))))</f>
        <v>-</v>
      </c>
      <c r="I24" s="139" t="str">
        <f>IF(VLOOKUP(C24,OUTPUT_COUNTRY!$B$7:$N$27,8,FALSE)&gt;75,"++",(IF(VLOOKUP(C24,OUTPUT_COUNTRY!$B$7:$N$27,8,FALSE)&gt;50,"+",(IF(VLOOKUP(C24,OUTPUT_COUNTRY!$B$7:$N$27,8,FALSE)&gt;25,"-","--")))))</f>
        <v>--</v>
      </c>
      <c r="J24" s="139" t="str">
        <f>IF(VLOOKUP(C24,OUTPUT_COUNTRY!$B$7:$N$27,9,FALSE)&gt;75,"++",(IF(VLOOKUP(C24,OUTPUT_COUNTRY!$B$7:$N$27,9,FALSE)&gt;50,"+",(IF(VLOOKUP(C24,OUTPUT_COUNTRY!$B$7:$N$27,9,FALSE)&gt;25,"-","--")))))</f>
        <v>--</v>
      </c>
      <c r="K24" s="139" t="str">
        <f>IF(VLOOKUP(C24,OUTPUT_COUNTRY!$B$7:$N$27,11,FALSE)&gt;75,"++",(IF(VLOOKUP(C24,OUTPUT_COUNTRY!$B$7:$N$27,11,FALSE)&gt;50,"+",(IF(VLOOKUP(C24,OUTPUT_COUNTRY!$B$7:$N$27,11,FALSE)&gt;25,"-","--")))))</f>
        <v>--</v>
      </c>
      <c r="L24" s="140" t="str">
        <f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36328125" style="36" customWidth="1"/>
    <col min="2" max="2" width="16.36328125" customWidth="1"/>
    <col min="3" max="3" width="66.08984375" bestFit="1" customWidth="1"/>
    <col min="4" max="4" width="16.453125" bestFit="1" customWidth="1"/>
  </cols>
  <sheetData>
    <row r="1" spans="1:4" x14ac:dyDescent="0.35">
      <c r="C1" s="1" t="s">
        <v>155</v>
      </c>
    </row>
    <row r="2" spans="1:4" x14ac:dyDescent="0.35">
      <c r="A2" s="37" t="s">
        <v>156</v>
      </c>
      <c r="B2" s="38" t="s">
        <v>157</v>
      </c>
      <c r="C2" s="39" t="s">
        <v>158</v>
      </c>
      <c r="D2" s="39" t="s">
        <v>159</v>
      </c>
    </row>
    <row r="3" spans="1:4" x14ac:dyDescent="0.35">
      <c r="C3" s="40" t="s">
        <v>160</v>
      </c>
      <c r="D3" s="41"/>
    </row>
    <row r="4" spans="1:4" x14ac:dyDescent="0.35">
      <c r="A4" s="36" t="s">
        <v>120</v>
      </c>
      <c r="B4" t="s">
        <v>161</v>
      </c>
      <c r="C4" t="s">
        <v>162</v>
      </c>
      <c r="D4" t="s">
        <v>163</v>
      </c>
    </row>
    <row r="5" spans="1:4" x14ac:dyDescent="0.35">
      <c r="A5" s="36" t="s">
        <v>164</v>
      </c>
      <c r="B5" t="s">
        <v>165</v>
      </c>
      <c r="C5" t="s">
        <v>166</v>
      </c>
      <c r="D5" t="s">
        <v>167</v>
      </c>
    </row>
    <row r="6" spans="1:4" x14ac:dyDescent="0.35">
      <c r="A6" s="36" t="s">
        <v>118</v>
      </c>
      <c r="B6" t="s">
        <v>168</v>
      </c>
      <c r="C6" t="s">
        <v>169</v>
      </c>
      <c r="D6" t="s">
        <v>170</v>
      </c>
    </row>
    <row r="7" spans="1:4" x14ac:dyDescent="0.35">
      <c r="A7" s="36" t="s">
        <v>119</v>
      </c>
      <c r="B7" t="s">
        <v>171</v>
      </c>
      <c r="C7" t="s">
        <v>172</v>
      </c>
      <c r="D7" t="s">
        <v>173</v>
      </c>
    </row>
    <row r="8" spans="1:4" x14ac:dyDescent="0.35">
      <c r="A8" s="36" t="s">
        <v>123</v>
      </c>
      <c r="B8" t="s">
        <v>174</v>
      </c>
      <c r="C8" t="s">
        <v>175</v>
      </c>
      <c r="D8" t="s">
        <v>176</v>
      </c>
    </row>
    <row r="9" spans="1:4" x14ac:dyDescent="0.35">
      <c r="A9" s="36" t="s">
        <v>154</v>
      </c>
      <c r="C9" s="40" t="s">
        <v>177</v>
      </c>
      <c r="D9" s="42"/>
    </row>
    <row r="10" spans="1:4" x14ac:dyDescent="0.35">
      <c r="A10" s="36" t="s">
        <v>117</v>
      </c>
      <c r="B10" t="s">
        <v>178</v>
      </c>
      <c r="C10" t="s">
        <v>179</v>
      </c>
      <c r="D10" t="s">
        <v>180</v>
      </c>
    </row>
    <row r="11" spans="1:4" x14ac:dyDescent="0.35">
      <c r="A11" s="36" t="s">
        <v>108</v>
      </c>
      <c r="B11" t="s">
        <v>181</v>
      </c>
      <c r="C11" t="s">
        <v>182</v>
      </c>
      <c r="D11" t="s">
        <v>183</v>
      </c>
    </row>
    <row r="12" spans="1:4" x14ac:dyDescent="0.35">
      <c r="A12" s="36" t="s">
        <v>184</v>
      </c>
      <c r="B12" t="s">
        <v>185</v>
      </c>
      <c r="C12" t="s">
        <v>186</v>
      </c>
      <c r="D12" t="s">
        <v>187</v>
      </c>
    </row>
    <row r="13" spans="1:4" x14ac:dyDescent="0.35">
      <c r="A13" s="36" t="s">
        <v>122</v>
      </c>
      <c r="B13" t="s">
        <v>188</v>
      </c>
      <c r="C13" t="s">
        <v>189</v>
      </c>
      <c r="D13" t="s">
        <v>190</v>
      </c>
    </row>
    <row r="14" spans="1:4" x14ac:dyDescent="0.35">
      <c r="A14" s="36" t="s">
        <v>128</v>
      </c>
      <c r="B14" t="s">
        <v>191</v>
      </c>
      <c r="C14" t="s">
        <v>192</v>
      </c>
      <c r="D14" t="s">
        <v>193</v>
      </c>
    </row>
    <row r="15" spans="1:4" x14ac:dyDescent="0.35">
      <c r="A15" s="36" t="s">
        <v>118</v>
      </c>
      <c r="B15" t="s">
        <v>168</v>
      </c>
      <c r="C15" t="s">
        <v>169</v>
      </c>
      <c r="D15" t="s">
        <v>170</v>
      </c>
    </row>
    <row r="16" spans="1:4" x14ac:dyDescent="0.35">
      <c r="A16" s="36" t="s">
        <v>194</v>
      </c>
      <c r="B16" t="s">
        <v>195</v>
      </c>
      <c r="C16" t="s">
        <v>196</v>
      </c>
      <c r="D16" t="s">
        <v>197</v>
      </c>
    </row>
    <row r="17" spans="1:4" x14ac:dyDescent="0.35">
      <c r="A17" s="36" t="s">
        <v>126</v>
      </c>
      <c r="B17" t="s">
        <v>198</v>
      </c>
      <c r="C17" t="s">
        <v>199</v>
      </c>
      <c r="D17" t="s">
        <v>200</v>
      </c>
    </row>
    <row r="18" spans="1:4" x14ac:dyDescent="0.35">
      <c r="A18" s="36" t="s">
        <v>201</v>
      </c>
      <c r="B18" t="s">
        <v>202</v>
      </c>
      <c r="C18" t="s">
        <v>203</v>
      </c>
      <c r="D18" t="s">
        <v>204</v>
      </c>
    </row>
    <row r="19" spans="1:4" x14ac:dyDescent="0.35">
      <c r="A19" s="36" t="s">
        <v>205</v>
      </c>
      <c r="B19" t="s">
        <v>206</v>
      </c>
      <c r="C19" t="s">
        <v>207</v>
      </c>
      <c r="D19" t="s">
        <v>208</v>
      </c>
    </row>
    <row r="20" spans="1:4" x14ac:dyDescent="0.35">
      <c r="A20" s="36" t="s">
        <v>121</v>
      </c>
      <c r="B20" t="s">
        <v>209</v>
      </c>
      <c r="C20" t="s">
        <v>210</v>
      </c>
      <c r="D20" t="s">
        <v>211</v>
      </c>
    </row>
    <row r="21" spans="1:4" x14ac:dyDescent="0.35">
      <c r="A21" s="36" t="s">
        <v>212</v>
      </c>
      <c r="B21" t="s">
        <v>213</v>
      </c>
    </row>
    <row r="22" spans="1:4" x14ac:dyDescent="0.35">
      <c r="A22" s="36" t="s">
        <v>105</v>
      </c>
      <c r="B22" t="s">
        <v>214</v>
      </c>
      <c r="C22" t="s">
        <v>215</v>
      </c>
      <c r="D22" t="s">
        <v>216</v>
      </c>
    </row>
    <row r="23" spans="1:4" x14ac:dyDescent="0.35">
      <c r="A23" s="36" t="s">
        <v>217</v>
      </c>
      <c r="B23" t="s">
        <v>218</v>
      </c>
      <c r="C23" t="s">
        <v>219</v>
      </c>
      <c r="D23" t="s">
        <v>220</v>
      </c>
    </row>
    <row r="24" spans="1:4" x14ac:dyDescent="0.35">
      <c r="A24" s="36" t="s">
        <v>107</v>
      </c>
      <c r="B24" t="s">
        <v>221</v>
      </c>
      <c r="C24" t="s">
        <v>222</v>
      </c>
      <c r="D24" t="s">
        <v>223</v>
      </c>
    </row>
    <row r="25" spans="1:4" x14ac:dyDescent="0.35">
      <c r="A25" s="36" t="s">
        <v>224</v>
      </c>
      <c r="B25" t="s">
        <v>225</v>
      </c>
      <c r="C25" t="s">
        <v>226</v>
      </c>
      <c r="D25" t="s">
        <v>227</v>
      </c>
    </row>
    <row r="26" spans="1:4" x14ac:dyDescent="0.35">
      <c r="A26" s="36" t="s">
        <v>130</v>
      </c>
      <c r="B26" t="s">
        <v>228</v>
      </c>
      <c r="C26" t="s">
        <v>229</v>
      </c>
      <c r="D26" t="s">
        <v>230</v>
      </c>
    </row>
    <row r="27" spans="1:4" x14ac:dyDescent="0.35">
      <c r="A27" s="36" t="s">
        <v>154</v>
      </c>
      <c r="C27" s="40" t="s">
        <v>231</v>
      </c>
    </row>
    <row r="28" spans="1:4" x14ac:dyDescent="0.35">
      <c r="A28" s="36" t="s">
        <v>232</v>
      </c>
      <c r="B28" t="s">
        <v>233</v>
      </c>
      <c r="C28" t="s">
        <v>234</v>
      </c>
      <c r="D28" t="s">
        <v>235</v>
      </c>
    </row>
    <row r="29" spans="1:4" x14ac:dyDescent="0.35">
      <c r="A29" s="36" t="s">
        <v>236</v>
      </c>
      <c r="B29" t="s">
        <v>237</v>
      </c>
      <c r="C29" t="s">
        <v>238</v>
      </c>
      <c r="D29" t="s">
        <v>239</v>
      </c>
    </row>
    <row r="30" spans="1:4" x14ac:dyDescent="0.35">
      <c r="A30" s="36" t="s">
        <v>240</v>
      </c>
      <c r="B30" t="s">
        <v>241</v>
      </c>
      <c r="C30" t="s">
        <v>242</v>
      </c>
      <c r="D30" t="s">
        <v>243</v>
      </c>
    </row>
    <row r="31" spans="1:4" x14ac:dyDescent="0.35">
      <c r="A31" s="36" t="s">
        <v>244</v>
      </c>
      <c r="B31" t="s">
        <v>245</v>
      </c>
      <c r="C31" t="s">
        <v>246</v>
      </c>
      <c r="D31" t="s">
        <v>247</v>
      </c>
    </row>
    <row r="32" spans="1:4" x14ac:dyDescent="0.35">
      <c r="A32" s="36" t="s">
        <v>248</v>
      </c>
      <c r="B32" t="s">
        <v>165</v>
      </c>
      <c r="C32" t="s">
        <v>166</v>
      </c>
      <c r="D32" t="s">
        <v>167</v>
      </c>
    </row>
    <row r="33" spans="1:4" x14ac:dyDescent="0.35">
      <c r="A33" s="36" t="s">
        <v>249</v>
      </c>
      <c r="B33" t="s">
        <v>250</v>
      </c>
      <c r="C33" t="s">
        <v>251</v>
      </c>
      <c r="D33" t="s">
        <v>252</v>
      </c>
    </row>
    <row r="34" spans="1:4" x14ac:dyDescent="0.35">
      <c r="A34" s="36" t="s">
        <v>253</v>
      </c>
      <c r="B34" t="s">
        <v>254</v>
      </c>
      <c r="C34" t="s">
        <v>255</v>
      </c>
      <c r="D34" t="s">
        <v>256</v>
      </c>
    </row>
    <row r="35" spans="1:4" x14ac:dyDescent="0.35">
      <c r="A35" s="36" t="s">
        <v>257</v>
      </c>
      <c r="B35" t="s">
        <v>258</v>
      </c>
      <c r="C35" t="s">
        <v>259</v>
      </c>
      <c r="D35" t="s">
        <v>260</v>
      </c>
    </row>
    <row r="36" spans="1:4" x14ac:dyDescent="0.35">
      <c r="A36" s="36" t="s">
        <v>104</v>
      </c>
      <c r="B36" t="s">
        <v>261</v>
      </c>
      <c r="C36" t="s">
        <v>262</v>
      </c>
      <c r="D36" t="s">
        <v>263</v>
      </c>
    </row>
    <row r="37" spans="1:4" x14ac:dyDescent="0.35">
      <c r="A37" s="36" t="s">
        <v>264</v>
      </c>
      <c r="B37" t="s">
        <v>265</v>
      </c>
      <c r="C37" t="s">
        <v>266</v>
      </c>
      <c r="D37" t="s">
        <v>267</v>
      </c>
    </row>
    <row r="38" spans="1:4" x14ac:dyDescent="0.35">
      <c r="A38" s="36" t="s">
        <v>268</v>
      </c>
      <c r="B38" t="s">
        <v>269</v>
      </c>
      <c r="C38" t="s">
        <v>270</v>
      </c>
      <c r="D38" t="s">
        <v>271</v>
      </c>
    </row>
    <row r="39" spans="1:4" x14ac:dyDescent="0.35">
      <c r="A39" s="36" t="s">
        <v>272</v>
      </c>
      <c r="B39" t="s">
        <v>273</v>
      </c>
      <c r="C39" t="s">
        <v>274</v>
      </c>
      <c r="D39" t="s">
        <v>275</v>
      </c>
    </row>
    <row r="40" spans="1:4" x14ac:dyDescent="0.35">
      <c r="A40" s="36" t="s">
        <v>276</v>
      </c>
      <c r="B40" t="s">
        <v>277</v>
      </c>
      <c r="C40" t="s">
        <v>278</v>
      </c>
      <c r="D40" t="s">
        <v>279</v>
      </c>
    </row>
    <row r="41" spans="1:4" x14ac:dyDescent="0.35">
      <c r="A41" s="36" t="s">
        <v>114</v>
      </c>
      <c r="B41" t="s">
        <v>280</v>
      </c>
      <c r="C41" t="s">
        <v>281</v>
      </c>
      <c r="D41" t="s">
        <v>282</v>
      </c>
    </row>
    <row r="42" spans="1:4" x14ac:dyDescent="0.35">
      <c r="A42" s="36" t="s">
        <v>109</v>
      </c>
      <c r="B42" t="s">
        <v>283</v>
      </c>
      <c r="C42" t="s">
        <v>284</v>
      </c>
      <c r="D42" t="s">
        <v>285</v>
      </c>
    </row>
    <row r="43" spans="1:4" x14ac:dyDescent="0.35">
      <c r="A43" s="36" t="s">
        <v>286</v>
      </c>
      <c r="B43" t="s">
        <v>287</v>
      </c>
      <c r="C43" t="s">
        <v>288</v>
      </c>
      <c r="D43" t="s">
        <v>289</v>
      </c>
    </row>
    <row r="44" spans="1:4" x14ac:dyDescent="0.35">
      <c r="A44" s="36" t="s">
        <v>119</v>
      </c>
      <c r="B44" t="s">
        <v>171</v>
      </c>
      <c r="C44" t="s">
        <v>172</v>
      </c>
      <c r="D44" t="s">
        <v>173</v>
      </c>
    </row>
    <row r="45" spans="1:4" x14ac:dyDescent="0.35">
      <c r="A45" t="s">
        <v>106</v>
      </c>
      <c r="B45" t="s">
        <v>575</v>
      </c>
      <c r="C45" t="s">
        <v>166</v>
      </c>
      <c r="D45" t="s">
        <v>167</v>
      </c>
    </row>
    <row r="46" spans="1:4" x14ac:dyDescent="0.35">
      <c r="A46" s="36" t="s">
        <v>115</v>
      </c>
      <c r="B46" t="s">
        <v>503</v>
      </c>
      <c r="C46" t="s">
        <v>166</v>
      </c>
      <c r="D46" t="s">
        <v>167</v>
      </c>
    </row>
    <row r="47" spans="1:4" x14ac:dyDescent="0.35">
      <c r="A47" s="36" t="s">
        <v>154</v>
      </c>
      <c r="C47" s="40" t="s">
        <v>290</v>
      </c>
      <c r="D47" s="42"/>
    </row>
    <row r="48" spans="1:4" x14ac:dyDescent="0.35">
      <c r="A48" s="36" t="s">
        <v>291</v>
      </c>
      <c r="B48" t="s">
        <v>292</v>
      </c>
      <c r="C48" t="s">
        <v>293</v>
      </c>
      <c r="D48" t="s">
        <v>294</v>
      </c>
    </row>
    <row r="49" spans="1:4" x14ac:dyDescent="0.35">
      <c r="A49" s="36" t="s">
        <v>131</v>
      </c>
      <c r="B49" t="s">
        <v>295</v>
      </c>
      <c r="C49" t="s">
        <v>296</v>
      </c>
      <c r="D49" t="s">
        <v>297</v>
      </c>
    </row>
    <row r="50" spans="1:4" x14ac:dyDescent="0.35">
      <c r="A50" s="36" t="s">
        <v>111</v>
      </c>
      <c r="B50" t="s">
        <v>298</v>
      </c>
      <c r="C50" t="s">
        <v>299</v>
      </c>
      <c r="D50" t="s">
        <v>300</v>
      </c>
    </row>
    <row r="51" spans="1:4" x14ac:dyDescent="0.35">
      <c r="A51" s="36" t="s">
        <v>301</v>
      </c>
      <c r="B51" t="s">
        <v>302</v>
      </c>
      <c r="C51" t="s">
        <v>303</v>
      </c>
      <c r="D51" t="s">
        <v>304</v>
      </c>
    </row>
    <row r="52" spans="1:4" x14ac:dyDescent="0.35">
      <c r="A52" s="36" t="s">
        <v>125</v>
      </c>
      <c r="B52" t="s">
        <v>305</v>
      </c>
      <c r="C52" t="s">
        <v>306</v>
      </c>
      <c r="D52" t="s">
        <v>307</v>
      </c>
    </row>
    <row r="53" spans="1:4" x14ac:dyDescent="0.35">
      <c r="A53" s="36" t="s">
        <v>116</v>
      </c>
      <c r="B53" t="s">
        <v>308</v>
      </c>
      <c r="C53" t="s">
        <v>309</v>
      </c>
      <c r="D53" t="s">
        <v>310</v>
      </c>
    </row>
    <row r="54" spans="1:4" x14ac:dyDescent="0.35">
      <c r="A54" s="36" t="s">
        <v>311</v>
      </c>
      <c r="B54" t="s">
        <v>312</v>
      </c>
      <c r="C54" t="s">
        <v>313</v>
      </c>
      <c r="D54" t="s">
        <v>314</v>
      </c>
    </row>
    <row r="55" spans="1:4" x14ac:dyDescent="0.35">
      <c r="A55" s="36" t="s">
        <v>154</v>
      </c>
      <c r="C55" s="40" t="s">
        <v>315</v>
      </c>
      <c r="D55" s="42"/>
    </row>
    <row r="56" spans="1:4" x14ac:dyDescent="0.35">
      <c r="A56" s="36" t="s">
        <v>316</v>
      </c>
      <c r="B56" t="s">
        <v>317</v>
      </c>
      <c r="C56" t="s">
        <v>318</v>
      </c>
      <c r="D56" t="s">
        <v>319</v>
      </c>
    </row>
    <row r="57" spans="1:4" x14ac:dyDescent="0.35">
      <c r="A57" s="36" t="s">
        <v>320</v>
      </c>
      <c r="B57" t="s">
        <v>321</v>
      </c>
      <c r="C57" t="s">
        <v>322</v>
      </c>
      <c r="D57" t="s">
        <v>323</v>
      </c>
    </row>
    <row r="58" spans="1:4" x14ac:dyDescent="0.35">
      <c r="A58" s="36" t="s">
        <v>324</v>
      </c>
      <c r="B58" t="s">
        <v>325</v>
      </c>
      <c r="C58" t="s">
        <v>326</v>
      </c>
      <c r="D58" t="s">
        <v>327</v>
      </c>
    </row>
    <row r="59" spans="1:4" x14ac:dyDescent="0.35">
      <c r="A59" s="36" t="s">
        <v>328</v>
      </c>
      <c r="B59" t="s">
        <v>329</v>
      </c>
      <c r="C59" t="s">
        <v>330</v>
      </c>
      <c r="D59" t="s">
        <v>331</v>
      </c>
    </row>
    <row r="60" spans="1:4" x14ac:dyDescent="0.35">
      <c r="A60" s="36" t="s">
        <v>332</v>
      </c>
      <c r="B60" t="s">
        <v>333</v>
      </c>
      <c r="C60" t="s">
        <v>334</v>
      </c>
      <c r="D60" t="s">
        <v>335</v>
      </c>
    </row>
    <row r="61" spans="1:4" x14ac:dyDescent="0.35">
      <c r="A61" s="36" t="s">
        <v>336</v>
      </c>
      <c r="B61" t="s">
        <v>337</v>
      </c>
      <c r="C61" t="s">
        <v>338</v>
      </c>
      <c r="D61" t="s">
        <v>339</v>
      </c>
    </row>
    <row r="62" spans="1:4" x14ac:dyDescent="0.35">
      <c r="A62" s="36" t="s">
        <v>340</v>
      </c>
      <c r="B62" t="s">
        <v>341</v>
      </c>
      <c r="C62" t="s">
        <v>342</v>
      </c>
      <c r="D62" t="s">
        <v>343</v>
      </c>
    </row>
    <row r="63" spans="1:4" x14ac:dyDescent="0.35">
      <c r="A63" s="36" t="s">
        <v>344</v>
      </c>
      <c r="B63" t="s">
        <v>345</v>
      </c>
      <c r="C63" t="s">
        <v>346</v>
      </c>
      <c r="D63" t="s">
        <v>347</v>
      </c>
    </row>
    <row r="64" spans="1:4" x14ac:dyDescent="0.35">
      <c r="A64" s="36" t="s">
        <v>348</v>
      </c>
      <c r="B64" t="s">
        <v>349</v>
      </c>
      <c r="C64" t="s">
        <v>350</v>
      </c>
      <c r="D64" t="s">
        <v>351</v>
      </c>
    </row>
    <row r="65" spans="1:4" x14ac:dyDescent="0.35">
      <c r="A65" s="36" t="s">
        <v>352</v>
      </c>
      <c r="B65" t="s">
        <v>353</v>
      </c>
      <c r="C65" t="s">
        <v>354</v>
      </c>
      <c r="D65" t="s">
        <v>355</v>
      </c>
    </row>
    <row r="66" spans="1:4" x14ac:dyDescent="0.35">
      <c r="A66" s="36" t="s">
        <v>356</v>
      </c>
      <c r="B66" t="s">
        <v>357</v>
      </c>
      <c r="C66" t="s">
        <v>358</v>
      </c>
      <c r="D66" t="s">
        <v>359</v>
      </c>
    </row>
    <row r="67" spans="1:4" x14ac:dyDescent="0.35">
      <c r="A67" s="36" t="s">
        <v>360</v>
      </c>
      <c r="B67" t="s">
        <v>361</v>
      </c>
      <c r="C67" t="s">
        <v>362</v>
      </c>
      <c r="D67" t="s">
        <v>363</v>
      </c>
    </row>
    <row r="68" spans="1:4" x14ac:dyDescent="0.35">
      <c r="A68" s="36" t="s">
        <v>124</v>
      </c>
      <c r="B68" t="s">
        <v>364</v>
      </c>
      <c r="C68" t="s">
        <v>365</v>
      </c>
      <c r="D68" t="s">
        <v>366</v>
      </c>
    </row>
    <row r="69" spans="1:4" x14ac:dyDescent="0.35">
      <c r="A69" s="36" t="s">
        <v>129</v>
      </c>
      <c r="B69" t="s">
        <v>367</v>
      </c>
      <c r="C69" t="s">
        <v>368</v>
      </c>
      <c r="D69" t="s">
        <v>369</v>
      </c>
    </row>
    <row r="70" spans="1:4" x14ac:dyDescent="0.35">
      <c r="A70" s="36" t="s">
        <v>103</v>
      </c>
      <c r="B70" t="s">
        <v>370</v>
      </c>
      <c r="C70" t="s">
        <v>371</v>
      </c>
      <c r="D70" t="s">
        <v>372</v>
      </c>
    </row>
    <row r="71" spans="1:4" x14ac:dyDescent="0.35">
      <c r="A71" s="36" t="s">
        <v>373</v>
      </c>
      <c r="B71" t="s">
        <v>374</v>
      </c>
      <c r="C71" t="s">
        <v>375</v>
      </c>
      <c r="D71" t="s">
        <v>376</v>
      </c>
    </row>
    <row r="72" spans="1:4" x14ac:dyDescent="0.35">
      <c r="A72" s="36" t="s">
        <v>127</v>
      </c>
      <c r="B72" t="s">
        <v>377</v>
      </c>
      <c r="C72" t="s">
        <v>378</v>
      </c>
      <c r="D72" t="s">
        <v>379</v>
      </c>
    </row>
    <row r="73" spans="1:4" x14ac:dyDescent="0.35">
      <c r="A73" s="36" t="s">
        <v>380</v>
      </c>
      <c r="B73" t="s">
        <v>381</v>
      </c>
      <c r="C73" t="s">
        <v>382</v>
      </c>
      <c r="D73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topLeftCell="Q1" workbookViewId="0">
      <selection activeCell="AD3" sqref="AD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08984375" customWidth="1"/>
    <col min="6" max="6" width="9.90625" customWidth="1"/>
    <col min="7" max="7" width="7.54296875" customWidth="1"/>
    <col min="8" max="8" width="9.36328125" customWidth="1"/>
    <col min="9" max="9" width="8.6328125" customWidth="1"/>
    <col min="10" max="10" width="11" customWidth="1"/>
    <col min="11" max="11" width="12.90625" customWidth="1"/>
    <col min="12" max="12" width="8.6328125" customWidth="1"/>
    <col min="14" max="14" width="10.54296875" customWidth="1"/>
    <col min="15" max="15" width="10.6328125" customWidth="1"/>
    <col min="16" max="16" width="15" customWidth="1"/>
    <col min="17" max="17" width="12.453125" customWidth="1"/>
    <col min="18" max="20" width="13.36328125" customWidth="1"/>
    <col min="21" max="21" width="14" customWidth="1"/>
    <col min="22" max="22" width="16.36328125" customWidth="1"/>
    <col min="23" max="23" width="14.6328125" customWidth="1"/>
    <col min="24" max="24" width="14.36328125" customWidth="1"/>
    <col min="25" max="25" width="11.6328125" customWidth="1"/>
    <col min="26" max="26" width="14.6328125" customWidth="1"/>
    <col min="27" max="28" width="11.6328125" customWidth="1"/>
  </cols>
  <sheetData>
    <row r="2" spans="1:29" ht="50.25" customHeight="1" x14ac:dyDescent="0.35">
      <c r="B2" t="s">
        <v>760</v>
      </c>
      <c r="D2" s="84" t="s">
        <v>0</v>
      </c>
      <c r="E2" s="84" t="s">
        <v>581</v>
      </c>
      <c r="F2" s="84"/>
      <c r="G2" s="84" t="s">
        <v>2</v>
      </c>
      <c r="H2" s="84" t="s">
        <v>3</v>
      </c>
      <c r="I2" s="84" t="s">
        <v>413</v>
      </c>
      <c r="J2" s="84" t="s">
        <v>8</v>
      </c>
      <c r="K2" s="84" t="s">
        <v>69</v>
      </c>
      <c r="L2" s="84" t="s">
        <v>414</v>
      </c>
      <c r="M2" s="84" t="s">
        <v>415</v>
      </c>
      <c r="N2" s="84" t="s">
        <v>525</v>
      </c>
      <c r="O2" s="84" t="s">
        <v>761</v>
      </c>
      <c r="P2" s="84" t="s">
        <v>794</v>
      </c>
      <c r="Q2" s="84" t="s">
        <v>526</v>
      </c>
      <c r="R2" s="84" t="s">
        <v>527</v>
      </c>
      <c r="S2" s="84" t="s">
        <v>528</v>
      </c>
      <c r="T2" s="84" t="s">
        <v>762</v>
      </c>
      <c r="U2" s="84" t="s">
        <v>529</v>
      </c>
      <c r="V2" s="84" t="s">
        <v>530</v>
      </c>
      <c r="W2" s="84" t="s">
        <v>531</v>
      </c>
      <c r="X2" s="84" t="s">
        <v>532</v>
      </c>
      <c r="Y2" s="84" t="s">
        <v>533</v>
      </c>
      <c r="Z2" s="84" t="s">
        <v>763</v>
      </c>
      <c r="AA2" s="130" t="s">
        <v>795</v>
      </c>
      <c r="AB2" s="84" t="s">
        <v>547</v>
      </c>
      <c r="AC2" s="84" t="s">
        <v>559</v>
      </c>
    </row>
    <row r="3" spans="1:29" x14ac:dyDescent="0.35">
      <c r="A3" t="s">
        <v>437</v>
      </c>
      <c r="B3" t="s">
        <v>181</v>
      </c>
      <c r="C3" t="s">
        <v>440</v>
      </c>
      <c r="D3" t="s">
        <v>437</v>
      </c>
      <c r="E3" t="s">
        <v>622</v>
      </c>
      <c r="F3" s="2" cm="1">
        <f t="array" ref="F3">_xll.FDS(D3,"JULIAN(FMA_DIV_YLD(NTMA,NOW,NOW,M,""PORTAGG"",""MEANR"").dates)")</f>
        <v>45351</v>
      </c>
      <c r="G3" s="4" cm="1">
        <f t="array" ref="G3">_xll.FDS(D3,"FMA_PE(LTM,0,,,""PORTAGG"",""MEANR"")")</f>
        <v>14.3574289343155</v>
      </c>
      <c r="H3" s="4" cm="1">
        <f t="array" ref="H3">_xll.FDS(D3,"FMA_PE(NTMA,0,,,""PORTAGG"",""MEANR"")")</f>
        <v>11.7066303882655</v>
      </c>
      <c r="I3" cm="1">
        <f t="array" ref="I3">_xll.FDS(D3,"FMA_DIV_YLD(NTMA,NOW,NOW,M,""PORTAGG"",""MEANR"")")</f>
        <v>2.6978210415844499</v>
      </c>
      <c r="J3" s="64" cm="1">
        <f t="array" ref="J3">IFERROR(_xll.FDS(D3,"FG_FCF_YIELD_NTM(0)"),(1/G3*100))</f>
        <v>5.8073878688075098</v>
      </c>
      <c r="K3" s="3" cm="1">
        <f t="array" ref="K3">_xll.FDS(D3,"FMA_EVAL_EBITDA(NTMA,0,,,""PORTAGG"",""MEANR"")")</f>
        <v>9.7270738245185395</v>
      </c>
      <c r="L3" cm="1">
        <f t="array" ref="L3">_xll.FDS(D3,"FMA_EVAL_EBIT(LTMA,NOW,NOW,M,""PORTAGG"",""MEANR"")")</f>
        <v>16.448013062020902</v>
      </c>
      <c r="M3">
        <f>HLOOKUP(D3,'Index ROE'!$A$1:$V$25,25,FALSE)</f>
        <v>12.022061295483301</v>
      </c>
      <c r="N3">
        <f>VLOOKUP(A3,'LIQIDITY 2'!$A$3:$E$26,5,FALSE)</f>
        <v>2.3624000000000001</v>
      </c>
      <c r="O3" cm="1">
        <f t="array" ref="O3">IFERROR(_xll.FDS(B3,"IMF_IFS_RCPI_Q(0)"),$D$31)</f>
        <v>-0.32258100000000001</v>
      </c>
      <c r="P3">
        <f>VLOOKUP(E3,GDP_GROWTH!$B$10:$W$165,22,FALSE)</f>
        <v>5.6866931054303738</v>
      </c>
      <c r="Q3">
        <f t="shared" ref="Q3:Q23" si="0">I3-N3</f>
        <v>0.33542104158444985</v>
      </c>
      <c r="R3" s="64">
        <f t="shared" ref="R3:R23" si="1">J3-N3</f>
        <v>3.4449878688075097</v>
      </c>
      <c r="S3">
        <f t="shared" ref="S3:S23" si="2">M3-N3</f>
        <v>9.6596612954832999</v>
      </c>
      <c r="T3">
        <f>M3-O3</f>
        <v>12.3446422954833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63.6</v>
      </c>
      <c r="W3" cm="1">
        <f t="array" ref="W3">_xlfn.PERCENTRANK.EXC(_xlfn._xlws.FILTER(S$3:S$23, ISNUMBER(S$3:S$23)),S3)*100</f>
        <v>81.8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U3*Assumption!$E$39 + V3*Assumption!$F$39 + X3*Assumption!$G$39 + Y3*Assumption!$H$39 + W3*Assumption!$I$39 +Z3* Assumption!$K$39 + AA3* Assumption!$J$39</f>
        <v>58.64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298</v>
      </c>
      <c r="C4" t="s">
        <v>441</v>
      </c>
      <c r="D4" t="s">
        <v>27</v>
      </c>
      <c r="E4" t="s">
        <v>621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9.3478103159622492</v>
      </c>
      <c r="H4" s="4" cm="1">
        <f t="array" ref="H4">_xll.FDS(D4,"FMA_PE(NTMA,0,,,""PORTAGG"",""MEANR"")")</f>
        <v>7.6586523857053104</v>
      </c>
      <c r="I4" cm="1">
        <f t="array" ref="I4">_xll.FDS(D4,"FMA_DIV_YLD(NTMA,NOW,NOW,M,""PORTAGG"",""MEANR"")")</f>
        <v>7.2969538818018496</v>
      </c>
      <c r="J4" s="64" cm="1">
        <f t="array" ref="J4">IFERROR(_xll.FDS(D4,"FG_FCF_YIELD_NTM(0)"),(1/G4*100))</f>
        <v>9.5419120245622508</v>
      </c>
      <c r="K4" s="3" cm="1">
        <f t="array" ref="K4">_xll.FDS(D4,"FMA_EVAL_EBITDA(NTMA,0,,,""PORTAGG"",""MEANR"")")</f>
        <v>6.2719708880498999</v>
      </c>
      <c r="L4" cm="1">
        <f t="array" ref="L4">_xll.FDS(D4,"FMA_EVAL_EBIT(LTMA,NOW,NOW,M,""PORTAGG"",""MEANR"")")</f>
        <v>9.6185698125322094</v>
      </c>
      <c r="M4">
        <f>HLOOKUP(D4,'Index ROE'!$A$1:$V$25,25,FALSE)</f>
        <v>13.7800684317394</v>
      </c>
      <c r="N4">
        <f>VLOOKUP(A4,'LIQIDITY 2'!$A$3:$E$26,5,FALSE)</f>
        <v>2.3310692</v>
      </c>
      <c r="O4" cm="1">
        <f t="array" ref="O4">IFERROR(_xll.FDS(B4,"IMF_IFS_RCPI_Q(0)"),$D$31)</f>
        <v>4.5860630000000002</v>
      </c>
      <c r="P4">
        <f>VLOOKUP(E4,GDP_GROWTH!$B$10:$W$165,22,FALSE)</f>
        <v>2.8445276358834981</v>
      </c>
      <c r="Q4">
        <f t="shared" si="0"/>
        <v>4.9658846818018496</v>
      </c>
      <c r="R4" s="64">
        <f t="shared" si="1"/>
        <v>7.2108428245622509</v>
      </c>
      <c r="S4">
        <f t="shared" si="2"/>
        <v>11.4489992317394</v>
      </c>
      <c r="T4">
        <f t="shared" ref="T4:T23" si="3">M4-O4</f>
        <v>9.1940054317393987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77.3</v>
      </c>
      <c r="Y4" cm="1">
        <f t="array" ref="Y4">(1-_xlfn.PERCENTRANK.EXC(_xlfn._xlws.FILTER(H$3:H$23, ISNUMBER(H$3:H$23)),H4))*100</f>
        <v>86.4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U4*Assumption!$E$39 + V4*Assumption!$F$39 + X4*Assumption!$G$39 + Y4*Assumption!$H$39 + W4*Assumption!$I$39 +Z4* Assumption!$K$39 + AA4* Assumption!$J$39</f>
        <v>82.26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191</v>
      </c>
      <c r="C5" t="s">
        <v>442</v>
      </c>
      <c r="D5" t="s">
        <v>35</v>
      </c>
      <c r="E5" t="s">
        <v>658</v>
      </c>
      <c r="F5" s="2" cm="1">
        <f t="array" ref="F5">_xll.FDS(D5,"JULIAN(FMA_DIV_YLD(NTMA,NOW,NOW,M,""PORTAGG"",""MEANR"").dates)")</f>
        <v>45351</v>
      </c>
      <c r="G5" s="4" cm="1">
        <f t="array" ref="G5">_xll.FDS(D5,"FMA_PE(LTM,0,,,""PORTAGG"",""MEANR"")")</f>
        <v>14.655576731863199</v>
      </c>
      <c r="H5" s="4" cm="1">
        <f t="array" ref="H5">_xll.FDS(D5,"FMA_PE(NTMA,0,,,""PORTAGG"",""MEANR"")")</f>
        <v>13.1860387719241</v>
      </c>
      <c r="I5" cm="1">
        <f t="array" ref="I5">_xll.FDS(D5,"FMA_DIV_YLD(NTMA,NOW,NOW,M,""PORTAGG"",""MEANR"")")</f>
        <v>4.1321131554103703</v>
      </c>
      <c r="J5" s="64" cm="1">
        <f t="array" ref="J5">IFERROR(_xll.FDS(D5,"FG_FCF_YIELD_NTM(0)"),(1/G5*100))</f>
        <v>6.8233411642263473</v>
      </c>
      <c r="K5" s="3" cm="1">
        <f t="array" ref="K5">_xll.FDS(D5,"FMA_EVAL_EBITDA(NTMA,0,,,""PORTAGG"",""MEANR"")")</f>
        <v>6.2746565701375498</v>
      </c>
      <c r="L5" cm="1">
        <f t="array" ref="L5">_xll.FDS(D5,"FMA_EVAL_EBIT(LTMA,NOW,NOW,M,""PORTAGG"",""MEANR"")")</f>
        <v>9.5956616784655306</v>
      </c>
      <c r="M5">
        <f>HLOOKUP(D5,'Index ROE'!$A$1:$V$25,25,FALSE)</f>
        <v>14.023411117857201</v>
      </c>
      <c r="N5">
        <f>VLOOKUP(A5,'LIQIDITY 2'!$A$3:$E$26,5,FALSE)</f>
        <v>6.6799590000000002</v>
      </c>
      <c r="O5" cm="1">
        <f t="array" ref="O5">IFERROR(_xll.FDS(B5,"IMF_IFS_RCPI_Q(0)"),$D$31)</f>
        <v>2.6812450000000001</v>
      </c>
      <c r="P5">
        <f>VLOOKUP(E5,GDP_GROWTH!$B$10:$W$165,22,FALSE)</f>
        <v>3.8153657829076093</v>
      </c>
      <c r="Q5">
        <f t="shared" si="0"/>
        <v>-2.5478458445896299</v>
      </c>
      <c r="R5" s="64">
        <f t="shared" si="1"/>
        <v>0.14338216422634709</v>
      </c>
      <c r="S5">
        <f t="shared" si="2"/>
        <v>7.3434521178572005</v>
      </c>
      <c r="T5">
        <f t="shared" si="3"/>
        <v>11.3421661178572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50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U5*Assumption!$E$39 + V5*Assumption!$F$39 + X5*Assumption!$G$39 + Y5*Assumption!$H$39 + W5*Assumption!$I$39 +Z5* Assumption!$K$39 + AA5* Assumption!$J$39</f>
        <v>40.709999999999994</v>
      </c>
      <c r="AC5" cm="1">
        <f t="array" ref="AC5">_xlfn.PERCENTRANK.EXC(_xlfn._xlws.FILTER(AB$3:AB$23, ISNUMBER(AB$3:AB$23)),AB5)*100</f>
        <v>40.9</v>
      </c>
    </row>
    <row r="6" spans="1:29" x14ac:dyDescent="0.35">
      <c r="A6" t="s">
        <v>30</v>
      </c>
      <c r="B6" t="s">
        <v>209</v>
      </c>
      <c r="C6" t="s">
        <v>443</v>
      </c>
      <c r="D6" t="s">
        <v>30</v>
      </c>
      <c r="E6" t="s">
        <v>706</v>
      </c>
      <c r="F6" s="2" cm="1">
        <f t="array" ref="F6">_xll.FDS(D6,"JULIAN(FMA_DIV_YLD(NTMA,NOW,NOW,M,""PORTAGG"",""MEANR"").dates)")</f>
        <v>45351</v>
      </c>
      <c r="G6" s="4" cm="1">
        <f t="array" ref="G6">_xll.FDS(D6,"FMA_PE(LTM,0,,,""PORTAGG"",""MEANR"")")</f>
        <v>11.7121175912818</v>
      </c>
      <c r="H6" s="4" cm="1">
        <f t="array" ref="H6">_xll.FDS(D6,"FMA_PE(NTMA,0,,,""PORTAGG"",""MEANR"")")</f>
        <v>9.9516833574204906</v>
      </c>
      <c r="I6" cm="1">
        <f t="array" ref="I6">_xll.FDS(D6,"FMA_DIV_YLD(NTMA,NOW,NOW,M,""PORTAGG"",""MEANR"")")</f>
        <v>2.7417778225276299</v>
      </c>
      <c r="J6" s="64" cm="1">
        <f t="array" ref="J6">IFERROR(_xll.FDS(D6,"FG_FCF_YIELD_NTM(0)"),(1/G6*100))</f>
        <v>7.45849242482252</v>
      </c>
      <c r="K6" s="3" cm="1">
        <f t="array" ref="K6">_xll.FDS(D6,"FMA_EVAL_EBITDA(NTMA,0,,,""PORTAGG"",""MEANR"")")</f>
        <v>9.0709016990036293</v>
      </c>
      <c r="L6" cm="1">
        <f t="array" ref="L6">_xll.FDS(D6,"FMA_EVAL_EBIT(LTMA,NOW,NOW,M,""PORTAGG"",""MEANR"")")</f>
        <v>13.7031145021024</v>
      </c>
      <c r="M6">
        <f>HLOOKUP(D6,'Index ROE'!$A$1:$V$25,25,FALSE)</f>
        <v>11.9407094450334</v>
      </c>
      <c r="N6">
        <f>VLOOKUP(A6,'LIQIDITY 2'!$A$3:$E$26,5,FALSE)</f>
        <v>6.1901364000000001</v>
      </c>
      <c r="O6" cm="1">
        <f t="array" ref="O6">IFERROR(_xll.FDS(B6,"IMF_IFS_RCPI_Q(0)"),$D$31)</f>
        <v>3.2433991</v>
      </c>
      <c r="P6">
        <f>VLOOKUP(E6,GDP_GROWTH!$B$10:$W$165,22,FALSE)</f>
        <v>3.9454348254778893</v>
      </c>
      <c r="Q6">
        <f t="shared" si="0"/>
        <v>-3.4483585774723702</v>
      </c>
      <c r="R6" s="64">
        <f t="shared" si="1"/>
        <v>1.2683560248225199</v>
      </c>
      <c r="S6">
        <f t="shared" si="2"/>
        <v>5.7505730450334003</v>
      </c>
      <c r="T6">
        <f t="shared" si="3"/>
        <v>8.6973103450334008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27.200000000000003</v>
      </c>
      <c r="X6" cm="1">
        <f t="array" ref="X6">(1-_xlfn.PERCENTRANK.EXC(_xlfn._xlws.FILTER(G$3:G$23, ISNUMBER(G$3:G$23)),G6))*100</f>
        <v>63.7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>U6*Assumption!$E$39 + V6*Assumption!$F$39 + X6*Assumption!$G$39 + Y6*Assumption!$H$39 + W6*Assumption!$I$39 +Z6* Assumption!$K$39 + AA6* Assumption!$J$39</f>
        <v>48.634999999999998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261</v>
      </c>
      <c r="C7" t="s">
        <v>444</v>
      </c>
      <c r="D7" t="s">
        <v>23</v>
      </c>
      <c r="E7" t="s">
        <v>707</v>
      </c>
      <c r="F7" s="2" cm="1">
        <f t="array" ref="F7">_xll.FDS(D7,"JULIAN(FMA_DIV_YLD(NTMA,NOW,NOW,M,""PORTAGG"",""MEANR"").dates)")</f>
        <v>45351</v>
      </c>
      <c r="G7" s="4" cm="1">
        <f t="array" ref="G7">_xll.FDS(D7,"FMA_PE(LTM,0,,,""PORTAGG"",""MEANR"")")</f>
        <v>7.78326501782752</v>
      </c>
      <c r="H7" s="4" cm="1">
        <f t="array" ref="H7">_xll.FDS(D7,"FMA_PE(NTMA,0,,,""PORTAGG"",""MEANR"")")</f>
        <v>9.3858471813119699</v>
      </c>
      <c r="I7" cm="1">
        <f t="array" ref="I7">_xll.FDS(D7,"FMA_DIV_YLD(NTMA,NOW,NOW,M,""PORTAGG"",""MEANR"")")</f>
        <v>4.7594676792514097</v>
      </c>
      <c r="J7" s="64" cm="1">
        <f t="array" ref="J7">IFERROR(_xll.FDS(D7,"FG_FCF_YIELD_NTM(0)"),(1/G7*100))</f>
        <v>12.84807850830604</v>
      </c>
      <c r="K7" s="3" cm="1">
        <f t="array" ref="K7">_xll.FDS(D7,"FMA_EVAL_EBITDA(NTMA,0,,,""PORTAGG"",""MEANR"")")</f>
        <v>4.4144318574730903</v>
      </c>
      <c r="L7" cm="1">
        <f t="array" ref="L7">_xll.FDS(D7,"FMA_EVAL_EBIT(LTMA,NOW,NOW,M,""PORTAGG"",""MEANR"")")</f>
        <v>7.51957489469841</v>
      </c>
      <c r="M7">
        <f>HLOOKUP(D7,'Index ROE'!$A$1:$V$25,25,FALSE)</f>
        <v>12.394579327579899</v>
      </c>
      <c r="N7">
        <f>VLOOKUP(A7,'LIQIDITY 2'!$A$3:$E$26,5,FALSE)</f>
        <v>5.4511000000000003</v>
      </c>
      <c r="O7" cm="1">
        <f t="array" ref="O7">IFERROR(_xll.FDS(B7,"IMF_IFS_RCPI_Q(0)"),$D$31)</f>
        <v>6.2023080000000004</v>
      </c>
      <c r="P7">
        <f>VLOOKUP(E7,GDP_GROWTH!$B$10:$W$165,22,FALSE)</f>
        <v>3.7030435940290873</v>
      </c>
      <c r="Q7">
        <f t="shared" si="0"/>
        <v>-0.6916323207485906</v>
      </c>
      <c r="R7" s="64">
        <f t="shared" si="1"/>
        <v>7.3969785083060398</v>
      </c>
      <c r="S7">
        <f t="shared" si="2"/>
        <v>6.9434793275798992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U7*Assumption!$E$39 + V7*Assumption!$F$39 + X7*Assumption!$G$39 + Y7*Assumption!$H$39 + W7*Assumption!$I$39 +Z7* Assumption!$K$39 + AA7* Assumption!$J$39</f>
        <v>71.375000000000014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308</v>
      </c>
      <c r="C8" t="s">
        <v>445</v>
      </c>
      <c r="D8" t="s">
        <v>29</v>
      </c>
      <c r="E8" t="s">
        <v>705</v>
      </c>
      <c r="F8" s="2" cm="1">
        <f t="array" ref="F8">_xll.FDS(D8,"JULIAN(FMA_DIV_YLD(NTMA,NOW,NOW,M,""PORTAGG"",""MEANR"").dates)")</f>
        <v>45351</v>
      </c>
      <c r="G8" s="4" cm="1">
        <f t="array" ref="G8">_xll.FDS(D8,"FMA_PE(LTM,0,,,""PORTAGG"",""MEANR"")")</f>
        <v>16.930724316305099</v>
      </c>
      <c r="H8" s="4" cm="1">
        <f t="array" ref="H8">_xll.FDS(D8,"FMA_PE(NTMA,0,,,""PORTAGG"",""MEANR"")")</f>
        <v>12.262655690230099</v>
      </c>
      <c r="I8" cm="1">
        <f t="array" ref="I8">_xll.FDS(D8,"FMA_DIV_YLD(NTMA,NOW,NOW,M,""PORTAGG"",""MEANR"")")</f>
        <v>3.7438895401304602</v>
      </c>
      <c r="J8" s="64" cm="1">
        <f t="array" ref="J8">IFERROR(_xll.FDS(D8,"FG_FCF_YIELD_NTM(0)"),(1/G8*100))</f>
        <v>7.4926975674380003</v>
      </c>
      <c r="K8" s="3" cm="1">
        <f t="array" ref="K8">_xll.FDS(D8,"FMA_EVAL_EBITDA(NTMA,0,,,""PORTAGG"",""MEANR"")")</f>
        <v>6.6809773074839098</v>
      </c>
      <c r="L8" cm="1">
        <f t="array" ref="L8">_xll.FDS(D8,"FMA_EVAL_EBIT(LTMA,NOW,NOW,M,""PORTAGG"",""MEANR"")")</f>
        <v>13.2143418899085</v>
      </c>
      <c r="M8">
        <f>HLOOKUP(D8,'Index ROE'!$A$1:$V$25,25,FALSE)</f>
        <v>12.932447367368299</v>
      </c>
      <c r="N8">
        <f>VLOOKUP(A8,'LIQIDITY 2'!$A$3:$E$26,5,FALSE)</f>
        <v>6.9972880000000002</v>
      </c>
      <c r="O8" cm="1">
        <f t="array" ref="O8">IFERROR(_xll.FDS(B8,"IMF_IFS_RCPI_Q(0)"),$D$31)</f>
        <v>3.9030174999999998</v>
      </c>
      <c r="P8">
        <f>VLOOKUP(E8,GDP_GROWTH!$B$10:$W$165,22,FALSE)</f>
        <v>2.3642552134477857</v>
      </c>
      <c r="Q8">
        <f t="shared" si="0"/>
        <v>-3.25339845986954</v>
      </c>
      <c r="R8" s="64">
        <f t="shared" si="1"/>
        <v>0.49540956743800013</v>
      </c>
      <c r="S8">
        <f t="shared" si="2"/>
        <v>5.935159367368299</v>
      </c>
      <c r="T8">
        <f t="shared" si="3"/>
        <v>9.0294298673683002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36.299999999999997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U8*Assumption!$E$39 + V8*Assumption!$F$39 + X8*Assumption!$G$39 + Y8*Assumption!$H$39 + W8*Assumption!$I$39 +Z8* Assumption!$K$39 + AA8* Assumption!$J$39</f>
        <v>38.195</v>
      </c>
      <c r="AC8" cm="1">
        <f t="array" ref="AC8">_xlfn.PERCENTRANK.EXC(_xlfn._xlws.FILTER(AB$3:AB$23, ISNUMBER(AB$3:AB$23)),AB8)*100</f>
        <v>36.299999999999997</v>
      </c>
    </row>
    <row r="9" spans="1:29" x14ac:dyDescent="0.35">
      <c r="A9" t="s">
        <v>33</v>
      </c>
      <c r="B9" t="s">
        <v>198</v>
      </c>
      <c r="C9" t="s">
        <v>446</v>
      </c>
      <c r="D9" t="s">
        <v>33</v>
      </c>
      <c r="E9" t="s">
        <v>680</v>
      </c>
      <c r="F9" s="2" cm="1">
        <f t="array" ref="F9">_xll.FDS(D9,"JULIAN(FMA_DIV_YLD(NTMA,NOW,NOW,M,""PORTAGG"",""MEANR"").dates)")</f>
        <v>45351</v>
      </c>
      <c r="G9" s="4" cm="1">
        <f t="array" ref="G9">_xll.FDS(D9,"FMA_PE(LTM,0,,,""PORTAGG"",""MEANR"")")</f>
        <v>17.5439418990962</v>
      </c>
      <c r="H9" s="4" cm="1">
        <f t="array" ref="H9">_xll.FDS(D9,"FMA_PE(NTMA,0,,,""PORTAGG"",""MEANR"")")</f>
        <v>13.917218231581501</v>
      </c>
      <c r="I9" cm="1">
        <f t="array" ref="I9">_xll.FDS(D9,"FMA_DIV_YLD(NTMA,NOW,NOW,M,""PORTAGG"",""MEANR"")")</f>
        <v>4.1425902375239501</v>
      </c>
      <c r="J9" s="64" cm="1">
        <f t="array" ref="J9">IFERROR(_xll.FDS(D9,"FG_FCF_YIELD_NTM(0)"),(1/G9*100))</f>
        <v>6.6435092209907003</v>
      </c>
      <c r="K9" s="3" cm="1">
        <f t="array" ref="K9">_xll.FDS(D9,"FMA_EVAL_EBITDA(NTMA,0,,,""PORTAGG"",""MEANR"")")</f>
        <v>8.7946243275339793</v>
      </c>
      <c r="L9" cm="1">
        <f t="array" ref="L9">_xll.FDS(D9,"FMA_EVAL_EBIT(LTMA,NOW,NOW,M,""PORTAGG"",""MEANR"")")</f>
        <v>18.447894635111101</v>
      </c>
      <c r="M9">
        <f>HLOOKUP(D9,'Index ROE'!$A$1:$V$25,25,FALSE)</f>
        <v>9.5588573391121194</v>
      </c>
      <c r="N9">
        <f>VLOOKUP(A9,'LIQIDITY 2'!$A$3:$E$26,5,FALSE)</f>
        <v>3.8594140000000001</v>
      </c>
      <c r="O9" cm="1">
        <f t="array" ref="O9">IFERROR(_xll.FDS(B9,"IMF_IFS_RCPI_Q(0)"),$D$31)</f>
        <v>3.2433991</v>
      </c>
      <c r="P9">
        <f>VLOOKUP(E9,GDP_GROWTH!$B$10:$W$165,22,FALSE)</f>
        <v>3.5466921531802975</v>
      </c>
      <c r="Q9">
        <f t="shared" si="0"/>
        <v>0.28317623752394994</v>
      </c>
      <c r="R9" s="64">
        <f t="shared" si="1"/>
        <v>2.7840952209907002</v>
      </c>
      <c r="S9">
        <f t="shared" si="2"/>
        <v>5.6994433391121193</v>
      </c>
      <c r="T9">
        <f t="shared" si="3"/>
        <v>6.3154582391121199</v>
      </c>
      <c r="U9" cm="1">
        <f t="array" ref="U9">_xlfn.PERCENTRANK.EXC(_xlfn._xlws.FILTER(Q$3:Q$23, ISNUMBER(Q$3:Q$23)),Q9)*100</f>
        <v>54.500000000000007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U9*Assumption!$E$39 + V9*Assumption!$F$39 + X9*Assumption!$G$39 + Y9*Assumption!$H$39 + W9*Assumption!$I$39 +Z9* Assumption!$K$39 + AA9* Assumption!$J$39</f>
        <v>35.665000000000006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221</v>
      </c>
      <c r="C10" t="s">
        <v>40</v>
      </c>
      <c r="D10" t="s">
        <v>24</v>
      </c>
      <c r="E10" t="s">
        <v>727</v>
      </c>
      <c r="F10" s="2" cm="1">
        <f t="array" ref="F10">_xll.FDS(D10,"JULIAN(FMA_DIV_YLD(NTMA,NOW,NOW,M,""PORTAGG"",""MEANR"").dates)")</f>
        <v>45351</v>
      </c>
      <c r="G10" s="4" cm="1">
        <f t="array" ref="G10">_xll.FDS(D10,"FMA_PE(LTM,0,,,""PORTAGG"",""MEANR"")")</f>
        <v>22.472891346877699</v>
      </c>
      <c r="H10" s="4" cm="1">
        <f t="array" ref="H10">_xll.FDS(D10,"FMA_PE(NTMA,0,,,""PORTAGG"",""MEANR"")")</f>
        <v>17.402817622355201</v>
      </c>
      <c r="I10" cm="1">
        <f t="array" ref="I10">_xll.FDS(D10,"FMA_DIV_YLD(NTMA,NOW,NOW,M,""PORTAGG"",""MEANR"")")</f>
        <v>3.2502930458584101</v>
      </c>
      <c r="J10" s="64" cm="1">
        <f t="array" ref="J10">IFERROR(_xll.FDS(D10,"FG_FCF_YIELD_NTM(0)"),(1/G10*100))</f>
        <v>3.5123660006200801</v>
      </c>
      <c r="K10" s="3" cm="1">
        <f t="array" ref="K10">_xll.FDS(D10,"FMA_EVAL_EBITDA(NTMA,0,,,""PORTAGG"",""MEANR"")")</f>
        <v>10.159403576175601</v>
      </c>
      <c r="L10" cm="1">
        <f t="array" ref="L10">_xll.FDS(D10,"FMA_EVAL_EBIT(LTMA,NOW,NOW,M,""PORTAGG"",""MEANR"")")</f>
        <v>20.442858506794501</v>
      </c>
      <c r="M10">
        <f>HLOOKUP(D10,'Index ROE'!$A$1:$V$25,25,FALSE)</f>
        <v>11.9152161134332</v>
      </c>
      <c r="N10">
        <f>VLOOKUP(A10,'LIQIDITY 2'!$A$3:$E$26,5,FALSE)</f>
        <v>1.2084999999999999</v>
      </c>
      <c r="O10" cm="1">
        <f t="array" ref="O10">IFERROR(_xll.FDS(B10,"IMF_IFS_RCPI_Q(0)"),$D$31)</f>
        <v>3.2433991</v>
      </c>
      <c r="P10">
        <f>VLOOKUP(E10,GDP_GROWTH!$B$10:$W$165,22,FALSE)</f>
        <v>3.5195870793715778</v>
      </c>
      <c r="Q10">
        <f t="shared" si="0"/>
        <v>2.0417930458584101</v>
      </c>
      <c r="R10" s="64">
        <f t="shared" si="1"/>
        <v>2.3038660006200802</v>
      </c>
      <c r="S10">
        <f t="shared" si="2"/>
        <v>10.706716113433199</v>
      </c>
      <c r="T10">
        <f t="shared" si="3"/>
        <v>8.6718170134332002</v>
      </c>
      <c r="U10" cm="1">
        <f t="array" ref="U10">_xlfn.PERCENTRANK.EXC(_xlfn._xlws.FILTER(Q$3:Q$23, ISNUMBER(Q$3:Q$23)),Q10)*100</f>
        <v>90.9</v>
      </c>
      <c r="V10" cm="1">
        <f t="array" ref="V10">_xlfn.PERCENTRANK.EXC(_xlfn._xlws.FILTER(R$3:R$23, ISNUMBER(R$3:R$23)),R10)*100</f>
        <v>50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U10*Assumption!$E$39 + V10*Assumption!$F$39 + X10*Assumption!$G$39 + Y10*Assumption!$H$39 + W10*Assumption!$I$39 +Z10* Assumption!$K$39 + AA10* Assumption!$J$39</f>
        <v>36.165000000000006</v>
      </c>
      <c r="AC10" cm="1">
        <f t="array" ref="AC10">_xlfn.PERCENTRANK.EXC(_xlfn._xlws.FILTER(AB$3:AB$23, ISNUMBER(AB$3:AB$23)),AB10)*100</f>
        <v>27.200000000000003</v>
      </c>
    </row>
    <row r="11" spans="1:29" x14ac:dyDescent="0.35">
      <c r="A11" t="s">
        <v>7</v>
      </c>
      <c r="B11" t="s">
        <v>305</v>
      </c>
      <c r="C11" t="s">
        <v>53</v>
      </c>
      <c r="D11" t="s">
        <v>7</v>
      </c>
      <c r="E11" t="s">
        <v>685</v>
      </c>
      <c r="F11" s="2" cm="1">
        <f t="array" ref="F11">_xll.FDS(D11,"JULIAN(FMA_DIV_YLD(NTMA,NOW,NOW,M,""PORTAGG"",""MEANR"").dates)")</f>
        <v>45351</v>
      </c>
      <c r="G11" s="4" cm="1">
        <f t="array" ref="G11">_xll.FDS(D11,"FMA_PE(LTM,0,,,""PORTAGG"",""MEANR"")")</f>
        <v>12.664539832230201</v>
      </c>
      <c r="H11" s="4" cm="1">
        <f t="array" ref="H11">_xll.FDS(D11,"FMA_PE(NTMA,0,,,""PORTAGG"",""MEANR"")")</f>
        <v>12.319028372255801</v>
      </c>
      <c r="I11" cm="1">
        <f t="array" ref="I11">_xll.FDS(D11,"FMA_DIV_YLD(NTMA,NOW,NOW,M,""PORTAGG"",""MEANR"")")</f>
        <v>3.97864694144846</v>
      </c>
      <c r="J11" s="64" cm="1">
        <f t="array" ref="J11">IFERROR(_xll.FDS(D11,"FG_FCF_YIELD_NTM(0)"),(1/G11*100))</f>
        <v>8.0000335907137305</v>
      </c>
      <c r="K11" s="3" cm="1">
        <f t="array" ref="K11">_xll.FDS(D11,"FMA_EVAL_EBITDA(NTMA,0,,,""PORTAGG"",""MEANR"")")</f>
        <v>6.0604980405784197</v>
      </c>
      <c r="L11" cm="1">
        <f t="array" ref="L11">_xll.FDS(D11,"FMA_EVAL_EBIT(LTMA,NOW,NOW,M,""PORTAGG"",""MEANR"")")</f>
        <v>10.561427116187099</v>
      </c>
      <c r="M11">
        <f>HLOOKUP(D11,'Index ROE'!$A$1:$V$25,25,FALSE)</f>
        <v>13.7042990237853</v>
      </c>
      <c r="N11">
        <f>VLOOKUP(A11,'LIQIDITY 2'!$A$3:$E$26,5,FALSE)</f>
        <v>9.2597000000000005</v>
      </c>
      <c r="O11" cm="1">
        <f t="array" ref="O11">IFERROR(_xll.FDS(B11,"IMF_IFS_RCPI_Q(0)"),$D$31)</f>
        <v>4.4145545999999998</v>
      </c>
      <c r="P11">
        <f>VLOOKUP(E11,GDP_GROWTH!$B$10:$W$165,22,FALSE)</f>
        <v>0.75528355941661962</v>
      </c>
      <c r="Q11">
        <f t="shared" si="0"/>
        <v>-5.2810530585515405</v>
      </c>
      <c r="R11" s="64">
        <f t="shared" si="1"/>
        <v>-1.2596664092862699</v>
      </c>
      <c r="S11">
        <f t="shared" si="2"/>
        <v>4.4445990237852993</v>
      </c>
      <c r="T11">
        <f t="shared" si="3"/>
        <v>9.2897444237853009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18.099999999999998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36.4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U11*Assumption!$E$39 + V11*Assumption!$F$39 + X11*Assumption!$G$39 + Y11*Assumption!$H$39 + W11*Assumption!$I$39 +Z11* Assumption!$K$39 + AA11* Assumption!$J$39</f>
        <v>34.29</v>
      </c>
      <c r="AC11" cm="1">
        <f t="array" ref="AC11">_xlfn.PERCENTRANK.EXC(_xlfn._xlws.FILTER(AB$3:AB$23, ISNUMBER(AB$3:AB$23)),AB11)*100</f>
        <v>18.099999999999998</v>
      </c>
    </row>
    <row r="12" spans="1:29" x14ac:dyDescent="0.35">
      <c r="A12" t="s">
        <v>21</v>
      </c>
      <c r="B12" t="s">
        <v>214</v>
      </c>
      <c r="C12" t="s">
        <v>38</v>
      </c>
      <c r="D12" t="s">
        <v>21</v>
      </c>
      <c r="E12" t="s">
        <v>667</v>
      </c>
      <c r="F12" s="2" cm="1">
        <f t="array" ref="F12">_xll.FDS(D12,"JULIAN(FMA_DIV_YLD(NTMA,NOW,NOW,M,""PORTAGG"",""MEANR"").dates)")</f>
        <v>45351</v>
      </c>
      <c r="G12" s="4" cm="1">
        <f t="array" ref="G12">_xll.FDS(D12,"FMA_PE(LTM,0,,,""PORTAGG"",""MEANR"")")</f>
        <v>19.655211121159098</v>
      </c>
      <c r="H12" s="4" cm="1">
        <f t="array" ref="H12">_xll.FDS(D12,"FMA_PE(NTMA,0,,,""PORTAGG"",""MEANR"")")</f>
        <v>10.553773532676299</v>
      </c>
      <c r="I12" cm="1">
        <f t="array" ref="I12">_xll.FDS(D12,"FMA_DIV_YLD(NTMA,NOW,NOW,M,""PORTAGG"",""MEANR"")")</f>
        <v>2.2617681088119701</v>
      </c>
      <c r="J12" s="64" cm="1">
        <f t="array" ref="J12">IFERROR(_xll.FDS(D12,"FG_FCF_YIELD_NTM(0)"),(1/G12*100))</f>
        <v>4.8732032423777296</v>
      </c>
      <c r="K12" s="3" cm="1">
        <f t="array" ref="K12">_xll.FDS(D12,"FMA_EVAL_EBITDA(NTMA,0,,,""PORTAGG"",""MEANR"")")</f>
        <v>6.6146977648750296</v>
      </c>
      <c r="L12" cm="1">
        <f t="array" ref="L12">_xll.FDS(D12,"FMA_EVAL_EBIT(LTMA,NOW,NOW,M,""PORTAGG"",""MEANR"")")</f>
        <v>21.0426312118609</v>
      </c>
      <c r="M12">
        <f>HLOOKUP(D12,'Index ROE'!$A$1:$V$25,25,FALSE)</f>
        <v>8.9018524262112599</v>
      </c>
      <c r="N12">
        <f>VLOOKUP(A12,'LIQIDITY 2'!$A$3:$E$26,5,FALSE)</f>
        <v>3.3552</v>
      </c>
      <c r="O12" cm="1">
        <f t="array" ref="O12">IFERROR(_xll.FDS(B12,"IMF_IFS_RCPI_Q(0)"),$D$31)</f>
        <v>3.404687</v>
      </c>
      <c r="P12">
        <f>VLOOKUP(E12,GDP_GROWTH!$B$10:$W$165,22,FALSE)</f>
        <v>2.41003689527024</v>
      </c>
      <c r="Q12">
        <f t="shared" si="0"/>
        <v>-1.0934318911880299</v>
      </c>
      <c r="R12" s="64">
        <f t="shared" si="1"/>
        <v>1.5180032423777297</v>
      </c>
      <c r="S12">
        <f t="shared" si="2"/>
        <v>5.54665242621126</v>
      </c>
      <c r="T12">
        <f t="shared" si="3"/>
        <v>5.4971654262112599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45.4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18.200000000000006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U12*Assumption!$E$39 + V12*Assumption!$F$39 + X12*Assumption!$G$39 + Y12*Assumption!$H$39 + W12*Assumption!$I$39 +Z12* Assumption!$K$39 + AA12* Assumption!$J$39</f>
        <v>33.380000000000003</v>
      </c>
      <c r="AC12" cm="1">
        <f t="array" ref="AC12">_xlfn.PERCENTRANK.EXC(_xlfn._xlws.FILTER(AB$3:AB$23, ISNUMBER(AB$3:AB$23)),AB12)*100</f>
        <v>13.600000000000001</v>
      </c>
    </row>
    <row r="13" spans="1:29" x14ac:dyDescent="0.35">
      <c r="A13" t="s">
        <v>12</v>
      </c>
      <c r="B13" t="s">
        <v>295</v>
      </c>
      <c r="C13" t="s">
        <v>54</v>
      </c>
      <c r="D13" t="s">
        <v>12</v>
      </c>
      <c r="E13" t="s">
        <v>610</v>
      </c>
      <c r="F13" s="2" cm="1">
        <f t="array" ref="F13">_xll.FDS(D13,"JULIAN(FMA_DIV_YLD(NTMA,NOW,NOW,M,""PORTAGG"",""MEANR"").dates)")</f>
        <v>45351</v>
      </c>
      <c r="G13" s="4" cm="1">
        <f t="array" ref="G13">_xll.FDS(D13,"FMA_PE(LTM,0,,,""PORTAGG"",""MEANR"")")</f>
        <v>7.6851711051284299</v>
      </c>
      <c r="H13" s="4" cm="1">
        <f t="array" ref="H13">_xll.FDS(D13,"FMA_PE(NTMA,0,,,""PORTAGG"",""MEANR"")")</f>
        <v>7.8006965457452697</v>
      </c>
      <c r="I13" cm="1">
        <f t="array" ref="I13">_xll.FDS(D13,"FMA_DIV_YLD(NTMA,NOW,NOW,M,""PORTAGG"",""MEANR"")")</f>
        <v>5.9967357824892202</v>
      </c>
      <c r="J13" s="64" cm="1">
        <f t="array" ref="J13">IFERROR(_xll.FDS(D13,"FG_FCF_YIELD_NTM(0)"),(1/G13*100))</f>
        <v>10.2137602914287</v>
      </c>
      <c r="K13" s="3" cm="1">
        <f t="array" ref="K13">_xll.FDS(D13,"FMA_EVAL_EBITDA(NTMA,0,,,""PORTAGG"",""MEANR"")")</f>
        <v>4.7329253329704599</v>
      </c>
      <c r="L13" cm="1">
        <f t="array" ref="L13">_xll.FDS(D13,"FMA_EVAL_EBIT(LTMA,NOW,NOW,M,""PORTAGG"",""MEANR"")")</f>
        <v>6.8205113943412803</v>
      </c>
      <c r="M13">
        <f>HLOOKUP(D13,'Index ROE'!$A$1:$V$25,25,FALSE)</f>
        <v>18.6294532976694</v>
      </c>
      <c r="N13">
        <f>VLOOKUP(A13,'LIQIDITY 2'!$A$3:$E$26,5,FALSE)</f>
        <v>11.068383000000001</v>
      </c>
      <c r="O13" cm="1">
        <f t="array" ref="O13">IFERROR(_xll.FDS(B13,"IMF_IFS_RCPI_Q(0)"),$D$31)</f>
        <v>4.7076507000000003</v>
      </c>
      <c r="P13">
        <f>VLOOKUP(E13,GDP_GROWTH!$B$10:$W$165,22,FALSE)</f>
        <v>0.86151944639016875</v>
      </c>
      <c r="Q13">
        <f t="shared" si="0"/>
        <v>-5.0716472175107805</v>
      </c>
      <c r="R13" s="64">
        <f t="shared" si="1"/>
        <v>-0.85462270857130029</v>
      </c>
      <c r="S13">
        <f t="shared" si="2"/>
        <v>7.5610702976693993</v>
      </c>
      <c r="T13">
        <f t="shared" si="3"/>
        <v>13.9218025976694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27.200000000000003</v>
      </c>
      <c r="W13" cm="1">
        <f t="array" ref="W13">_xlfn.PERCENTRANK.EXC(_xlfn._xlws.FILTER(S$3:S$23, ISNUMBER(S$3:S$23)),S13)*100</f>
        <v>54.500000000000007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U13*Assumption!$E$39 + V13*Assumption!$F$39 + X13*Assumption!$G$39 + Y13*Assumption!$H$39 + W13*Assumption!$I$39 +Z13* Assumption!$K$39 + AA13* Assumption!$J$39</f>
        <v>65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370</v>
      </c>
      <c r="C14" t="s">
        <v>447</v>
      </c>
      <c r="D14" t="s">
        <v>22</v>
      </c>
      <c r="E14" t="s">
        <v>720</v>
      </c>
      <c r="F14" s="2" cm="1">
        <f t="array" ref="F14">_xll.FDS(D14,"JULIAN(FMA_DIV_YLD(NTMA,NOW,NOW,M,""PORTAGG"",""MEANR"").dates)")</f>
        <v>45351</v>
      </c>
      <c r="G14" s="4" cm="1">
        <f t="array" ref="G14">_xll.FDS(D14,"FMA_PE(LTM,0,,,""PORTAGG"",""MEANR"")")</f>
        <v>10.063481380273601</v>
      </c>
      <c r="H14" s="4" cm="1">
        <f t="array" ref="H14">_xll.FDS(D14,"FMA_PE(NTMA,0,,,""PORTAGG"",""MEANR"")")</f>
        <v>9.5597156627336908</v>
      </c>
      <c r="I14" cm="1">
        <f t="array" ref="I14">_xll.FDS(D14,"FMA_DIV_YLD(NTMA,NOW,NOW,M,""PORTAGG"",""MEANR"")")</f>
        <v>4.3289355819017503</v>
      </c>
      <c r="J14" s="64" cm="1">
        <f t="array" ref="J14">IFERROR(_xll.FDS(D14,"FG_FCF_YIELD_NTM(0)"),(1/G14*100))</f>
        <v>5.3147827315616603</v>
      </c>
      <c r="K14" s="3" cm="1">
        <f t="array" ref="K14">_xll.FDS(D14,"FMA_EVAL_EBITDA(NTMA,0,,,""PORTAGG"",""MEANR"")")</f>
        <v>7.4955663581717502</v>
      </c>
      <c r="L14" cm="1">
        <f t="array" ref="L14">_xll.FDS(D14,"FMA_EVAL_EBIT(LTMA,NOW,NOW,M,""PORTAGG"",""MEANR"")")</f>
        <v>11.9557525011304</v>
      </c>
      <c r="M14">
        <f>HLOOKUP(D14,'Index ROE'!$A$1:$V$25,25,FALSE)</f>
        <v>14.5722752976358</v>
      </c>
      <c r="N14">
        <f>VLOOKUP(A14,'LIQIDITY 2'!$A$3:$E$26,5,FALSE)</f>
        <v>11.961627</v>
      </c>
      <c r="O14" cm="1">
        <f t="array" ref="O14">IFERROR(_xll.FDS(B14,"IMF_IFS_RCPI_Q(0)"),$D$31)</f>
        <v>5.6333609999999998</v>
      </c>
      <c r="P14">
        <f>VLOOKUP(E14,GDP_GROWTH!$B$10:$W$165,22,FALSE)</f>
        <v>2.0053433544621524</v>
      </c>
      <c r="Q14">
        <f t="shared" si="0"/>
        <v>-7.6326914180982497</v>
      </c>
      <c r="R14" s="64">
        <f t="shared" si="1"/>
        <v>-6.6468442684383398</v>
      </c>
      <c r="S14">
        <f t="shared" si="2"/>
        <v>2.6106482976357999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72.8</v>
      </c>
      <c r="Y14" cm="1">
        <f t="array" ref="Y14">(1-_xlfn.PERCENTRANK.EXC(_xlfn._xlws.FILTER(H$3:H$23, ISNUMBER(H$3:H$23)),H14))*100</f>
        <v>68.199999999999989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U14*Assumption!$E$39 + V14*Assumption!$F$39 + X14*Assumption!$G$39 + Y14*Assumption!$H$39 + W14*Assumption!$I$39 +Z14* Assumption!$K$39 + AA14* Assumption!$J$39</f>
        <v>43.389999999999993</v>
      </c>
      <c r="AC14" cm="1">
        <f t="array" ref="AC14">_xlfn.PERCENTRANK.EXC(_xlfn._xlws.FILTER(AB$3:AB$23, ISNUMBER(AB$3:AB$23)),AB14)*100</f>
        <v>50</v>
      </c>
    </row>
    <row r="15" spans="1:29" x14ac:dyDescent="0.35">
      <c r="A15" t="s">
        <v>28</v>
      </c>
      <c r="B15" t="s">
        <v>503</v>
      </c>
      <c r="C15" t="s">
        <v>448</v>
      </c>
      <c r="D15" t="s">
        <v>28</v>
      </c>
      <c r="E15" t="s">
        <v>647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7.4198668502957501</v>
      </c>
      <c r="H15" s="4" cm="1">
        <f t="array" ref="H15">_xll.FDS(D15,"FMA_PE(NTMA,0,,,""PORTAGG"",""MEANR"")")</f>
        <v>6.9623610746526898</v>
      </c>
      <c r="I15" cm="1">
        <f t="array" ref="I15">_xll.FDS(D15,"FMA_DIV_YLD(NTMA,NOW,NOW,M,""PORTAGG"",""MEANR"")")</f>
        <v>4.5904901635678099</v>
      </c>
      <c r="J15" s="64" cm="1">
        <f t="array" ref="J15">IFERROR(_xll.FDS(D15,"FG_FCF_YIELD_NTM(0)"),(1/G15*100))</f>
        <v>13.477330795499931</v>
      </c>
      <c r="K15" s="3" cm="1">
        <f t="array" ref="K15">_xll.FDS(D15,"FMA_EVAL_EBITDA(NTMA,0,,,""PORTAGG"",""MEANR"")")</f>
        <v>5.1710940434507604</v>
      </c>
      <c r="L15" cm="1">
        <f t="array" ref="L15">_xll.FDS(D15,"FMA_EVAL_EBIT(LTMA,NOW,NOW,M,""PORTAGG"",""MEANR"")")</f>
        <v>7.2288600028858703</v>
      </c>
      <c r="M15">
        <f>HLOOKUP(D15,'Index ROE'!$A$1:$V$25,25,FALSE)</f>
        <v>13.1253657894167</v>
      </c>
      <c r="N15">
        <f>VLOOKUP(A15,'LIQIDITY 2'!$A$3:$E$26,5,FALSE)</f>
        <v>3.331</v>
      </c>
      <c r="O15" cm="1">
        <f t="array" ref="O15">IFERROR(_xll.FDS(B15,"IMF_IFS_RCPI_Q(0)"),$D$31)</f>
        <v>3.3094649999999999</v>
      </c>
      <c r="P15">
        <f>VLOOKUP(E15,GDP_GROWTH!$B$10:$W$165,22,FALSE)</f>
        <v>0.85736345187500396</v>
      </c>
      <c r="Q15">
        <f t="shared" si="0"/>
        <v>1.25949016356781</v>
      </c>
      <c r="R15" s="64">
        <f t="shared" si="1"/>
        <v>10.146330795499932</v>
      </c>
      <c r="S15">
        <f t="shared" si="2"/>
        <v>9.7943657894167</v>
      </c>
      <c r="T15">
        <f t="shared" si="3"/>
        <v>9.8159007894167001</v>
      </c>
      <c r="U15" cm="1">
        <f t="array" ref="U15">_xlfn.PERCENTRANK.EXC(_xlfn._xlws.FILTER(Q$3:Q$23, ISNUMBER(Q$3:Q$23)),Q15)*100</f>
        <v>86.3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U15*Assumption!$E$39 + V15*Assumption!$F$39 + X15*Assumption!$G$39 + Y15*Assumption!$H$39 + W15*Assumption!$I$39 +Z15* Assumption!$K$39 + AA15* Assumption!$J$39</f>
        <v>88.654999999999987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188</v>
      </c>
      <c r="C16" t="s">
        <v>52</v>
      </c>
      <c r="D16" t="s">
        <v>32</v>
      </c>
      <c r="E16" t="s">
        <v>657</v>
      </c>
      <c r="F16" s="2" cm="1">
        <f t="array" ref="F16">_xll.FDS(D16,"JULIAN(FMA_DIV_YLD(NTMA,NOW,NOW,M,""PORTAGG"",""MEANR"").dates)")</f>
        <v>45351</v>
      </c>
      <c r="G16" s="4" cm="1">
        <f t="array" ref="G16">_xll.FDS(D16,"FMA_PE(LTM,0,,,""PORTAGG"",""MEANR"")")</f>
        <v>24.696062199189399</v>
      </c>
      <c r="H16" s="4" cm="1">
        <f t="array" ref="H16">_xll.FDS(D16,"FMA_PE(NTMA,0,,,""PORTAGG"",""MEANR"")")</f>
        <v>21.916728608904901</v>
      </c>
      <c r="I16" cm="1">
        <f t="array" ref="I16">_xll.FDS(D16,"FMA_DIV_YLD(NTMA,NOW,NOW,M,""PORTAGG"",""MEANR"")")</f>
        <v>1.3533759832866401</v>
      </c>
      <c r="J16" s="64" cm="1">
        <f t="array" ref="J16">IFERROR(_xll.FDS(D16,"FG_FCF_YIELD_NTM(0)"),(1/G16*100))</f>
        <v>2.9808803075741599</v>
      </c>
      <c r="K16" s="3" cm="1">
        <f t="array" ref="K16">_xll.FDS(D16,"FMA_EVAL_EBITDA(NTMA,0,,,""PORTAGG"",""MEANR"")")</f>
        <v>14.55680000553</v>
      </c>
      <c r="L16" cm="1">
        <f t="array" ref="L16">_xll.FDS(D16,"FMA_EVAL_EBIT(LTMA,NOW,NOW,M,""PORTAGG"",""MEANR"")")</f>
        <v>23.088494015295499</v>
      </c>
      <c r="M16">
        <f>HLOOKUP(D16,'Index ROE'!$A$1:$V$25,25,FALSE)</f>
        <v>16.075803560414201</v>
      </c>
      <c r="N16">
        <f>VLOOKUP(A16,'LIQIDITY 2'!$A$3:$E$26,5,FALSE)</f>
        <v>7.0410000000000004</v>
      </c>
      <c r="O16" cm="1">
        <f t="array" ref="O16">IFERROR(_xll.FDS(B16,"IMF_IFS_RCPI_Q(0)"),$D$31)</f>
        <v>3.2433991</v>
      </c>
      <c r="P16">
        <f>VLOOKUP(E16,GDP_GROWTH!$B$10:$W$165,22,FALSE)</f>
        <v>4.5925545086595072</v>
      </c>
      <c r="Q16">
        <f t="shared" si="0"/>
        <v>-5.68762401671336</v>
      </c>
      <c r="R16" s="64">
        <f t="shared" si="1"/>
        <v>-4.0601196924258405</v>
      </c>
      <c r="S16">
        <f t="shared" si="2"/>
        <v>9.0348035604142005</v>
      </c>
      <c r="T16">
        <f t="shared" si="3"/>
        <v>12.832404460414201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U16*Assumption!$E$39 + V16*Assumption!$F$39 + X16*Assumption!$G$39 + Y16*Assumption!$H$39 + W16*Assumption!$I$39 +Z16* Assumption!$K$39 + AA16* Assumption!$J$39</f>
        <v>22.740000000000002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181</v>
      </c>
      <c r="C17" t="s">
        <v>41</v>
      </c>
      <c r="D17" t="s">
        <v>26</v>
      </c>
      <c r="E17" t="s">
        <v>622</v>
      </c>
      <c r="F17" s="2" cm="1">
        <f t="array" ref="F17">_xll.FDS(D17,"JULIAN(FMA_DIV_YLD(NTMA,NOW,NOW,M,""PORTAGG"",""MEANR"").dates)")</f>
        <v>45351</v>
      </c>
      <c r="G17" s="4" cm="1">
        <f t="array" ref="G17">_xll.FDS(D17,"FMA_PE(LTM,0,,,""PORTAGG"",""MEANR"")")</f>
        <v>11.800081986964299</v>
      </c>
      <c r="H17" s="4" cm="1">
        <f t="array" ref="H17">_xll.FDS(D17,"FMA_PE(NTMA,0,,,""PORTAGG"",""MEANR"")")</f>
        <v>9.4317974498861599</v>
      </c>
      <c r="I17" cm="1">
        <f t="array" ref="I17">_xll.FDS(D17,"FMA_DIV_YLD(NTMA,NOW,NOW,M,""PORTAGG"",""MEANR"")")</f>
        <v>2.8942531668590501</v>
      </c>
      <c r="J17" s="64" cm="1">
        <f t="array" ref="J17">IFERROR(_xll.FDS(D17,"FG_FCF_YIELD_NTM(0)"),(1/G17*100))</f>
        <v>7.1793995114135898</v>
      </c>
      <c r="K17" s="3" cm="1">
        <f t="array" ref="K17">_xll.FDS(D17,"FMA_EVAL_EBITDA(NTMA,0,,,""PORTAGG"",""MEANR"")")</f>
        <v>8.2952850827502598</v>
      </c>
      <c r="L17" cm="1">
        <f t="array" ref="L17">_xll.FDS(D17,"FMA_EVAL_EBIT(LTMA,NOW,NOW,M,""PORTAGG"",""MEANR"")")</f>
        <v>13.615318230152599</v>
      </c>
      <c r="M17">
        <f>HLOOKUP(D17,'Index ROE'!$A$1:$V$25,25,FALSE)</f>
        <v>11.559621581612101</v>
      </c>
      <c r="N17">
        <f>VLOOKUP(A17,'LIQIDITY 2'!$A$3:$E$26,5,FALSE)</f>
        <v>2.3624000000000001</v>
      </c>
      <c r="O17" cm="1">
        <f t="array" ref="O17">IFERROR(_xll.FDS(B17,"IMF_IFS_RCPI_Q(0)"),$D$31)</f>
        <v>-0.32258100000000001</v>
      </c>
      <c r="P17">
        <f>VLOOKUP(E17,GDP_GROWTH!$B$10:$W$165,22,FALSE)</f>
        <v>5.6866931054303738</v>
      </c>
      <c r="Q17">
        <f t="shared" si="0"/>
        <v>0.53185316685905004</v>
      </c>
      <c r="R17" s="64">
        <f t="shared" si="1"/>
        <v>4.8169995114135897</v>
      </c>
      <c r="S17">
        <f t="shared" si="2"/>
        <v>9.1972215816121015</v>
      </c>
      <c r="T17">
        <f t="shared" si="3"/>
        <v>11.8822025816121</v>
      </c>
      <c r="U17" cm="1">
        <f t="array" ref="U17">_xlfn.PERCENTRANK.EXC(_xlfn._xlws.FILTER(Q$3:Q$23, ISNUMBER(Q$3:Q$23)),Q17)*100</f>
        <v>72.7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U17*Assumption!$E$39 + V17*Assumption!$F$39 + X17*Assumption!$G$39 + Y17*Assumption!$H$39 + W17*Assumption!$I$39 +Z17* Assumption!$K$39 + AA17* Assumption!$J$39</f>
        <v>72.960000000000008</v>
      </c>
      <c r="AC17" cm="1">
        <f t="array" ref="AC17">_xlfn.PERCENTRANK.EXC(_xlfn._xlws.FILTER(AB$3:AB$23, ISNUMBER(AB$3:AB$23)),AB17)*100</f>
        <v>86.3</v>
      </c>
    </row>
    <row r="18" spans="1:29" x14ac:dyDescent="0.35">
      <c r="A18" t="s">
        <v>1</v>
      </c>
      <c r="B18" t="s">
        <v>364</v>
      </c>
      <c r="C18" t="s">
        <v>449</v>
      </c>
      <c r="D18" t="s">
        <v>31</v>
      </c>
      <c r="E18" t="s">
        <v>709</v>
      </c>
      <c r="F18" s="2" cm="1">
        <f t="array" ref="F18">_xll.FDS(D18,"JULIAN(FMA_DIV_YLD(NTMA,NOW,NOW,M,""PORTAGG"",""MEANR"").dates)")</f>
        <v>45351</v>
      </c>
      <c r="G18" s="4" cm="1">
        <f t="array" ref="G18">_xll.FDS(D18,"FMA_PE(LTM,0,,,""PORTAGG"",""MEANR"")")</f>
        <v>11.821870578395901</v>
      </c>
      <c r="H18" s="4" cm="1">
        <f t="array" ref="H18">_xll.FDS(D18,"FMA_PE(NTMA,0,,,""PORTAGG"",""MEANR"")")</f>
        <v>10.4825756242714</v>
      </c>
      <c r="I18" cm="1">
        <f t="array" ref="I18">_xll.FDS(D18,"FMA_DIV_YLD(NTMA,NOW,NOW,M,""PORTAGG"",""MEANR"")")</f>
        <v>4.7222616033717699</v>
      </c>
      <c r="J18" s="64" cm="1">
        <f t="array" ref="J18">IFERROR(_xll.FDS(D18,"FG_FCF_YIELD_NTM(0)"),(1/G18*100))</f>
        <v>8.4588982206205898</v>
      </c>
      <c r="K18" s="3" cm="1">
        <f t="array" ref="K18">_xll.FDS(D18,"FMA_EVAL_EBITDA(NTMA,0,,,""PORTAGG"",""MEANR"")")</f>
        <v>9.1401846610995605</v>
      </c>
      <c r="L18" cm="1">
        <f t="array" ref="L18">_xll.FDS(D18,"FMA_EVAL_EBIT(LTMA,NOW,NOW,M,""PORTAGG"",""MEANR"")")</f>
        <v>15.682654525459</v>
      </c>
      <c r="M18">
        <f>HLOOKUP(D18,'Index ROE'!$A$1:$V$25,25,FALSE)</f>
        <v>12.1192289718939</v>
      </c>
      <c r="N18">
        <f>VLOOKUP(A18,'LIQIDITY 2'!$A$3:$E$26,5,FALSE)</f>
        <v>4.2952000000000004</v>
      </c>
      <c r="O18" cm="1">
        <f t="array" ref="O18">IFERROR(_xll.FDS(B18,"IMF_IFS_RCPI_Q(0)"),$D$31)</f>
        <v>3.2433991</v>
      </c>
      <c r="P18">
        <f>VLOOKUP(E18,GDP_GROWTH!$B$10:$W$165,22,FALSE)</f>
        <v>1.453731693851934</v>
      </c>
      <c r="Q18">
        <f t="shared" si="0"/>
        <v>0.42706160337176957</v>
      </c>
      <c r="R18" s="64">
        <f t="shared" si="1"/>
        <v>4.1636982206205895</v>
      </c>
      <c r="S18">
        <f t="shared" si="2"/>
        <v>7.8240289718938998</v>
      </c>
      <c r="T18">
        <f t="shared" si="3"/>
        <v>8.8758298718939006</v>
      </c>
      <c r="U18" cm="1">
        <f t="array" ref="U18">_xlfn.PERCENTRANK.EXC(_xlfn._xlws.FILTER(Q$3:Q$23, ISNUMBER(Q$3:Q$23)),Q18)*100</f>
        <v>68.100000000000009</v>
      </c>
      <c r="V18" cm="1">
        <f t="array" ref="V18">_xlfn.PERCENTRANK.EXC(_xlfn._xlws.FILTER(R$3:R$23, ISNUMBER(R$3:R$23)),R18)*100</f>
        <v>68.100000000000009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54.6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U18*Assumption!$E$39 + V18*Assumption!$F$39 + X18*Assumption!$G$39 + Y18*Assumption!$H$39 + W18*Assumption!$I$39 +Z18* Assumption!$K$39 + AA18* Assumption!$J$39</f>
        <v>57.72</v>
      </c>
      <c r="AC18" cm="1">
        <f t="array" ref="AC18">_xlfn.PERCENTRANK.EXC(_xlfn._xlws.FILTER(AB$3:AB$23, ISNUMBER(AB$3:AB$23)),AB18)*100</f>
        <v>63.6</v>
      </c>
    </row>
    <row r="19" spans="1:29" x14ac:dyDescent="0.35">
      <c r="A19" t="s">
        <v>764</v>
      </c>
      <c r="B19" t="s">
        <v>225</v>
      </c>
      <c r="C19" t="s">
        <v>765</v>
      </c>
      <c r="D19" t="s">
        <v>764</v>
      </c>
      <c r="E19" t="s">
        <v>730</v>
      </c>
      <c r="F19" s="2" cm="1">
        <f t="array" ref="F19">_xll.FDS(D19,"JULIAN(FMA_DIV_YLD(NTMA,NOW,NOW,M,""PORTAGG"",""MEANR"").dates)")</f>
        <v>45351</v>
      </c>
      <c r="G19" s="4" cm="1">
        <f t="array" ref="G19">_xll.FDS(D19,"FMA_PE(LTM,0,,,""PORTAGG"",""MEANR"")")</f>
        <v>17.138845465962401</v>
      </c>
      <c r="H19" s="4" cm="1">
        <f t="array" ref="H19">_xll.FDS(D19,"FMA_PE(NTMA,0,,,""PORTAGG"",""MEANR"")")</f>
        <v>14.478793496679501</v>
      </c>
      <c r="I19" cm="1">
        <f t="array" ref="I19">_xll.FDS(D19,"FMA_DIV_YLD(NTMA,NOW,NOW,M,""PORTAGG"",""MEANR"")")</f>
        <v>3.4873220619141199</v>
      </c>
      <c r="J19" s="64" cm="1">
        <f t="array" ref="J19">IFERROR(_xll.FDS(D19,"FG_FCF_YIELD_NTM(0)"),(1/G19*100))</f>
        <v>5.0103054276418</v>
      </c>
      <c r="K19" s="3" cm="1">
        <f t="array" ref="K19">_xll.FDS(D19,"FMA_EVAL_EBITDA(NTMA,0,,,""PORTAGG"",""MEANR"")")</f>
        <v>9.6940515400514098</v>
      </c>
      <c r="L19" cm="1">
        <f t="array" ref="L19">_xll.FDS(D19,"FMA_EVAL_EBIT(LTMA,NOW,NOW,M,""PORTAGG"",""MEANR"")")</f>
        <v>19.133048838789701</v>
      </c>
      <c r="M19">
        <f>HLOOKUP(D19,'Index ROE'!$A$1:$V$25,25,FALSE)</f>
        <v>9.3489236353139802</v>
      </c>
      <c r="N19">
        <f>VLOOKUP(A19,'LIQIDITY 2'!$A$3:$E$26,5,FALSE)</f>
        <v>2.5194540000000001</v>
      </c>
      <c r="O19" cm="1">
        <f t="array" ref="O19">IFERROR(_xll.FDS(B19,"IMF_IFS_RCPI_Q(0)"),$D$31)</f>
        <v>3.2433991</v>
      </c>
      <c r="P19">
        <f>VLOOKUP(E19,GDP_GROWTH!$B$10:$W$165,22,FALSE)</f>
        <v>1.3158022817511328</v>
      </c>
      <c r="Q19">
        <f t="shared" si="0"/>
        <v>0.96786806191411978</v>
      </c>
      <c r="R19" s="64">
        <f t="shared" si="1"/>
        <v>2.4908514276417999</v>
      </c>
      <c r="S19">
        <f t="shared" si="2"/>
        <v>6.8294696353139805</v>
      </c>
      <c r="T19">
        <f t="shared" si="3"/>
        <v>6.1055245353139806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U19*Assumption!$E$39 + V19*Assumption!$F$39 + X19*Assumption!$G$39 + Y19*Assumption!$H$39 + W19*Assumption!$I$39 +Z19* Assumption!$K$39 + AA19* Assumption!$J$39</f>
        <v>36.840000000000003</v>
      </c>
      <c r="AC19" cm="1">
        <f t="array" ref="AC19">_xlfn.PERCENTRANK.EXC(_xlfn._xlws.FILTER(AB$3:AB$23, ISNUMBER(AB$3:AB$23)),AB19)*100</f>
        <v>31.8</v>
      </c>
    </row>
    <row r="20" spans="1:29" x14ac:dyDescent="0.35">
      <c r="A20" t="s">
        <v>25</v>
      </c>
      <c r="B20" t="s">
        <v>283</v>
      </c>
      <c r="C20" t="s">
        <v>451</v>
      </c>
      <c r="D20" t="s">
        <v>25</v>
      </c>
      <c r="E20" t="s">
        <v>734</v>
      </c>
      <c r="F20" s="2" cm="1">
        <f t="array" ref="F20">_xll.FDS(D20,"JULIAN(FMA_DIV_YLD(NTMA,NOW,NOW,M,""PORTAGG"",""MEANR"").dates)")</f>
        <v>45351</v>
      </c>
      <c r="G20" s="4" cm="1">
        <f t="array" ref="G20">_xll.FDS(D20,"FMA_PE(LTM,0,,,""PORTAGG"",""MEANR"")")</f>
        <v>6.5248980431954902</v>
      </c>
      <c r="H20" s="4" cm="1">
        <f t="array" ref="H20">_xll.FDS(D20,"FMA_PE(NTMA,0,,,""PORTAGG"",""MEANR"")")</f>
        <v>5.0670197074142598</v>
      </c>
      <c r="I20" cm="1">
        <f t="array" ref="I20">_xll.FDS(D20,"FMA_DIV_YLD(NTMA,NOW,NOW,M,""PORTAGG"",""MEANR"")")</f>
        <v>4.1886862800818498</v>
      </c>
      <c r="J20" s="64" cm="1">
        <f t="array" ref="J20">IFERROR(_xll.FDS(D20,"FG_FCF_YIELD_NTM(0)"),(1/G20*100))</f>
        <v>14.577961484355599</v>
      </c>
      <c r="K20" s="3" cm="1">
        <f t="array" ref="K20">_xll.FDS(D20,"FMA_EVAL_EBITDA(NTMA,0,,,""PORTAGG"",""MEANR"")")</f>
        <v>4.1915828908941304</v>
      </c>
      <c r="L20" cm="1">
        <f t="array" ref="L20">_xll.FDS(D20,"FMA_EVAL_EBIT(LTMA,NOW,NOW,M,""PORTAGG"",""MEANR"")")</f>
        <v>6.9951948295958903</v>
      </c>
      <c r="M20">
        <f>HLOOKUP(D20,'Index ROE'!$A$1:$V$25,25,FALSE)</f>
        <v>26.056797757333701</v>
      </c>
      <c r="N20">
        <f>VLOOKUP(A20,'LIQIDITY 2'!$A$3:$E$26,5,FALSE)</f>
        <v>24.216915</v>
      </c>
      <c r="O20" cm="1">
        <f t="array" ref="O20">IFERROR(_xll.FDS(B20,"IMF_IFS_RCPI_Q(0)"),$D$31)</f>
        <v>62.724220000000003</v>
      </c>
      <c r="P20">
        <f>VLOOKUP(E20,GDP_GROWTH!$B$10:$W$165,22,FALSE)</f>
        <v>4.8494927539907469</v>
      </c>
      <c r="Q20">
        <f t="shared" si="0"/>
        <v>-20.02822871991815</v>
      </c>
      <c r="R20" s="64">
        <f t="shared" si="1"/>
        <v>-9.6389535156444008</v>
      </c>
      <c r="S20">
        <f t="shared" si="2"/>
        <v>1.8398827573337009</v>
      </c>
      <c r="T20">
        <f t="shared" si="3"/>
        <v>-36.667422242666305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U20*Assumption!$E$39 + V20*Assumption!$F$39 + X20*Assumption!$G$39 + Y20*Assumption!$H$39 + W20*Assumption!$I$39 +Z20* Assumption!$K$39 + AA20* Assumption!$J$39</f>
        <v>50.000000000000007</v>
      </c>
      <c r="AC20" cm="1">
        <f t="array" ref="AC20">_xlfn.PERCENTRANK.EXC(_xlfn._xlws.FILTER(AB$3:AB$23, ISNUMBER(AB$3:AB$23)),AB20)*100</f>
        <v>59</v>
      </c>
    </row>
    <row r="21" spans="1:29" x14ac:dyDescent="0.35">
      <c r="A21" t="s">
        <v>34</v>
      </c>
      <c r="B21" t="s">
        <v>377</v>
      </c>
      <c r="C21" t="s">
        <v>452</v>
      </c>
      <c r="D21" t="s">
        <v>34</v>
      </c>
      <c r="E21" t="s">
        <v>738</v>
      </c>
      <c r="F21" s="2" cm="1">
        <f t="array" ref="F21">_xll.FDS(D21,"JULIAN(FMA_DIV_YLD(NTMA,NOW,NOW,M,""PORTAGG"",""MEANR"").dates)")</f>
        <v>45351</v>
      </c>
      <c r="G21" s="4" cm="1">
        <f t="array" ref="G21">_xll.FDS(D21,"FMA_PE(LTM,0,,,""PORTAGG"",""MEANR"")")</f>
        <v>10.6876268366356</v>
      </c>
      <c r="H21" s="4" cm="1">
        <f t="array" ref="H21">_xll.FDS(D21,"FMA_PE(NTMA,0,,,""PORTAGG"",""MEANR"")")</f>
        <v>9.7200738317076301</v>
      </c>
      <c r="I21" cm="1">
        <f t="array" ref="I21">_xll.FDS(D21,"FMA_DIV_YLD(NTMA,NOW,NOW,M,""PORTAGG"",""MEANR"")")</f>
        <v>4.9632090976805197</v>
      </c>
      <c r="J21" s="64" cm="1">
        <f t="array" ref="J21">IFERROR(_xll.FDS(D21,"FG_FCF_YIELD_NTM(0)"),(1/G21*100))</f>
        <v>8.4754298262238095</v>
      </c>
      <c r="K21" s="3" cm="1">
        <f t="array" ref="K21">_xll.FDS(D21,"FMA_EVAL_EBITDA(NTMA,0,,,""PORTAGG"",""MEANR"")")</f>
        <v>6.76854884807004</v>
      </c>
      <c r="L21" cm="1">
        <f t="array" ref="L21">_xll.FDS(D21,"FMA_EVAL_EBIT(LTMA,NOW,NOW,M,""PORTAGG"",""MEANR"")")</f>
        <v>10.343089815161999</v>
      </c>
      <c r="M21">
        <f>HLOOKUP(D21,'Index ROE'!$A$1:$V$25,25,FALSE)</f>
        <v>13.225118228357401</v>
      </c>
      <c r="N21">
        <f>VLOOKUP(A21,'LIQIDITY 2'!$A$3:$E$26,5,FALSE)</f>
        <v>4.2952000000000004</v>
      </c>
      <c r="O21" cm="1">
        <f t="array" ref="O21">IFERROR(_xll.FDS(B21,"IMF_IFS_RCPI_Q(0)"),$D$31)</f>
        <v>3.2433991</v>
      </c>
      <c r="P21">
        <f>VLOOKUP(E21,GDP_GROWTH!$B$10:$W$165,22,FALSE)</f>
        <v>2.4407957064008778</v>
      </c>
      <c r="Q21">
        <f t="shared" si="0"/>
        <v>0.6680090976805193</v>
      </c>
      <c r="R21" s="64">
        <f t="shared" si="1"/>
        <v>4.1802298262238091</v>
      </c>
      <c r="S21">
        <f t="shared" si="2"/>
        <v>8.9299182283574012</v>
      </c>
      <c r="T21">
        <f t="shared" si="3"/>
        <v>9.9817191283574012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72.7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U21*Assumption!$E$39 + V21*Assumption!$F$39 + X21*Assumption!$G$39 + Y21*Assumption!$H$39 + W21*Assumption!$I$39 +Z21* Assumption!$K$39 + AA21* Assumption!$J$39</f>
        <v>68.63</v>
      </c>
      <c r="AC21" cm="1">
        <f t="array" ref="AC21">_xlfn.PERCENTRANK.EXC(_xlfn._xlws.FILTER(AB$3:AB$23, ISNUMBER(AB$3:AB$23)),AB21)*100</f>
        <v>77.2</v>
      </c>
    </row>
    <row r="22" spans="1:29" x14ac:dyDescent="0.35">
      <c r="A22" t="s">
        <v>37</v>
      </c>
      <c r="B22" t="s">
        <v>228</v>
      </c>
      <c r="C22" t="s">
        <v>453</v>
      </c>
      <c r="D22" t="s">
        <v>37</v>
      </c>
      <c r="E22" t="s">
        <v>743</v>
      </c>
      <c r="F22" s="2" cm="1">
        <f t="array" ref="F22">_xll.FDS(D22,"JULIAN(FMA_DIV_YLD(NTMA,NOW,NOW,M,""PORTAGG"",""MEANR"").dates)")</f>
        <v>45351</v>
      </c>
      <c r="G22" s="4" cm="1">
        <f t="array" ref="G22">_xll.FDS(D22,"FMA_PE(LTM,0,,,""PORTAGG"",""MEANR"")")</f>
        <v>19.6008853562595</v>
      </c>
      <c r="H22" s="4" cm="1">
        <f t="array" ref="H22">_xll.FDS(D22,"FMA_PE(NTMA,0,,,""PORTAGG"",""MEANR"")")</f>
        <v>16.593747336516</v>
      </c>
      <c r="I22" cm="1">
        <f t="array" ref="I22">_xll.FDS(D22,"FMA_DIV_YLD(NTMA,NOW,NOW,M,""PORTAGG"",""MEANR"")")</f>
        <v>2.6937472044039001</v>
      </c>
      <c r="J22" s="64" cm="1">
        <f t="array" ref="J22">IFERROR(_xll.FDS(D22,"FG_FCF_YIELD_NTM(0)"),(1/G22*100))</f>
        <v>6.9558016432596004</v>
      </c>
      <c r="K22" s="3" cm="1">
        <f t="array" ref="K22">_xll.FDS(D22,"FMA_EVAL_EBITDA(NTMA,0,,,""PORTAGG"",""MEANR"")")</f>
        <v>10.337351651393501</v>
      </c>
      <c r="L22" cm="1">
        <f t="array" ref="L22">_xll.FDS(D22,"FMA_EVAL_EBIT(LTMA,NOW,NOW,M,""PORTAGG"",""MEANR"")")</f>
        <v>20.044654520723601</v>
      </c>
      <c r="M22">
        <f>HLOOKUP(D22,'Index ROE'!$A$1:$V$25,25,FALSE)</f>
        <v>10.732551346519401</v>
      </c>
      <c r="N22">
        <f>VLOOKUP(A22,'LIQIDITY 2'!$A$3:$E$26,5,FALSE)</f>
        <v>2.4003994</v>
      </c>
      <c r="O22" cm="1">
        <f t="array" ref="O22">IFERROR(_xll.FDS(B22,"IMF_IFS_RCPI_Q(0)"),$D$31)</f>
        <v>3.5401577999999998</v>
      </c>
      <c r="P22">
        <f>VLOOKUP(E22,GDP_GROWTH!$B$10:$W$165,22,FALSE)</f>
        <v>8.3599457036252378</v>
      </c>
      <c r="Q22">
        <f t="shared" si="0"/>
        <v>0.29334780440390018</v>
      </c>
      <c r="R22" s="64">
        <f t="shared" si="1"/>
        <v>4.5554022432596</v>
      </c>
      <c r="S22">
        <f t="shared" si="2"/>
        <v>8.3321519465194012</v>
      </c>
      <c r="T22">
        <f t="shared" si="3"/>
        <v>7.1923935465194013</v>
      </c>
      <c r="U22" cm="1">
        <f t="array" ref="U22">_xlfn.PERCENTRANK.EXC(_xlfn._xlws.FILTER(Q$3:Q$23, ISNUMBER(Q$3:Q$23)),Q22)*100</f>
        <v>59</v>
      </c>
      <c r="V22" cm="1">
        <f t="array" ref="V22">_xlfn.PERCENTRANK.EXC(_xlfn._xlws.FILTER(R$3:R$23, ISNUMBER(R$3:R$23)),R22)*100</f>
        <v>77.2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27.200000000000003</v>
      </c>
      <c r="AA22" cm="1">
        <f t="array" ref="AA22">_xlfn.PERCENTRANK.EXC(_xlfn._xlws.FILTER(P$3:P$23, ISNUMBER(P$3:P$23)),P22)*100</f>
        <v>95.399999999999991</v>
      </c>
      <c r="AB22">
        <f>U22*Assumption!$E$39 + V22*Assumption!$F$39 + X22*Assumption!$G$39 + Y22*Assumption!$H$39 + W22*Assumption!$I$39 +Z22* Assumption!$K$39 + AA22* Assumption!$J$39</f>
        <v>41.58</v>
      </c>
      <c r="AC22" cm="1">
        <f t="array" ref="AC22">_xlfn.PERCENTRANK.EXC(_xlfn._xlws.FILTER(AB$3:AB$23, ISNUMBER(AB$3:AB$23)),AB22)*100</f>
        <v>45.4</v>
      </c>
    </row>
    <row r="23" spans="1:29" x14ac:dyDescent="0.35">
      <c r="A23" t="s">
        <v>36</v>
      </c>
      <c r="B23" t="s">
        <v>367</v>
      </c>
      <c r="C23" t="s">
        <v>454</v>
      </c>
      <c r="D23" t="s">
        <v>36</v>
      </c>
      <c r="E23" t="s">
        <v>713</v>
      </c>
      <c r="F23" s="2" cm="1">
        <f t="array" ref="F23">_xll.FDS(D23,"JULIAN(FMA_DIV_YLD(NTMA,NOW,NOW,M,""PORTAGG"",""MEANR"").dates)")</f>
        <v>45351</v>
      </c>
      <c r="G23" s="4" cm="1">
        <f t="array" ref="G23">_xll.FDS(D23,"FMA_PE(LTM,0,,,""PORTAGG"",""MEANR"")")</f>
        <v>22.5812859647022</v>
      </c>
      <c r="H23" s="4" cm="1">
        <f t="array" ref="H23">_xll.FDS(D23,"FMA_PE(NTMA,0,,,""PORTAGG"",""MEANR"")")</f>
        <v>18.3819171834072</v>
      </c>
      <c r="I23" cm="1">
        <f t="array" ref="I23">_xll.FDS(D23,"FMA_DIV_YLD(NTMA,NOW,NOW,M,""PORTAGG"",""MEANR"")")</f>
        <v>3.2604548985548201</v>
      </c>
      <c r="J23" s="64" cm="1">
        <f t="array" ref="J23">IFERROR(_xll.FDS(D23,"FG_FCF_YIELD_NTM(0)"),(1/G23*100))</f>
        <v>4.0654683883476803</v>
      </c>
      <c r="K23" s="3" cm="1">
        <f t="array" ref="K23">_xll.FDS(D23,"FMA_EVAL_EBITDA(NTMA,0,,,""PORTAGG"",""MEANR"")")</f>
        <v>11.3477778986761</v>
      </c>
      <c r="L23" cm="1">
        <f t="array" ref="L23">_xll.FDS(D23,"FMA_EVAL_EBIT(LTMA,NOW,NOW,M,""PORTAGG"",""MEANR"")")</f>
        <v>23.022891238189601</v>
      </c>
      <c r="M23">
        <f>HLOOKUP(D23,'Index ROE'!$A$1:$V$25,25,FALSE)</f>
        <v>11.7570018859186</v>
      </c>
      <c r="N23">
        <f>VLOOKUP(A23,'LIQIDITY 2'!$A$3:$E$26,5,FALSE)</f>
        <v>5.126932</v>
      </c>
      <c r="O23" cm="1">
        <f t="array" ref="O23">IFERROR(_xll.FDS(B23,"IMF_IFS_RCPI_Q(0)"),$D$31)</f>
        <v>1.5943921000000001</v>
      </c>
      <c r="P23">
        <f>VLOOKUP(E23,GDP_GROWTH!$B$10:$W$165,22,FALSE)</f>
        <v>2.105673262075014</v>
      </c>
      <c r="Q23">
        <f t="shared" si="0"/>
        <v>-1.86647710144518</v>
      </c>
      <c r="R23" s="64">
        <f t="shared" si="1"/>
        <v>-1.0614636116523197</v>
      </c>
      <c r="S23">
        <f t="shared" si="2"/>
        <v>6.6300698859185996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U23*Assumption!$E$39 + V23*Assumption!$F$39 + X23*Assumption!$G$39 + Y23*Assumption!$H$39 + W23*Assumption!$I$39 +Z23* Assumption!$K$39 + AA23* Assumption!$J$39</f>
        <v>23.169999999999998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64"/>
      <c r="K24" s="3"/>
    </row>
    <row r="25" spans="1:29" x14ac:dyDescent="0.35">
      <c r="F25" s="2"/>
      <c r="G25" s="4"/>
      <c r="H25" s="4"/>
      <c r="J25" s="64"/>
      <c r="K25" s="3"/>
    </row>
    <row r="26" spans="1:29" x14ac:dyDescent="0.35">
      <c r="A26" t="s">
        <v>553</v>
      </c>
      <c r="F26" s="2"/>
      <c r="G26" s="4"/>
      <c r="H26" s="4"/>
      <c r="J26" s="64"/>
      <c r="K26" s="3"/>
    </row>
    <row r="27" spans="1:29" x14ac:dyDescent="0.35">
      <c r="A27" t="s">
        <v>554</v>
      </c>
      <c r="B27" t="s">
        <v>165</v>
      </c>
      <c r="C27" t="s">
        <v>555</v>
      </c>
      <c r="D27" t="str">
        <f>A27</f>
        <v>VGK</v>
      </c>
      <c r="F27" s="2" cm="1">
        <f t="array" ref="F27">_xll.FDS(D27,"JULIAN(FMA_DIV_YLD(NTMA,NOW,NOW,M,""PORTAGG"",""MEANR"").dates)")</f>
        <v>45322</v>
      </c>
      <c r="G27" s="4" cm="1">
        <f t="array" ref="G27">_xll.FDS(D27,"FG_PE(0)")</f>
        <v>12.3190540866361</v>
      </c>
      <c r="H27" s="4" cm="1">
        <f t="array" ref="H27">_xll.FDS(D27,"FG_PE_NTM(0,,,90,0)")</f>
        <v>12.929876514359099</v>
      </c>
      <c r="I27" cm="1">
        <f t="array" ref="I27">_xll.FDS(D27,"FMA_DIV_YLD(NTMA,NOW,NOW,M,""PORTAGG"",""MEANR"")")</f>
        <v>3.6322218186757902</v>
      </c>
      <c r="J27" s="64" cm="1">
        <f t="array" ref="J27">_xll.FDS(D27,"FG_FCF_YIELD_NTM(0)")</f>
        <v>5.6333835113893498</v>
      </c>
      <c r="K27" s="3" cm="1">
        <f t="array" ref="K27">_xll.FDS(D27,"FMA_EVAL_EBITDA(NTMA,0,,,""PORTAGG"",""MEANR"")")</f>
        <v>8.7721121119351793</v>
      </c>
      <c r="L27" cm="1">
        <f t="array" ref="L27">_xll.FDS(D27,"FMA_EVAL_EBIT(LTMA,NOW,NOW,M,""PORTAGG"",""MEANR"")")</f>
        <v>13.068587055155399</v>
      </c>
    </row>
    <row r="28" spans="1:29" x14ac:dyDescent="0.35">
      <c r="A28" t="s">
        <v>6</v>
      </c>
      <c r="C28" t="s">
        <v>556</v>
      </c>
      <c r="D28" t="str">
        <f>A28</f>
        <v>VWO</v>
      </c>
      <c r="F28" s="2" cm="1">
        <f t="array" ref="F28">_xll.FDS(D28,"JULIAN(FMA_DIV_YLD(NTMA,NOW,NOW,M,""PORTAGG"",""MEANR"").dates)")</f>
        <v>45322</v>
      </c>
      <c r="G28" s="4" cm="1">
        <f t="array" ref="G28">_xll.FDS(D28,"FG_PE(0)")</f>
        <v>12.865213772672201</v>
      </c>
      <c r="H28" s="4" cm="1">
        <f t="array" ref="H28">_xll.FDS(D28,"FG_PE_NTM(0,,,90,0)")</f>
        <v>11.8406596277676</v>
      </c>
      <c r="I28" cm="1">
        <f t="array" ref="I28">_xll.FDS(D28,"FMA_DIV_YLD(NTMA,NOW,NOW,M,""PORTAGG"",""MEANR"")")</f>
        <v>3.1541077379690701</v>
      </c>
      <c r="J28" s="64" cm="1">
        <f t="array" ref="J28">_xll.FDS(D28,"FG_FCF_YIELD_NTM(0)")</f>
        <v>5.7548610791036001</v>
      </c>
      <c r="K28" s="3" cm="1">
        <f t="array" ref="K28">_xll.FDS(D28,"FMA_EVAL_EBITDA(NTMA,0,,,""PORTAGG"",""MEANR"")")</f>
        <v>8.1958723301668108</v>
      </c>
      <c r="L28" cm="1">
        <f t="array" ref="L28">_xll.FDS(D28,"FMA_EVAL_EBIT(LTMA,NOW,NOW,M,""PORTAGG"",""MEANR"")")</f>
        <v>13.912804498721201</v>
      </c>
    </row>
    <row r="29" spans="1:29" x14ac:dyDescent="0.35">
      <c r="F29" s="2"/>
      <c r="G29" s="4"/>
      <c r="H29" s="4"/>
      <c r="J29" s="64"/>
      <c r="K29" s="3"/>
    </row>
    <row r="30" spans="1:29" x14ac:dyDescent="0.35">
      <c r="B30" t="s">
        <v>807</v>
      </c>
      <c r="C30" t="s">
        <v>562</v>
      </c>
      <c r="D30" t="s">
        <v>808</v>
      </c>
      <c r="F30" s="2"/>
      <c r="G30" s="4"/>
      <c r="H30" s="4"/>
      <c r="J30" s="64"/>
      <c r="K30" s="3"/>
    </row>
    <row r="31" spans="1:29" x14ac:dyDescent="0.35">
      <c r="B31" t="s">
        <v>174</v>
      </c>
      <c r="C31" t="s">
        <v>740</v>
      </c>
      <c r="D31" cm="1">
        <f t="array" ref="D31">_xll.FDS(B31,"IMF_IFS_RCPI_Q(0)")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08984375" bestFit="1" customWidth="1"/>
    <col min="3" max="3" width="15.90625" customWidth="1"/>
    <col min="4" max="4" width="53" bestFit="1" customWidth="1"/>
    <col min="5" max="5" width="26.453125" customWidth="1"/>
    <col min="6" max="6" width="12.08984375" customWidth="1"/>
    <col min="7" max="7" width="15.08984375" customWidth="1"/>
    <col min="8" max="8" width="18.54296875" customWidth="1"/>
    <col min="9" max="9" width="17.453125" customWidth="1"/>
    <col min="10" max="10" width="17" customWidth="1"/>
    <col min="11" max="11" width="32.6328125" customWidth="1"/>
    <col min="12" max="12" width="35" customWidth="1"/>
    <col min="13" max="13" width="20.90625" customWidth="1"/>
    <col min="14" max="14" width="9.08984375" style="46"/>
    <col min="20" max="21" width="11.453125" customWidth="1"/>
  </cols>
  <sheetData>
    <row r="1" spans="1:24" x14ac:dyDescent="0.35">
      <c r="S1" s="5">
        <f>Assumption!E42</f>
        <v>0.5</v>
      </c>
      <c r="T1" s="5">
        <f>Assumption!E43</f>
        <v>0.25</v>
      </c>
      <c r="U1" s="5">
        <f>Assumption!E44</f>
        <v>0.25</v>
      </c>
    </row>
    <row r="2" spans="1:24" x14ac:dyDescent="0.35">
      <c r="A2" t="s">
        <v>0</v>
      </c>
      <c r="B2" s="34" t="s">
        <v>100</v>
      </c>
      <c r="C2" s="34" t="s">
        <v>101</v>
      </c>
      <c r="D2" s="34" t="s">
        <v>102</v>
      </c>
      <c r="E2" s="34" t="s">
        <v>542</v>
      </c>
      <c r="G2" s="34" t="s">
        <v>921</v>
      </c>
      <c r="H2" s="34" t="s">
        <v>385</v>
      </c>
      <c r="I2" s="34" t="s">
        <v>506</v>
      </c>
      <c r="L2" s="34" t="s">
        <v>543</v>
      </c>
      <c r="S2" s="5" t="s">
        <v>468</v>
      </c>
      <c r="T2" s="5" t="s">
        <v>467</v>
      </c>
      <c r="U2" t="s">
        <v>386</v>
      </c>
      <c r="V2" s="55"/>
      <c r="X2" t="s">
        <v>570</v>
      </c>
    </row>
    <row r="3" spans="1:24" x14ac:dyDescent="0.35">
      <c r="A3" t="s">
        <v>437</v>
      </c>
      <c r="B3" t="s">
        <v>108</v>
      </c>
      <c r="C3" t="s">
        <v>17</v>
      </c>
      <c r="D3" s="35" t="str" cm="1">
        <f t="array" ref="D3">_xll.FDSB(C3,"FG_YIELD_NAME")</f>
        <v>Treasury - China Benchmark Bond 10Y</v>
      </c>
      <c r="E3" s="35" cm="1">
        <f t="array" ref="E3">IFERROR(_xll.FDS(C3,"FG_YIELD(0,,,,""YTM"")"),$E$26)</f>
        <v>2.3624000000000001</v>
      </c>
      <c r="G3" s="35" cm="1">
        <f t="array" ref="G3">_xll.FDSB(C3,"PCTCHG(FG_YIELD(0,,,,""YTM""),FG_YIELD(-1AM,,,,""YTM""))")</f>
        <v>-3.3743702999999998</v>
      </c>
      <c r="H3" s="35" cm="1">
        <f t="array" ref="H3">_xll.FDSB(C3,"PCTCHG(FG_YIELD(0,,,,""YTM""),FG_YIELD(-3AM,,,,""YTM""))")</f>
        <v>-11.014008</v>
      </c>
      <c r="I3" s="35"/>
      <c r="J3" s="35" t="str">
        <f>VLOOKUP(B3,mnemonics!$A$4:$D$73, 4, FALSE)</f>
        <v>REFCNRMB-FDS</v>
      </c>
      <c r="K3" s="35" t="str" cm="1">
        <f t="array" ref="K3">_xll.FDSB(J3,"PROPER_NAME(0,,,""SECURITY"",""NAME"")")</f>
        <v>China Loan Prime Rate (LPR) - 1 Year</v>
      </c>
      <c r="L3" s="35" cm="1">
        <f t="array" ref="L3">_xll.FDSB(J3,"FG_YIELD(NOW,,,0)")</f>
        <v>3.45</v>
      </c>
      <c r="M3" s="45" cm="1">
        <f t="array" ref="M3">_xll.FDSB(J3,"(SUBARRAY(NOT_NA(NO_REPEAT_F(FG_YIELD(now,-10AY,D))),0,1)-SUBARRAY(NOT_NA(NO_REPEAT_F(FG_YIELD(now,-10AY,D))),1,1))*100")</f>
        <v>-9.9999999999999591</v>
      </c>
      <c r="N3" s="47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56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111</v>
      </c>
      <c r="C4" t="s">
        <v>112</v>
      </c>
      <c r="D4" s="35" t="str" cm="1">
        <f t="array" ref="D4">_xll.FDSB(C4,"FG_YIELD_NAME")</f>
        <v>Treasury - Chile Inflation-Indexed (TIPS) Bond 10Y</v>
      </c>
      <c r="E4" s="35" cm="1">
        <f t="array" ref="E4">IFERROR(_xll.FDS(C4,"FG_YIELD(0,,,,""YTM"")"),$E$26)</f>
        <v>2.3310692</v>
      </c>
      <c r="G4" s="35" cm="1">
        <f t="array" ref="G4">_xll.FDSB(C4,"PCTCHG(FG_YIELD(0,,,,""YTM""),FG_YIELD(-1AM,,,,""YTM""))")</f>
        <v>0.35727312999999999</v>
      </c>
      <c r="H4" s="35" cm="1">
        <f t="array" ref="H4">_xll.FDSB(C4,"PCTCHG(FG_YIELD(0,,,,""YTM""),FG_YIELD(-3AM,,,,""YTM""))")</f>
        <v>5.4484159999999999</v>
      </c>
      <c r="I4" s="35"/>
      <c r="J4" s="35" t="str">
        <f>VLOOKUP(B4,mnemonics!$A$4:$D$73, 4, FALSE)</f>
        <v>REFCLMPR-FDS</v>
      </c>
      <c r="K4" s="35" t="str" cm="1">
        <f t="array" ref="K4">_xll.FDSB(J4,"PROPER_NAME(0,,,""SECURITY"",""NAME"")")</f>
        <v>Chile Monetary Policy Rate</v>
      </c>
      <c r="L4" s="35" cm="1">
        <f t="array" ref="L4">_xll.FDSB(J4,"FG_YIELD(NOW,,,0)")</f>
        <v>7.25</v>
      </c>
      <c r="M4" s="45" cm="1">
        <f t="array" ref="M4">_xll.FDSB(J4,"(SUBARRAY(NOT_NA(NO_REPEAT_F(FG_YIELD(now,-10AY,D))),0,1)-SUBARRAY(NOT_NA(NO_REPEAT_F(FG_YIELD(now,-10AY,D))),1,1))*100")</f>
        <v>-100</v>
      </c>
      <c r="N4" s="47">
        <f t="shared" si="0"/>
        <v>100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56">
        <f t="shared" ref="V4:V23" si="6">SUMPRODUCT($S$1:$U$1,S4:U4)</f>
        <v>0.5</v>
      </c>
      <c r="X4">
        <f t="shared" si="2"/>
        <v>59</v>
      </c>
    </row>
    <row r="5" spans="1:24" x14ac:dyDescent="0.35">
      <c r="A5" t="s">
        <v>35</v>
      </c>
      <c r="B5" t="s">
        <v>128</v>
      </c>
      <c r="C5" t="s">
        <v>151</v>
      </c>
      <c r="D5" s="35" t="str" cm="1">
        <f t="array" ref="D5">_xll.FDSB(C5,"FG_YIELD_NAME")</f>
        <v>Treasury - Indonesia Benchmark Bond 10Y</v>
      </c>
      <c r="E5" s="35" cm="1">
        <f t="array" ref="E5">IFERROR(_xll.FDS(C5,"FG_YIELD(0,,,,""YTM"")"),$E$26)</f>
        <v>6.6799590000000002</v>
      </c>
      <c r="G5" s="35" cm="1">
        <f t="array" ref="G5">_xll.FDSB(C5,"PCTCHG(FG_YIELD(0,,,,""YTM""),FG_YIELD(-1AM,,,,""YTM""))")</f>
        <v>0.81949499999999997</v>
      </c>
      <c r="H5" s="35" cm="1">
        <f t="array" ref="H5">_xll.FDSB(C5,"PCTCHG(FG_YIELD(0,,,,""YTM""),FG_YIELD(-3AM,,,,""YTM""))")</f>
        <v>1.2486956</v>
      </c>
      <c r="I5" s="35"/>
      <c r="J5" s="35" t="str">
        <f>VLOOKUP(B5,mnemonics!$A$4:$D$73, 4, FALSE)</f>
        <v>REFIDRREPO-FDS</v>
      </c>
      <c r="K5" s="35" t="str" cm="1">
        <f t="array" ref="K5">_xll.FDSB(J5,"PROPER_NAME(0,,,""SECURITY"",""NAME"")")</f>
        <v>Indonesia BI (Reverse) Repo Rate - 7 Day</v>
      </c>
      <c r="L5" s="35" cm="1">
        <f t="array" ref="L5">_xll.FDSB(J5,"FG_YIELD(NOW,,,0)")</f>
        <v>6</v>
      </c>
      <c r="M5" s="45" cm="1">
        <f t="array" ref="M5">_xll.FDSB(J5,"(SUBARRAY(NOT_NA(NO_REPEAT_F(FG_YIELD(now,-10AY,D))),0,1)-SUBARRAY(NOT_NA(NO_REPEAT_F(FG_YIELD(now,-10AY,D))),1,1))*100")</f>
        <v>25</v>
      </c>
      <c r="N5" s="47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56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121</v>
      </c>
      <c r="C6" t="s">
        <v>147</v>
      </c>
      <c r="D6" s="35" t="str" cm="1">
        <f t="array" ref="D6">_xll.FDSB(C6,"FG_YIELD_NAME")</f>
        <v>Philippines Benchmark Bond - 10 Year</v>
      </c>
      <c r="E6" s="35" cm="1">
        <f t="array" ref="E6">IFERROR(_xll.FDS(C6,"FG_YIELD(0,,,,""YTM"")"),$E$26)</f>
        <v>6.1901364000000001</v>
      </c>
      <c r="G6" s="35" cm="1">
        <f t="array" ref="G6">_xll.FDSB(C6,"PCTCHG(FG_YIELD(0,,,,""YTM""),FG_YIELD(-1AM,,,,""YTM""))")</f>
        <v>-1.2431654999999999</v>
      </c>
      <c r="H6" s="35" cm="1">
        <f t="array" ref="H6">_xll.FDSB(C6,"PCTCHG(FG_YIELD(0,,,,""YTM""),FG_YIELD(-3AM,,,,""YTM""))")</f>
        <v>0.66237159999999995</v>
      </c>
      <c r="I6" s="35"/>
      <c r="J6" s="35" t="str">
        <f>VLOOKUP(B6,mnemonics!$A$4:$D$73, 4, FALSE)</f>
        <v>REFPHRREPO-FDS</v>
      </c>
      <c r="K6" s="35" t="str" cm="1">
        <f t="array" ref="K6">_xll.FDSB(J6,"PROPER_NAME(0,,,""SECURITY"",""NAME"")")</f>
        <v>Philippines Reverse Repo Rate - Overnight</v>
      </c>
      <c r="L6" s="35" cm="1">
        <f t="array" ref="L6">_xll.FDSB(J6,"FG_YIELD(NOW,,,0)")</f>
        <v>6.5</v>
      </c>
      <c r="M6" s="45" cm="1">
        <f t="array" ref="M6">_xll.FDSB(J6,"(SUBARRAY(NOT_NA(NO_REPEAT_F(FG_YIELD(now,-10AY,D))),0,1)-SUBARRAY(NOT_NA(NO_REPEAT_F(FG_YIELD(now,-10AY,D))),1,1))*100")</f>
        <v>25</v>
      </c>
      <c r="N6" s="47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56">
        <f t="shared" si="6"/>
        <v>0.25</v>
      </c>
      <c r="X6">
        <f t="shared" si="2"/>
        <v>40.9</v>
      </c>
    </row>
    <row r="7" spans="1:24" x14ac:dyDescent="0.35">
      <c r="A7" t="s">
        <v>23</v>
      </c>
      <c r="B7" t="s">
        <v>104</v>
      </c>
      <c r="C7" t="s">
        <v>133</v>
      </c>
      <c r="D7" s="35" t="str" cm="1">
        <f t="array" ref="D7">_xll.FDSB(C7,"FG_YIELD_NAME")</f>
        <v>Treasury - Poland Benchmark Bond 10Y</v>
      </c>
      <c r="E7" s="35" cm="1">
        <f t="array" ref="E7">IFERROR(_xll.FDS(C7,"FG_YIELD(0,,,,""YTM"")"),$E$26)</f>
        <v>5.4511000000000003</v>
      </c>
      <c r="G7" s="35" cm="1">
        <f t="array" ref="G7">_xll.FDSB(C7,"PCTCHG(FG_YIELD(0,,,,""YTM""),FG_YIELD(-1AM,,,,""YTM""))")</f>
        <v>1.3234427</v>
      </c>
      <c r="H7" s="35" cm="1">
        <f t="array" ref="H7">_xll.FDSB(C7,"PCTCHG(FG_YIELD(0,,,,""YTM""),FG_YIELD(-3AM,,,,""YTM""))")</f>
        <v>6.4917506999999999</v>
      </c>
      <c r="I7" s="35"/>
      <c r="J7" s="35" t="str">
        <f>VLOOKUP(B7,mnemonics!$A$4:$D$73, 4, FALSE)</f>
        <v>REFPL7D-FDS</v>
      </c>
      <c r="K7" s="35" t="str" cm="1">
        <f t="array" ref="K7">_xll.FDSB(J7,"PROPER_NAME(0,,,""SECURITY"",""NAME"")")</f>
        <v>Poland Reference Rate - 7 Day</v>
      </c>
      <c r="L7" s="35" cm="1">
        <f t="array" ref="L7">_xll.FDSB(J7,"FG_YIELD(NOW,,,0)")</f>
        <v>5.75</v>
      </c>
      <c r="M7" s="45" cm="1">
        <f t="array" ref="M7">_xll.FDSB(J7,"(SUBARRAY(NOT_NA(NO_REPEAT_F(FG_YIELD(now,-10AY,D))),0,1)-SUBARRAY(NOT_NA(NO_REPEAT_F(FG_YIELD(now,-10AY,D))),1,1))*100")</f>
        <v>-25</v>
      </c>
      <c r="N7" s="47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56">
        <f t="shared" si="6"/>
        <v>0.5</v>
      </c>
      <c r="X7">
        <f t="shared" si="2"/>
        <v>59</v>
      </c>
    </row>
    <row r="8" spans="1:24" x14ac:dyDescent="0.35">
      <c r="A8" t="s">
        <v>29</v>
      </c>
      <c r="B8" t="s">
        <v>116</v>
      </c>
      <c r="C8" t="s">
        <v>141</v>
      </c>
      <c r="D8" s="35" t="str" cm="1">
        <f t="array" ref="D8">_xll.FDSB(C8,"FG_YIELD_NAME")</f>
        <v>Treasury - Peru Benchmark Bond 10Y</v>
      </c>
      <c r="E8" s="35" cm="1">
        <f t="array" ref="E8">IFERROR(_xll.FDS(C8,"FG_YIELD(0,,,,""YTM"")"),$E$26)</f>
        <v>6.9972880000000002</v>
      </c>
      <c r="G8" s="35" cm="1">
        <f t="array" ref="G8">_xll.FDSB(C8,"PCTCHG(FG_YIELD(0,,,,""YTM""),FG_YIELD(-1AM,,,,""YTM""))")</f>
        <v>3.9541518999999998</v>
      </c>
      <c r="H8" s="35" cm="1">
        <f t="array" ref="H8">_xll.FDSB(C8,"PCTCHG(FG_YIELD(0,,,,""YTM""),FG_YIELD(-3AM,,,,""YTM""))")</f>
        <v>5.5620960000000004</v>
      </c>
      <c r="I8" s="35"/>
      <c r="J8" s="35" t="str">
        <f>VLOOKUP(B8,mnemonics!$A$4:$D$73, 4, FALSE)</f>
        <v>REFPEMPR-FDS</v>
      </c>
      <c r="K8" s="35" t="str" cm="1">
        <f t="array" ref="K8">_xll.FDSB(J8,"PROPER_NAME(0,,,""SECURITY"",""NAME"")")</f>
        <v>Peru Policy Rate</v>
      </c>
      <c r="L8" s="35" cm="1">
        <f t="array" ref="L8">_xll.FDSB(J8,"FG_YIELD(NOW,,,0)")</f>
        <v>6.25</v>
      </c>
      <c r="M8" s="45" cm="1">
        <f t="array" ref="M8">_xll.FDSB(J8,"(SUBARRAY(NOT_NA(NO_REPEAT_F(FG_YIELD(now,-10AY,D))),0,1)-SUBARRAY(NOT_NA(NO_REPEAT_F(FG_YIELD(now,-10AY,D))),1,1))*100")</f>
        <v>-25</v>
      </c>
      <c r="N8" s="47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56">
        <f t="shared" si="6"/>
        <v>0.5</v>
      </c>
      <c r="X8">
        <f t="shared" si="2"/>
        <v>59</v>
      </c>
    </row>
    <row r="9" spans="1:24" x14ac:dyDescent="0.35">
      <c r="A9" t="s">
        <v>33</v>
      </c>
      <c r="B9" t="s">
        <v>126</v>
      </c>
      <c r="C9" t="s">
        <v>149</v>
      </c>
      <c r="D9" s="35" t="str" cm="1">
        <f t="array" ref="D9">_xll.FDSB(C9,"FG_YIELD_NAME")</f>
        <v>Treasury - Malaysia Benchmark Bond 10Y</v>
      </c>
      <c r="E9" s="35" cm="1">
        <f t="array" ref="E9">IFERROR(_xll.FDS(C9,"FG_YIELD(0,,,,""YTM"")"),$E$26)</f>
        <v>3.8594140000000001</v>
      </c>
      <c r="G9" s="35" cm="1">
        <f t="array" ref="G9">_xll.FDSB(C9,"PCTCHG(FG_YIELD(0,,,,""YTM""),FG_YIELD(-1AM,,,,""YTM""))")</f>
        <v>1.3854131999999999</v>
      </c>
      <c r="H9" s="35" cm="1">
        <f t="array" ref="H9">_xll.FDSB(C9,"PCTCHG(FG_YIELD(0,,,,""YTM""),FG_YIELD(-3AM,,,,""YTM""))")</f>
        <v>3.8113429999999999</v>
      </c>
      <c r="I9" s="35"/>
      <c r="J9" s="35" t="str">
        <f>VLOOKUP(B9,mnemonics!$A$4:$D$73, 4, FALSE)</f>
        <v>REFMYON-FDS</v>
      </c>
      <c r="K9" s="35" t="str" cm="1">
        <f t="array" ref="K9">_xll.FDSB(J9,"PROPER_NAME(0,,,""SECURITY"",""NAME"")")</f>
        <v>Malaysia Policy Rate - Overnight</v>
      </c>
      <c r="L9" s="35" cm="1">
        <f t="array" ref="L9">_xll.FDSB(J9,"FG_YIELD(NOW,,,0)")</f>
        <v>3</v>
      </c>
      <c r="M9" s="45" cm="1">
        <f t="array" ref="M9">_xll.FDSB(J9,"(SUBARRAY(NOT_NA(NO_REPEAT_F(FG_YIELD(now,-10AY,D))),0,1)-SUBARRAY(NOT_NA(NO_REPEAT_F(FG_YIELD(now,-10AY,D))),1,1))*100")</f>
        <v>25</v>
      </c>
      <c r="N9" s="47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56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107</v>
      </c>
      <c r="C10" t="s">
        <v>135</v>
      </c>
      <c r="D10" s="35" t="str" cm="1">
        <f t="array" ref="D10">_xll.FDSB(C10,"FG_YIELD_NAME")</f>
        <v>Taiwan China Benchmark Bond - 10 Year</v>
      </c>
      <c r="E10" s="35" cm="1">
        <f t="array" ref="E10">IFERROR(_xll.FDS(C10,"FG_YIELD(0,,,,""YTM"")"),$E$26)</f>
        <v>1.2084999999999999</v>
      </c>
      <c r="G10" s="35" cm="1">
        <f t="array" ref="G10">_xll.FDSB(C10,"PCTCHG(FG_YIELD(0,,,,""YTM""),FG_YIELD(-1AM,,,,""YTM""))")</f>
        <v>-0.9263787</v>
      </c>
      <c r="H10" s="35" cm="1">
        <f t="array" ref="H10">_xll.FDSB(C10,"PCTCHG(FG_YIELD(0,,,,""YTM""),FG_YIELD(-3AM,,,,""YTM""))")</f>
        <v>-0.19819318999999999</v>
      </c>
      <c r="I10" s="35"/>
      <c r="J10" s="35" t="str">
        <f>VLOOKUP(B10,mnemonics!$A$4:$D$73, 4, FALSE)</f>
        <v>REFTWDISC-FDS</v>
      </c>
      <c r="K10" s="35" t="str" cm="1">
        <f t="array" ref="K10">_xll.FDSB(J10,"PROPER_NAME(0,,,""SECURITY"",""NAME"")")</f>
        <v>Taiwan China Discount Rate</v>
      </c>
      <c r="L10" s="35" cm="1">
        <f t="array" ref="L10">_xll.FDSB(J10,"FG_YIELD(NOW,,,0)")</f>
        <v>1.875</v>
      </c>
      <c r="M10" s="45" cm="1">
        <f t="array" ref="M10">_xll.FDSB(J10,"(SUBARRAY(NOT_NA(NO_REPEAT_F(FG_YIELD(now,-10AY,D))),0,1)-SUBARRAY(NOT_NA(NO_REPEAT_F(FG_YIELD(now,-10AY,D))),1,1))*100")</f>
        <v>12.5</v>
      </c>
      <c r="N10" s="47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56">
        <f t="shared" si="6"/>
        <v>0.5</v>
      </c>
      <c r="X10">
        <f t="shared" si="2"/>
        <v>59</v>
      </c>
    </row>
    <row r="11" spans="1:24" x14ac:dyDescent="0.35">
      <c r="A11" t="s">
        <v>7</v>
      </c>
      <c r="B11" t="s">
        <v>125</v>
      </c>
      <c r="C11" t="s">
        <v>15</v>
      </c>
      <c r="D11" s="35" t="str" cm="1">
        <f t="array" ref="D11">_xll.FDSB(C11,"FG_YIELD_NAME")</f>
        <v>Treasury - Mexico Benchmark Bond 10Y</v>
      </c>
      <c r="E11" s="35" cm="1">
        <f t="array" ref="E11">IFERROR(_xll.FDS(C11,"FG_YIELD(0,,,,""YTM"")"),$E$26)</f>
        <v>9.2597000000000005</v>
      </c>
      <c r="G11" s="35" cm="1">
        <f t="array" ref="G11">_xll.FDSB(C11,"PCTCHG(FG_YIELD(0,,,,""YTM""),FG_YIELD(-1AM,,,,""YTM""))")</f>
        <v>0.18067501</v>
      </c>
      <c r="H11" s="35" cm="1">
        <f t="array" ref="H11">_xll.FDSB(C11,"PCTCHG(FG_YIELD(0,,,,""YTM""),FG_YIELD(-3AM,,,,""YTM""))")</f>
        <v>2.6289805999999998</v>
      </c>
      <c r="I11" s="35"/>
      <c r="J11" s="35" t="str">
        <f>VLOOKUP(B11,mnemonics!$A$4:$D$73, 4, FALSE)</f>
        <v>REFMXTON-FDS</v>
      </c>
      <c r="K11" s="35" t="str" cm="1">
        <f t="array" ref="K11">_xll.FDSB(J11,"PROPER_NAME(0,,,""SECURITY"",""NAME"")")</f>
        <v>Mexico Target Rate - Overnight</v>
      </c>
      <c r="L11" s="35" cm="1">
        <f t="array" ref="L11">_xll.FDSB(J11,"FG_YIELD(NOW,,,0)")</f>
        <v>11.25</v>
      </c>
      <c r="M11" s="45" cm="1">
        <f t="array" ref="M11">_xll.FDSB(J11,"(SUBARRAY(NOT_NA(NO_REPEAT_F(FG_YIELD(now,-10AY,D))),0,1)-SUBARRAY(NOT_NA(NO_REPEAT_F(FG_YIELD(now,-10AY,D))),1,1))*100")</f>
        <v>25</v>
      </c>
      <c r="N11" s="47">
        <f t="shared" si="0"/>
        <v>-25</v>
      </c>
      <c r="S11">
        <f t="shared" si="3"/>
        <v>0</v>
      </c>
      <c r="T11">
        <f t="shared" si="4"/>
        <v>0</v>
      </c>
      <c r="U11">
        <f t="shared" si="5"/>
        <v>0</v>
      </c>
      <c r="V11" s="56">
        <f t="shared" si="6"/>
        <v>0</v>
      </c>
      <c r="X11">
        <f t="shared" si="2"/>
        <v>4.5</v>
      </c>
    </row>
    <row r="12" spans="1:24" x14ac:dyDescent="0.35">
      <c r="A12" t="s">
        <v>21</v>
      </c>
      <c r="B12" t="s">
        <v>105</v>
      </c>
      <c r="C12" t="s">
        <v>134</v>
      </c>
      <c r="D12" s="35" t="str" cm="1">
        <f t="array" ref="D12">_xll.FDSB(C12,"FG_YIELD_NAME")</f>
        <v>South Korea Benchmark Bond - 10 Year</v>
      </c>
      <c r="E12" s="35" cm="1">
        <f t="array" ref="E12">IFERROR(_xll.FDS(C12,"FG_YIELD(0,,,,""YTM"")"),$E$26)</f>
        <v>3.3552</v>
      </c>
      <c r="G12" s="35" cm="1">
        <f t="array" ref="G12">_xll.FDSB(C12,"PCTCHG(FG_YIELD(0,,,,""YTM""),FG_YIELD(-1AM,,,,""YTM""))")</f>
        <v>-3.9780190000000002</v>
      </c>
      <c r="H12" s="35" cm="1">
        <f t="array" ref="H12">_xll.FDSB(C12,"PCTCHG(FG_YIELD(0,,,,""YTM""),FG_YIELD(-3AM,,,,""YTM""))")</f>
        <v>0.60569759999999995</v>
      </c>
      <c r="I12" s="35"/>
      <c r="J12" s="35" t="str">
        <f>VLOOKUP(B12,mnemonics!$A$4:$D$73, 4, FALSE)</f>
        <v>REFKRBASE-FDS</v>
      </c>
      <c r="K12" s="35" t="str" cm="1">
        <f t="array" ref="K12">_xll.FDSB(J12,"PROPER_NAME(0,,,""SECURITY"",""NAME"")")</f>
        <v>South Korea Base Rate</v>
      </c>
      <c r="L12" s="35" cm="1">
        <f t="array" ref="L12">_xll.FDSB(J12,"FG_YIELD(NOW,,,0)")</f>
        <v>3.5</v>
      </c>
      <c r="M12" s="45" cm="1">
        <f t="array" ref="M12">_xll.FDSB(J12,"(SUBARRAY(NOT_NA(NO_REPEAT_F(FG_YIELD(now,-10AY,D))),0,1)-SUBARRAY(NOT_NA(NO_REPEAT_F(FG_YIELD(now,-10AY,D))),1,1))*100")</f>
        <v>25</v>
      </c>
      <c r="N12" s="47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56">
        <f t="shared" si="6"/>
        <v>0.25</v>
      </c>
      <c r="X12">
        <f t="shared" si="2"/>
        <v>40.9</v>
      </c>
    </row>
    <row r="13" spans="1:24" x14ac:dyDescent="0.35">
      <c r="A13" t="s">
        <v>12</v>
      </c>
      <c r="B13" t="s">
        <v>131</v>
      </c>
      <c r="C13" t="s">
        <v>20</v>
      </c>
      <c r="D13" s="35" t="str" cm="1">
        <f t="array" ref="D13">_xll.FDSB(C13,"FG_YIELD_NAME")</f>
        <v>Treasury - Brazil Benchmark Bond 10Y</v>
      </c>
      <c r="E13" s="35" cm="1">
        <f t="array" ref="E13">IFERROR(_xll.FDS(C13,"FG_YIELD(0,,,,""YTM"")"),$E$26)</f>
        <v>11.068383000000001</v>
      </c>
      <c r="G13" s="35" cm="1">
        <f t="array" ref="G13">_xll.FDSB(C13,"PCTCHG(FG_YIELD(0,,,,""YTM""),FG_YIELD(-1AM,,,,""YTM""))")</f>
        <v>0.65786440000000002</v>
      </c>
      <c r="H13" s="35" cm="1">
        <f t="array" ref="H13">_xll.FDSB(C13,"PCTCHG(FG_YIELD(0,,,,""YTM""),FG_YIELD(-3AM,,,,""YTM""))")</f>
        <v>2.3218768000000001</v>
      </c>
      <c r="I13" s="35"/>
      <c r="J13" s="35" t="str">
        <f>VLOOKUP(B13,mnemonics!$A$4:$D$73, 4, FALSE)</f>
        <v>REFBRSELIC-FDS</v>
      </c>
      <c r="K13" s="35" t="str" cm="1">
        <f t="array" ref="K13">_xll.FDSB(J13,"PROPER_NAME(0,,,""SECURITY"",""NAME"")")</f>
        <v>Brazil Target Selic Rate</v>
      </c>
      <c r="L13" s="35" cm="1">
        <f t="array" ref="L13">_xll.FDSB(J13,"FG_YIELD(NOW,,,0)")</f>
        <v>11.25</v>
      </c>
      <c r="M13" s="45" cm="1">
        <f t="array" ref="M13">_xll.FDSB(J13,"(SUBARRAY(NOT_NA(NO_REPEAT_F(FG_YIELD(now,-10AY,D))),0,1)-SUBARRAY(NOT_NA(NO_REPEAT_F(FG_YIELD(now,-10AY,D))),1,1))*100")</f>
        <v>-50</v>
      </c>
      <c r="N13" s="47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56">
        <f t="shared" si="6"/>
        <v>0.5</v>
      </c>
      <c r="X13">
        <f t="shared" si="2"/>
        <v>59</v>
      </c>
    </row>
    <row r="14" spans="1:24" x14ac:dyDescent="0.35">
      <c r="A14" t="s">
        <v>22</v>
      </c>
      <c r="B14" t="s">
        <v>103</v>
      </c>
      <c r="C14" t="s">
        <v>132</v>
      </c>
      <c r="D14" s="35" t="str" cm="1">
        <f t="array" ref="D14">_xll.FDSB(C14,"FG_YIELD_NAME")</f>
        <v>South Africa Benchmark Bond - 10 Year</v>
      </c>
      <c r="E14" s="35" cm="1">
        <f t="array" ref="E14">IFERROR(_xll.FDS(C14,"FG_YIELD(0,,,,""YTM"")"),$E$26)</f>
        <v>11.961627</v>
      </c>
      <c r="G14" s="35" cm="1">
        <f t="array" ref="G14">_xll.FDSB(C14,"PCTCHG(FG_YIELD(0,,,,""YTM""),FG_YIELD(-1AM,,,,""YTM""))")</f>
        <v>2.1389225000000001</v>
      </c>
      <c r="H14" s="35" cm="1">
        <f t="array" ref="H14">_xll.FDSB(C14,"PCTCHG(FG_YIELD(0,,,,""YTM""),FG_YIELD(-3AM,,,,""YTM""))")</f>
        <v>4.8865012999999999</v>
      </c>
      <c r="I14" s="35"/>
      <c r="J14" s="35" t="str">
        <f>VLOOKUP(B14,mnemonics!$A$4:$D$73, 4, FALSE)</f>
        <v>REFZAREPO-FDS</v>
      </c>
      <c r="K14" s="35" t="str" cm="1">
        <f t="array" ref="K14">_xll.FDSB(J14,"PROPER_NAME(0,,,""SECURITY"",""NAME"")")</f>
        <v>South Africa Repo Rate</v>
      </c>
      <c r="L14" s="35" cm="1">
        <f t="array" ref="L14">_xll.FDSB(J14,"FG_YIELD(NOW,,,0)")</f>
        <v>8.25</v>
      </c>
      <c r="M14" s="45" cm="1">
        <f t="array" ref="M14">_xll.FDSB(J14,"(SUBARRAY(NOT_NA(NO_REPEAT_F(FG_YIELD(now,-10AY,D))),0,1)-SUBARRAY(NOT_NA(NO_REPEAT_F(FG_YIELD(now,-10AY,D))),1,1))*100")</f>
        <v>50</v>
      </c>
      <c r="N14" s="47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56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115</v>
      </c>
      <c r="C15" t="s">
        <v>140</v>
      </c>
      <c r="D15" s="35" t="str" cm="1">
        <f t="array" ref="D15">_xll.FDSB(C15,"FG_YIELD_NAME")</f>
        <v>Greece Benchmark Bond - 10 Year</v>
      </c>
      <c r="E15" s="35" cm="1">
        <f t="array" ref="E15">IFERROR(_xll.FDS(C15,"FG_YIELD(0,,,,""YTM"")"),$E$26)</f>
        <v>3.331</v>
      </c>
      <c r="G15" s="35" cm="1">
        <f t="array" ref="G15">_xll.FDSB(C15,"PCTCHG(FG_YIELD(0,,,,""YTM""),FG_YIELD(-1AM,,,,""YTM""))")</f>
        <v>-3.9503993999999998</v>
      </c>
      <c r="H15" s="35" cm="1">
        <f t="array" ref="H15">_xll.FDSB(C15,"PCTCHG(FG_YIELD(0,,,,""YTM""),FG_YIELD(-3AM,,,,""YTM""))")</f>
        <v>1.2154421</v>
      </c>
      <c r="I15" s="35"/>
      <c r="J15" s="35" t="str">
        <f>VLOOKUP(B15,mnemonics!$A$4:$D$73, 4, FALSE)</f>
        <v>REFEUREFI-FDS</v>
      </c>
      <c r="K15" s="35" t="str" cm="1">
        <f t="array" ref="K15">_xll.FDSB(J15,"PROPER_NAME(0,,,""SECURITY"",""NAME"")")</f>
        <v>Eurozone Main Refinancing Operations Minimum Bid Rate</v>
      </c>
      <c r="L15" s="35" cm="1">
        <f t="array" ref="L15">_xll.FDSB(J15,"FG_YIELD(NOW,,,0)")</f>
        <v>4.5</v>
      </c>
      <c r="M15" s="45" cm="1">
        <f t="array" ref="M15">_xll.FDSB(J15,"(SUBARRAY(NOT_NA(NO_REPEAT_F(FG_YIELD(now,-10AY,D))),0,1)-SUBARRAY(NOT_NA(NO_REPEAT_F(FG_YIELD(now,-10AY,D))),1,1))*100")</f>
        <v>25</v>
      </c>
      <c r="N15" s="47">
        <f t="shared" si="0"/>
        <v>-25</v>
      </c>
      <c r="T15">
        <f t="shared" si="4"/>
        <v>1</v>
      </c>
      <c r="U15">
        <f t="shared" si="5"/>
        <v>0</v>
      </c>
      <c r="V15" s="56">
        <f t="shared" si="6"/>
        <v>0.25</v>
      </c>
      <c r="X15">
        <f t="shared" si="2"/>
        <v>40.9</v>
      </c>
    </row>
    <row r="16" spans="1:24" x14ac:dyDescent="0.35">
      <c r="A16" t="s">
        <v>32</v>
      </c>
      <c r="B16" t="s">
        <v>122</v>
      </c>
      <c r="C16" t="s">
        <v>18</v>
      </c>
      <c r="D16" s="35" t="str" cm="1">
        <f t="array" ref="D16">_xll.FDSB(C16,"FG_YIELD_NAME")</f>
        <v>India Benchmark Bond - 10 Year</v>
      </c>
      <c r="E16" s="35" cm="1">
        <f t="array" ref="E16">IFERROR(_xll.FDS(C16,"FG_YIELD(0,,,,""YTM"")"),$E$26)</f>
        <v>7.0410000000000004</v>
      </c>
      <c r="G16" s="35" t="str" cm="1">
        <f t="array" ref="G16">_xll.FDSB(C16,"PCTCHG(FG_YIELD(0,,,,""YTM""),FG_YIELD(-1AM,,,,""YTM""))")</f>
        <v/>
      </c>
      <c r="H16" s="35" t="str" cm="1">
        <f t="array" ref="H16">_xll.FDSB(C16,"PCTCHG(FG_YIELD(0,,,,""YTM""),FG_YIELD(-3AM,,,,""YTM""))")</f>
        <v/>
      </c>
      <c r="I16" s="35"/>
      <c r="J16" s="35" t="str">
        <f>VLOOKUP(B16,mnemonics!$A$4:$D$73, 4, FALSE)</f>
        <v>REFINREPO-FDS</v>
      </c>
      <c r="K16" s="35" t="str" cm="1">
        <f t="array" ref="K16">_xll.FDSB(J16,"PROPER_NAME(0,,,""SECURITY"",""NAME"")")</f>
        <v>India Repo Rate</v>
      </c>
      <c r="L16" s="35" cm="1">
        <f t="array" ref="L16">_xll.FDSB(J16,"FG_YIELD(NOW,,,0)")</f>
        <v>6.5</v>
      </c>
      <c r="M16" s="45" cm="1">
        <f t="array" ref="M16">_xll.FDSB(J16,"(SUBARRAY(NOT_NA(NO_REPEAT_F(FG_YIELD(now,-10AY,D))),0,1)-SUBARRAY(NOT_NA(NO_REPEAT_F(FG_YIELD(now,-10AY,D))),1,1))*100")</f>
        <v>25</v>
      </c>
      <c r="N16" s="47">
        <f t="shared" si="0"/>
        <v>-25</v>
      </c>
      <c r="S16">
        <f t="shared" si="3"/>
        <v>0</v>
      </c>
      <c r="T16">
        <f t="shared" si="4"/>
        <v>0</v>
      </c>
      <c r="U16">
        <f t="shared" si="5"/>
        <v>0</v>
      </c>
      <c r="V16" s="56">
        <f t="shared" si="6"/>
        <v>0</v>
      </c>
      <c r="X16">
        <f t="shared" si="2"/>
        <v>4.5</v>
      </c>
    </row>
    <row r="17" spans="1:24" x14ac:dyDescent="0.35">
      <c r="A17" t="s">
        <v>26</v>
      </c>
      <c r="B17" t="s">
        <v>108</v>
      </c>
      <c r="C17" t="s">
        <v>17</v>
      </c>
      <c r="D17" s="35" t="str" cm="1">
        <f t="array" ref="D17">_xll.FDSB(C17,"FG_YIELD_NAME")</f>
        <v>Treasury - China Benchmark Bond 10Y</v>
      </c>
      <c r="E17" s="35" cm="1">
        <f t="array" ref="E17">IFERROR(_xll.FDS(C17,"FG_YIELD(0,,,,""YTM"")"),$E$26)</f>
        <v>2.3624000000000001</v>
      </c>
      <c r="G17" s="35" cm="1">
        <f t="array" ref="G17">_xll.FDSB(C17,"PCTCHG(FG_YIELD(0,,,,""YTM""),FG_YIELD(-1AM,,,,""YTM""))")</f>
        <v>-3.3743702999999998</v>
      </c>
      <c r="H17" s="35" cm="1">
        <f t="array" ref="H17">_xll.FDSB(C17,"PCTCHG(FG_YIELD(0,,,,""YTM""),FG_YIELD(-3AM,,,,""YTM""))")</f>
        <v>-11.014008</v>
      </c>
      <c r="I17" s="35"/>
      <c r="J17" s="35" t="str">
        <f>VLOOKUP(B17,mnemonics!$A$4:$D$73, 4, FALSE)</f>
        <v>REFCNRMB-FDS</v>
      </c>
      <c r="K17" s="35" t="str" cm="1">
        <f t="array" ref="K17">_xll.FDSB(J17,"PROPER_NAME(0,,,""SECURITY"",""NAME"")")</f>
        <v>China Loan Prime Rate (LPR) - 1 Year</v>
      </c>
      <c r="L17" s="35" cm="1">
        <f t="array" ref="L17">_xll.FDSB(J17,"FG_YIELD(NOW,,,0)")</f>
        <v>3.45</v>
      </c>
      <c r="M17" s="45" cm="1">
        <f t="array" ref="M17">_xll.FDSB(J17,"(SUBARRAY(NOT_NA(NO_REPEAT_F(FG_YIELD(now,-10AY,D))),0,1)-SUBARRAY(NOT_NA(NO_REPEAT_F(FG_YIELD(now,-10AY,D))),1,1))*100")</f>
        <v>-9.9999999999999591</v>
      </c>
      <c r="N17" s="47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56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124</v>
      </c>
      <c r="C18" t="s">
        <v>148</v>
      </c>
      <c r="D18" s="35" t="str" cm="1">
        <f t="array" ref="D18">_xll.FDSB(C18,"FG_YIELD_NAME")</f>
        <v>Treasury - Qatar Benchmark Bond 10Y</v>
      </c>
      <c r="E18" s="35" cm="1">
        <f t="array" ref="E18">IFERROR(_xll.FDS(C18,"FG_YIELD(0,,,,""YTM"")"),$E$26)</f>
        <v>4.2952000000000004</v>
      </c>
      <c r="G18" s="35" t="str" cm="1">
        <f t="array" ref="G18">_xll.FDSB(C18,"PCTCHG(FG_YIELD(0,,,,""YTM""),FG_YIELD(-1AM,,,,""YTM""))")</f>
        <v/>
      </c>
      <c r="H18" s="35" t="str" cm="1">
        <f t="array" ref="H18">_xll.FDSB(C18,"PCTCHG(FG_YIELD(0,,,,""YTM""),FG_YIELD(-3AM,,,,""YTM""))")</f>
        <v/>
      </c>
      <c r="I18" s="35"/>
      <c r="J18" s="35" t="str">
        <f>VLOOKUP(B18,mnemonics!$A$4:$D$73, 4, FALSE)</f>
        <v>REFQALEND-FDS</v>
      </c>
      <c r="K18" s="35" t="str" cm="1">
        <f t="array" ref="K18">_xll.FDSB(J18,"PROPER_NAME(0,,,""SECURITY"",""NAME"")")</f>
        <v>Qatar Lending Rate - Overnight</v>
      </c>
      <c r="L18" s="35" cm="1">
        <f t="array" ref="L18">_xll.FDSB(J18,"FG_YIELD(NOW,,,0)")</f>
        <v>6.25</v>
      </c>
      <c r="M18" s="45" cm="1">
        <f t="array" ref="M18">_xll.FDSB(J18,"(SUBARRAY(NOT_NA(NO_REPEAT_F(FG_YIELD(now,-10AY,D))),0,1)-SUBARRAY(NOT_NA(NO_REPEAT_F(FG_YIELD(now,-10AY,D))),1,1))*100")</f>
        <v>25</v>
      </c>
      <c r="N18" s="47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56">
        <f t="shared" si="6"/>
        <v>0</v>
      </c>
      <c r="X18">
        <f t="shared" si="2"/>
        <v>4.5</v>
      </c>
    </row>
    <row r="19" spans="1:24" x14ac:dyDescent="0.35">
      <c r="A19" t="s">
        <v>764</v>
      </c>
      <c r="B19" t="s">
        <v>224</v>
      </c>
      <c r="C19" t="s">
        <v>458</v>
      </c>
      <c r="D19" s="35" t="str" cm="1">
        <f t="array" ref="D19">_xll.FDSB(C19,"FG_YIELD_NAME")</f>
        <v>Thailand Benchmark Bond - 10 Year</v>
      </c>
      <c r="E19" s="35" cm="1">
        <f t="array" ref="E19">IFERROR(_xll.FDS(C19,"FG_YIELD(0,,,,""YTM"")"),$E$26)</f>
        <v>2.5194540000000001</v>
      </c>
      <c r="G19" s="35" cm="1">
        <f t="array" ref="G19">_xll.FDSB(C19,"PCTCHG(FG_YIELD(0,,,,""YTM""),FG_YIELD(-1AM,,,,""YTM""))")</f>
        <v>-2.1943834</v>
      </c>
      <c r="H19" s="35" cm="1">
        <f t="array" ref="H19">_xll.FDSB(C19,"PCTCHG(FG_YIELD(0,,,,""YTM""),FG_YIELD(-3AM,,,,""YTM""))")</f>
        <v>-8.1914580000000008</v>
      </c>
      <c r="I19" s="35"/>
      <c r="J19" s="35" t="str">
        <f>VLOOKUP(B19,mnemonics!$A$4:$D$73, 4, FALSE)</f>
        <v>REFTHREPO-FDS</v>
      </c>
      <c r="K19" s="35" t="str" cm="1">
        <f t="array" ref="K19">_xll.FDSB(J19,"PROPER_NAME(0,,,""SECURITY"",""NAME"")")</f>
        <v>Thailand Repo Rate - 1 Day</v>
      </c>
      <c r="L19" s="35" cm="1">
        <f t="array" ref="L19">_xll.FDSB(J19,"FG_YIELD(NOW,,,0)")</f>
        <v>2.5</v>
      </c>
      <c r="M19" s="45" cm="1">
        <f t="array" ref="M19">_xll.FDSB(J19,"(SUBARRAY(NOT_NA(NO_REPEAT_F(FG_YIELD(now,-10AY,D))),0,1)-SUBARRAY(NOT_NA(NO_REPEAT_F(FG_YIELD(now,-10AY,D))),1,1))*100")</f>
        <v>25</v>
      </c>
      <c r="N19" s="47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56">
        <f t="shared" si="6"/>
        <v>0.5</v>
      </c>
      <c r="X19">
        <f t="shared" si="2"/>
        <v>59</v>
      </c>
    </row>
    <row r="20" spans="1:24" x14ac:dyDescent="0.35">
      <c r="A20" t="s">
        <v>25</v>
      </c>
      <c r="B20" t="s">
        <v>109</v>
      </c>
      <c r="C20" t="s">
        <v>136</v>
      </c>
      <c r="D20" s="35" t="str" cm="1">
        <f t="array" ref="D20">_xll.FDSB(C20,"FG_YIELD_NAME")</f>
        <v>Treasury - Turkey Benchmark Bond 7Y</v>
      </c>
      <c r="E20" s="35" cm="1">
        <f t="array" ref="E20">IFERROR(_xll.FDS(C20,"FG_YIELD(0,,,,""YTM"")"),$E$26)</f>
        <v>24.216915</v>
      </c>
      <c r="G20" s="35" cm="1">
        <f t="array" ref="G20">_xll.FDSB(C20,"PCTCHG(FG_YIELD(0,,,,""YTM""),FG_YIELD(-1AM,,,,""YTM""))")</f>
        <v>7.8763170000000002</v>
      </c>
      <c r="H20" s="35" cm="1">
        <f t="array" ref="H20">_xll.FDSB(C20,"PCTCHG(FG_YIELD(0,,,,""YTM""),FG_YIELD(-3AM,,,,""YTM""))")</f>
        <v>14.040196999999999</v>
      </c>
      <c r="I20" s="35"/>
      <c r="J20" s="35" t="str">
        <f>VLOOKUP(B20,mnemonics!$A$4:$D$73, 4, FALSE)</f>
        <v>REFTR1WREPO-FDS</v>
      </c>
      <c r="K20" s="35" t="str" cm="1">
        <f t="array" ref="K20">_xll.FDSB(J20,"PROPER_NAME(0,,,""SECURITY"",""NAME"")")</f>
        <v>Turkey Repo Rate - 1 Week</v>
      </c>
      <c r="L20" s="35" cm="1">
        <f t="array" ref="L20">_xll.FDSB(J20,"FG_YIELD(NOW,,,0)")</f>
        <v>45</v>
      </c>
      <c r="M20" s="45" cm="1">
        <f t="array" ref="M20">_xll.FDSB(J20,"(SUBARRAY(NOT_NA(NO_REPEAT_F(FG_YIELD(now,-10AY,D))),0,1)-SUBARRAY(NOT_NA(NO_REPEAT_F(FG_YIELD(now,-10AY,D))),1,1))*100")</f>
        <v>250</v>
      </c>
      <c r="N20" s="47">
        <f t="shared" si="0"/>
        <v>-250</v>
      </c>
      <c r="S20">
        <f t="shared" si="3"/>
        <v>0</v>
      </c>
      <c r="T20">
        <f t="shared" si="4"/>
        <v>0</v>
      </c>
      <c r="U20">
        <f t="shared" si="5"/>
        <v>0</v>
      </c>
      <c r="V20" s="56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127</v>
      </c>
      <c r="C21" t="s">
        <v>150</v>
      </c>
      <c r="D21" s="35" t="str" cm="1">
        <f t="array" ref="D21">_xll.FDSB(C21,"FG_YIELD_NAME")</f>
        <v>Treasury - United Arab Emirates USD Benchmark Bond 10Y</v>
      </c>
      <c r="E21" s="35" cm="1">
        <f t="array" ref="E21">IFERROR(_xll.FDS(C21,"FG_YIELD(0,,,,""YTM"")"),$E$26)</f>
        <v>4.2952000000000004</v>
      </c>
      <c r="G21" s="35" t="str" cm="1">
        <f t="array" ref="G21">_xll.FDSB(C21,"PCTCHG(FG_YIELD(0,,,,""YTM""),FG_YIELD(-1AM,,,,""YTM""))")</f>
        <v/>
      </c>
      <c r="H21" s="35" t="str" cm="1">
        <f t="array" ref="H21">_xll.FDSB(C21,"PCTCHG(FG_YIELD(0,,,,""YTM""),FG_YIELD(-3AM,,,,""YTM""))")</f>
        <v/>
      </c>
      <c r="I21" s="35"/>
      <c r="J21" s="35" t="str">
        <f>VLOOKUP(B21,mnemonics!$A$4:$D$73, 4, FALSE)</f>
        <v>REFAEREPO-FDS</v>
      </c>
      <c r="K21" s="35" t="str" cm="1">
        <f t="array" ref="K21">_xll.FDSB(J21,"PROPER_NAME(0,,,""SECURITY"",""NAME"")")</f>
        <v>United Arab Emirates Repo Rate</v>
      </c>
      <c r="L21" s="35" cm="1">
        <f t="array" ref="L21">_xll.FDSB(J21,"FG_YIELD(NOW,,,0)")</f>
        <v>5.4</v>
      </c>
      <c r="M21" s="45" cm="1">
        <f t="array" ref="M21">_xll.FDSB(J21,"(SUBARRAY(NOT_NA(NO_REPEAT_F(FG_YIELD(now,-10AY,D))),0,1)-SUBARRAY(NOT_NA(NO_REPEAT_F(FG_YIELD(now,-10AY,D))),1,1))*100")</f>
        <v>25</v>
      </c>
      <c r="N21" s="47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56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130</v>
      </c>
      <c r="C22" t="s">
        <v>153</v>
      </c>
      <c r="D22" s="35" t="str" cm="1">
        <f t="array" ref="D22">_xll.FDSB(C22,"FG_YIELD_NAME")</f>
        <v>Treasury - Vietnam Benchmark Bond 10Y</v>
      </c>
      <c r="E22" s="35" cm="1">
        <f t="array" ref="E22">IFERROR(_xll.FDS(C22,"FG_YIELD(0,,,,""YTM"")"),$E$26)</f>
        <v>2.4003994</v>
      </c>
      <c r="G22" s="35" cm="1">
        <f t="array" ref="G22">_xll.FDSB(C22,"PCTCHG(FG_YIELD(0,,,,""YTM""),FG_YIELD(-1AM,,,,""YTM""))")</f>
        <v>7.3488854999999997</v>
      </c>
      <c r="H22" s="35" cm="1">
        <f t="array" ref="H22">_xll.FDSB(C22,"PCTCHG(FG_YIELD(0,,,,""YTM""),FG_YIELD(-3AM,,,,""YTM""))")</f>
        <v>-2.9995924999999999</v>
      </c>
      <c r="I22" s="35"/>
      <c r="J22" s="35" t="str">
        <f>VLOOKUP(B22,mnemonics!$A$4:$D$73, 4, FALSE)</f>
        <v>REFVNDISC-FDS</v>
      </c>
      <c r="K22" s="35" t="str" cm="1">
        <f t="array" ref="K22">_xll.FDSB(J22,"PROPER_NAME(0,,,""SECURITY"",""NAME"")")</f>
        <v>Vietnam Discount Rate</v>
      </c>
      <c r="L22" s="35" cm="1">
        <f t="array" ref="L22">_xll.FDSB(J22,"FG_YIELD(NOW,,,0)")</f>
        <v>3</v>
      </c>
      <c r="M22" s="45" cm="1">
        <f t="array" ref="M22">_xll.FDSB(J22,"(SUBARRAY(NOT_NA(NO_REPEAT_F(FG_YIELD(now,-10AY,D))),0,1)-SUBARRAY(NOT_NA(NO_REPEAT_F(FG_YIELD(now,-10AY,D))),1,1))*100")</f>
        <v>-50</v>
      </c>
      <c r="N22" s="47">
        <f t="shared" si="0"/>
        <v>50</v>
      </c>
      <c r="S22">
        <f t="shared" si="3"/>
        <v>1</v>
      </c>
      <c r="T22">
        <f t="shared" si="4"/>
        <v>0</v>
      </c>
      <c r="U22">
        <f t="shared" si="5"/>
        <v>1</v>
      </c>
      <c r="V22" s="56">
        <f t="shared" si="6"/>
        <v>0.75</v>
      </c>
      <c r="X22">
        <f t="shared" si="2"/>
        <v>86.3</v>
      </c>
    </row>
    <row r="23" spans="1:24" x14ac:dyDescent="0.35">
      <c r="A23" t="s">
        <v>36</v>
      </c>
      <c r="B23" t="s">
        <v>129</v>
      </c>
      <c r="C23" t="s">
        <v>152</v>
      </c>
      <c r="D23" s="35" t="str" cm="1">
        <f t="array" ref="D23">_xll.FDSB(C23,"FG_YIELD_NAME")</f>
        <v>Treasury - SAUDI ARABIA Benchmark Bond 10Y</v>
      </c>
      <c r="E23" s="35" cm="1">
        <f t="array" ref="E23">IFERROR(_xll.FDS(C23,"FG_YIELD(0,,,,""YTM"")"),$E$26)</f>
        <v>5.126932</v>
      </c>
      <c r="G23" s="35" cm="1">
        <f t="array" ref="G23">_xll.FDSB(C23,"PCTCHG(FG_YIELD(0,,,,""YTM""),FG_YIELD(-1AM,,,,""YTM""))")</f>
        <v>-3.4418902</v>
      </c>
      <c r="H23" s="35" cm="1">
        <f t="array" ref="H23">_xll.FDSB(C23,"PCTCHG(FG_YIELD(0,,,,""YTM""),FG_YIELD(-3AM,,,,""YTM""))")</f>
        <v>8.3887509999999992</v>
      </c>
      <c r="I23" s="35"/>
      <c r="J23" s="35" t="str">
        <f>VLOOKUP(B23,mnemonics!$A$4:$D$73, 4, FALSE)</f>
        <v>REFSAREPO-FDS</v>
      </c>
      <c r="K23" s="35" t="str" cm="1">
        <f t="array" ref="K23">_xll.FDSB(J23,"PROPER_NAME(0,,,""SECURITY"",""NAME"")")</f>
        <v>Saudi Arabia Repo Rate</v>
      </c>
      <c r="L23" s="35" cm="1">
        <f t="array" ref="L23">_xll.FDSB(J23,"FG_YIELD(NOW,,,0)")</f>
        <v>6</v>
      </c>
      <c r="M23" s="45" cm="1">
        <f t="array" ref="M23">_xll.FDSB(J23,"(SUBARRAY(NOT_NA(NO_REPEAT_F(FG_YIELD(now,-10AY,D))),0,1)-SUBARRAY(NOT_NA(NO_REPEAT_F(FG_YIELD(now,-10AY,D))),1,1))*100")</f>
        <v>25</v>
      </c>
      <c r="N23" s="47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56">
        <f t="shared" si="6"/>
        <v>0.25</v>
      </c>
      <c r="X23">
        <f t="shared" si="2"/>
        <v>40.9</v>
      </c>
    </row>
    <row r="24" spans="1:24" x14ac:dyDescent="0.35">
      <c r="D24" s="35"/>
      <c r="E24" s="35"/>
      <c r="G24" s="35"/>
      <c r="H24" s="35"/>
      <c r="J24" s="35"/>
      <c r="K24" s="35"/>
      <c r="L24" s="35"/>
      <c r="M24" s="45"/>
      <c r="N24" s="47"/>
      <c r="V24" s="61"/>
    </row>
    <row r="25" spans="1:24" x14ac:dyDescent="0.35">
      <c r="D25" s="35"/>
      <c r="E25" s="35"/>
      <c r="G25" s="35"/>
      <c r="H25" s="35"/>
      <c r="J25" s="35"/>
      <c r="K25" s="35"/>
      <c r="L25" s="35"/>
      <c r="M25" s="45"/>
      <c r="N25" s="47"/>
      <c r="V25" s="61"/>
    </row>
    <row r="26" spans="1:24" x14ac:dyDescent="0.35">
      <c r="A26" t="s">
        <v>1</v>
      </c>
      <c r="B26" t="s">
        <v>123</v>
      </c>
      <c r="C26" t="s">
        <v>14</v>
      </c>
      <c r="D26" s="35" t="str" cm="1">
        <f t="array" ref="D26">_xll.FDSB(C26,"FG_YIELD_NAME")</f>
        <v>US Benchmark Bond - 10 Year</v>
      </c>
      <c r="E26" s="35" cm="1">
        <f t="array" ref="E26">IFERROR(_xll.FDS(C26,"FG_YIELD(0,,,,""YTM"")"),E55)</f>
        <v>4.2952000000000004</v>
      </c>
      <c r="G26" s="35"/>
      <c r="H26" s="35"/>
      <c r="J26" s="35"/>
      <c r="K26" s="35"/>
      <c r="L26" s="35"/>
      <c r="M26" s="45"/>
      <c r="N26" s="47"/>
      <c r="V26" s="61"/>
    </row>
    <row r="27" spans="1:24" x14ac:dyDescent="0.35">
      <c r="D27" s="35"/>
      <c r="E27" s="35"/>
      <c r="G27" s="35"/>
      <c r="H27" s="35"/>
      <c r="J27" s="35"/>
      <c r="K27" s="35"/>
      <c r="L27" s="35"/>
      <c r="M27" s="45"/>
      <c r="N27" s="47"/>
      <c r="V27" s="61"/>
    </row>
    <row r="28" spans="1:24" x14ac:dyDescent="0.35">
      <c r="D28" s="35"/>
      <c r="E28" s="35"/>
      <c r="G28" s="35"/>
      <c r="H28" s="35"/>
      <c r="J28" s="35"/>
      <c r="K28" s="35"/>
      <c r="L28" s="35"/>
      <c r="M28" s="45"/>
      <c r="N28" s="47"/>
      <c r="V28" s="61"/>
    </row>
    <row r="29" spans="1:24" x14ac:dyDescent="0.35">
      <c r="D29" s="35"/>
      <c r="E29" s="35"/>
      <c r="G29" s="35"/>
      <c r="H29" s="35"/>
      <c r="J29" s="35"/>
      <c r="K29" s="35"/>
      <c r="L29" s="35"/>
      <c r="M29" s="45"/>
      <c r="N29" s="47"/>
      <c r="V29" s="61"/>
    </row>
    <row r="30" spans="1:24" x14ac:dyDescent="0.35">
      <c r="D30" s="35"/>
      <c r="E30" s="35"/>
      <c r="G30" s="35"/>
      <c r="H30" s="35"/>
      <c r="J30" s="35"/>
      <c r="K30" s="35"/>
      <c r="L30" s="35"/>
      <c r="M30" s="45"/>
      <c r="N30" s="47"/>
      <c r="V30" s="61"/>
    </row>
    <row r="35" spans="1:8" ht="18.5" x14ac:dyDescent="0.45">
      <c r="A35" s="43"/>
      <c r="B35" s="44"/>
      <c r="C35" s="44"/>
      <c r="D35" s="44"/>
      <c r="E35" s="44"/>
      <c r="F35" s="44"/>
      <c r="G35" s="44"/>
      <c r="H35" s="44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90625" customWidth="1"/>
    <col min="2" max="2" width="5.6328125" bestFit="1" customWidth="1"/>
    <col min="3" max="3" width="12.08984375" bestFit="1" customWidth="1"/>
    <col min="4" max="4" width="14.36328125" customWidth="1"/>
    <col min="5" max="5" width="27.453125" bestFit="1" customWidth="1"/>
    <col min="6" max="6" width="17.36328125" customWidth="1"/>
    <col min="7" max="7" width="12" bestFit="1" customWidth="1"/>
    <col min="8" max="8" width="17.54296875" customWidth="1"/>
    <col min="9" max="9" width="26.90625" bestFit="1" customWidth="1"/>
    <col min="10" max="10" width="20.6328125" customWidth="1"/>
    <col min="11" max="11" width="17.90625" style="87" customWidth="1"/>
    <col min="12" max="13" width="15.08984375" customWidth="1"/>
    <col min="14" max="14" width="11.36328125" customWidth="1"/>
    <col min="15" max="15" width="20" customWidth="1"/>
    <col min="16" max="16" width="15.36328125" customWidth="1"/>
    <col min="17" max="17" width="17.453125" customWidth="1"/>
    <col min="18" max="18" width="14.08984375" customWidth="1"/>
    <col min="19" max="19" width="11.08984375" customWidth="1"/>
  </cols>
  <sheetData>
    <row r="1" spans="1:19" ht="29" x14ac:dyDescent="0.35">
      <c r="A1" s="84" t="s">
        <v>549</v>
      </c>
      <c r="B1" s="84" t="s">
        <v>534</v>
      </c>
      <c r="C1" s="84" t="s">
        <v>535</v>
      </c>
      <c r="D1" s="84" t="s">
        <v>100</v>
      </c>
      <c r="E1" s="84" t="s">
        <v>101</v>
      </c>
      <c r="F1" s="84" t="s">
        <v>102</v>
      </c>
      <c r="G1" s="88" t="s">
        <v>384</v>
      </c>
      <c r="H1" s="88" t="s">
        <v>415</v>
      </c>
      <c r="I1" s="88" t="s">
        <v>546</v>
      </c>
      <c r="J1" s="88" t="s">
        <v>550</v>
      </c>
      <c r="K1" s="89" t="s">
        <v>755</v>
      </c>
      <c r="L1" s="88" t="s">
        <v>545</v>
      </c>
      <c r="M1" s="88" t="s">
        <v>558</v>
      </c>
      <c r="N1" s="84" t="s">
        <v>753</v>
      </c>
      <c r="O1" s="84" t="s">
        <v>754</v>
      </c>
      <c r="P1" s="84" t="s">
        <v>756</v>
      </c>
      <c r="Q1" s="84" t="s">
        <v>551</v>
      </c>
      <c r="R1" s="84" t="s">
        <v>552</v>
      </c>
      <c r="S1" s="84" t="s">
        <v>560</v>
      </c>
    </row>
    <row r="2" spans="1:19" x14ac:dyDescent="0.35">
      <c r="A2" t="s">
        <v>437</v>
      </c>
      <c r="B2" t="s">
        <v>437</v>
      </c>
      <c r="C2" t="s">
        <v>440</v>
      </c>
      <c r="D2" t="s">
        <v>108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2.3624000000000001</v>
      </c>
      <c r="H2" cm="1">
        <f t="array" ref="H2">_xll.FDS(B2,"FG_ROE(0)")</f>
        <v>10.2308190147366</v>
      </c>
      <c r="I2">
        <f>HLOOKUP(B2,'Index ROE'!$B$1:$V$25,24,FALSE)</f>
        <v>13.110180178021199</v>
      </c>
      <c r="J2" cm="1">
        <f t="array" ref="J2">_xll.FDS(B2, "FMA_RBICS_REV_CURRENT(30, LOC, ""PORTAGG"")")</f>
        <v>20.588223136932399</v>
      </c>
      <c r="K2" s="87">
        <f>HLOOKUP(B2,'Index earnings'!$A$1:$V$26,26,FALSE)</f>
        <v>7.2170336830633008E-2</v>
      </c>
      <c r="L2">
        <f>HLOOKUP(B2,'Yearly returns'!$B$1:$V$128,126,FALSE)</f>
        <v>-28.125107</v>
      </c>
      <c r="M2">
        <f>I2-G2</f>
        <v>10.747780178021198</v>
      </c>
      <c r="N2" cm="1">
        <f t="array" ref="N2">_xlfn.PERCENTRANK.EXC(_xlfn._xlws.FILTER(M$2:M$22, ISNUMBER(M$2:M$22)),M2)*100</f>
        <v>86.3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81.8</v>
      </c>
      <c r="R2">
        <f>N2*Assumption!$F$63 + O2*Assumption!$F$60 + P2*Assumption!$F$61 + Q2*Assumption!$F$62</f>
        <v>85.2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441</v>
      </c>
      <c r="D3" t="s">
        <v>111</v>
      </c>
      <c r="E3" t="s">
        <v>112</v>
      </c>
      <c r="F3" t="str" cm="1">
        <f t="array" ref="F3">_xll.FDS(E3,"FG_YIELD_NAME")</f>
        <v>Treasury - Chile Inflation-Indexed (TIPS) Bond 10Y</v>
      </c>
      <c r="G3">
        <f>VLOOKUP(A3,'LIQIDITY 2'!$A$3:$E$26,5,FALSE)</f>
        <v>2.3310692</v>
      </c>
      <c r="H3" cm="1">
        <f t="array" ref="H3">_xll.FDS(B3,"FG_ROE(0)")</f>
        <v>11.7611076277606</v>
      </c>
      <c r="I3">
        <f>HLOOKUP(B3,'Index ROE'!$B$1:$V$25,24,FALSE)</f>
        <v>11.2778516938703</v>
      </c>
      <c r="J3" cm="1">
        <f t="array" ref="J3">_xll.FDS(B3, "FMA_RBICS_REV_CURRENT(30, LOC, ""PORTAGG"")")</f>
        <v>31.803252924792599</v>
      </c>
      <c r="K3" s="87">
        <f>HLOOKUP(B3,'Index earnings'!$A$1:$V$26,26,FALSE)</f>
        <v>3.8701923493088319E-2</v>
      </c>
      <c r="L3">
        <f>HLOOKUP(B3,'Yearly returns'!$B$1:$V$128,126,FALSE)</f>
        <v>-45.998233999999997</v>
      </c>
      <c r="M3">
        <f t="shared" ref="M3:M22" si="0">I3-G3</f>
        <v>8.9467824938703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27.200000000000003</v>
      </c>
      <c r="R3">
        <f>N3*Assumption!$F$63 + O3*Assumption!$F$60 + P3*Assumption!$F$61 + Q3*Assumption!$F$62</f>
        <v>53.375</v>
      </c>
      <c r="S3" cm="1">
        <f t="array" ref="S3">_xlfn.PERCENTRANK.EXC(_xlfn._xlws.FILTER(R$2:R$22, ISNUMBER(R$2:R$22)),R3)*100</f>
        <v>59</v>
      </c>
    </row>
    <row r="4" spans="1:19" x14ac:dyDescent="0.35">
      <c r="A4" t="s">
        <v>35</v>
      </c>
      <c r="B4" t="s">
        <v>35</v>
      </c>
      <c r="C4" t="s">
        <v>442</v>
      </c>
      <c r="D4" t="s">
        <v>128</v>
      </c>
      <c r="E4" t="s">
        <v>151</v>
      </c>
      <c r="F4" t="str" cm="1">
        <f t="array" ref="F4">_xll.FDS(E4,"FG_YIELD_NAME")</f>
        <v>Treasury - Indonesia Benchmark Bond 10Y</v>
      </c>
      <c r="G4">
        <f>VLOOKUP(A4,'LIQIDITY 2'!$A$3:$E$26,5,FALSE)</f>
        <v>6.6799590000000002</v>
      </c>
      <c r="H4" cm="1">
        <f t="array" ref="H4">_xll.FDS(B4,"FG_ROE(0)")</f>
        <v>12.781249225683601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58.420543425148203</v>
      </c>
      <c r="K4" s="87">
        <f>HLOOKUP(B4,'Index earnings'!$A$1:$V$26,26,FALSE)</f>
        <v>4.2935780370278342E-2</v>
      </c>
      <c r="L4">
        <f>HLOOKUP(B4,'Yearly returns'!$B$1:$V$128,126,FALSE)</f>
        <v>-37.395023000000002</v>
      </c>
      <c r="M4">
        <f t="shared" si="0"/>
        <v>8.9775585195826508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40.9</v>
      </c>
      <c r="R4">
        <f>N4*Assumption!$F$63 + O4*Assumption!$F$60 + P4*Assumption!$F$61 + Q4*Assumption!$F$62</f>
        <v>48.85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443</v>
      </c>
      <c r="D5" t="s">
        <v>121</v>
      </c>
      <c r="E5" t="s">
        <v>147</v>
      </c>
      <c r="F5" t="str" cm="1">
        <f t="array" ref="F5">_xll.FDS(E5,"FG_YIELD_NAME")</f>
        <v>Philippines Benchmark Bond - 10 Year</v>
      </c>
      <c r="G5">
        <f>VLOOKUP(A5,'LIQIDITY 2'!$A$3:$E$26,5,FALSE)</f>
        <v>6.1901364000000001</v>
      </c>
      <c r="H5" cm="1">
        <f t="array" ref="H5">_xll.FDS(B5,"FG_ROE(0)")</f>
        <v>11.6957635212623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47.200409865303101</v>
      </c>
      <c r="K5" s="87">
        <f>HLOOKUP(B5,'Index earnings'!$A$1:$V$26,26,FALSE)</f>
        <v>6.5968962399152176E-2</v>
      </c>
      <c r="L5">
        <f>HLOOKUP(B5,'Yearly returns'!$B$1:$V$128,126,FALSE)</f>
        <v>-29.196918</v>
      </c>
      <c r="M5">
        <f t="shared" si="0"/>
        <v>6.340688452807651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77.2</v>
      </c>
      <c r="R5">
        <f>N5*Assumption!$F$63 + O5*Assumption!$F$60 + P5*Assumption!$F$61 + Q5*Assumption!$F$62</f>
        <v>55.649999999999991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444</v>
      </c>
      <c r="D6" t="s">
        <v>104</v>
      </c>
      <c r="E6" t="s">
        <v>133</v>
      </c>
      <c r="F6" t="str" cm="1">
        <f t="array" ref="F6">_xll.FDS(E6,"FG_YIELD_NAME")</f>
        <v>Treasury - Poland Benchmark Bond 10Y</v>
      </c>
      <c r="G6">
        <f>VLOOKUP(A6,'LIQIDITY 2'!$A$3:$E$26,5,FALSE)</f>
        <v>5.4511000000000003</v>
      </c>
      <c r="H6" cm="1">
        <f t="array" ref="H6">_xll.FDS(B6,"FG_ROE(0)")</f>
        <v>14.1646306446821</v>
      </c>
      <c r="I6">
        <f>HLOOKUP(B6,'Index ROE'!$B$1:$V$25,24,FALSE)</f>
        <v>10.013481596831063</v>
      </c>
      <c r="J6" cm="1">
        <f t="array" ref="J6">_xll.FDS(B6, "FMA_RBICS_REV_CURRENT(30, LOC, ""PORTAGG"")")</f>
        <v>48.900793152445303</v>
      </c>
      <c r="K6" s="87">
        <f>HLOOKUP(B6,'Index earnings'!$A$1:$V$26,26,FALSE)</f>
        <v>3.6620331475524681E-2</v>
      </c>
      <c r="L6">
        <f>HLOOKUP(B6,'Yearly returns'!$B$1:$V$128,126,FALSE)</f>
        <v>-53.238430000000001</v>
      </c>
      <c r="M6">
        <f t="shared" si="0"/>
        <v>4.562381596831063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9</v>
      </c>
      <c r="R6">
        <f>N6*Assumption!$F$63 + O6*Assumption!$F$60 + P6*Assumption!$F$61 + Q6*Assumption!$F$62</f>
        <v>27.25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445</v>
      </c>
      <c r="D7" t="s">
        <v>116</v>
      </c>
      <c r="E7" t="s">
        <v>141</v>
      </c>
      <c r="F7" t="str" cm="1">
        <f t="array" ref="F7">_xll.FDS(E7,"FG_YIELD_NAME")</f>
        <v>Treasury - Peru Benchmark Bond 10Y</v>
      </c>
      <c r="G7">
        <f>VLOOKUP(A7,'LIQIDITY 2'!$A$3:$E$26,5,FALSE)</f>
        <v>6.9972880000000002</v>
      </c>
      <c r="H7" cm="1">
        <f t="array" ref="H7">_xll.FDS(B7,"FG_ROE(0)")</f>
        <v>9.7487853223763903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87">
        <f>HLOOKUP(B7,'Index earnings'!$A$1:$V$26,26,FALSE)</f>
        <v>1.6222353544926627E-2</v>
      </c>
      <c r="L7">
        <f>HLOOKUP(B7,'Yearly returns'!$B$1:$V$128,126,FALSE)</f>
        <v>-37.070520000000002</v>
      </c>
      <c r="M7">
        <f t="shared" si="0"/>
        <v>5.935159367368299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50</v>
      </c>
      <c r="R7">
        <f>N7*Assumption!$F$63 + O7*Assumption!$F$60 + P7*Assumption!$F$61 + Q7*Assumption!$F$62</f>
        <v>40.9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446</v>
      </c>
      <c r="D8" t="s">
        <v>126</v>
      </c>
      <c r="E8" t="s">
        <v>149</v>
      </c>
      <c r="F8" t="str" cm="1">
        <f t="array" ref="F8">_xll.FDS(E8,"FG_YIELD_NAME")</f>
        <v>Treasury - Malaysia Benchmark Bond 10Y</v>
      </c>
      <c r="G8">
        <f>VLOOKUP(A8,'LIQIDITY 2'!$A$3:$E$26,5,FALSE)</f>
        <v>3.8594140000000001</v>
      </c>
      <c r="H8" cm="1">
        <f t="array" ref="H8">_xll.FDS(B8,"FG_ROE(0)")</f>
        <v>7.8154654274803503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87">
        <f>HLOOKUP(B8,'Index earnings'!$A$1:$V$26,26,FALSE)</f>
        <v>2.5436062820705096E-2</v>
      </c>
      <c r="L8">
        <f>HLOOKUP(B8,'Yearly returns'!$B$1:$V$128,126,FALSE)</f>
        <v>-33.661430000000003</v>
      </c>
      <c r="M8">
        <f t="shared" si="0"/>
        <v>8.0797944999199487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N8*Assumption!$F$63 + O8*Assumption!$F$60 + P8*Assumption!$F$61 + Q8*Assumption!$F$62</f>
        <v>53.375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107</v>
      </c>
      <c r="E9" t="s">
        <v>135</v>
      </c>
      <c r="F9" t="str" cm="1">
        <f t="array" ref="F9">_xll.FDS(E9,"FG_YIELD_NAME")</f>
        <v>Taiwan China Benchmark Bond - 10 Year</v>
      </c>
      <c r="G9">
        <f>VLOOKUP(A9,'LIQIDITY 2'!$A$3:$E$26,5,FALSE)</f>
        <v>1.2084999999999999</v>
      </c>
      <c r="H9" cm="1">
        <f t="array" ref="H9">_xll.FDS(B9,"FG_ROE(0)")</f>
        <v>9.4193612929507697</v>
      </c>
      <c r="I9">
        <f>HLOOKUP(B9,'Index ROE'!$B$1:$V$25,24,FALSE)</f>
        <v>12.14902034365935</v>
      </c>
      <c r="J9" cm="1">
        <f t="array" ref="J9">_xll.FDS(B9, "FMA_RBICS_REV_CURRENT(30, LOC, ""PORTAGG"")")</f>
        <v>17.806674187340199</v>
      </c>
      <c r="K9" s="87">
        <f>HLOOKUP(B9,'Index earnings'!$A$1:$V$26,26,FALSE)</f>
        <v>3.7641291584214587E-2</v>
      </c>
      <c r="L9">
        <f>HLOOKUP(B9,'Yearly returns'!$B$1:$V$128,126,FALSE)</f>
        <v>-29.818594000000001</v>
      </c>
      <c r="M9">
        <f t="shared" si="0"/>
        <v>10.940520343659351</v>
      </c>
      <c r="N9" cm="1">
        <f t="array" ref="N9">_xlfn.PERCENTRANK.EXC(_xlfn._xlws.FILTER(M$2:M$22, ISNUMBER(M$2:M$22)),M9)*100</f>
        <v>90.9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N9*Assumption!$F$63 + O9*Assumption!$F$60 + P9*Assumption!$F$61 + Q9*Assumption!$F$62</f>
        <v>78.400000000000006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125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9.2597000000000005</v>
      </c>
      <c r="H10" cm="1">
        <f t="array" ref="H10">_xll.FDS(B10,"FG_ROE(0)")</f>
        <v>12.9402832515893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29.596557345691298</v>
      </c>
      <c r="K10" s="87">
        <f>HLOOKUP(B10,'Index earnings'!$A$1:$V$26,26,FALSE)</f>
        <v>5.7936521393984641E-2</v>
      </c>
      <c r="L10">
        <f>HLOOKUP(B10,'Yearly returns'!$B$1:$V$128,126,FALSE)</f>
        <v>-36.348362000000002</v>
      </c>
      <c r="M10">
        <f t="shared" si="0"/>
        <v>3.5209466906938491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N10*Assumption!$F$63 + O10*Assumption!$F$60 + P10*Assumption!$F$61 + Q10*Assumption!$F$62</f>
        <v>49.974999999999994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105</v>
      </c>
      <c r="E11" t="s">
        <v>134</v>
      </c>
      <c r="F11" t="str" cm="1">
        <f t="array" ref="F11">_xll.FDS(E11,"FG_YIELD_NAME")</f>
        <v>South Korea Benchmark Bond - 10 Year</v>
      </c>
      <c r="G11">
        <f>VLOOKUP(A11,'LIQIDITY 2'!$A$3:$E$26,5,FALSE)</f>
        <v>3.3552</v>
      </c>
      <c r="H11" cm="1">
        <f t="array" ref="H11">_xll.FDS(B11,"FG_ROE(0)")</f>
        <v>5.3263483513605197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14.9507954284131</v>
      </c>
      <c r="K11" s="87">
        <f>HLOOKUP(B11,'Index earnings'!$A$1:$V$26,26,FALSE)</f>
        <v>2.4555473735398126E-2</v>
      </c>
      <c r="L11">
        <f>HLOOKUP(B11,'Yearly returns'!$B$1:$V$128,126,FALSE)</f>
        <v>-37.547910000000002</v>
      </c>
      <c r="M11">
        <f t="shared" si="0"/>
        <v>7.3162273158520499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36.299999999999997</v>
      </c>
      <c r="R11">
        <f>N11*Assumption!$F$63 + O11*Assumption!$F$60 + P11*Assumption!$F$61 + Q11*Assumption!$F$62</f>
        <v>56.8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131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11.068383000000001</v>
      </c>
      <c r="H12" cm="1">
        <f t="array" ref="H12">_xll.FDS(B12,"FG_ROE(0)")</f>
        <v>19.511895661505601</v>
      </c>
      <c r="I12">
        <f>HLOOKUP(B12,'Index ROE'!$B$1:$V$25,24,FALSE)</f>
        <v>14.78925912646825</v>
      </c>
      <c r="J12" cm="1">
        <f t="array" ref="J12">_xll.FDS(B12, "FMA_RBICS_REV_CURRENT(30, LOC, ""PORTAGG"")")</f>
        <v>26.781739272811699</v>
      </c>
      <c r="K12" s="87">
        <f>HLOOKUP(B12,'Index earnings'!$A$1:$V$26,26,FALSE)</f>
        <v>2.0712912903765535E-2</v>
      </c>
      <c r="L12">
        <f>HLOOKUP(B12,'Yearly returns'!$B$1:$V$128,126,FALSE)</f>
        <v>-48.745365</v>
      </c>
      <c r="M12">
        <f t="shared" si="0"/>
        <v>3.7208761264682497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N12*Assumption!$F$63 + O12*Assumption!$F$60 + P12*Assumption!$F$61 + Q12*Assumption!$F$62</f>
        <v>35.174999999999997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447</v>
      </c>
      <c r="D13" t="s">
        <v>103</v>
      </c>
      <c r="E13" t="s">
        <v>132</v>
      </c>
      <c r="F13" t="str" cm="1">
        <f t="array" ref="F13">_xll.FDS(E13,"FG_YIELD_NAME")</f>
        <v>South Africa Benchmark Bond - 10 Year</v>
      </c>
      <c r="G13">
        <f>VLOOKUP(A13,'LIQIDITY 2'!$A$3:$E$26,5,FALSE)</f>
        <v>11.961627</v>
      </c>
      <c r="H13" cm="1">
        <f t="array" ref="H13">_xll.FDS(B13,"FG_ROE(0)")</f>
        <v>15.583117588679499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43.909796179783001</v>
      </c>
      <c r="K13" s="87">
        <f>HLOOKUP(B13,'Index earnings'!$A$1:$V$26,26,FALSE)</f>
        <v>2.3789114726455285E-2</v>
      </c>
      <c r="L13">
        <f>HLOOKUP(B13,'Yearly returns'!$B$1:$V$128,126,FALSE)</f>
        <v>-37.349353999999998</v>
      </c>
      <c r="M13">
        <f t="shared" si="0"/>
        <v>4.8000590731518002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45.4</v>
      </c>
      <c r="R13">
        <f>N13*Assumption!$F$63 + O13*Assumption!$F$60 + P13*Assumption!$F$61 + Q13*Assumption!$F$62</f>
        <v>38.625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448</v>
      </c>
      <c r="D14" t="s">
        <v>115</v>
      </c>
      <c r="E14" t="s">
        <v>140</v>
      </c>
      <c r="F14" t="str" cm="1">
        <f t="array" ref="F14">_xll.FDS(E14,"FG_YIELD_NAME")</f>
        <v>Greece Benchmark Bond - 10 Year</v>
      </c>
      <c r="G14">
        <f>VLOOKUP(A14,'LIQIDITY 2'!$A$3:$E$26,5,FALSE)</f>
        <v>3.331</v>
      </c>
      <c r="H14" cm="1">
        <f t="array" ref="H14">_xll.FDS(B14,"FG_ROE(0)")</f>
        <v>14.2253430731432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87">
        <f>HLOOKUP(B14,'Index earnings'!$A$1:$V$26,26,FALSE)</f>
        <v>-9.9977006807554725E-2</v>
      </c>
      <c r="L14">
        <f>HLOOKUP(B14,'Yearly returns'!$B$1:$V$128,126,FALSE)</f>
        <v>-55.816504999999999</v>
      </c>
      <c r="M14">
        <f t="shared" si="0"/>
        <v>2.0882242708958745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N14*Assumption!$F$63 + O14*Assumption!$F$60 + P14*Assumption!$F$61 + Q14*Assumption!$F$62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122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7.0410000000000004</v>
      </c>
      <c r="H15" cm="1">
        <f t="array" ref="H15">_xll.FDS(B15,"FG_ROE(0)")</f>
        <v>16.032227018564999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29.408504554072699</v>
      </c>
      <c r="K15" s="87">
        <f>HLOOKUP(B15,'Index earnings'!$A$1:$V$26,26,FALSE)</f>
        <v>6.0148800928877089E-2</v>
      </c>
      <c r="L15">
        <f>HLOOKUP(B15,'Yearly returns'!$B$1:$V$128,126,FALSE)</f>
        <v>-25.905591999999999</v>
      </c>
      <c r="M15">
        <f t="shared" si="0"/>
        <v>8.4221363405347986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90.9</v>
      </c>
      <c r="R15">
        <f>N15*Assumption!$F$63 + O15*Assumption!$F$60 + P15*Assumption!$F$61 + Q15*Assumption!$F$62</f>
        <v>73.849999999999994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108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2.3624000000000001</v>
      </c>
      <c r="H16" cm="1">
        <f t="array" ref="H16">_xll.FDS(B16,"FG_ROE(0)")</f>
        <v>11.3933441419936</v>
      </c>
      <c r="I16">
        <f>HLOOKUP(B16,'Index ROE'!$B$1:$V$25,24,FALSE)</f>
        <v>12.8854801395228</v>
      </c>
      <c r="J16" cm="1">
        <f t="array" ref="J16">_xll.FDS(B16, "FMA_RBICS_REV_CURRENT(30, LOC, ""PORTAGG"")")</f>
        <v>23.346558114115499</v>
      </c>
      <c r="K16" s="87">
        <f>HLOOKUP(B16,'Index earnings'!$A$1:$V$26,26,FALSE)</f>
        <v>7.2170336830633008E-2</v>
      </c>
      <c r="L16">
        <f>HLOOKUP(B16,'Yearly returns'!$B$1:$V$128,126,FALSE)</f>
        <v>-45.585175</v>
      </c>
      <c r="M16">
        <f t="shared" si="0"/>
        <v>10.523080139522801</v>
      </c>
      <c r="N16" cm="1">
        <f t="array" ref="N16">_xlfn.PERCENTRANK.EXC(_xlfn._xlws.FILTER(M$2:M$22, ISNUMBER(M$2:M$22)),M16)*100</f>
        <v>81.8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N16*Assumption!$F$63 + O16*Assumption!$F$60 + P16*Assumption!$F$61 + Q16*Assumption!$F$62</f>
        <v>69.3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449</v>
      </c>
      <c r="D17" t="s">
        <v>124</v>
      </c>
      <c r="E17" t="s">
        <v>148</v>
      </c>
      <c r="F17" t="str" cm="1">
        <f t="array" ref="F17">_xll.FDS(E17,"FG_YIELD_NAME")</f>
        <v>Treasury - Qatar Benchmark Bond 10Y</v>
      </c>
      <c r="G17">
        <f>VLOOKUP(A17,'LIQIDITY 2'!$A$3:$E$26,5,FALSE)</f>
        <v>4.2952000000000004</v>
      </c>
      <c r="H17" cm="1">
        <f t="array" ref="H17">_xll.FDS(B17,"FG_ROE(0)")</f>
        <v>10.397708100614301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59.463029389193302</v>
      </c>
      <c r="K17" s="87">
        <f>HLOOKUP(B17,'Index earnings'!$A$1:$V$26,26,FALSE)</f>
        <v>8.8740466700483189E-3</v>
      </c>
      <c r="L17">
        <f>HLOOKUP(B17,'Yearly returns'!$B$1:$V$128,126,FALSE)</f>
        <v>-24.929165000000001</v>
      </c>
      <c r="M17">
        <f t="shared" si="0"/>
        <v>7.9739660411161006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N17*Assumption!$F$63 + O17*Assumption!$F$60 + P17*Assumption!$F$61 + Q17*Assumption!$F$62</f>
        <v>45.424999999999997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764</v>
      </c>
      <c r="B18" t="s">
        <v>764</v>
      </c>
      <c r="C18" t="s">
        <v>765</v>
      </c>
      <c r="D18" t="s">
        <v>224</v>
      </c>
      <c r="E18" t="s">
        <v>458</v>
      </c>
      <c r="F18" t="str" cm="1">
        <f t="array" ref="F18">_xll.FDS(E18,"FG_YIELD_NAME")</f>
        <v>Thailand Benchmark Bond - 10 Year</v>
      </c>
      <c r="G18">
        <f>VLOOKUP(A18,'LIQIDITY 2'!$A$3:$E$26,5,FALSE)</f>
        <v>2.5194540000000001</v>
      </c>
      <c r="H18" cm="1">
        <f t="array" ref="H18">_xll.FDS(B18,"FG_ROE(0)")</f>
        <v>7.9187471541076198</v>
      </c>
      <c r="I18">
        <f>HLOOKUP(B18,'Index ROE'!$B$1:$V$25,24,FALSE)</f>
        <v>13.0025654489041</v>
      </c>
      <c r="J18" cm="1">
        <f t="array" ref="J18">_xll.FDS(B18, "FMA_RBICS_REV_CURRENT(30, LOC, ""PORTAGG"")")</f>
        <v>24.0678590465577</v>
      </c>
      <c r="K18" s="87">
        <f>HLOOKUP(B18,'Index earnings'!$A$1:$V$26,26,FALSE)</f>
        <v>1.2617007680752579E-2</v>
      </c>
      <c r="L18">
        <f>HLOOKUP(B18,'Yearly returns'!$B$1:$V$128,126,FALSE)</f>
        <v>-31.150167</v>
      </c>
      <c r="M18">
        <f t="shared" si="0"/>
        <v>10.483111448904101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N18*Assumption!$F$63 + O18*Assumption!$F$60 + P18*Assumption!$F$61 + Q18*Assumption!$F$62</f>
        <v>61.325000000000003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451</v>
      </c>
      <c r="D19" t="s">
        <v>109</v>
      </c>
      <c r="E19" t="s">
        <v>136</v>
      </c>
      <c r="F19" t="str" cm="1">
        <f t="array" ref="F19">_xll.FDS(E19,"FG_YIELD_NAME")</f>
        <v>Treasury - Turkey Benchmark Bond 7Y</v>
      </c>
      <c r="G19">
        <f>VLOOKUP(A19,'LIQIDITY 2'!$A$3:$E$26,5,FALSE)</f>
        <v>24.216915</v>
      </c>
      <c r="H19" cm="1">
        <f t="array" ref="H19">_xll.FDS(B19,"FG_ROE(0)")</f>
        <v>27.9573620222377</v>
      </c>
      <c r="I19">
        <f>HLOOKUP(B19,'Index ROE'!$B$1:$V$25,24,FALSE)</f>
        <v>14.8344890006952</v>
      </c>
      <c r="J19" cm="1">
        <f t="array" ref="J19">_xll.FDS(B19, "FMA_RBICS_REV_CURRENT(30, LOC, ""PORTAGG"")")</f>
        <v>20.600431473411501</v>
      </c>
      <c r="K19" s="87">
        <f>HLOOKUP(B19,'Index earnings'!$A$1:$V$26,26,FALSE)</f>
        <v>8.2005714106922367E-2</v>
      </c>
      <c r="L19">
        <f>HLOOKUP(B19,'Yearly returns'!$B$1:$V$128,126,FALSE)</f>
        <v>-51.196089999999998</v>
      </c>
      <c r="M19">
        <f t="shared" si="0"/>
        <v>-9.3824259993048003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N19*Assumption!$F$63 + O19*Assumption!$F$60 + P19*Assumption!$F$61 + Q19*Assumption!$F$62</f>
        <v>48.849999999999994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452</v>
      </c>
      <c r="D20" t="s">
        <v>127</v>
      </c>
      <c r="E20" t="s">
        <v>150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4.2952000000000004</v>
      </c>
      <c r="H20" cm="1">
        <f t="array" ref="H20">_xll.FDS(B20,"FG_ROE(0)")</f>
        <v>12.5396579344145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59.591528020160403</v>
      </c>
      <c r="K20" s="87">
        <f>HLOOKUP(B20,'Index earnings'!$A$1:$V$26,26,FALSE)</f>
        <v>8.339597081139738E-3</v>
      </c>
      <c r="L20">
        <f>HLOOKUP(B20,'Yearly returns'!$B$1:$V$128,126,FALSE)</f>
        <v>-31.462741999999999</v>
      </c>
      <c r="M20">
        <f t="shared" si="0"/>
        <v>6.8611704946737495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N20*Assumption!$F$63 + O20*Assumption!$F$60 + P20*Assumption!$F$61 + Q20*Assumption!$F$62</f>
        <v>31.799999999999997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453</v>
      </c>
      <c r="D21" t="s">
        <v>130</v>
      </c>
      <c r="E21" t="s">
        <v>153</v>
      </c>
      <c r="F21" t="str" cm="1">
        <f t="array" ref="F21">_xll.FDS(E21,"FG_YIELD_NAME")</f>
        <v>Treasury - Vietnam Benchmark Bond 10Y</v>
      </c>
      <c r="G21">
        <f>VLOOKUP(A21,'LIQIDITY 2'!$A$3:$E$26,5,FALSE)</f>
        <v>2.4003994</v>
      </c>
      <c r="H21" cm="1">
        <f t="array" ref="H21">_xll.FDS(B21,"FG_ROE(0)")</f>
        <v>8.9253696530718294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55.231368279198001</v>
      </c>
      <c r="K21" s="87">
        <f>HLOOKUP(B21,'Index earnings'!$A$1:$V$26,26,FALSE)</f>
        <v>-4.4922819308067519E-2</v>
      </c>
      <c r="L21">
        <f>HLOOKUP(B21,'Yearly returns'!$B$1:$V$128,126,FALSE)</f>
        <v>-46.910899999999998</v>
      </c>
      <c r="M21">
        <f t="shared" si="0"/>
        <v>12.709327385561501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N21*Assumption!$F$63 + O21*Assumption!$F$60 + P21*Assumption!$F$61 + Q21*Assumption!$F$62</f>
        <v>36.324999999999996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454</v>
      </c>
      <c r="D22" t="s">
        <v>129</v>
      </c>
      <c r="E22" t="s">
        <v>152</v>
      </c>
      <c r="F22" t="str" cm="1">
        <f t="array" ref="F22">_xll.FDS(E22,"FG_YIELD_NAME")</f>
        <v>Treasury - SAUDI ARABIA Benchmark Bond 10Y</v>
      </c>
      <c r="G22">
        <f>VLOOKUP(A22,'LIQIDITY 2'!$A$3:$E$26,5,FALSE)</f>
        <v>5.126932</v>
      </c>
      <c r="H22" cm="1">
        <f t="array" ref="H22">_xll.FDS(B22,"FG_ROE(0)")</f>
        <v>10.1228399051808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44.542936755423497</v>
      </c>
      <c r="K22" s="87">
        <f>HLOOKUP(B22,'Index earnings'!$A$1:$V$26,26,FALSE)</f>
        <v>-1.6026075350590196E-2</v>
      </c>
      <c r="L22">
        <f>HLOOKUP(B22,'Yearly returns'!$B$1:$V$128,126,FALSE)</f>
        <v>-27.752220000000001</v>
      </c>
      <c r="M22">
        <f t="shared" si="0"/>
        <v>6.8698533551854002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N22*Assumption!$F$63 + O22*Assumption!$F$60 + P22*Assumption!$F$61 + Q22*Assumption!$F$62</f>
        <v>45.424999999999997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69"/>
  <sheetViews>
    <sheetView zoomScaleNormal="100" workbookViewId="0">
      <pane xSplit="1" topLeftCell="T1" activePane="topRight" state="frozen"/>
      <selection pane="topRight" activeCell="AM3" sqref="AM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90625" customWidth="1"/>
    <col min="6" max="6" width="11.36328125" customWidth="1"/>
    <col min="7" max="7" width="10" customWidth="1"/>
    <col min="8" max="8" width="9.36328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08984375" customWidth="1"/>
    <col min="14" max="14" width="0.36328125" customWidth="1"/>
    <col min="15" max="15" width="15.6328125" bestFit="1" customWidth="1"/>
    <col min="16" max="16" width="15.36328125" customWidth="1"/>
    <col min="17" max="17" width="18.453125" customWidth="1"/>
    <col min="18" max="18" width="17.08984375" customWidth="1"/>
    <col min="19" max="19" width="6.54296875" customWidth="1"/>
    <col min="20" max="21" width="17.54296875" customWidth="1"/>
    <col min="22" max="22" width="18.90625" customWidth="1"/>
    <col min="23" max="23" width="13.36328125" customWidth="1"/>
    <col min="24" max="24" width="13" customWidth="1"/>
    <col min="25" max="25" width="13.453125" customWidth="1"/>
    <col min="26" max="26" width="13" customWidth="1"/>
    <col min="27" max="27" width="12.08984375" customWidth="1"/>
    <col min="28" max="28" width="11.453125" customWidth="1"/>
    <col min="29" max="31" width="13.6328125" customWidth="1"/>
    <col min="32" max="32" width="10.36328125" customWidth="1"/>
    <col min="33" max="33" width="7" customWidth="1"/>
    <col min="34" max="34" width="9.6328125" customWidth="1"/>
  </cols>
  <sheetData>
    <row r="1" spans="1:37" ht="62.25" customHeight="1" thickBot="1" x14ac:dyDescent="0.4">
      <c r="C1" t="s">
        <v>0</v>
      </c>
      <c r="D1" s="60" t="s">
        <v>913</v>
      </c>
      <c r="E1" s="84" t="s">
        <v>914</v>
      </c>
      <c r="F1" s="84" t="s">
        <v>16</v>
      </c>
      <c r="G1" s="84" t="s">
        <v>68</v>
      </c>
      <c r="H1" s="84" t="s">
        <v>63</v>
      </c>
      <c r="I1" s="84" t="s">
        <v>71</v>
      </c>
      <c r="J1" s="84" t="s">
        <v>79</v>
      </c>
      <c r="K1" t="s">
        <v>70</v>
      </c>
      <c r="L1" t="s">
        <v>396</v>
      </c>
      <c r="M1" t="s">
        <v>397</v>
      </c>
      <c r="O1" t="s">
        <v>4</v>
      </c>
      <c r="P1" t="s">
        <v>5</v>
      </c>
      <c r="Q1" t="s">
        <v>9</v>
      </c>
      <c r="R1" t="s">
        <v>517</v>
      </c>
      <c r="T1" t="s">
        <v>522</v>
      </c>
      <c r="U1" t="s">
        <v>523</v>
      </c>
      <c r="V1" t="s">
        <v>518</v>
      </c>
      <c r="W1" t="s">
        <v>4</v>
      </c>
      <c r="X1" t="s">
        <v>73</v>
      </c>
      <c r="Y1" t="s">
        <v>74</v>
      </c>
      <c r="Z1" t="s">
        <v>77</v>
      </c>
      <c r="AA1" t="s">
        <v>78</v>
      </c>
      <c r="AB1" t="s">
        <v>79</v>
      </c>
      <c r="AC1" t="s">
        <v>398</v>
      </c>
      <c r="AD1" t="s">
        <v>399</v>
      </c>
      <c r="AE1" s="84" t="s">
        <v>915</v>
      </c>
      <c r="AH1" s="1" t="s">
        <v>87</v>
      </c>
      <c r="AI1" t="s">
        <v>88</v>
      </c>
    </row>
    <row r="2" spans="1:37" s="30" customFormat="1" ht="15" thickBot="1" x14ac:dyDescent="0.4">
      <c r="A2" s="29"/>
      <c r="U2" s="31">
        <f>Assumption!E24</f>
        <v>0</v>
      </c>
      <c r="V2" s="31">
        <f>Assumption!E12</f>
        <v>0.4</v>
      </c>
      <c r="W2" s="31">
        <f>Assumption!F12</f>
        <v>0.3</v>
      </c>
      <c r="X2" s="31">
        <f>Assumption!G12</f>
        <v>0.3</v>
      </c>
      <c r="Z2" s="30">
        <f>Assumption!E20</f>
        <v>0</v>
      </c>
      <c r="AA2" s="31">
        <f>Assumption!G16</f>
        <v>0</v>
      </c>
      <c r="AB2" s="31">
        <f>Assumption!H16</f>
        <v>0</v>
      </c>
      <c r="AC2" s="31">
        <f>Assumption!E16</f>
        <v>0</v>
      </c>
      <c r="AD2" s="31">
        <f>Assumption!F16</f>
        <v>0</v>
      </c>
      <c r="AE2" s="31">
        <f>Assumption!E29</f>
        <v>0.2</v>
      </c>
      <c r="AF2" s="31">
        <f>SUM(V2:AD2)</f>
        <v>1</v>
      </c>
    </row>
    <row r="3" spans="1:37" x14ac:dyDescent="0.35">
      <c r="A3" t="s">
        <v>437</v>
      </c>
      <c r="B3" t="s">
        <v>440</v>
      </c>
      <c r="C3" t="s">
        <v>437</v>
      </c>
      <c r="D3" s="163">
        <f>VLOOKUP(C3,'Market Capitalisation'!$C$2:$G$31,5,FALSE)</f>
        <v>7704829</v>
      </c>
      <c r="E3" cm="1">
        <f t="array" ref="E3">_xll.FDS(C3,"FMA_COS_UP(""EPS"",""1M"",+1,NOW,,,""PORTAGG"",""MEANR"")")</f>
        <v>70</v>
      </c>
      <c r="F3" cm="1">
        <f t="array" ref="F3">_xll.FDS(C3,"FMA_COS_DOWN(""EPS"",""1M"",+1,NOW,,,""PORTAGG"",""MEANR"")")</f>
        <v>164</v>
      </c>
      <c r="G3" cm="1">
        <f t="array" ref="G3">_xll.FDS(A3,"SIZE(FG_CONSTITUENTS)")</f>
        <v>519</v>
      </c>
      <c r="H3" s="9">
        <f t="shared" ref="H3:H23" si="0">E3/$G3</f>
        <v>0.13487475915221581</v>
      </c>
      <c r="I3" s="9">
        <f t="shared" ref="I3:I23" si="1">F3/$G3</f>
        <v>0.31599229287090558</v>
      </c>
      <c r="J3" s="9">
        <f t="shared" ref="J3:J23" si="2">H3-I3</f>
        <v>-0.18111753371868977</v>
      </c>
      <c r="K3" s="5" cm="1">
        <f t="array" ref="K3">_xll.FDS(A3,"FMA_PCT_ABOVE_MAVG(200,0,,,,""PORTAGG"")")/100</f>
        <v>0.41425818882466303</v>
      </c>
      <c r="L3" s="50" cm="1">
        <f t="array" ref="L3">_xll.FDSB(A3,"PERCENT_CHANGE(FMA_EPS(+1,0,,,,""PORTAGG"",""MEAN""),FMA_EPS(+1,-1AM,,,,""PORTAGG"",""MEAN""))")</f>
        <v>-0.54377419068711796</v>
      </c>
      <c r="M3" s="50" cm="1">
        <f t="array" ref="M3">_xll.FDSB(A3,"PERCENT_CHANGE(FMA_EPS(+1,0,,,,""PORTAGG"",""MEAN""),FMA_EPS(+1,-3AM,,,,""PORTAGG"",""MEAN""))")</f>
        <v>-8.0578005824647896</v>
      </c>
      <c r="O3" s="3" cm="1">
        <f t="array" ref="O3">_xll.FDS(C3,"FG_TOTAL_RETURNC(0,-3AM)")</f>
        <v>3.2464862000000001</v>
      </c>
      <c r="P3" s="3" cm="1">
        <f t="array" ref="P3">_xll.FDS(C3,"FG_TOTAL_RETURNC(0,-6AM)")</f>
        <v>-3.2710910000000002</v>
      </c>
      <c r="Q3" s="9" cm="1">
        <f t="array" ref="Q3">_xll.FDS(C3,"P_PRICE(0)/P_PRICE_HIGH_PR(0,,,USD,,,""PRICE"",""INTRA"",""52W"")")</f>
        <v>0.78701940000000004</v>
      </c>
      <c r="R3" s="9" cm="1">
        <f t="array" ref="R3">_xll.FDS(C3,"P_PRICE(0)/P_PRICE_low_PR(0,,,USD,,,""PRICE"",""INTRA"",""52W"")-1")</f>
        <v>0.14652622000000001</v>
      </c>
      <c r="T3" s="4" cm="1">
        <f t="array" ref="T3">_xlfn.PERCENTRANK.EXC(_xlfn._xlws.FILTER($R$3:$R$23, ISNUMBER($R$3:$R$23)),R3)*100</f>
        <v>27.200000000000003</v>
      </c>
      <c r="U3" s="4">
        <f t="shared" ref="U3:U23" si="3">100-T3</f>
        <v>72.8</v>
      </c>
      <c r="V3" s="4" cm="1">
        <f t="array" ref="V3">_xlfn.PERCENTRANK.EXC(_xlfn._xlws.FILTER($Q$3:$Q$23, ISNUMBER($Q$3:$Q$23)),Q3)*100</f>
        <v>4.5</v>
      </c>
      <c r="W3" s="4" cm="1">
        <f t="array" ref="W3">_xlfn.PERCENTRANK.EXC(_xlfn._xlws.FILTER($O$3:$O$23, ISNUMBER($O$3:$O$23)),O3)*100</f>
        <v>40.9</v>
      </c>
      <c r="X3" s="4" cm="1">
        <f t="array" ref="X3">_xlfn.PERCENTRANK.EXC(_xlfn._xlws.FILTER($P$3:$P$23, ISNUMBER($P$3:$P$23)),P3)*100</f>
        <v>27.200000000000003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13.600000000000001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36.299999999999997</v>
      </c>
      <c r="AD3" s="4">
        <f t="shared" ref="AD3:AD23" si="5">_xlfn.PERCENTRANK.EXC($M$3:$M$23,M3)*100</f>
        <v>13.600000000000001</v>
      </c>
      <c r="AE3" s="4">
        <f t="shared" ref="AE3:AE23" si="6">_xlfn.PERCENTRANK.EXC($D$3:$D$23,D3)*100</f>
        <v>90.9</v>
      </c>
      <c r="AF3" s="4">
        <f>SUMPRODUCT($U$2:$AE$2,U3:AE3)</f>
        <v>40.410000000000004</v>
      </c>
      <c r="AH3" s="3" cm="1">
        <f t="array" ref="AH3">_xlfn.PERCENTRANK.EXC(_xlfn._xlws.FILTER($AF$3:$AF$23, ISNUMBER($AF$3:$AF$23)),AF3)*100</f>
        <v>27.200000000000003</v>
      </c>
      <c r="AI3">
        <f t="shared" ref="AI3:AI23" si="7">COUNTIF(V3:AB3,"&gt;70")</f>
        <v>0</v>
      </c>
      <c r="AK3" s="4"/>
    </row>
    <row r="4" spans="1:37" x14ac:dyDescent="0.35">
      <c r="A4" t="s">
        <v>27</v>
      </c>
      <c r="B4" t="s">
        <v>441</v>
      </c>
      <c r="C4" t="s">
        <v>27</v>
      </c>
      <c r="D4" s="163">
        <f>VLOOKUP(C4,'Market Capitalisation'!$C$2:$G$31,5,FALSE)</f>
        <v>145370.07999999999</v>
      </c>
      <c r="E4" cm="1">
        <f t="array" ref="E4">_xll.FDS(C4,"FMA_COS_UP(""EPS"",""1M"",+1,NOW,,,""PORTAGG"",""MEANR"")")</f>
        <v>7</v>
      </c>
      <c r="F4" cm="1">
        <f t="array" ref="F4">_xll.FDS(C4,"FMA_COS_DOWN(""EPS"",""1M"",+1,NOW,,,""PORTAGG"",""MEANR"")")</f>
        <v>12</v>
      </c>
      <c r="G4" cm="1">
        <f t="array" ref="G4">_xll.FDS(A4,"SIZE(FG_CONSTITUENTS)")</f>
        <v>29</v>
      </c>
      <c r="H4" s="9">
        <f t="shared" si="0"/>
        <v>0.2413793103448276</v>
      </c>
      <c r="I4" s="9">
        <f t="shared" si="1"/>
        <v>0.41379310344827586</v>
      </c>
      <c r="J4" s="9">
        <f t="shared" si="2"/>
        <v>-0.17241379310344826</v>
      </c>
      <c r="K4" s="5" cm="1">
        <f t="array" ref="K4">_xll.FDS(A4,"FMA_PCT_ABOVE_MAVG(200,0,,,,""PORTAGG"")")/100</f>
        <v>0.75862068965517193</v>
      </c>
      <c r="L4" s="50" cm="1">
        <f t="array" ref="L4">_xll.FDSB(A4,"PERCENT_CHANGE(FMA_EPS(+1,0,,,,""PORTAGG"",""MEAN""),FMA_EPS(+1,-1AM,,,,""PORTAGG"",""MEAN""))")</f>
        <v>5.4672976816957597</v>
      </c>
      <c r="M4" s="50" cm="1">
        <f t="array" ref="M4">_xll.FDSB(A4,"PERCENT_CHANGE(FMA_EPS(+1,0,,,,""PORTAGG"",""MEAN""),FMA_EPS(+1,-3AM,,,,""PORTAGG"",""MEAN""))")</f>
        <v>-1.69336470295015</v>
      </c>
      <c r="O4" s="3" cm="1">
        <f t="array" ref="O4">_xll.FDS(C4,"FG_TOTAL_RETURNC(0,-3AM)")</f>
        <v>-4.4645549999999998</v>
      </c>
      <c r="P4" s="3" cm="1">
        <f t="array" ref="P4">_xll.FDS(C4,"FG_TOTAL_RETURNC(0,-6AM)")</f>
        <v>0.53213834999999998</v>
      </c>
      <c r="Q4" s="9" cm="1">
        <f t="array" ref="Q4">_xll.FDS(C4,"P_PRICE(0)/P_PRICE_HIGH_PR(0,,,USD,,,""PRICE"",""INTRA"",""52W"")")</f>
        <v>0.8459139</v>
      </c>
      <c r="R4" s="9" cm="1">
        <f t="array" ref="R4">_xll.FDS(C4,"P_PRICE(0)/P_PRICE_low_PR(0,,,USD,,,""PRICE"",""INTRA"",""52W"")-1")</f>
        <v>0.1457541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9</v>
      </c>
      <c r="X4" s="4" cm="1">
        <f t="array" ref="X4">_xlfn.PERCENTRANK.EXC(_xlfn._xlws.FILTER($P$3:$P$23, ISNUMBER($P$3:$P$23)),P4)*100</f>
        <v>31.8</v>
      </c>
      <c r="Z4" s="4" cm="1">
        <f t="array" ref="Z4">_xlfn.PERCENTRANK.EXC(_xlfn._xlws.FILTER($K$3:$K$23, ISNUMBER($K$3:$K$23)),K4)*100</f>
        <v>86.3</v>
      </c>
      <c r="AA4" s="4" cm="1">
        <f t="array" ref="AA4">_xlfn.PERCENTRANK.EXC(_xlfn._xlws.FILTER($H$3:$H$23, ISNUMBER($H$3:$H$23)),H4)*100</f>
        <v>36.299999999999997</v>
      </c>
      <c r="AB4" s="4" cm="1">
        <f t="array" ref="AB4">_xlfn.PERCENTRANK.EXC(_xlfn._xlws.FILTER($J$3:$J$23, ISNUMBER($J$3:$J$23)),J4)*100</f>
        <v>27.200000000000003</v>
      </c>
      <c r="AC4" s="4">
        <f t="shared" si="4"/>
        <v>95.399999999999991</v>
      </c>
      <c r="AD4" s="4">
        <f t="shared" si="5"/>
        <v>59</v>
      </c>
      <c r="AE4" s="4">
        <f t="shared" si="6"/>
        <v>18.099999999999998</v>
      </c>
      <c r="AF4" s="4">
        <f t="shared" ref="AF4:AF23" si="8">SUMPRODUCT($U$2:$AE$2,U4:AE4)</f>
        <v>21.3</v>
      </c>
      <c r="AH4" s="3" cm="1">
        <f t="array" ref="AH4">_xlfn.PERCENTRANK.EXC(_xlfn._xlws.FILTER($AF$3:$AF$23, ISNUMBER($AF$3:$AF$23)),AF4)*100</f>
        <v>4.5</v>
      </c>
      <c r="AI4">
        <f t="shared" si="7"/>
        <v>1</v>
      </c>
      <c r="AK4" s="4"/>
    </row>
    <row r="5" spans="1:37" x14ac:dyDescent="0.35">
      <c r="A5" t="s">
        <v>35</v>
      </c>
      <c r="B5" t="s">
        <v>442</v>
      </c>
      <c r="C5" t="s">
        <v>35</v>
      </c>
      <c r="D5" s="163">
        <f>VLOOKUP(C5,'Market Capitalisation'!$C$2:$G$31,5,FALSE)</f>
        <v>665976.43999999994</v>
      </c>
      <c r="E5" cm="1">
        <f t="array" ref="E5">_xll.FDS(C5,"FMA_COS_UP(""EPS"",""1M"",+1,NOW,,,""PORTAGG"",""MEANR"")")</f>
        <v>20</v>
      </c>
      <c r="F5" cm="1">
        <f t="array" ref="F5">_xll.FDS(C5,"FMA_COS_DOWN(""EPS"",""1M"",+1,NOW,,,""PORTAGG"",""MEANR"")")</f>
        <v>19</v>
      </c>
      <c r="G5" cm="1">
        <f t="array" ref="G5">_xll.FDS(A5,"SIZE(FG_CONSTITUENTS)")</f>
        <v>77</v>
      </c>
      <c r="H5" s="9">
        <f t="shared" si="0"/>
        <v>0.25974025974025972</v>
      </c>
      <c r="I5" s="9">
        <f t="shared" si="1"/>
        <v>0.24675324675324675</v>
      </c>
      <c r="J5" s="9">
        <f t="shared" si="2"/>
        <v>1.2987012987012964E-2</v>
      </c>
      <c r="K5" s="5" cm="1">
        <f t="array" ref="K5">_xll.FDS(A5,"FMA_PCT_ABOVE_MAVG(200,0,,,,""PORTAGG"")")/100</f>
        <v>0.33333333333333298</v>
      </c>
      <c r="L5" s="50" cm="1">
        <f t="array" ref="L5">_xll.FDSB(A5,"PERCENT_CHANGE(FMA_EPS(+1,0,,,,""PORTAGG"",""MEAN""),FMA_EPS(+1,-1AM,,,,""PORTAGG"",""MEAN""))")</f>
        <v>-1.86863241858229</v>
      </c>
      <c r="M5" s="50" cm="1">
        <f t="array" ref="M5">_xll.FDSB(A5,"PERCENT_CHANGE(FMA_EPS(+1,0,,,,""PORTAGG"",""MEAN""),FMA_EPS(+1,-3AM,,,,""PORTAGG"",""MEAN""))")</f>
        <v>-3.17444905332896</v>
      </c>
      <c r="O5" s="3" cm="1">
        <f t="array" ref="O5">_xll.FDS(C5,"FG_TOTAL_RETURNC(0,-3AM)")</f>
        <v>4.8755050000000004</v>
      </c>
      <c r="P5" s="3" cm="1">
        <f t="array" ref="P5">_xll.FDS(C5,"FG_TOTAL_RETURNC(0,-6AM)")</f>
        <v>1.7393826999999999</v>
      </c>
      <c r="Q5" s="9" cm="1">
        <f t="array" ref="Q5">_xll.FDS(C5,"P_PRICE(0)/P_PRICE_HIGH_PR(0,,,USD,,,""PRICE"",""INTRA"",""52W"")")</f>
        <v>0.92615013999999996</v>
      </c>
      <c r="R5" s="9" cm="1">
        <f t="array" ref="R5">_xll.FDS(C5,"P_PRICE(0)/P_PRICE_low_PR(0,,,USD,,,""PRICE"",""INTRA"",""52W"")-1")</f>
        <v>0.15066433000000001</v>
      </c>
      <c r="T5" s="4" cm="1">
        <f t="array" ref="T5">_xlfn.PERCENTRANK.EXC(_xlfn._xlws.FILTER($R$3:$R$23, ISNUMBER($R$3:$R$23)),R5)*100</f>
        <v>36.299999999999997</v>
      </c>
      <c r="U5" s="4">
        <f t="shared" si="3"/>
        <v>63.7</v>
      </c>
      <c r="V5" s="4" cm="1">
        <f t="array" ref="V5">_xlfn.PERCENTRANK.EXC(_xlfn._xlws.FILTER($Q$3:$Q$23, ISNUMBER($Q$3:$Q$23)),Q5)*100</f>
        <v>40.9</v>
      </c>
      <c r="W5" s="4" cm="1">
        <f t="array" ref="W5">_xlfn.PERCENTRANK.EXC(_xlfn._xlws.FILTER($O$3:$O$23, ISNUMBER($O$3:$O$23)),O5)*100</f>
        <v>54.500000000000007</v>
      </c>
      <c r="X5" s="4" cm="1">
        <f t="array" ref="X5">_xlfn.PERCENTRANK.EXC(_xlfn._xlws.FILTER($P$3:$P$23, ISNUMBER($P$3:$P$23)),P5)*100</f>
        <v>45.4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40.9</v>
      </c>
      <c r="AB5" s="4" cm="1">
        <f t="array" ref="AB5">_xlfn.PERCENTRANK.EXC(_xlfn._xlws.FILTER($J$3:$J$23, ISNUMBER($J$3:$J$23)),J5)*100</f>
        <v>77.2</v>
      </c>
      <c r="AC5" s="4">
        <f t="shared" si="4"/>
        <v>18.099999999999998</v>
      </c>
      <c r="AD5" s="4">
        <f t="shared" si="5"/>
        <v>45.4</v>
      </c>
      <c r="AE5" s="4">
        <f t="shared" si="6"/>
        <v>59</v>
      </c>
      <c r="AF5" s="4">
        <f t="shared" si="8"/>
        <v>58.129999999999995</v>
      </c>
      <c r="AH5" s="3" cm="1">
        <f t="array" ref="AH5">_xlfn.PERCENTRANK.EXC(_xlfn._xlws.FILTER($AF$3:$AF$23, ISNUMBER($AF$3:$AF$23)),AF5)*100</f>
        <v>45.4</v>
      </c>
      <c r="AI5">
        <f t="shared" si="7"/>
        <v>1</v>
      </c>
      <c r="AK5" s="4"/>
    </row>
    <row r="6" spans="1:37" x14ac:dyDescent="0.35">
      <c r="A6" t="s">
        <v>30</v>
      </c>
      <c r="B6" t="s">
        <v>443</v>
      </c>
      <c r="C6" t="s">
        <v>30</v>
      </c>
      <c r="D6" s="163">
        <f>VLOOKUP(C6,'Market Capitalisation'!$C$2:$G$31,5,FALSE)</f>
        <v>222019.4</v>
      </c>
      <c r="E6" cm="1">
        <f t="array" ref="E6">_xll.FDS(C6,"FMA_COS_UP(""EPS"",""1M"",+1,NOW,,,""PORTAGG"",""MEANR"")")</f>
        <v>12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35</v>
      </c>
      <c r="H6" s="9">
        <f t="shared" si="0"/>
        <v>0.34285714285714286</v>
      </c>
      <c r="I6" s="9">
        <f t="shared" si="1"/>
        <v>0.31428571428571428</v>
      </c>
      <c r="J6" s="9">
        <f t="shared" si="2"/>
        <v>2.8571428571428581E-2</v>
      </c>
      <c r="K6" s="5" cm="1">
        <f t="array" ref="K6">_xll.FDS(A6,"FMA_PCT_ABOVE_MAVG(200,0,,,,""PORTAGG"")")/100</f>
        <v>0.6</v>
      </c>
      <c r="L6" s="50" cm="1">
        <f t="array" ref="L6">_xll.FDSB(A6,"PERCENT_CHANGE(FMA_EPS(+1,0,,,,""PORTAGG"",""MEAN""),FMA_EPS(+1,-1AM,,,,""PORTAGG"",""MEAN""))")</f>
        <v>0.18176153899664499</v>
      </c>
      <c r="M6" s="50" cm="1">
        <f t="array" ref="M6">_xll.FDSB(A6,"PERCENT_CHANGE(FMA_EPS(+1,0,,,,""PORTAGG"",""MEAN""),FMA_EPS(+1,-3AM,,,,""PORTAGG"",""MEAN""))")</f>
        <v>-5.8840378186235998E-2</v>
      </c>
      <c r="O6" s="3" cm="1">
        <f t="array" ref="O6">_xll.FDS(C6,"FG_TOTAL_RETURNC(0,-3AM)")</f>
        <v>9.6837160000000004</v>
      </c>
      <c r="P6" s="3" cm="1">
        <f t="array" ref="P6">_xll.FDS(C6,"FG_TOTAL_RETURNC(0,-6AM)")</f>
        <v>14.586269</v>
      </c>
      <c r="Q6" s="9" cm="1">
        <f t="array" ref="Q6">_xll.FDS(C6,"P_PRICE(0)/P_PRICE_HIGH_PR(0,,,USD,,,""PRICE"",""INTRA"",""52W"")")</f>
        <v>0.99643749999999998</v>
      </c>
      <c r="R6" s="9" cm="1">
        <f t="array" ref="R6">_xll.FDS(C6,"P_PRICE(0)/P_PRICE_low_PR(0,,,USD,,,""PRICE"",""INTRA"",""52W"")-1")</f>
        <v>0.20820737</v>
      </c>
      <c r="T6" s="4" cm="1">
        <f t="array" ref="T6">_xlfn.PERCENTRANK.EXC(_xlfn._xlws.FILTER($R$3:$R$23, ISNUMBER($R$3:$R$23)),R6)*100</f>
        <v>50</v>
      </c>
      <c r="U6" s="4">
        <f t="shared" si="3"/>
        <v>50</v>
      </c>
      <c r="V6" s="4" cm="1">
        <f t="array" ref="V6">_xlfn.PERCENTRANK.EXC(_xlfn._xlws.FILTER($Q$3:$Q$23, ISNUMBER($Q$3:$Q$23)),Q6)*100</f>
        <v>90.9</v>
      </c>
      <c r="W6" s="4" cm="1">
        <f t="array" ref="W6">_xlfn.PERCENTRANK.EXC(_xlfn._xlws.FILTER($O$3:$O$23, ISNUMBER($O$3:$O$23)),O6)*100</f>
        <v>90.9</v>
      </c>
      <c r="X6" s="4" cm="1">
        <f t="array" ref="X6">_xlfn.PERCENTRANK.EXC(_xlfn._xlws.FILTER($P$3:$P$23, ISNUMBER($P$3:$P$23)),P6)*100</f>
        <v>77.2</v>
      </c>
      <c r="Z6" s="4" cm="1">
        <f t="array" ref="Z6">_xlfn.PERCENTRANK.EXC(_xlfn._xlws.FILTER($K$3:$K$23, ISNUMBER($K$3:$K$23)),K6)*100</f>
        <v>40.9</v>
      </c>
      <c r="AA6" s="4" cm="1">
        <f t="array" ref="AA6">_xlfn.PERCENTRANK.EXC(_xlfn._xlws.FILTER($H$3:$H$23, ISNUMBER($H$3:$H$23)),H6)*100</f>
        <v>77.2</v>
      </c>
      <c r="AB6" s="4" cm="1">
        <f t="array" ref="AB6">_xlfn.PERCENTRANK.EXC(_xlfn._xlws.FILTER($J$3:$J$23, ISNUMBER($J$3:$J$23)),J6)*100</f>
        <v>81.8</v>
      </c>
      <c r="AC6" s="4">
        <f t="shared" si="4"/>
        <v>40.9</v>
      </c>
      <c r="AD6" s="4">
        <f t="shared" si="5"/>
        <v>77.2</v>
      </c>
      <c r="AE6" s="4">
        <f t="shared" si="6"/>
        <v>31.8</v>
      </c>
      <c r="AF6" s="4">
        <f t="shared" si="8"/>
        <v>93.15</v>
      </c>
      <c r="AH6" s="3" cm="1">
        <f t="array" ref="AH6">_xlfn.PERCENTRANK.EXC(_xlfn._xlws.FILTER($AF$3:$AF$23, ISNUMBER($AF$3:$AF$23)),AF6)*100</f>
        <v>90.9</v>
      </c>
      <c r="AI6">
        <f t="shared" si="7"/>
        <v>5</v>
      </c>
      <c r="AK6" s="4"/>
    </row>
    <row r="7" spans="1:37" x14ac:dyDescent="0.35">
      <c r="A7" t="s">
        <v>23</v>
      </c>
      <c r="B7" t="s">
        <v>444</v>
      </c>
      <c r="C7" t="s">
        <v>23</v>
      </c>
      <c r="D7" s="163">
        <f>VLOOKUP(C7,'Market Capitalisation'!$C$2:$G$31,5,FALSE)</f>
        <v>205383.28</v>
      </c>
      <c r="E7" cm="1">
        <f t="array" ref="E7">_xll.FDS(C7,"FMA_COS_UP(""EPS"",""1M"",+1,NOW,,,""PORTAGG"",""MEANR"")")</f>
        <v>6</v>
      </c>
      <c r="F7" cm="1">
        <f t="array" ref="F7">_xll.FDS(C7,"FMA_COS_DOWN(""EPS"",""1M"",+1,NOW,,,""PORTAGG"",""MEANR"")")</f>
        <v>14</v>
      </c>
      <c r="G7" cm="1">
        <f t="array" ref="G7">_xll.FDS(A7,"SIZE(FG_CONSTITUENTS)")</f>
        <v>33</v>
      </c>
      <c r="H7" s="9">
        <f t="shared" si="0"/>
        <v>0.18181818181818182</v>
      </c>
      <c r="I7" s="9">
        <f t="shared" si="1"/>
        <v>0.42424242424242425</v>
      </c>
      <c r="J7" s="9">
        <f t="shared" si="2"/>
        <v>-0.24242424242424243</v>
      </c>
      <c r="K7" s="5" cm="1">
        <f t="array" ref="K7">_xll.FDS(A7,"FMA_PCT_ABOVE_MAVG(200,0,,,,""PORTAGG"")")/100</f>
        <v>0.54545454545454497</v>
      </c>
      <c r="L7" s="50" cm="1">
        <f t="array" ref="L7">_xll.FDSB(A7,"PERCENT_CHANGE(FMA_EPS(+1,0,,,,""PORTAGG"",""MEAN""),FMA_EPS(+1,-1AM,,,,""PORTAGG"",""MEAN""))")</f>
        <v>0.51349597087200205</v>
      </c>
      <c r="M7" s="50" cm="1">
        <f t="array" ref="M7">_xll.FDSB(A7,"PERCENT_CHANGE(FMA_EPS(+1,0,,,,""PORTAGG"",""MEAN""),FMA_EPS(+1,-3AM,,,,""PORTAGG"",""MEAN""))")</f>
        <v>-3.94949261670389</v>
      </c>
      <c r="O7" s="3" cm="1">
        <f t="array" ref="O7">_xll.FDS(C7,"FG_TOTAL_RETURNC(0,-3AM)")</f>
        <v>5.0127744999999999</v>
      </c>
      <c r="P7" s="3" cm="1">
        <f t="array" ref="P7">_xll.FDS(C7,"FG_TOTAL_RETURNC(0,-6AM)")</f>
        <v>36.921753000000002</v>
      </c>
      <c r="Q7" s="9" cm="1">
        <f t="array" ref="Q7">_xll.FDS(C7,"P_PRICE(0)/P_PRICE_HIGH_PR(0,,,USD,,,""PRICE"",""INTRA"",""52W"")")</f>
        <v>0.98519294999999996</v>
      </c>
      <c r="R7" s="9" cm="1">
        <f t="array" ref="R7">_xll.FDS(C7,"P_PRICE(0)/P_PRICE_low_PR(0,,,USD,,,""PRICE"",""INTRA"",""52W"")-1")</f>
        <v>0.66104079999999998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72.7</v>
      </c>
      <c r="W7" s="4" cm="1">
        <f t="array" ref="W7">_xlfn.PERCENTRANK.EXC(_xlfn._xlws.FILTER($O$3:$O$23, ISNUMBER($O$3:$O$23)),O7)*100</f>
        <v>63.6</v>
      </c>
      <c r="X7" s="4" cm="1">
        <f t="array" ref="X7">_xlfn.PERCENTRANK.EXC(_xlfn._xlws.FILTER($P$3:$P$23, ISNUMBER($P$3:$P$23)),P7)*100</f>
        <v>95.399999999999991</v>
      </c>
      <c r="Z7" s="4" cm="1">
        <f t="array" ref="Z7">_xlfn.PERCENTRANK.EXC(_xlfn._xlws.FILTER($K$3:$K$23, ISNUMBER($K$3:$K$23)),K7)*100</f>
        <v>36.299999999999997</v>
      </c>
      <c r="AA7" s="4" cm="1">
        <f t="array" ref="AA7">_xlfn.PERCENTRANK.EXC(_xlfn._xlws.FILTER($H$3:$H$23, ISNUMBER($H$3:$H$23)),H7)*100</f>
        <v>22.7</v>
      </c>
      <c r="AB7" s="4" cm="1">
        <f t="array" ref="AB7">_xlfn.PERCENTRANK.EXC(_xlfn._xlws.FILTER($J$3:$J$23, ISNUMBER($J$3:$J$23)),J7)*100</f>
        <v>13.600000000000001</v>
      </c>
      <c r="AC7" s="4">
        <f t="shared" si="4"/>
        <v>50</v>
      </c>
      <c r="AD7" s="4">
        <f t="shared" si="5"/>
        <v>40.9</v>
      </c>
      <c r="AE7" s="4">
        <f t="shared" si="6"/>
        <v>27.200000000000003</v>
      </c>
      <c r="AF7" s="4">
        <f t="shared" si="8"/>
        <v>82.22</v>
      </c>
      <c r="AH7" s="3" cm="1">
        <f t="array" ref="AH7">_xlfn.PERCENTRANK.EXC(_xlfn._xlws.FILTER($AF$3:$AF$23, ISNUMBER($AF$3:$AF$23)),AF7)*100</f>
        <v>72.7</v>
      </c>
      <c r="AI7">
        <f t="shared" si="7"/>
        <v>2</v>
      </c>
      <c r="AK7" s="4"/>
    </row>
    <row r="8" spans="1:37" x14ac:dyDescent="0.35">
      <c r="A8" t="s">
        <v>29</v>
      </c>
      <c r="B8" t="s">
        <v>445</v>
      </c>
      <c r="C8" t="s">
        <v>29</v>
      </c>
      <c r="D8" s="163">
        <f>VLOOKUP(C8,'Market Capitalisation'!$C$2:$G$31,5,FALSE)</f>
        <v>40302.51</v>
      </c>
      <c r="E8" cm="1">
        <f t="array" ref="E8">_xll.FDS(C8,"FMA_COS_UP(""EPS"",""1M"",+1,NOW,,,""PORTAGG"",""MEANR"")")</f>
        <v>8</v>
      </c>
      <c r="F8" cm="1">
        <f t="array" ref="F8">_xll.FDS(C8,"FMA_COS_DOWN(""EPS"",""1M"",+1,NOW,,,""PORTAGG"",""MEANR"")")</f>
        <v>8</v>
      </c>
      <c r="G8" cm="1">
        <f t="array" ref="G8">_xll.FDS(A8,"SIZE(FG_CONSTITUENTS)")</f>
        <v>26</v>
      </c>
      <c r="H8" s="9">
        <f t="shared" si="0"/>
        <v>0.30769230769230771</v>
      </c>
      <c r="I8" s="9">
        <f t="shared" si="1"/>
        <v>0.30769230769230771</v>
      </c>
      <c r="J8" s="9">
        <f t="shared" si="2"/>
        <v>0</v>
      </c>
      <c r="K8" s="5" cm="1">
        <f t="array" ref="K8">_xll.FDS(A8,"FMA_PCT_ABOVE_MAVG(200,0,,,,""PORTAGG"")")/100</f>
        <v>0.84615384615384603</v>
      </c>
      <c r="L8" s="50" cm="1">
        <f t="array" ref="L8">_xll.FDSB(A8,"PERCENT_CHANGE(FMA_EPS(+1,0,,,,""PORTAGG"",""MEAN""),FMA_EPS(+1,-1AM,,,,""PORTAGG"",""MEAN""))")</f>
        <v>2.0851300434343298</v>
      </c>
      <c r="M8" s="50" cm="1">
        <f t="array" ref="M8">_xll.FDSB(A8,"PERCENT_CHANGE(FMA_EPS(+1,0,,,,""PORTAGG"",""MEAN""),FMA_EPS(+1,-3AM,,,,""PORTAGG"",""MEAN""))")</f>
        <v>1.17361377641427</v>
      </c>
      <c r="O8" s="3" cm="1">
        <f t="array" ref="O8">_xll.FDS(C8,"FG_TOTAL_RETURNC(0,-3AM)")</f>
        <v>19.618141000000001</v>
      </c>
      <c r="P8" s="3" cm="1">
        <f t="array" ref="P8">_xll.FDS(C8,"FG_TOTAL_RETURNC(0,-6AM)")</f>
        <v>23.867369</v>
      </c>
      <c r="Q8" s="9" cm="1">
        <f t="array" ref="Q8">_xll.FDS(C8,"P_PRICE(0)/P_PRICE_HIGH_PR(0,,,USD,,,""PRICE"",""INTRA"",""52W"")")</f>
        <v>0.99416846000000003</v>
      </c>
      <c r="R8" s="9" cm="1">
        <f t="array" ref="R8">_xll.FDS(C8,"P_PRICE(0)/P_PRICE_low_PR(0,,,USD,,,""PRICE"",""INTRA"",""52W"")-1")</f>
        <v>0.35461068000000001</v>
      </c>
      <c r="T8" s="4" cm="1">
        <f t="array" ref="T8">_xlfn.PERCENTRANK.EXC(_xlfn._xlws.FILTER($R$3:$R$23, ISNUMBER($R$3:$R$23)),R8)*100</f>
        <v>81.8</v>
      </c>
      <c r="U8" s="4">
        <f t="shared" si="3"/>
        <v>18.200000000000003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90.9</v>
      </c>
      <c r="Z8" s="4" cm="1">
        <f t="array" ref="Z8">_xlfn.PERCENTRANK.EXC(_xlfn._xlws.FILTER($K$3:$K$23, ISNUMBER($K$3:$K$23)),K8)*100</f>
        <v>95.399999999999991</v>
      </c>
      <c r="AA8" s="4" cm="1">
        <f t="array" ref="AA8">_xlfn.PERCENTRANK.EXC(_xlfn._xlws.FILTER($H$3:$H$23, ISNUMBER($H$3:$H$23)),H8)*100</f>
        <v>59</v>
      </c>
      <c r="AB8" s="4" cm="1">
        <f t="array" ref="AB8">_xlfn.PERCENTRANK.EXC(_xlfn._xlws.FILTER($J$3:$J$23, ISNUMBER($J$3:$J$23)),J8)*100</f>
        <v>72.7</v>
      </c>
      <c r="AC8" s="4">
        <f t="shared" si="4"/>
        <v>72.7</v>
      </c>
      <c r="AD8" s="4">
        <f t="shared" si="5"/>
        <v>86.3</v>
      </c>
      <c r="AE8" s="4">
        <f t="shared" si="6"/>
        <v>9</v>
      </c>
      <c r="AF8" s="4">
        <f t="shared" si="8"/>
        <v>92.21</v>
      </c>
      <c r="AH8" s="3" cm="1">
        <f t="array" ref="AH8">_xlfn.PERCENTRANK.EXC(_xlfn._xlws.FILTER($AF$3:$AF$23, ISNUMBER($AF$3:$AF$23)),AF8)*100</f>
        <v>86.3</v>
      </c>
      <c r="AI8">
        <f t="shared" si="7"/>
        <v>5</v>
      </c>
      <c r="AK8" s="4"/>
    </row>
    <row r="9" spans="1:37" x14ac:dyDescent="0.35">
      <c r="A9" t="s">
        <v>33</v>
      </c>
      <c r="B9" t="s">
        <v>446</v>
      </c>
      <c r="C9" t="s">
        <v>33</v>
      </c>
      <c r="D9" s="163">
        <f>VLOOKUP(C9,'Market Capitalisation'!$C$2:$G$31,5,FALSE)</f>
        <v>369061.34</v>
      </c>
      <c r="E9" cm="1">
        <f t="array" ref="E9">_xll.FDS(C9,"FMA_COS_UP(""EPS"",""1M"",+1,NOW,,,""PORTAGG"",""MEANR"")")</f>
        <v>11</v>
      </c>
      <c r="F9" cm="1">
        <f t="array" ref="F9">_xll.FDS(C9,"FMA_COS_DOWN(""EPS"",""1M"",+1,NOW,,,""PORTAGG"",""MEANR"")")</f>
        <v>20</v>
      </c>
      <c r="G9" cm="1">
        <f t="array" ref="G9">_xll.FDS(A9,"SIZE(FG_CONSTITUENTS)")</f>
        <v>34</v>
      </c>
      <c r="H9" s="9">
        <f t="shared" si="0"/>
        <v>0.3235294117647059</v>
      </c>
      <c r="I9" s="9">
        <f t="shared" si="1"/>
        <v>0.58823529411764708</v>
      </c>
      <c r="J9" s="9">
        <f t="shared" si="2"/>
        <v>-0.26470588235294118</v>
      </c>
      <c r="K9" s="5" cm="1">
        <f t="array" ref="K9">_xll.FDS(A9,"FMA_PCT_ABOVE_MAVG(200,0,,,,""PORTAGG"")")/100</f>
        <v>0.66666666666666696</v>
      </c>
      <c r="L9" s="50" cm="1">
        <f t="array" ref="L9">_xll.FDSB(A9,"PERCENT_CHANGE(FMA_EPS(+1,0,,,,""PORTAGG"",""MEAN""),FMA_EPS(+1,-1AM,,,,""PORTAGG"",""MEAN""))")</f>
        <v>3.1719752219736699</v>
      </c>
      <c r="M9" s="50" cm="1">
        <f t="array" ref="M9">_xll.FDSB(A9,"PERCENT_CHANGE(FMA_EPS(+1,0,,,,""PORTAGG"",""MEAN""),FMA_EPS(+1,-3AM,,,,""PORTAGG"",""MEAN""))")</f>
        <v>-0.98292136255945295</v>
      </c>
      <c r="O9" s="3" cm="1">
        <f t="array" ref="O9">_xll.FDS(C9,"FG_TOTAL_RETURNC(0,-3AM)")</f>
        <v>4.3805719999999999</v>
      </c>
      <c r="P9" s="3" cm="1">
        <f t="array" ref="P9">_xll.FDS(C9,"FG_TOTAL_RETURNC(0,-6AM)")</f>
        <v>5.6631327000000002</v>
      </c>
      <c r="Q9" s="9" cm="1">
        <f t="array" ref="Q9">_xll.FDS(C9,"P_PRICE(0)/P_PRICE_HIGH_PR(0,,,USD,,,""PRICE"",""INTRA"",""52W"")")</f>
        <v>0.97427940000000002</v>
      </c>
      <c r="R9" s="9" cm="1">
        <f t="array" ref="R9">_xll.FDS(C9,"P_PRICE(0)/P_PRICE_low_PR(0,,,USD,,,""PRICE"",""INTRA"",""52W"")-1")</f>
        <v>0.10735881</v>
      </c>
      <c r="T9" s="4" cm="1">
        <f t="array" ref="T9">_xlfn.PERCENTRANK.EXC(_xlfn._xlws.FILTER($R$3:$R$23, ISNUMBER($R$3:$R$23)),R9)*100</f>
        <v>13.600000000000001</v>
      </c>
      <c r="U9" s="4">
        <f t="shared" si="3"/>
        <v>86.4</v>
      </c>
      <c r="V9" s="4" cm="1">
        <f t="array" ref="V9">_xlfn.PERCENTRANK.EXC(_xlfn._xlws.FILTER($Q$3:$Q$23, ISNUMBER($Q$3:$Q$23)),Q9)*100</f>
        <v>63.6</v>
      </c>
      <c r="W9" s="4" cm="1">
        <f t="array" ref="W9">_xlfn.PERCENTRANK.EXC(_xlfn._xlws.FILTER($O$3:$O$23, ISNUMBER($O$3:$O$23)),O9)*100</f>
        <v>45.4</v>
      </c>
      <c r="X9" s="4" cm="1">
        <f t="array" ref="X9">_xlfn.PERCENTRANK.EXC(_xlfn._xlws.FILTER($P$3:$P$23, ISNUMBER($P$3:$P$23)),P9)*100</f>
        <v>54.500000000000007</v>
      </c>
      <c r="Z9" s="4" cm="1">
        <f t="array" ref="Z9">_xlfn.PERCENTRANK.EXC(_xlfn._xlws.FILTER($K$3:$K$23, ISNUMBER($K$3:$K$23)),K9)*100</f>
        <v>63.6</v>
      </c>
      <c r="AA9" s="4" cm="1">
        <f t="array" ref="AA9">_xlfn.PERCENTRANK.EXC(_xlfn._xlws.FILTER($H$3:$H$23, ISNUMBER($H$3:$H$23)),H9)*100</f>
        <v>68.100000000000009</v>
      </c>
      <c r="AB9" s="4" cm="1">
        <f t="array" ref="AB9">_xlfn.PERCENTRANK.EXC(_xlfn._xlws.FILTER($J$3:$J$23, ISNUMBER($J$3:$J$23)),J9)*100</f>
        <v>9</v>
      </c>
      <c r="AC9" s="4">
        <f t="shared" si="4"/>
        <v>90.9</v>
      </c>
      <c r="AD9" s="4">
        <f t="shared" si="5"/>
        <v>68.100000000000009</v>
      </c>
      <c r="AE9" s="4">
        <f t="shared" si="6"/>
        <v>45.4</v>
      </c>
      <c r="AF9" s="4">
        <f t="shared" si="8"/>
        <v>64.490000000000009</v>
      </c>
      <c r="AH9" s="3" cm="1">
        <f t="array" ref="AH9">_xlfn.PERCENTRANK.EXC(_xlfn._xlws.FILTER($AF$3:$AF$23, ISNUMBER($AF$3:$AF$23)),AF9)*100</f>
        <v>59</v>
      </c>
      <c r="AI9">
        <f t="shared" si="7"/>
        <v>0</v>
      </c>
      <c r="AK9" s="4"/>
    </row>
    <row r="10" spans="1:37" x14ac:dyDescent="0.35">
      <c r="A10" t="s">
        <v>24</v>
      </c>
      <c r="B10" t="s">
        <v>40</v>
      </c>
      <c r="C10" t="s">
        <v>24</v>
      </c>
      <c r="D10" s="163">
        <f>VLOOKUP(C10,'Market Capitalisation'!$C$2:$G$31,5,FALSE)</f>
        <v>2192252.5</v>
      </c>
      <c r="E10" cm="1">
        <f t="array" ref="E10">_xll.FDS(C10,"FMA_COS_UP(""EPS"",""1M"",+1,NOW,,,""PORTAGG"",""MEANR"")")</f>
        <v>28</v>
      </c>
      <c r="F10" cm="1">
        <f t="array" ref="F10">_xll.FDS(C10,"FMA_COS_DOWN(""EPS"",""1M"",+1,NOW,,,""PORTAGG"",""MEANR"")")</f>
        <v>42</v>
      </c>
      <c r="G10" cm="1">
        <f t="array" ref="G10">_xll.FDS(A10,"SIZE(FG_CONSTITUENTS)")</f>
        <v>91</v>
      </c>
      <c r="H10" s="9">
        <f t="shared" si="0"/>
        <v>0.30769230769230771</v>
      </c>
      <c r="I10" s="9">
        <f t="shared" si="1"/>
        <v>0.46153846153846156</v>
      </c>
      <c r="J10" s="9">
        <f t="shared" si="2"/>
        <v>-0.15384615384615385</v>
      </c>
      <c r="K10" s="5" cm="1">
        <f t="array" ref="K10">_xll.FDS(A10,"FMA_PCT_ABOVE_MAVG(200,0,,,,""PORTAGG"")")/100</f>
        <v>0.655555555555556</v>
      </c>
      <c r="L10" s="50" cm="1">
        <f t="array" ref="L10">_xll.FDSB(A10,"PERCENT_CHANGE(FMA_EPS(+1,0,,,,""PORTAGG"",""MEAN""),FMA_EPS(+1,-1AM,,,,""PORTAGG"",""MEAN""))")</f>
        <v>-4.47689483298368</v>
      </c>
      <c r="M10" s="50" cm="1">
        <f t="array" ref="M10">_xll.FDSB(A10,"PERCENT_CHANGE(FMA_EPS(+1,0,,,,""PORTAGG"",""MEAN""),FMA_EPS(+1,-3AM,,,,""PORTAGG"",""MEAN""))")</f>
        <v>-14.4544885232028</v>
      </c>
      <c r="O10" s="3" cm="1">
        <f t="array" ref="O10">_xll.FDS(C10,"FG_TOTAL_RETURNC(0,-3AM)")</f>
        <v>8.9731100000000001</v>
      </c>
      <c r="P10" s="3" cm="1">
        <f t="array" ref="P10">_xll.FDS(C10,"FG_TOTAL_RETURNC(0,-6AM)")</f>
        <v>18.160212000000001</v>
      </c>
      <c r="Q10" s="9" cm="1">
        <f t="array" ref="Q10">_xll.FDS(C10,"P_PRICE(0)/P_PRICE_HIGH_PR(0,,,USD,,,""PRICE"",""INTRA"",""52W"")")</f>
        <v>0.96612876999999997</v>
      </c>
      <c r="R10" s="9" cm="1">
        <f t="array" ref="R10">_xll.FDS(C10,"P_PRICE(0)/P_PRICE_low_PR(0,,,USD,,,""PRICE"",""INTRA"",""52W"")-1")</f>
        <v>0.15109801</v>
      </c>
      <c r="T10" s="4" cm="1">
        <f t="array" ref="T10">_xlfn.PERCENTRANK.EXC(_xlfn._xlws.FILTER($R$3:$R$23, ISNUMBER($R$3:$R$23)),R10)*100</f>
        <v>40.9</v>
      </c>
      <c r="U10" s="4">
        <f t="shared" si="3"/>
        <v>59.1</v>
      </c>
      <c r="V10" s="4" cm="1">
        <f t="array" ref="V10">_xlfn.PERCENTRANK.EXC(_xlfn._xlws.FILTER($Q$3:$Q$23, ISNUMBER($Q$3:$Q$23)),Q10)*100</f>
        <v>54.500000000000007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81.8</v>
      </c>
      <c r="Z10" s="4" cm="1">
        <f t="array" ref="Z10">_xlfn.PERCENTRANK.EXC(_xlfn._xlws.FILTER($K$3:$K$23, ISNUMBER($K$3:$K$23)),K10)*100</f>
        <v>54.500000000000007</v>
      </c>
      <c r="AA10" s="4" cm="1">
        <f t="array" ref="AA10">_xlfn.PERCENTRANK.EXC(_xlfn._xlws.FILTER($H$3:$H$23, ISNUMBER($H$3:$H$23)),H10)*100</f>
        <v>59</v>
      </c>
      <c r="AB10" s="4" cm="1">
        <f t="array" ref="AB10">_xlfn.PERCENTRANK.EXC(_xlfn._xlws.FILTER($J$3:$J$23, ISNUMBER($J$3:$J$23)),J10)*100</f>
        <v>36.299999999999997</v>
      </c>
      <c r="AC10" s="4">
        <f t="shared" si="4"/>
        <v>9</v>
      </c>
      <c r="AD10" s="4">
        <f t="shared" si="5"/>
        <v>9</v>
      </c>
      <c r="AE10" s="4">
        <f t="shared" si="6"/>
        <v>77.2</v>
      </c>
      <c r="AF10" s="4">
        <f t="shared" si="8"/>
        <v>87.669999999999987</v>
      </c>
      <c r="AH10" s="3" cm="1">
        <f t="array" ref="AH10">_xlfn.PERCENTRANK.EXC(_xlfn._xlws.FILTER($AF$3:$AF$23, ISNUMBER($AF$3:$AF$23)),AF10)*100</f>
        <v>81.8</v>
      </c>
      <c r="AI10">
        <f t="shared" si="7"/>
        <v>2</v>
      </c>
      <c r="AK10" s="4"/>
    </row>
    <row r="11" spans="1:37" x14ac:dyDescent="0.35">
      <c r="A11" t="s">
        <v>7</v>
      </c>
      <c r="B11" t="s">
        <v>53</v>
      </c>
      <c r="C11" t="s">
        <v>7</v>
      </c>
      <c r="D11" s="163">
        <f>VLOOKUP(C11,'Market Capitalisation'!$C$2:$G$31,5,FALSE)</f>
        <v>539225.80000000005</v>
      </c>
      <c r="E11" cm="1">
        <f t="array" ref="E11">_xll.FDS(C11,"FMA_COS_UP(""EPS"",""1M"",+1,NOW,,,""PORTAGG"",""MEANR"")")</f>
        <v>16</v>
      </c>
      <c r="F11" cm="1">
        <f t="array" ref="F11">_xll.FDS(C11,"FMA_COS_DOWN(""EPS"",""1M"",+1,NOW,,,""PORTAGG"",""MEANR"")")</f>
        <v>17</v>
      </c>
      <c r="G11" cm="1">
        <f t="array" ref="G11">_xll.FDS(A11,"SIZE(FG_CONSTITUENTS)")</f>
        <v>44</v>
      </c>
      <c r="H11" s="9">
        <f t="shared" si="0"/>
        <v>0.36363636363636365</v>
      </c>
      <c r="I11" s="9">
        <f t="shared" si="1"/>
        <v>0.38636363636363635</v>
      </c>
      <c r="J11" s="9">
        <f t="shared" si="2"/>
        <v>-2.2727272727272707E-2</v>
      </c>
      <c r="K11" s="5" cm="1">
        <f t="array" ref="K11">_xll.FDS(A11,"FMA_PCT_ABOVE_MAVG(200,0,,,,""PORTAGG"")")/100</f>
        <v>0.65909090909090906</v>
      </c>
      <c r="L11" s="50" cm="1">
        <f t="array" ref="L11">_xll.FDSB(A11,"PERCENT_CHANGE(FMA_EPS(+1,0,,,,""PORTAGG"",""MEAN""),FMA_EPS(+1,-1AM,,,,""PORTAGG"",""MEAN""))")</f>
        <v>1.78408189657956</v>
      </c>
      <c r="M11" s="50" cm="1">
        <f t="array" ref="M11">_xll.FDSB(A11,"PERCENT_CHANGE(FMA_EPS(+1,0,,,,""PORTAGG"",""MEAN""),FMA_EPS(+1,-3AM,,,,""PORTAGG"",""MEAN""))")</f>
        <v>-1.33497790636445</v>
      </c>
      <c r="O11" s="3" cm="1">
        <f t="array" ref="O11">_xll.FDS(C11,"FG_TOTAL_RETURNC(0,-3AM)")</f>
        <v>0.71985719999999997</v>
      </c>
      <c r="P11" s="3" cm="1">
        <f t="array" ref="P11">_xll.FDS(C11,"FG_TOTAL_RETURNC(0,-6AM)")</f>
        <v>13.336992</v>
      </c>
      <c r="Q11" s="9" cm="1">
        <f t="array" ref="Q11">_xll.FDS(C11,"P_PRICE(0)/P_PRICE_HIGH_PR(0,,,USD,,,""PRICE"",""INTRA"",""52W"")")</f>
        <v>0.96485936999999999</v>
      </c>
      <c r="R11" s="9" cm="1">
        <f t="array" ref="R11">_xll.FDS(C11,"P_PRICE(0)/P_PRICE_low_PR(0,,,USD,,,""PRICE"",""INTRA"",""52W"")-1")</f>
        <v>0.28303660000000003</v>
      </c>
      <c r="T11" s="4" cm="1">
        <f t="array" ref="T11">_xlfn.PERCENTRANK.EXC(_xlfn._xlws.FILTER($R$3:$R$23, ISNUMBER($R$3:$R$23)),R11)*100</f>
        <v>68.100000000000009</v>
      </c>
      <c r="U11" s="4">
        <f t="shared" si="3"/>
        <v>31.899999999999991</v>
      </c>
      <c r="V11" s="4" cm="1">
        <f t="array" ref="V11">_xlfn.PERCENTRANK.EXC(_xlfn._xlws.FILTER($Q$3:$Q$23, ISNUMBER($Q$3:$Q$23)),Q11)*100</f>
        <v>50</v>
      </c>
      <c r="W11" s="4" cm="1">
        <f t="array" ref="W11">_xlfn.PERCENTRANK.EXC(_xlfn._xlws.FILTER($O$3:$O$23, ISNUMBER($O$3:$O$23)),O11)*100</f>
        <v>27.200000000000003</v>
      </c>
      <c r="X11" s="4" cm="1">
        <f t="array" ref="X11">_xlfn.PERCENTRANK.EXC(_xlfn._xlws.FILTER($P$3:$P$23, ISNUMBER($P$3:$P$23)),P11)*100</f>
        <v>68.100000000000009</v>
      </c>
      <c r="Z11" s="4" cm="1">
        <f t="array" ref="Z11">_xlfn.PERCENTRANK.EXC(_xlfn._xlws.FILTER($K$3:$K$23, ISNUMBER($K$3:$K$23)),K11)*100</f>
        <v>59</v>
      </c>
      <c r="AA11" s="4" cm="1">
        <f t="array" ref="AA11">_xlfn.PERCENTRANK.EXC(_xlfn._xlws.FILTER($H$3:$H$23, ISNUMBER($H$3:$H$23)),H11)*100</f>
        <v>90.9</v>
      </c>
      <c r="AB11" s="4" cm="1">
        <f t="array" ref="AB11">_xlfn.PERCENTRANK.EXC(_xlfn._xlws.FILTER($J$3:$J$23, ISNUMBER($J$3:$J$23)),J11)*100</f>
        <v>63.6</v>
      </c>
      <c r="AC11" s="4">
        <f t="shared" si="4"/>
        <v>63.6</v>
      </c>
      <c r="AD11" s="4">
        <f t="shared" si="5"/>
        <v>63.6</v>
      </c>
      <c r="AE11" s="4">
        <f t="shared" si="6"/>
        <v>54.500000000000007</v>
      </c>
      <c r="AF11" s="4">
        <f t="shared" si="8"/>
        <v>59.490000000000009</v>
      </c>
      <c r="AH11" s="3" cm="1">
        <f t="array" ref="AH11">_xlfn.PERCENTRANK.EXC(_xlfn._xlws.FILTER($AF$3:$AF$23, ISNUMBER($AF$3:$AF$23)),AF11)*100</f>
        <v>54.500000000000007</v>
      </c>
      <c r="AI11">
        <f t="shared" si="7"/>
        <v>1</v>
      </c>
      <c r="AK11" s="4"/>
    </row>
    <row r="12" spans="1:37" x14ac:dyDescent="0.35">
      <c r="A12" t="s">
        <v>21</v>
      </c>
      <c r="B12" t="s">
        <v>38</v>
      </c>
      <c r="C12" t="s">
        <v>21</v>
      </c>
      <c r="D12" s="163">
        <f>VLOOKUP(C12,'Market Capitalisation'!$C$2:$G$31,5,FALSE)</f>
        <v>1963733.9</v>
      </c>
      <c r="E12" cm="1">
        <f t="array" ref="E12">_xll.FDS(C12,"FMA_COS_UP(""EPS"",""1M"",+1,NOW,,,""PORTAGG"",""MEANR"")")</f>
        <v>33</v>
      </c>
      <c r="F12" cm="1">
        <f t="array" ref="F12">_xll.FDS(C12,"FMA_COS_DOWN(""EPS"",""1M"",+1,NOW,,,""PORTAGG"",""MEANR"")")</f>
        <v>47</v>
      </c>
      <c r="G12" cm="1">
        <f t="array" ref="G12">_xll.FDS(A12,"SIZE(FG_CONSTITUENTS)")</f>
        <v>102</v>
      </c>
      <c r="H12" s="9">
        <f t="shared" si="0"/>
        <v>0.3235294117647059</v>
      </c>
      <c r="I12" s="9">
        <f t="shared" si="1"/>
        <v>0.46078431372549017</v>
      </c>
      <c r="J12" s="9">
        <f t="shared" si="2"/>
        <v>-0.13725490196078427</v>
      </c>
      <c r="K12" s="5" cm="1">
        <f t="array" ref="K12">_xll.FDS(A12,"FMA_PCT_ABOVE_MAVG(200,0,,,,""PORTAGG"")")/100</f>
        <v>0.61</v>
      </c>
      <c r="L12" s="50" cm="1">
        <f t="array" ref="L12">_xll.FDSB(A12,"PERCENT_CHANGE(FMA_EPS(+1,0,,,,""PORTAGG"",""MEAN""),FMA_EPS(+1,-1AM,,,,""PORTAGG"",""MEAN""))")</f>
        <v>2.5797585767587301</v>
      </c>
      <c r="M12" s="50" cm="1">
        <f t="array" ref="M12">_xll.FDSB(A12,"PERCENT_CHANGE(FMA_EPS(+1,0,,,,""PORTAGG"",""MEAN""),FMA_EPS(+1,-3AM,,,,""PORTAGG"",""MEAN""))")</f>
        <v>-5.8529431362019997</v>
      </c>
      <c r="O12" s="3" cm="1">
        <f t="array" ref="O12">_xll.FDS(C12,"FG_TOTAL_RETURNC(0,-3AM)")</f>
        <v>6.4250826999999999</v>
      </c>
      <c r="P12" s="3" cm="1">
        <f t="array" ref="P12">_xll.FDS(C12,"FG_TOTAL_RETURNC(0,-6AM)")</f>
        <v>9.4904785</v>
      </c>
      <c r="Q12" s="9" cm="1">
        <f t="array" ref="Q12">_xll.FDS(C12,"P_PRICE(0)/P_PRICE_HIGH_PR(0,,,USD,,,""PRICE"",""INTRA"",""52W"")")</f>
        <v>0.9867551</v>
      </c>
      <c r="R12" s="9" cm="1">
        <f t="array" ref="R12">_xll.FDS(C12,"P_PRICE(0)/P_PRICE_low_PR(0,,,USD,,,""PRICE"",""INTRA"",""52W"")-1")</f>
        <v>0.23050106000000001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77.2</v>
      </c>
      <c r="W12" s="4" cm="1">
        <f t="array" ref="W12">_xlfn.PERCENTRANK.EXC(_xlfn._xlws.FILTER($O$3:$O$23, ISNUMBER($O$3:$O$23)),O12)*100</f>
        <v>68.100000000000009</v>
      </c>
      <c r="X12" s="4" cm="1">
        <f t="array" ref="X12">_xlfn.PERCENTRANK.EXC(_xlfn._xlws.FILTER($P$3:$P$23, ISNUMBER($P$3:$P$23)),P12)*100</f>
        <v>59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68.100000000000009</v>
      </c>
      <c r="AB12" s="4" cm="1">
        <f t="array" ref="AB12">_xlfn.PERCENTRANK.EXC(_xlfn._xlws.FILTER($J$3:$J$23, ISNUMBER($J$3:$J$23)),J12)*100</f>
        <v>45.4</v>
      </c>
      <c r="AC12" s="4">
        <f t="shared" si="4"/>
        <v>86.3</v>
      </c>
      <c r="AD12" s="4">
        <f t="shared" si="5"/>
        <v>31.8</v>
      </c>
      <c r="AE12" s="4">
        <f t="shared" si="6"/>
        <v>72.7</v>
      </c>
      <c r="AF12" s="4">
        <f t="shared" si="8"/>
        <v>83.550000000000011</v>
      </c>
      <c r="AH12" s="3" cm="1">
        <f t="array" ref="AH12">_xlfn.PERCENTRANK.EXC(_xlfn._xlws.FILTER($AF$3:$AF$23, ISNUMBER($AF$3:$AF$23)),AF12)*100</f>
        <v>77.2</v>
      </c>
      <c r="AI12">
        <f t="shared" si="7"/>
        <v>1</v>
      </c>
      <c r="AK12" s="4"/>
    </row>
    <row r="13" spans="1:37" x14ac:dyDescent="0.35">
      <c r="A13" t="s">
        <v>12</v>
      </c>
      <c r="B13" t="s">
        <v>54</v>
      </c>
      <c r="C13" t="s">
        <v>12</v>
      </c>
      <c r="D13" s="163">
        <f>VLOOKUP(C13,'Market Capitalisation'!$C$2:$G$31,5,FALSE)</f>
        <v>781767.7</v>
      </c>
      <c r="E13" cm="1">
        <f t="array" ref="E13">_xll.FDS(C13,"FMA_COS_UP(""EPS"",""1M"",+1,NOW,,,""PORTAGG"",""MEANR"")")</f>
        <v>15</v>
      </c>
      <c r="F13" cm="1">
        <f t="array" ref="F13">_xll.FDS(C13,"FMA_COS_DOWN(""EPS"",""1M"",+1,NOW,,,""PORTAGG"",""MEANR"")")</f>
        <v>24</v>
      </c>
      <c r="G13" cm="1">
        <f t="array" ref="G13">_xll.FDS(A13,"SIZE(FG_CONSTITUENTS)")</f>
        <v>51</v>
      </c>
      <c r="H13" s="9">
        <f t="shared" si="0"/>
        <v>0.29411764705882354</v>
      </c>
      <c r="I13" s="9">
        <f t="shared" si="1"/>
        <v>0.47058823529411764</v>
      </c>
      <c r="J13" s="9">
        <f t="shared" si="2"/>
        <v>-0.1764705882352941</v>
      </c>
      <c r="K13" s="5" cm="1">
        <f t="array" ref="K13">_xll.FDS(A13,"FMA_PCT_ABOVE_MAVG(200,0,,,,""PORTAGG"")")/100</f>
        <v>0.6</v>
      </c>
      <c r="L13" s="50" cm="1">
        <f t="array" ref="L13">_xll.FDSB(A13,"PERCENT_CHANGE(FMA_EPS(+1,0,,,,""PORTAGG"",""MEAN""),FMA_EPS(+1,-1AM,,,,""PORTAGG"",""MEAN""))")</f>
        <v>-0.62534597329077102</v>
      </c>
      <c r="M13" s="50" cm="1">
        <f t="array" ref="M13">_xll.FDSB(A13,"PERCENT_CHANGE(FMA_EPS(+1,0,,,,""PORTAGG"",""MEAN""),FMA_EPS(+1,-3AM,,,,""PORTAGG"",""MEAN""))")</f>
        <v>-7.7827452412147</v>
      </c>
      <c r="O13" s="3" cm="1">
        <f t="array" ref="O13">_xll.FDS(C13,"FG_TOTAL_RETURNC(0,-3AM)")</f>
        <v>-4.2467474999999997</v>
      </c>
      <c r="P13" s="3" cm="1">
        <f t="array" ref="P13">_xll.FDS(C13,"FG_TOTAL_RETURNC(0,-6AM)")</f>
        <v>3.6144733000000002</v>
      </c>
      <c r="Q13" s="9" cm="1">
        <f t="array" ref="Q13">_xll.FDS(C13,"P_PRICE(0)/P_PRICE_HIGH_PR(0,,,USD,,,""PRICE"",""INTRA"",""52W"")")</f>
        <v>0.90654729999999994</v>
      </c>
      <c r="R13" s="9" cm="1">
        <f t="array" ref="R13">_xll.FDS(C13,"P_PRICE(0)/P_PRICE_low_PR(0,,,USD,,,""PRICE"",""INTRA"",""52W"")-1")</f>
        <v>0.29599999999999999</v>
      </c>
      <c r="T13" s="4" cm="1">
        <f t="array" ref="T13">_xlfn.PERCENTRANK.EXC(_xlfn._xlws.FILTER($R$3:$R$23, ISNUMBER($R$3:$R$23)),R13)*100</f>
        <v>72.7</v>
      </c>
      <c r="U13" s="4">
        <f t="shared" si="3"/>
        <v>27.299999999999997</v>
      </c>
      <c r="V13" s="4" cm="1">
        <f t="array" ref="V13">_xlfn.PERCENTRANK.EXC(_xlfn._xlws.FILTER($Q$3:$Q$23, ISNUMBER($Q$3:$Q$23)),Q13)*100</f>
        <v>31.8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50</v>
      </c>
      <c r="Z13" s="4" cm="1">
        <f t="array" ref="Z13">_xlfn.PERCENTRANK.EXC(_xlfn._xlws.FILTER($K$3:$K$23, ISNUMBER($K$3:$K$23)),K13)*100</f>
        <v>40.9</v>
      </c>
      <c r="AA13" s="4" cm="1">
        <f t="array" ref="AA13">_xlfn.PERCENTRANK.EXC(_xlfn._xlws.FILTER($H$3:$H$23, ISNUMBER($H$3:$H$23)),H13)*100</f>
        <v>50</v>
      </c>
      <c r="AB13" s="4" cm="1">
        <f t="array" ref="AB13">_xlfn.PERCENTRANK.EXC(_xlfn._xlws.FILTER($J$3:$J$23, ISNUMBER($J$3:$J$23)),J13)*100</f>
        <v>22.7</v>
      </c>
      <c r="AC13" s="4">
        <f t="shared" si="4"/>
        <v>31.8</v>
      </c>
      <c r="AD13" s="4">
        <f t="shared" si="5"/>
        <v>18.099999999999998</v>
      </c>
      <c r="AE13" s="4">
        <f t="shared" si="6"/>
        <v>63.6</v>
      </c>
      <c r="AF13" s="4">
        <f t="shared" si="8"/>
        <v>44.52</v>
      </c>
      <c r="AH13" s="3" cm="1">
        <f t="array" ref="AH13">_xlfn.PERCENTRANK.EXC(_xlfn._xlws.FILTER($AF$3:$AF$23, ISNUMBER($AF$3:$AF$23)),AF13)*100</f>
        <v>31.8</v>
      </c>
      <c r="AI13">
        <f t="shared" si="7"/>
        <v>0</v>
      </c>
      <c r="AK13" s="4"/>
    </row>
    <row r="14" spans="1:37" x14ac:dyDescent="0.35">
      <c r="A14" t="s">
        <v>22</v>
      </c>
      <c r="B14" t="s">
        <v>447</v>
      </c>
      <c r="C14" t="s">
        <v>22</v>
      </c>
      <c r="D14" s="163">
        <f>VLOOKUP(C14,'Market Capitalisation'!$C$2:$G$31,5,FALSE)</f>
        <v>296158.71999999997</v>
      </c>
      <c r="E14" cm="1">
        <f t="array" ref="E14">_xll.FDS(C14,"FMA_COS_UP(""EPS"",""1M"",+1,NOW,,,""PORTAGG"",""MEANR"")")</f>
        <v>10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0.30303030303030304</v>
      </c>
      <c r="I14" s="9">
        <f t="shared" si="1"/>
        <v>0.45454545454545453</v>
      </c>
      <c r="J14" s="9">
        <f t="shared" si="2"/>
        <v>-0.15151515151515149</v>
      </c>
      <c r="K14" s="5" cm="1">
        <f t="array" ref="K14">_xll.FDS(A14,"FMA_PCT_ABOVE_MAVG(200,0,,,,""PORTAGG"")")/100</f>
        <v>0.48484848484848497</v>
      </c>
      <c r="L14" s="50" cm="1">
        <f t="array" ref="L14">_xll.FDSB(A14,"PERCENT_CHANGE(FMA_EPS(+1,0,,,,""PORTAGG"",""MEAN""),FMA_EPS(+1,-1AM,,,,""PORTAGG"",""MEAN""))")</f>
        <v>0.76967298381263305</v>
      </c>
      <c r="M14" s="50" cm="1">
        <f t="array" ref="M14">_xll.FDSB(A14,"PERCENT_CHANGE(FMA_EPS(+1,0,,,,""PORTAGG"",""MEAN""),FMA_EPS(+1,-3AM,,,,""PORTAGG"",""MEAN""))")</f>
        <v>-4.9874751578339396</v>
      </c>
      <c r="O14" s="3" cm="1">
        <f t="array" ref="O14">_xll.FDS(C14,"FG_TOTAL_RETURNC(0,-3AM)")</f>
        <v>-6.6735743999999997</v>
      </c>
      <c r="P14" s="3" cm="1">
        <f t="array" ref="P14">_xll.FDS(C14,"FG_TOTAL_RETURNC(0,-6AM)")</f>
        <v>1.4837384</v>
      </c>
      <c r="Q14" s="9" cm="1">
        <f t="array" ref="Q14">_xll.FDS(C14,"P_PRICE(0)/P_PRICE_HIGH_PR(0,,,USD,,,""PRICE"",""INTRA"",""52W"")")</f>
        <v>0.86085504000000002</v>
      </c>
      <c r="R14" s="9" cm="1">
        <f t="array" ref="R14">_xll.FDS(C14,"P_PRICE(0)/P_PRICE_low_PR(0,,,USD,,,""PRICE"",""INTRA"",""52W"")-1")</f>
        <v>8.3892584000000006E-2</v>
      </c>
      <c r="T14" s="4" cm="1">
        <f t="array" ref="T14">_xlfn.PERCENTRANK.EXC(_xlfn._xlws.FILTER($R$3:$R$23, ISNUMBER($R$3:$R$23)),R14)*100</f>
        <v>4.5</v>
      </c>
      <c r="U14" s="4">
        <f t="shared" si="3"/>
        <v>95.5</v>
      </c>
      <c r="V14" s="4" cm="1">
        <f t="array" ref="V14">_xlfn.PERCENTRANK.EXC(_xlfn._xlws.FILTER($Q$3:$Q$23, ISNUMBER($Q$3:$Q$23)),Q14)*100</f>
        <v>18.099999999999998</v>
      </c>
      <c r="W14" s="4" cm="1">
        <f t="array" ref="W14">_xlfn.PERCENTRANK.EXC(_xlfn._xlws.FILTER($O$3:$O$23, ISNUMBER($O$3:$O$23)),O14)*100</f>
        <v>4.5</v>
      </c>
      <c r="X14" s="4" cm="1">
        <f t="array" ref="X14">_xlfn.PERCENTRANK.EXC(_xlfn._xlws.FILTER($P$3:$P$23, ISNUMBER($P$3:$P$23)),P14)*100</f>
        <v>40.9</v>
      </c>
      <c r="Z14" s="4" cm="1">
        <f t="array" ref="Z14">_xlfn.PERCENTRANK.EXC(_xlfn._xlws.FILTER($K$3:$K$23, ISNUMBER($K$3:$K$23)),K14)*100</f>
        <v>31.8</v>
      </c>
      <c r="AA14" s="4" cm="1">
        <f t="array" ref="AA14">_xlfn.PERCENTRANK.EXC(_xlfn._xlws.FILTER($H$3:$H$23, ISNUMBER($H$3:$H$23)),H14)*100</f>
        <v>54.500000000000007</v>
      </c>
      <c r="AB14" s="4" cm="1">
        <f t="array" ref="AB14">_xlfn.PERCENTRANK.EXC(_xlfn._xlws.FILTER($J$3:$J$23, ISNUMBER($J$3:$J$23)),J14)*100</f>
        <v>40.9</v>
      </c>
      <c r="AC14" s="4">
        <f t="shared" si="4"/>
        <v>54.500000000000007</v>
      </c>
      <c r="AD14" s="4">
        <f t="shared" si="5"/>
        <v>36.299999999999997</v>
      </c>
      <c r="AE14" s="4">
        <f t="shared" si="6"/>
        <v>36.299999999999997</v>
      </c>
      <c r="AF14" s="4">
        <f t="shared" si="8"/>
        <v>28.119999999999997</v>
      </c>
      <c r="AH14" s="3" cm="1">
        <f t="array" ref="AH14">_xlfn.PERCENTRANK.EXC(_xlfn._xlws.FILTER($AF$3:$AF$23, ISNUMBER($AF$3:$AF$23)),AF14)*100</f>
        <v>9</v>
      </c>
      <c r="AI14">
        <f t="shared" si="7"/>
        <v>0</v>
      </c>
      <c r="AK14" s="4"/>
    </row>
    <row r="15" spans="1:37" x14ac:dyDescent="0.35">
      <c r="A15" t="s">
        <v>28</v>
      </c>
      <c r="B15" t="s">
        <v>448</v>
      </c>
      <c r="C15" t="s">
        <v>28</v>
      </c>
      <c r="D15" s="163">
        <f>VLOOKUP(C15,'Market Capitalisation'!$C$2:$G$31,5,FALSE)</f>
        <v>82401.289999999994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6</v>
      </c>
      <c r="G15" cm="1">
        <f t="array" ref="G15">_xll.FDS(A15,"SIZE(FG_CONSTITUENTS)")</f>
        <v>30</v>
      </c>
      <c r="H15" s="9">
        <f t="shared" si="0"/>
        <v>0.23333333333333334</v>
      </c>
      <c r="I15" s="9">
        <f t="shared" si="1"/>
        <v>0.2</v>
      </c>
      <c r="J15" s="9">
        <f t="shared" si="2"/>
        <v>3.3333333333333326E-2</v>
      </c>
      <c r="K15" s="5" cm="1">
        <f t="array" ref="K15">_xll.FDS(A15,"FMA_PCT_ABOVE_MAVG(200,0,,,,""PORTAGG"")")/100</f>
        <v>0.82758620689655205</v>
      </c>
      <c r="L15" s="50" cm="1">
        <f t="array" ref="L15">_xll.FDSB(A15,"PERCENT_CHANGE(FMA_EPS(+1,0,,,,""PORTAGG"",""MEAN""),FMA_EPS(+1,-1AM,,,,""PORTAGG"",""MEAN""))")</f>
        <v>1.3030971150275601</v>
      </c>
      <c r="M15" s="50" cm="1">
        <f t="array" ref="M15">_xll.FDSB(A15,"PERCENT_CHANGE(FMA_EPS(+1,0,,,,""PORTAGG"",""MEAN""),FMA_EPS(+1,-3AM,,,,""PORTAGG"",""MEAN""))")</f>
        <v>0.87482002480765397</v>
      </c>
      <c r="O15" s="3" cm="1">
        <f t="array" ref="O15">_xll.FDS(C15,"FG_TOTAL_RETURNC(0,-3AM)")</f>
        <v>8.2820889999999991</v>
      </c>
      <c r="P15" s="3" cm="1">
        <f t="array" ref="P15">_xll.FDS(C15,"FG_TOTAL_RETURNC(0,-6AM)")</f>
        <v>19.544433999999999</v>
      </c>
      <c r="Q15" s="9" cm="1">
        <f t="array" ref="Q15">_xll.FDS(C15,"P_PRICE(0)/P_PRICE_HIGH_PR(0,,,USD,,,""PRICE"",""INTRA"",""52W"")")</f>
        <v>0.97983485000000003</v>
      </c>
      <c r="R15" s="9" cm="1">
        <f t="array" ref="R15">_xll.FDS(C15,"P_PRICE(0)/P_PRICE_low_PR(0,,,USD,,,""PRICE"",""INTRA"",""52W"")-1")</f>
        <v>0.40278268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68.100000000000009</v>
      </c>
      <c r="W15" s="4" cm="1">
        <f t="array" ref="W15">_xlfn.PERCENTRANK.EXC(_xlfn._xlws.FILTER($O$3:$O$23, ISNUMBER($O$3:$O$23)),O15)*100</f>
        <v>77.2</v>
      </c>
      <c r="X15" s="4" cm="1">
        <f t="array" ref="X15">_xlfn.PERCENTRANK.EXC(_xlfn._xlws.FILTER($P$3:$P$23, ISNUMBER($P$3:$P$23)),P15)*100</f>
        <v>86.3</v>
      </c>
      <c r="Z15" s="4" cm="1">
        <f t="array" ref="Z15">_xlfn.PERCENTRANK.EXC(_xlfn._xlws.FILTER($K$3:$K$23, ISNUMBER($K$3:$K$23)),K15)*100</f>
        <v>90.9</v>
      </c>
      <c r="AA15" s="4" cm="1">
        <f t="array" ref="AA15">_xlfn.PERCENTRANK.EXC(_xlfn._xlws.FILTER($H$3:$H$23, ISNUMBER($H$3:$H$23)),H15)*100</f>
        <v>31.8</v>
      </c>
      <c r="AB15" s="4" cm="1">
        <f t="array" ref="AB15">_xlfn.PERCENTRANK.EXC(_xlfn._xlws.FILTER($J$3:$J$23, ISNUMBER($J$3:$J$23)),J15)*100</f>
        <v>86.3</v>
      </c>
      <c r="AC15" s="4">
        <f t="shared" si="4"/>
        <v>59</v>
      </c>
      <c r="AD15" s="4">
        <f t="shared" si="5"/>
        <v>81.8</v>
      </c>
      <c r="AE15" s="4">
        <f t="shared" si="6"/>
        <v>13.600000000000001</v>
      </c>
      <c r="AF15" s="4">
        <f t="shared" si="8"/>
        <v>79.010000000000005</v>
      </c>
      <c r="AH15" s="3" cm="1">
        <f t="array" ref="AH15">_xlfn.PERCENTRANK.EXC(_xlfn._xlws.FILTER($AF$3:$AF$23, ISNUMBER($AF$3:$AF$23)),AF15)*100</f>
        <v>68.100000000000009</v>
      </c>
      <c r="AI15">
        <f t="shared" si="7"/>
        <v>4</v>
      </c>
      <c r="AK15" s="4"/>
    </row>
    <row r="16" spans="1:37" x14ac:dyDescent="0.35">
      <c r="A16" t="s">
        <v>32</v>
      </c>
      <c r="B16" t="s">
        <v>52</v>
      </c>
      <c r="C16" t="s">
        <v>32</v>
      </c>
      <c r="D16" s="163">
        <f>VLOOKUP(C16,'Market Capitalisation'!$C$2:$G$31,5,FALSE)</f>
        <v>4513078</v>
      </c>
      <c r="E16" cm="1">
        <f t="array" ref="E16">_xll.FDS(C16,"FMA_COS_UP(""EPS"",""1M"",+1,NOW,,,""PORTAGG"",""MEANR"")")</f>
        <v>49</v>
      </c>
      <c r="F16" cm="1">
        <f t="array" ref="F16">_xll.FDS(C16,"FMA_COS_DOWN(""EPS"",""1M"",+1,NOW,,,""PORTAGG"",""MEANR"")")</f>
        <v>53</v>
      </c>
      <c r="G16" cm="1">
        <f t="array" ref="G16">_xll.FDS(A16,"SIZE(FG_CONSTITUENTS)")</f>
        <v>137</v>
      </c>
      <c r="H16" s="9">
        <f t="shared" si="0"/>
        <v>0.35766423357664234</v>
      </c>
      <c r="I16" s="9">
        <f t="shared" si="1"/>
        <v>0.38686131386861317</v>
      </c>
      <c r="J16" s="9">
        <f t="shared" si="2"/>
        <v>-2.9197080291970823E-2</v>
      </c>
      <c r="K16" s="5" cm="1">
        <f t="array" ref="K16">_xll.FDS(A16,"FMA_PCT_ABOVE_MAVG(200,0,,,,""PORTAGG"")")/100</f>
        <v>0.75</v>
      </c>
      <c r="L16" s="50" cm="1">
        <f t="array" ref="L16">_xll.FDSB(A16,"PERCENT_CHANGE(FMA_EPS(+1,0,,,,""PORTAGG"",""MEAN""),FMA_EPS(+1,-1AM,,,,""PORTAGG"",""MEAN""))")</f>
        <v>0.40540012567380102</v>
      </c>
      <c r="M16" s="50" cm="1">
        <f t="array" ref="M16">_xll.FDSB(A16,"PERCENT_CHANGE(FMA_EPS(+1,0,,,,""PORTAGG"",""MEAN""),FMA_EPS(+1,-3AM,,,,""PORTAGG"",""MEAN""))")</f>
        <v>-0.429162900038633</v>
      </c>
      <c r="O16" s="3" cm="1">
        <f t="array" ref="O16">_xll.FDS(C16,"FG_TOTAL_RETURNC(0,-3AM)")</f>
        <v>4.8810719999999996</v>
      </c>
      <c r="P16" s="3" cm="1">
        <f t="array" ref="P16">_xll.FDS(C16,"FG_TOTAL_RETURNC(0,-6AM)")</f>
        <v>12.078678</v>
      </c>
      <c r="Q16" s="9" cm="1">
        <f t="array" ref="Q16">_xll.FDS(C16,"P_PRICE(0)/P_PRICE_HIGH_PR(0,,,USD,,,""PRICE"",""INTRA"",""52W"")")</f>
        <v>0.96682553999999998</v>
      </c>
      <c r="R16" s="9" cm="1">
        <f t="array" ref="R16">_xll.FDS(C16,"P_PRICE(0)/P_PRICE_low_PR(0,,,USD,,,""PRICE"",""INTRA"",""52W"")-1")</f>
        <v>0.34277773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59</v>
      </c>
      <c r="W16" s="4" cm="1">
        <f t="array" ref="W16">_xlfn.PERCENTRANK.EXC(_xlfn._xlws.FILTER($O$3:$O$23, ISNUMBER($O$3:$O$23)),O16)*100</f>
        <v>59</v>
      </c>
      <c r="X16" s="4" cm="1">
        <f t="array" ref="X16">_xlfn.PERCENTRANK.EXC(_xlfn._xlws.FILTER($P$3:$P$23, ISNUMBER($P$3:$P$23)),P16)*100</f>
        <v>63.6</v>
      </c>
      <c r="Z16" s="4" cm="1">
        <f t="array" ref="Z16">_xlfn.PERCENTRANK.EXC(_xlfn._xlws.FILTER($K$3:$K$23, ISNUMBER($K$3:$K$23)),K16)*100</f>
        <v>81.8</v>
      </c>
      <c r="AA16" s="4" cm="1">
        <f t="array" ref="AA16">_xlfn.PERCENTRANK.EXC(_xlfn._xlws.FILTER($H$3:$H$23, ISNUMBER($H$3:$H$23)),H16)*100</f>
        <v>86.3</v>
      </c>
      <c r="AB16" s="4" cm="1">
        <f t="array" ref="AB16">_xlfn.PERCENTRANK.EXC(_xlfn._xlws.FILTER($J$3:$J$23, ISNUMBER($J$3:$J$23)),J16)*100</f>
        <v>59</v>
      </c>
      <c r="AC16" s="4">
        <f t="shared" si="4"/>
        <v>45.4</v>
      </c>
      <c r="AD16" s="4">
        <f t="shared" si="5"/>
        <v>72.7</v>
      </c>
      <c r="AE16" s="4">
        <f t="shared" si="6"/>
        <v>86.3</v>
      </c>
      <c r="AF16" s="4">
        <f t="shared" si="8"/>
        <v>77.64</v>
      </c>
      <c r="AH16" s="3" cm="1">
        <f t="array" ref="AH16">_xlfn.PERCENTRANK.EXC(_xlfn._xlws.FILTER($AF$3:$AF$23, ISNUMBER($AF$3:$AF$23)),AF16)*100</f>
        <v>63.6</v>
      </c>
      <c r="AI16">
        <f t="shared" si="7"/>
        <v>2</v>
      </c>
      <c r="AK16" s="4"/>
    </row>
    <row r="17" spans="1:37" x14ac:dyDescent="0.35">
      <c r="A17" t="s">
        <v>26</v>
      </c>
      <c r="B17" t="s">
        <v>41</v>
      </c>
      <c r="C17" t="s">
        <v>26</v>
      </c>
      <c r="D17" s="163">
        <f>VLOOKUP(C17,'Market Capitalisation'!$C$2:$G$31,5,FALSE)</f>
        <v>7704829</v>
      </c>
      <c r="E17" cm="1">
        <f t="array" ref="E17">_xll.FDS(C17,"FMA_COS_UP(""EPS"",""1M"",+1,NOW,,,""PORTAGG"",""MEANR"")")</f>
        <v>119</v>
      </c>
      <c r="F17" cm="1">
        <f t="array" ref="F17">_xll.FDS(C17,"FMA_COS_DOWN(""EPS"",""1M"",+1,NOW,,,""PORTAGG"",""MEANR"")")</f>
        <v>229</v>
      </c>
      <c r="G17" cm="1">
        <f t="array" ref="G17">_xll.FDS(A17,"SIZE(FG_CONSTITUENTS)")</f>
        <v>661</v>
      </c>
      <c r="H17" s="9">
        <f t="shared" si="0"/>
        <v>0.1800302571860817</v>
      </c>
      <c r="I17" s="9">
        <f t="shared" si="1"/>
        <v>0.34644478063540091</v>
      </c>
      <c r="J17" s="9">
        <f t="shared" si="2"/>
        <v>-0.1664145234493192</v>
      </c>
      <c r="K17" s="5" cm="1">
        <f t="array" ref="K17">_xll.FDS(A17,"FMA_PCT_ABOVE_MAVG(200,0,,,,""PORTAGG"")")/100</f>
        <v>0.42272727272727301</v>
      </c>
      <c r="L17" s="50" cm="1">
        <f t="array" ref="L17">_xll.FDSB(A17,"PERCENT_CHANGE(FMA_EPS(+1,0,,,,""PORTAGG"",""MEAN""),FMA_EPS(+1,-1AM,,,,""PORTAGG"",""MEAN""))")</f>
        <v>-0.71078229536966597</v>
      </c>
      <c r="M17" s="50" cm="1">
        <f t="array" ref="M17">_xll.FDSB(A17,"PERCENT_CHANGE(FMA_EPS(+1,0,,,,""PORTAGG"",""MEAN""),FMA_EPS(+1,-3AM,,,,""PORTAGG"",""MEAN""))")</f>
        <v>-7.2722481518255604</v>
      </c>
      <c r="O17" s="3" cm="1">
        <f t="array" ref="O17">_xll.FDS(C17,"FG_TOTAL_RETURNC(0,-3AM)")</f>
        <v>-0.34683346999999998</v>
      </c>
      <c r="P17" s="3" cm="1">
        <f t="array" ref="P17">_xll.FDS(C17,"FG_TOTAL_RETURNC(0,-6AM)")</f>
        <v>-7.466507</v>
      </c>
      <c r="Q17" s="9" cm="1">
        <f t="array" ref="Q17">_xll.FDS(C17,"P_PRICE(0)/P_PRICE_HIGH_PR(0,,,USD,,,""PRICE"",""INTRA"",""52W"")")</f>
        <v>0.79450153999999995</v>
      </c>
      <c r="R17" s="9" cm="1">
        <f t="array" ref="R17">_xll.FDS(C17,"P_PRICE(0)/P_PRICE_low_PR(0,,,USD,,,""PRICE"",""INTRA"",""52W"")-1")</f>
        <v>0.12900496</v>
      </c>
      <c r="T17" s="4" cm="1">
        <f t="array" ref="T17">_xlfn.PERCENTRANK.EXC(_xlfn._xlws.FILTER($R$3:$R$23, ISNUMBER($R$3:$R$23)),R17)*100</f>
        <v>18.099999999999998</v>
      </c>
      <c r="U17" s="4">
        <f t="shared" si="3"/>
        <v>81.900000000000006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18.099999999999998</v>
      </c>
      <c r="X17" s="4" cm="1">
        <f t="array" ref="X17">_xlfn.PERCENTRANK.EXC(_xlfn._xlws.FILTER($P$3:$P$23, ISNUMBER($P$3:$P$23)),P17)*100</f>
        <v>9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18.099999999999998</v>
      </c>
      <c r="AB17" s="4" cm="1">
        <f t="array" ref="AB17">_xlfn.PERCENTRANK.EXC(_xlfn._xlws.FILTER($J$3:$J$23, ISNUMBER($J$3:$J$23)),J17)*100</f>
        <v>31.8</v>
      </c>
      <c r="AC17" s="4">
        <f t="shared" si="4"/>
        <v>27.200000000000003</v>
      </c>
      <c r="AD17" s="4">
        <f t="shared" si="5"/>
        <v>22.7</v>
      </c>
      <c r="AE17" s="4">
        <f t="shared" si="6"/>
        <v>90.9</v>
      </c>
      <c r="AF17" s="4">
        <f t="shared" si="8"/>
        <v>29.910000000000004</v>
      </c>
      <c r="AH17" s="3" cm="1">
        <f t="array" ref="AH17">_xlfn.PERCENTRANK.EXC(_xlfn._xlws.FILTER($AF$3:$AF$23, ISNUMBER($AF$3:$AF$23)),AF17)*100</f>
        <v>13.600000000000001</v>
      </c>
      <c r="AI17">
        <f t="shared" si="7"/>
        <v>0</v>
      </c>
      <c r="AK17" s="4"/>
    </row>
    <row r="18" spans="1:37" x14ac:dyDescent="0.35">
      <c r="A18" t="s">
        <v>31</v>
      </c>
      <c r="B18" t="s">
        <v>449</v>
      </c>
      <c r="C18" t="s">
        <v>31</v>
      </c>
      <c r="D18" s="163">
        <f>VLOOKUP(C18,'Market Capitalisation'!$C$2:$G$31,5,FALSE)</f>
        <v>161365</v>
      </c>
      <c r="E18" cm="1">
        <f t="array" ref="E18">_xll.FDS(C18,"FMA_COS_UP(""EPS"",""1M"",+1,NOW,,,""PORTAGG"",""MEANR"")")</f>
        <v>4</v>
      </c>
      <c r="F18" cm="1">
        <f t="array" ref="F18">_xll.FDS(C18,"FMA_COS_DOWN(""EPS"",""1M"",+1,NOW,,,""PORTAGG"",""MEANR"")")</f>
        <v>8</v>
      </c>
      <c r="G18" cm="1">
        <f t="array" ref="G18">_xll.FDS(A18,"SIZE(FG_CONSTITUENTS)")</f>
        <v>35</v>
      </c>
      <c r="H18" s="9">
        <f t="shared" si="0"/>
        <v>0.11428571428571428</v>
      </c>
      <c r="I18" s="9">
        <f t="shared" si="1"/>
        <v>0.22857142857142856</v>
      </c>
      <c r="J18" s="9">
        <f t="shared" si="2"/>
        <v>-0.11428571428571428</v>
      </c>
      <c r="K18" s="5" cm="1">
        <f t="array" ref="K18">_xll.FDS(A18,"FMA_PCT_ABOVE_MAVG(200,0,,,,""PORTAGG"")")/100</f>
        <v>0.35294117647058798</v>
      </c>
      <c r="L18" s="50" cm="1">
        <f t="array" ref="L18">_xll.FDSB(A18,"PERCENT_CHANGE(FMA_EPS(+1,0,,,,""PORTAGG"",""MEAN""),FMA_EPS(+1,-1AM,,,,""PORTAGG"",""MEAN""))")</f>
        <v>1.7992873124020801</v>
      </c>
      <c r="M18" s="50" cm="1">
        <f t="array" ref="M18">_xll.FDSB(A18,"PERCENT_CHANGE(FMA_EPS(+1,0,,,,""PORTAGG"",""MEAN""),FMA_EPS(+1,-3AM,,,,""PORTAGG"",""MEAN""))")</f>
        <v>1.84933748701518</v>
      </c>
      <c r="O18" s="3" cm="1">
        <f t="array" ref="O18">_xll.FDS(C18,"FG_TOTAL_RETURNC(0,-3AM)")</f>
        <v>4.7813416000000002</v>
      </c>
      <c r="P18" s="3" cm="1">
        <f t="array" ref="P18">_xll.FDS(C18,"FG_TOTAL_RETURNC(0,-6AM)")</f>
        <v>1.2394308999999999</v>
      </c>
      <c r="Q18" s="9" cm="1">
        <f t="array" ref="Q18">_xll.FDS(C18,"P_PRICE(0)/P_PRICE_HIGH_PR(0,,,USD,,,""PRICE"",""INTRA"",""52W"")")</f>
        <v>0.91871166000000004</v>
      </c>
      <c r="R18" s="9" cm="1">
        <f t="array" ref="R18">_xll.FDS(C18,"P_PRICE(0)/P_PRICE_low_PR(0,,,USD,,,""PRICE"",""INTRA"",""52W"")-1")</f>
        <v>0.14750957000000001</v>
      </c>
      <c r="T18" s="4" cm="1">
        <f t="array" ref="T18">_xlfn.PERCENTRANK.EXC(_xlfn._xlws.FILTER($R$3:$R$23, ISNUMBER($R$3:$R$23)),R18)*100</f>
        <v>31.8</v>
      </c>
      <c r="U18" s="4">
        <f t="shared" si="3"/>
        <v>68.2</v>
      </c>
      <c r="V18" s="4" cm="1">
        <f t="array" ref="V18">_xlfn.PERCENTRANK.EXC(_xlfn._xlws.FILTER($Q$3:$Q$23, ISNUMBER($Q$3:$Q$23)),Q18)*100</f>
        <v>36.299999999999997</v>
      </c>
      <c r="W18" s="4" cm="1">
        <f t="array" ref="W18">_xlfn.PERCENTRANK.EXC(_xlfn._xlws.FILTER($O$3:$O$23, ISNUMBER($O$3:$O$23)),O18)*100</f>
        <v>50</v>
      </c>
      <c r="X18" s="4" cm="1">
        <f t="array" ref="X18">_xlfn.PERCENTRANK.EXC(_xlfn._xlws.FILTER($P$3:$P$23, ISNUMBER($P$3:$P$23)),P18)*100</f>
        <v>36.299999999999997</v>
      </c>
      <c r="Z18" s="4" cm="1">
        <f t="array" ref="Z18">_xlfn.PERCENTRANK.EXC(_xlfn._xlws.FILTER($K$3:$K$23, ISNUMBER($K$3:$K$23)),K18)*100</f>
        <v>13.600000000000001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50</v>
      </c>
      <c r="AC18" s="4">
        <f t="shared" si="4"/>
        <v>68.100000000000009</v>
      </c>
      <c r="AD18" s="4">
        <f t="shared" si="5"/>
        <v>90.9</v>
      </c>
      <c r="AE18" s="4">
        <f t="shared" si="6"/>
        <v>22.7</v>
      </c>
      <c r="AF18" s="4">
        <f t="shared" si="8"/>
        <v>44.949999999999996</v>
      </c>
      <c r="AH18" s="3" cm="1">
        <f t="array" ref="AH18">_xlfn.PERCENTRANK.EXC(_xlfn._xlws.FILTER($AF$3:$AF$23, ISNUMBER($AF$3:$AF$23)),AF18)*100</f>
        <v>36.299999999999997</v>
      </c>
      <c r="AI18">
        <f t="shared" si="7"/>
        <v>0</v>
      </c>
      <c r="AK18" s="4"/>
    </row>
    <row r="19" spans="1:37" s="1" customFormat="1" x14ac:dyDescent="0.35">
      <c r="A19" s="1" t="s">
        <v>764</v>
      </c>
      <c r="B19" s="1" t="s">
        <v>765</v>
      </c>
      <c r="C19" s="1" t="s">
        <v>764</v>
      </c>
      <c r="D19" s="163">
        <f>VLOOKUP(C19,'Market Capitalisation'!$C$2:$G$31,5,FALSE)</f>
        <v>483039.97461314203</v>
      </c>
      <c r="E19" cm="1">
        <f t="array" ref="E19">_xll.FDS(C19,"FMA_COS_UP(""EPS"",""1M"",+1,NOW,,,""PORTAGG"",""MEANR"")")</f>
        <v>55</v>
      </c>
      <c r="F19" cm="1">
        <f t="array" ref="F19">_xll.FDS(C19,"FMA_COS_DOWN(""EPS"",""1M"",+1,NOW,,,""PORTAGG"",""MEANR"")")</f>
        <v>103</v>
      </c>
      <c r="G19" s="1" cm="1">
        <f t="array" ref="G19">_xll.FDS(A19,"SIZE(FG_CONSTITUENTS)")</f>
        <v>1</v>
      </c>
      <c r="H19" s="57">
        <f t="shared" si="0"/>
        <v>55</v>
      </c>
      <c r="I19" s="57">
        <f t="shared" si="1"/>
        <v>103</v>
      </c>
      <c r="J19" s="9">
        <f t="shared" si="2"/>
        <v>-48</v>
      </c>
      <c r="K19" s="6" cm="1">
        <f t="array" ref="K19">_xll.FDS(A19,"FMA_PCT_ABOVE_MAVG(200,0,,,,""PORTAGG"")")/100</f>
        <v>0.31268882175226603</v>
      </c>
      <c r="L19" s="50" cm="1">
        <f t="array" ref="L19">_xll.FDSB(A19,"PERCENT_CHANGE(FMA_EPS(+1,0,,,,""PORTAGG"",""MEAN""),FMA_EPS(+1,-1AM,,,,""PORTAGG"",""MEAN""))")</f>
        <v>-1.35208985555365</v>
      </c>
      <c r="M19" s="50" cm="1">
        <f t="array" ref="M19">_xll.FDSB(A19,"PERCENT_CHANGE(FMA_EPS(+1,0,,,,""PORTAGG"",""MEAN""),FMA_EPS(+1,-3AM,,,,""PORTAGG"",""MEAN""))")</f>
        <v>-3.0462319717008102</v>
      </c>
      <c r="O19" s="63" cm="1">
        <f t="array" ref="O19">_xll.FDS(C19,"FG_TOTAL_RETURNC(0,-3AM)")</f>
        <v>1.1595964000000001</v>
      </c>
      <c r="P19" s="63" cm="1">
        <f t="array" ref="P19">_xll.FDS(C19,"FG_TOTAL_RETURNC(0,-6AM)")</f>
        <v>-9.7214460000000003</v>
      </c>
      <c r="Q19" s="57" cm="1">
        <f t="array" ref="Q19">_xll.FDS(C19,"P_PRICE(0)/P_PRICE_HIGH_PR(0,,,USD,,,""PRICE"",""INTRA"",""52W"")")</f>
        <v>29.476099999999999</v>
      </c>
      <c r="R19" s="9" cm="1">
        <f t="array" ref="R19">_xll.FDS(C19,"P_PRICE(0)/P_PRICE_low_PR(0,,,USD,,,""PRICE"",""INTRA"",""52W"")-1")</f>
        <v>35.981952999999997</v>
      </c>
      <c r="T19" s="4" cm="1">
        <f t="array" ref="T19">_xlfn.PERCENTRANK.EXC(_xlfn._xlws.FILTER($R$3:$R$23, ISNUMBER($R$3:$R$23)),R19)*100</f>
        <v>95.399999999999991</v>
      </c>
      <c r="U19" s="4">
        <f t="shared" si="3"/>
        <v>4.6000000000000085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4.5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22.7</v>
      </c>
      <c r="AD19" s="4">
        <f t="shared" si="5"/>
        <v>50</v>
      </c>
      <c r="AE19" s="4">
        <f t="shared" si="6"/>
        <v>50</v>
      </c>
      <c r="AF19" s="4">
        <f t="shared" si="8"/>
        <v>59.05</v>
      </c>
      <c r="AH19" s="3" cm="1">
        <f t="array" ref="AH19">_xlfn.PERCENTRANK.EXC(_xlfn._xlws.FILTER($AF$3:$AF$23, ISNUMBER($AF$3:$AF$23)),AF19)*100</f>
        <v>50</v>
      </c>
      <c r="AI19" s="1">
        <f t="shared" si="7"/>
        <v>2</v>
      </c>
      <c r="AK19" s="4"/>
    </row>
    <row r="20" spans="1:37" x14ac:dyDescent="0.35">
      <c r="A20" t="s">
        <v>25</v>
      </c>
      <c r="B20" t="s">
        <v>451</v>
      </c>
      <c r="C20" t="s">
        <v>25</v>
      </c>
      <c r="D20" s="163">
        <f>VLOOKUP(C20,'Market Capitalisation'!$C$2:$G$31,5,FALSE)</f>
        <v>361966.16</v>
      </c>
      <c r="E20" cm="1">
        <f t="array" ref="E20">_xll.FDS(C20,"FMA_COS_UP(""EPS"",""1M"",+1,NOW,,,""PORTAGG"",""MEANR"")")</f>
        <v>13</v>
      </c>
      <c r="F20" cm="1">
        <f t="array" ref="F20">_xll.FDS(C20,"FMA_COS_DOWN(""EPS"",""1M"",+1,NOW,,,""PORTAGG"",""MEANR"")")</f>
        <v>18</v>
      </c>
      <c r="G20" cm="1">
        <f t="array" ref="G20">_xll.FDS(A20,"SIZE(FG_CONSTITUENTS)")</f>
        <v>98</v>
      </c>
      <c r="H20" s="9">
        <f t="shared" si="0"/>
        <v>0.1326530612244898</v>
      </c>
      <c r="I20" s="9">
        <f t="shared" si="1"/>
        <v>0.18367346938775511</v>
      </c>
      <c r="J20" s="9">
        <f t="shared" si="2"/>
        <v>-5.1020408163265307E-2</v>
      </c>
      <c r="K20" s="5" cm="1">
        <f t="array" ref="K20">_xll.FDS(A20,"FMA_PCT_ABOVE_MAVG(200,0,,,,""PORTAGG"")")/100</f>
        <v>0.73626373626373609</v>
      </c>
      <c r="L20" s="50" cm="1">
        <f t="array" ref="L20">_xll.FDSB(A20,"PERCENT_CHANGE(FMA_EPS(+1,0,,,,""PORTAGG"",""MEAN""),FMA_EPS(+1,-1AM,,,,""PORTAGG"",""MEAN""))")</f>
        <v>-3.9793991670719699</v>
      </c>
      <c r="M20" s="50" cm="1">
        <f t="array" ref="M20">_xll.FDSB(A20,"PERCENT_CHANGE(FMA_EPS(+1,0,,,,""PORTAGG"",""MEAN""),FMA_EPS(+1,-3AM,,,,""PORTAGG"",""MEAN""))")</f>
        <v>-7.1815836563602797</v>
      </c>
      <c r="O20" s="3" cm="1">
        <f t="array" ref="O20">_xll.FDS(C20,"FG_TOTAL_RETURNC(0,-3AM)")</f>
        <v>3.2033204999999998</v>
      </c>
      <c r="P20" s="3" cm="1">
        <f t="array" ref="P20">_xll.FDS(C20,"FG_TOTAL_RETURNC(0,-6AM)")</f>
        <v>-7.0332822999999998</v>
      </c>
      <c r="Q20" s="9" cm="1">
        <f t="array" ref="Q20">_xll.FDS(C20,"P_PRICE(0)/P_PRICE_HIGH_PR(0,,,USD,,,""PRICE"",""INTRA"",""52W"")")</f>
        <v>0.88405440000000002</v>
      </c>
      <c r="R20" s="9" cm="1">
        <f t="array" ref="R20">_xll.FDS(C20,"P_PRICE(0)/P_PRICE_low_PR(0,,,USD,,,""PRICE"",""INTRA"",""52W"")-1")</f>
        <v>0.27308953000000002</v>
      </c>
      <c r="T20" s="4" cm="1">
        <f t="array" ref="T20">_xlfn.PERCENTRANK.EXC(_xlfn._xlws.FILTER($R$3:$R$23, ISNUMBER($R$3:$R$23)),R20)*100</f>
        <v>63.6</v>
      </c>
      <c r="U20" s="4">
        <f t="shared" si="3"/>
        <v>36.4</v>
      </c>
      <c r="V20" s="4" cm="1">
        <f t="array" ref="V20">_xlfn.PERCENTRANK.EXC(_xlfn._xlws.FILTER($Q$3:$Q$23, ISNUMBER($Q$3:$Q$23)),Q20)*100</f>
        <v>27.200000000000003</v>
      </c>
      <c r="W20" s="4" cm="1">
        <f t="array" ref="W20">_xlfn.PERCENTRANK.EXC(_xlfn._xlws.FILTER($O$3:$O$23, ISNUMBER($O$3:$O$23)),O20)*100</f>
        <v>36.299999999999997</v>
      </c>
      <c r="X20" s="4" cm="1">
        <f t="array" ref="X20">_xlfn.PERCENTRANK.EXC(_xlfn._xlws.FILTER($P$3:$P$23, ISNUMBER($P$3:$P$23)),P20)*100</f>
        <v>13.600000000000001</v>
      </c>
      <c r="Z20" s="4" cm="1">
        <f t="array" ref="Z20">_xlfn.PERCENTRANK.EXC(_xlfn._xlws.FILTER($K$3:$K$23, ISNUMBER($K$3:$K$23)),K20)*100</f>
        <v>77.2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54.500000000000007</v>
      </c>
      <c r="AC20" s="4">
        <f t="shared" si="4"/>
        <v>13.600000000000001</v>
      </c>
      <c r="AD20" s="4">
        <f t="shared" si="5"/>
        <v>27.200000000000003</v>
      </c>
      <c r="AE20" s="4">
        <f t="shared" si="6"/>
        <v>40.9</v>
      </c>
      <c r="AF20" s="4">
        <f t="shared" si="8"/>
        <v>34.03</v>
      </c>
      <c r="AH20" s="3" cm="1">
        <f t="array" ref="AH20">_xlfn.PERCENTRANK.EXC(_xlfn._xlws.FILTER($AF$3:$AF$23, ISNUMBER($AF$3:$AF$23)),AF20)*100</f>
        <v>18.099999999999998</v>
      </c>
      <c r="AI20">
        <f t="shared" si="7"/>
        <v>1</v>
      </c>
      <c r="AK20" s="4"/>
    </row>
    <row r="21" spans="1:37" x14ac:dyDescent="0.35">
      <c r="A21" t="s">
        <v>34</v>
      </c>
      <c r="B21" t="s">
        <v>452</v>
      </c>
      <c r="C21" t="s">
        <v>34</v>
      </c>
      <c r="D21" s="163">
        <f>VLOOKUP(C21,'Market Capitalisation'!$C$2:$G$31,5,FALSE)</f>
        <v>889479.7</v>
      </c>
      <c r="E21" cm="1">
        <f t="array" ref="E21">_xll.FDS(C21,"FMA_COS_UP(""EPS"",""1M"",+1,NOW,,,""PORTAGG"",""MEANR"")")</f>
        <v>15</v>
      </c>
      <c r="F21" cm="1">
        <f t="array" ref="F21">_xll.FDS(C21,"FMA_COS_DOWN(""EPS"",""1M"",+1,NOW,,,""PORTAGG"",""MEANR"")")</f>
        <v>4</v>
      </c>
      <c r="G21" cm="1">
        <f t="array" ref="G21">_xll.FDS(A21,"SIZE(FG_CONSTITUENTS)")</f>
        <v>42</v>
      </c>
      <c r="H21" s="9">
        <f t="shared" si="0"/>
        <v>0.35714285714285715</v>
      </c>
      <c r="I21" s="9">
        <f t="shared" si="1"/>
        <v>9.5238095238095233E-2</v>
      </c>
      <c r="J21" s="9">
        <f t="shared" si="2"/>
        <v>0.26190476190476192</v>
      </c>
      <c r="K21" s="5" cm="1">
        <f t="array" ref="K21">_xll.FDS(A21,"FMA_PCT_ABOVE_MAVG(200,0,,,,""PORTAGG"")")/100</f>
        <v>0.37837837837837801</v>
      </c>
      <c r="L21" s="50" cm="1">
        <f t="array" ref="L21">_xll.FDSB(A21,"PERCENT_CHANGE(FMA_EPS(+1,0,,,,""PORTAGG"",""MEAN""),FMA_EPS(+1,-1AM,,,,""PORTAGG"",""MEAN""))")</f>
        <v>2.3049024125832398</v>
      </c>
      <c r="M21" s="50" cm="1">
        <f t="array" ref="M21">_xll.FDSB(A21,"PERCENT_CHANGE(FMA_EPS(+1,0,,,,""PORTAGG"",""MEAN""),FMA_EPS(+1,-3AM,,,,""PORTAGG"",""MEAN""))")</f>
        <v>3.3049578739479699</v>
      </c>
      <c r="O21" s="3" cm="1">
        <f t="array" ref="O21">_xll.FDS(C21,"FG_TOTAL_RETURNC(0,-3AM)")</f>
        <v>0.17215014000000001</v>
      </c>
      <c r="P21" s="3" cm="1">
        <f t="array" ref="P21">_xll.FDS(C21,"FG_TOTAL_RETURNC(0,-6AM)")</f>
        <v>-3.5159767</v>
      </c>
      <c r="Q21" s="9" cm="1">
        <f t="array" ref="Q21">_xll.FDS(C21,"P_PRICE(0)/P_PRICE_HIGH_PR(0,,,USD,,,""PRICE"",""INTRA"",""52W"")")</f>
        <v>0.92953867000000001</v>
      </c>
      <c r="R21" s="9" cm="1">
        <f t="array" ref="R21">_xll.FDS(C21,"P_PRICE(0)/P_PRICE_low_PR(0,,,USD,,,""PRICE"",""INTRA"",""52W"")-1")</f>
        <v>9.5416899999999999E-2</v>
      </c>
      <c r="T21" s="4" cm="1">
        <f t="array" ref="T21">_xlfn.PERCENTRANK.EXC(_xlfn._xlws.FILTER($R$3:$R$23, ISNUMBER($R$3:$R$23)),R21)*100</f>
        <v>9</v>
      </c>
      <c r="U21" s="4">
        <f t="shared" si="3"/>
        <v>91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22.7</v>
      </c>
      <c r="X21" s="4" cm="1">
        <f t="array" ref="X21">_xlfn.PERCENTRANK.EXC(_xlfn._xlws.FILTER($P$3:$P$23, ISNUMBER($P$3:$P$23)),P21)*100</f>
        <v>22.7</v>
      </c>
      <c r="Z21" s="4" cm="1">
        <f t="array" ref="Z21">_xlfn.PERCENTRANK.EXC(_xlfn._xlws.FILTER($K$3:$K$23, ISNUMBER($K$3:$K$23)),K21)*100</f>
        <v>18.099999999999998</v>
      </c>
      <c r="AA21" s="4" cm="1">
        <f t="array" ref="AA21">_xlfn.PERCENTRANK.EXC(_xlfn._xlws.FILTER($H$3:$H$23, ISNUMBER($H$3:$H$23)),H21)*100</f>
        <v>81.8</v>
      </c>
      <c r="AB21" s="4" cm="1">
        <f t="array" ref="AB21">_xlfn.PERCENTRANK.EXC(_xlfn._xlws.FILTER($J$3:$J$23, ISNUMBER($J$3:$J$23)),J21)*100</f>
        <v>95.399999999999991</v>
      </c>
      <c r="AC21" s="4">
        <f t="shared" si="4"/>
        <v>81.8</v>
      </c>
      <c r="AD21" s="4">
        <f t="shared" si="5"/>
        <v>95.399999999999991</v>
      </c>
      <c r="AE21" s="4">
        <f t="shared" si="6"/>
        <v>68.100000000000009</v>
      </c>
      <c r="AF21" s="4">
        <f t="shared" si="8"/>
        <v>45.4</v>
      </c>
      <c r="AH21" s="3" cm="1">
        <f t="array" ref="AH21">_xlfn.PERCENTRANK.EXC(_xlfn._xlws.FILTER($AF$3:$AF$23, ISNUMBER($AF$3:$AF$23)),AF21)*100</f>
        <v>40.9</v>
      </c>
      <c r="AI21">
        <f t="shared" si="7"/>
        <v>2</v>
      </c>
      <c r="AK21" s="4"/>
    </row>
    <row r="22" spans="1:37" x14ac:dyDescent="0.35">
      <c r="A22" t="s">
        <v>37</v>
      </c>
      <c r="B22" t="s">
        <v>453</v>
      </c>
      <c r="C22" t="s">
        <v>37</v>
      </c>
      <c r="D22" s="163">
        <f>VLOOKUP(C22,'Market Capitalisation'!$C$2:$G$31,5,FALSE)</f>
        <v>25353.038894000001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45</v>
      </c>
      <c r="H22" s="9">
        <f t="shared" si="0"/>
        <v>0.26666666666666666</v>
      </c>
      <c r="I22" s="9">
        <f t="shared" si="1"/>
        <v>0.17777777777777778</v>
      </c>
      <c r="J22" s="9">
        <f t="shared" si="2"/>
        <v>8.8888888888888878E-2</v>
      </c>
      <c r="K22" s="5" cm="1">
        <f t="array" ref="K22">_xll.FDS(A22,"FMA_PCT_ABOVE_MAVG(200,0,,,,""PORTAGG"")")/100</f>
        <v>0.73333333333333295</v>
      </c>
      <c r="L22" s="50" cm="1">
        <f t="array" ref="L22">_xll.FDSB(A22,"PERCENT_CHANGE(FMA_EPS(+1,0,,,,""PORTAGG"",""MEAN""),FMA_EPS(+1,-1AM,,,,""PORTAGG"",""MEAN""))")</f>
        <v>-9.2908114071877392</v>
      </c>
      <c r="M22" s="50" cm="1">
        <f t="array" ref="M22">_xll.FDSB(A22,"PERCENT_CHANGE(FMA_EPS(+1,0,,,,""PORTAGG"",""MEAN""),FMA_EPS(+1,-3AM,,,,""PORTAGG"",""MEAN""))")</f>
        <v>-16.217816664785499</v>
      </c>
      <c r="O22" s="3" cm="1">
        <f t="array" ref="O22">_xll.FDS(C22,"FG_TOTAL_RETURNC(0,-3AM)")</f>
        <v>7.4616790000000002</v>
      </c>
      <c r="P22" s="3" cm="1">
        <f t="array" ref="P22">_xll.FDS(C22,"FG_TOTAL_RETURNC(0,-6AM)")</f>
        <v>-5.0969243000000004</v>
      </c>
      <c r="Q22" s="9" cm="1">
        <f t="array" ref="Q22">_xll.FDS(C22,"P_PRICE(0)/P_PRICE_HIGH_PR(0,,,USD,,,""PRICE"",""INTRA"",""52W"")")</f>
        <v>0.86641100000000004</v>
      </c>
      <c r="R22" s="9" cm="1">
        <f t="array" ref="R22">_xll.FDS(C22,"P_PRICE(0)/P_PRICE_low_PR(0,,,USD,,,""PRICE"",""INTRA"",""52W"")-1")</f>
        <v>0.18695270999999999</v>
      </c>
      <c r="T22" s="4" cm="1">
        <f t="array" ref="T22">_xlfn.PERCENTRANK.EXC(_xlfn._xlws.FILTER($R$3:$R$23, ISNUMBER($R$3:$R$23)),R22)*100</f>
        <v>45.4</v>
      </c>
      <c r="U22" s="4">
        <f t="shared" si="3"/>
        <v>54.6</v>
      </c>
      <c r="V22" s="4" cm="1">
        <f t="array" ref="V22">_xlfn.PERCENTRANK.EXC(_xlfn._xlws.FILTER($Q$3:$Q$23, ISNUMBER($Q$3:$Q$23)),Q22)*100</f>
        <v>22.7</v>
      </c>
      <c r="W22" s="4" cm="1">
        <f t="array" ref="W22">_xlfn.PERCENTRANK.EXC(_xlfn._xlws.FILTER($O$3:$O$23, ISNUMBER($O$3:$O$23)),O22)*100</f>
        <v>72.7</v>
      </c>
      <c r="X22" s="4" cm="1">
        <f t="array" ref="X22">_xlfn.PERCENTRANK.EXC(_xlfn._xlws.FILTER($P$3:$P$23, ISNUMBER($P$3:$P$23)),P22)*100</f>
        <v>18.099999999999998</v>
      </c>
      <c r="Z22" s="4" cm="1">
        <f t="array" ref="Z22">_xlfn.PERCENTRANK.EXC(_xlfn._xlws.FILTER($K$3:$K$23, ISNUMBER($K$3:$K$23)),K22)*100</f>
        <v>72.7</v>
      </c>
      <c r="AA22" s="4" cm="1">
        <f t="array" ref="AA22">_xlfn.PERCENTRANK.EXC(_xlfn._xlws.FILTER($H$3:$H$23, ISNUMBER($H$3:$H$23)),H22)*100</f>
        <v>45.4</v>
      </c>
      <c r="AB22" s="4" cm="1">
        <f t="array" ref="AB22">_xlfn.PERCENTRANK.EXC(_xlfn._xlws.FILTER($J$3:$J$23, ISNUMBER($J$3:$J$23)),J22)*100</f>
        <v>90.9</v>
      </c>
      <c r="AC22" s="4">
        <f t="shared" si="4"/>
        <v>4.5</v>
      </c>
      <c r="AD22" s="4">
        <f t="shared" si="5"/>
        <v>4.5</v>
      </c>
      <c r="AE22" s="4">
        <f t="shared" si="6"/>
        <v>4.5</v>
      </c>
      <c r="AF22" s="4">
        <f t="shared" si="8"/>
        <v>37.22</v>
      </c>
      <c r="AH22" s="3" cm="1">
        <f t="array" ref="AH22">_xlfn.PERCENTRANK.EXC(_xlfn._xlws.FILTER($AF$3:$AF$23, ISNUMBER($AF$3:$AF$23)),AF22)*100</f>
        <v>22.7</v>
      </c>
      <c r="AI22">
        <f t="shared" si="7"/>
        <v>3</v>
      </c>
      <c r="AK22" s="4"/>
    </row>
    <row r="23" spans="1:37" x14ac:dyDescent="0.35">
      <c r="A23" t="s">
        <v>36</v>
      </c>
      <c r="B23" t="s">
        <v>454</v>
      </c>
      <c r="C23" t="s">
        <v>36</v>
      </c>
      <c r="D23" s="163">
        <f>VLOOKUP(C23,'Market Capitalisation'!$C$2:$G$31,5,FALSE)</f>
        <v>2975066.5</v>
      </c>
      <c r="E23" cm="1">
        <f t="array" ref="E23">_xll.FDS(C23,"FMA_COS_UP(""EPS"",""1M"",+1,NOW,,,""PORTAGG"",""MEANR"")")</f>
        <v>24</v>
      </c>
      <c r="F23" cm="1">
        <f t="array" ref="F23">_xll.FDS(C23,"FMA_COS_DOWN(""EPS"",""1M"",+1,NOW,,,""PORTAGG"",""MEANR"")")</f>
        <v>26</v>
      </c>
      <c r="G23" cm="1">
        <f t="array" ref="G23">_xll.FDS(A23,"SIZE(FG_CONSTITUENTS)")</f>
        <v>122</v>
      </c>
      <c r="H23" s="9">
        <f t="shared" si="0"/>
        <v>0.19672131147540983</v>
      </c>
      <c r="I23" s="9">
        <f t="shared" si="1"/>
        <v>0.21311475409836064</v>
      </c>
      <c r="J23" s="9">
        <f t="shared" si="2"/>
        <v>-1.639344262295081E-2</v>
      </c>
      <c r="K23" s="5" cm="1">
        <f t="array" ref="K23">_xll.FDS(A23,"FMA_PCT_ABOVE_MAVG(200,0,,,,""PORTAGG"")")/100</f>
        <v>0.68907563025210095</v>
      </c>
      <c r="L23" s="50" cm="1">
        <f t="array" ref="L23">_xll.FDSB(A23,"PERCENT_CHANGE(FMA_EPS(+1,0,,,,""PORTAGG"",""MEAN""),FMA_EPS(+1,-1AM,,,,""PORTAGG"",""MEAN""))")</f>
        <v>2.0992298915146099</v>
      </c>
      <c r="M23" s="50" cm="1">
        <f t="array" ref="M23">_xll.FDSB(A23,"PERCENT_CHANGE(FMA_EPS(+1,0,,,,""PORTAGG"",""MEAN""),FMA_EPS(+1,-3AM,,,,""PORTAGG"",""MEAN""))")</f>
        <v>-2.8479351288919501</v>
      </c>
      <c r="O23" s="3" cm="1">
        <f t="array" ref="O23">_xll.FDS(C23,"FG_TOTAL_RETURNC(0,-3AM)")</f>
        <v>8.7660900000000002</v>
      </c>
      <c r="P23" s="3" cm="1">
        <f t="array" ref="P23">_xll.FDS(C23,"FG_TOTAL_RETURNC(0,-6AM)")</f>
        <v>13.365316</v>
      </c>
      <c r="Q23" s="9" cm="1">
        <f t="array" ref="Q23">_xll.FDS(C23,"P_PRICE(0)/P_PRICE_HIGH_PR(0,,,USD,,,""PRICE"",""INTRA"",""52W"")")</f>
        <v>0.98931670000000005</v>
      </c>
      <c r="R23" s="9" cm="1">
        <f t="array" ref="R23">_xll.FDS(C23,"P_PRICE(0)/P_PRICE_low_PR(0,,,USD,,,""PRICE"",""INTRA"",""52W"")-1")</f>
        <v>0.24231422</v>
      </c>
      <c r="T23" s="4" cm="1">
        <f t="array" ref="T23">_xlfn.PERCENTRANK.EXC(_xlfn._xlws.FILTER($R$3:$R$23, ISNUMBER($R$3:$R$23)),R23)*100</f>
        <v>59</v>
      </c>
      <c r="U23" s="4">
        <f t="shared" si="3"/>
        <v>41</v>
      </c>
      <c r="V23" s="4" cm="1">
        <f t="array" ref="V23">_xlfn.PERCENTRANK.EXC(_xlfn._xlws.FILTER($Q$3:$Q$23, ISNUMBER($Q$3:$Q$23)),Q23)*100</f>
        <v>81.8</v>
      </c>
      <c r="W23" s="4" cm="1">
        <f t="array" ref="W23">_xlfn.PERCENTRANK.EXC(_xlfn._xlws.FILTER($O$3:$O$23, ISNUMBER($O$3:$O$23)),O23)*100</f>
        <v>81.8</v>
      </c>
      <c r="X23" s="4" cm="1">
        <f t="array" ref="X23">_xlfn.PERCENTRANK.EXC(_xlfn._xlws.FILTER($P$3:$P$23, ISNUMBER($P$3:$P$23)),P23)*100</f>
        <v>72.7</v>
      </c>
      <c r="Z23" s="4" cm="1">
        <f t="array" ref="Z23">_xlfn.PERCENTRANK.EXC(_xlfn._xlws.FILTER($K$3:$K$23, ISNUMBER($K$3:$K$23)),K23)*100</f>
        <v>68.100000000000009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68.100000000000009</v>
      </c>
      <c r="AC23" s="4">
        <f t="shared" si="4"/>
        <v>77.2</v>
      </c>
      <c r="AD23" s="4">
        <f t="shared" si="5"/>
        <v>54.500000000000007</v>
      </c>
      <c r="AE23" s="4">
        <f t="shared" si="6"/>
        <v>81.8</v>
      </c>
      <c r="AF23" s="4">
        <f t="shared" si="8"/>
        <v>95.429999999999993</v>
      </c>
      <c r="AH23" s="3" cm="1">
        <f t="array" ref="AH23">_xlfn.PERCENTRANK.EXC(_xlfn._xlws.FILTER($AF$3:$AF$23, ISNUMBER($AF$3:$AF$23)),AF23)*100</f>
        <v>95.399999999999991</v>
      </c>
      <c r="AI23">
        <f t="shared" si="7"/>
        <v>3</v>
      </c>
      <c r="AK23" s="4"/>
    </row>
    <row r="24" spans="1:37" x14ac:dyDescent="0.35">
      <c r="H24" s="9"/>
      <c r="I24" s="9"/>
      <c r="J24" s="9"/>
      <c r="K24" s="5"/>
      <c r="L24" s="50"/>
      <c r="M24" s="50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H24" s="4"/>
    </row>
    <row r="25" spans="1:37" x14ac:dyDescent="0.35">
      <c r="H25" s="9"/>
      <c r="I25" s="9"/>
      <c r="J25" s="9"/>
      <c r="K25" s="5"/>
      <c r="L25" s="50"/>
      <c r="M25" s="50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H25" s="4"/>
    </row>
    <row r="26" spans="1:37" x14ac:dyDescent="0.35">
      <c r="H26" s="9"/>
      <c r="I26" s="9"/>
      <c r="J26" s="9"/>
      <c r="K26" s="5"/>
      <c r="L26" s="50"/>
      <c r="M26" s="50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H26" s="4"/>
    </row>
    <row r="27" spans="1:37" x14ac:dyDescent="0.35">
      <c r="H27" s="9"/>
      <c r="I27" s="9"/>
      <c r="J27" s="9"/>
      <c r="K27" s="5"/>
      <c r="L27" s="50"/>
      <c r="M27" s="50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H27" s="4"/>
    </row>
    <row r="28" spans="1:37" x14ac:dyDescent="0.35">
      <c r="H28" s="9"/>
      <c r="I28" s="9"/>
      <c r="J28" s="9"/>
      <c r="K28" s="5"/>
      <c r="L28" s="50"/>
      <c r="M28" s="50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H28" s="4"/>
    </row>
    <row r="29" spans="1:37" x14ac:dyDescent="0.35">
      <c r="A29" s="1" t="s">
        <v>810</v>
      </c>
      <c r="H29" s="9"/>
      <c r="I29" s="9"/>
      <c r="J29" s="9"/>
      <c r="K29" s="5"/>
      <c r="L29" s="50"/>
      <c r="M29" s="50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H29" s="4"/>
    </row>
    <row r="30" spans="1:37" x14ac:dyDescent="0.35">
      <c r="A30" t="s">
        <v>554</v>
      </c>
      <c r="B30" t="s">
        <v>231</v>
      </c>
      <c r="C30" t="str">
        <f>A30</f>
        <v>VGK</v>
      </c>
      <c r="E30" cm="1">
        <f t="array" ref="E30">_xll.FDS(C30,"FMA_COS_UP(""EPS"",""1M"",+1,NOW,,,""PORTAGG"",""MEANR"")")</f>
        <v>431</v>
      </c>
      <c r="F30" cm="1">
        <f t="array" ref="F30">_xll.FDS(C30,"FMA_COS_DOWN(""EPS"",""1M"",+1,NOW,,,""PORTAGG"",""MEANR"")")</f>
        <v>546</v>
      </c>
      <c r="G30" cm="1">
        <f t="array" ref="G30">_xll.FDS(A30,"SIZE(FG_CONSTITUENTS)")</f>
        <v>1291</v>
      </c>
      <c r="H30" s="9">
        <f>E30/$G30</f>
        <v>0.3338497288923315</v>
      </c>
      <c r="I30" s="9">
        <f>F30/$G30</f>
        <v>0.42292796281951978</v>
      </c>
      <c r="J30" s="9">
        <f t="shared" ref="J30" si="9">H30-I30</f>
        <v>-8.9078233927188277E-2</v>
      </c>
      <c r="K30" s="5" cm="1">
        <f t="array" ref="K30">_xll.FDS(A30,"FMA_PCT_ABOVE_MAVG(200,0,,,,""PORTAGG"")")/100</f>
        <v>0.61242138364779897</v>
      </c>
      <c r="L30" s="50" cm="1">
        <f t="array" ref="L30">_xll.FDSB(A30,"PERCENT_CHANGE(FMA_EPS(+1,0,,,,""PORTAGG"",""MEAN""),FMA_EPS(+1,-1AM,,,,""PORTAGG"",""MEAN""))")</f>
        <v>0</v>
      </c>
      <c r="M30" s="50" cm="1">
        <f t="array" ref="M30">_xll.FDSB(A30,"PERCENT_CHANGE(FMA_EPS(+1,0,,,,""PORTAGG"",""MEAN""),FMA_EPS(+1,-3AM,,,,""PORTAGG"",""MEAN""))")</f>
        <v>-3.7127123963381199</v>
      </c>
      <c r="O30" s="3" cm="1">
        <f t="array" ref="O30">_xll.FDS(C30,"FG_TOTAL_RETURNC(0,-3AM)")</f>
        <v>5.3207279999999999</v>
      </c>
      <c r="P30" s="3" cm="1">
        <f t="array" ref="P30">_xll.FDS(C30,"FG_TOTAL_RETURNC(0,-6AM)")</f>
        <v>12.643373499999999</v>
      </c>
      <c r="Q30" s="9" cm="1">
        <f t="array" ref="Q30">_xll.FDS(C30,"P_PRICE(0)/P_PRICE_HIGH_PR(0,,,USD,,,""PRICE"",""INTRA"",""52W"")")</f>
        <v>0.99026270000000005</v>
      </c>
      <c r="R30" s="9" cm="1">
        <f t="array" ref="R30">_xll.FDS(C30,"P_PRICE(0)/P_PRICE_low_PR(0,,,USD,,,""PRICE"",""INTRA"",""52W"")-1")</f>
        <v>0.21903384000000001</v>
      </c>
      <c r="W30" s="4"/>
      <c r="X30" s="4"/>
      <c r="Y30" s="4"/>
      <c r="AA30" s="4"/>
      <c r="AB30" s="4"/>
      <c r="AC30" s="4"/>
      <c r="AD30" s="4"/>
      <c r="AE30" s="4"/>
      <c r="AF30" s="4"/>
      <c r="AG30" s="4"/>
      <c r="AI30" s="4"/>
    </row>
    <row r="31" spans="1:37" x14ac:dyDescent="0.35">
      <c r="A31" t="s">
        <v>6</v>
      </c>
      <c r="B31" t="s">
        <v>769</v>
      </c>
      <c r="C31" t="str">
        <f>A31</f>
        <v>VWO</v>
      </c>
      <c r="E31" cm="1">
        <f t="array" ref="E31">_xll.FDS(C31,"FMA_COS_UP(""EPS"",""1M"",+1,NOW,,,""PORTAGG"",""MEANR"")")</f>
        <v>775</v>
      </c>
      <c r="F31" cm="1">
        <f t="array" ref="F31">_xll.FDS(C31,"FMA_COS_DOWN(""EPS"",""1M"",+1,NOW,,,""PORTAGG"",""MEANR"")")</f>
        <v>1197</v>
      </c>
      <c r="G31" cm="1">
        <f t="array" ref="G31">_xll.FDS(A31,"SIZE(FG_CONSTITUENTS)")</f>
        <v>4677</v>
      </c>
      <c r="H31" s="9">
        <f>E31/$G31</f>
        <v>0.16570451143895659</v>
      </c>
      <c r="I31" s="9">
        <f>F31/$G31</f>
        <v>0.25593329057087877</v>
      </c>
      <c r="J31" s="9">
        <f t="shared" ref="J31" si="10">H31-I31</f>
        <v>-9.0228779131922177E-2</v>
      </c>
      <c r="K31" s="5" cm="1">
        <f t="array" ref="K31">_xll.FDS(A31,"FMA_PCT_ABOVE_MAVG(200,0,,,,""PORTAGG"")")/100</f>
        <v>0.32695269526952697</v>
      </c>
      <c r="L31" s="50" cm="1">
        <f t="array" ref="L31">_xll.FDSB(A31,"PERCENT_CHANGE(FMA_EPS(+1,0,,,,""PORTAGG"",""MEAN""),FMA_EPS(+1,-1AM,,,,""PORTAGG"",""MEAN""))")</f>
        <v>0</v>
      </c>
      <c r="M31" s="50" cm="1">
        <f t="array" ref="M31">_xll.FDSB(A31,"PERCENT_CHANGE(FMA_EPS(+1,0,,,,""PORTAGG"",""MEAN""),FMA_EPS(+1,-3AM,,,,""PORTAGG"",""MEAN""))")</f>
        <v>-4.3408333882001999</v>
      </c>
      <c r="O31" s="3" cm="1">
        <f t="array" ref="O31">_xll.FDS(C31,"FG_TOTAL_RETURNC(0,-3AM)")</f>
        <v>3.2642484</v>
      </c>
      <c r="P31" s="3" cm="1">
        <f t="array" ref="P31">_xll.FDS(C31,"FG_TOTAL_RETURNC(0,-6AM)")</f>
        <v>5.5372357000000001</v>
      </c>
      <c r="Q31" s="9" cm="1">
        <f t="array" ref="Q31">_xll.FDS(C31,"P_PRICE(0)/P_PRICE_HIGH_PR(0,,,USD,,,""PRICE"",""INTRA"",""52W"")")</f>
        <v>0.96890949999999998</v>
      </c>
      <c r="R31" s="9" cm="1">
        <f t="array" ref="R31">_xll.FDS(C31,"P_PRICE(0)/P_PRICE_low_PR(0,,,USD,,,""PRICE"",""INTRA"",""52W"")-1")</f>
        <v>0.11493778</v>
      </c>
    </row>
    <row r="32" spans="1:37" x14ac:dyDescent="0.35">
      <c r="A32" t="s">
        <v>811</v>
      </c>
      <c r="B32" t="s">
        <v>812</v>
      </c>
      <c r="C32" t="str">
        <f t="shared" ref="C32" si="11">A32</f>
        <v>URTH</v>
      </c>
      <c r="E32" cm="1">
        <f t="array" ref="E32">_xll.FDS(C32,"FMA_COS_UP(""EPS"",""1M"",+1,NOW,,,""PORTAGG"",""MEANR"")")</f>
        <v>593</v>
      </c>
      <c r="F32" cm="1">
        <f t="array" ref="F32">_xll.FDS(C32,"FMA_COS_DOWN(""EPS"",""1M"",+1,NOW,,,""PORTAGG"",""MEANR"")")</f>
        <v>632</v>
      </c>
      <c r="G32" cm="1">
        <f t="array" ref="G32">_xll.FDS(A32,"SIZE(FG_CONSTITUENTS)")</f>
        <v>1467</v>
      </c>
      <c r="H32" s="9">
        <f t="shared" ref="H32" si="12">E32/$G32</f>
        <v>0.4042263122017723</v>
      </c>
      <c r="I32" s="9">
        <f t="shared" ref="I32" si="13">F32/$G32</f>
        <v>0.43081117927743695</v>
      </c>
      <c r="J32" s="9">
        <f t="shared" ref="J32" si="14">H32-I32</f>
        <v>-2.6584867075664653E-2</v>
      </c>
      <c r="K32" s="5" cm="1">
        <f t="array" ref="K32">_xll.FDS(A32,"FMA_PCT_ABOVE_MAVG(200,0,,,,""PORTAGG"")")/100</f>
        <v>0.71448087431694007</v>
      </c>
      <c r="L32" s="50" cm="1">
        <f t="array" ref="L32">_xll.FDSB(A32,"PERCENT_CHANGE(FMA_EPS(+1,0,,,,""PORTAGG"",""MEAN""),FMA_EPS(+1,-1AM,,,,""PORTAGG"",""MEAN""))")</f>
        <v>0.71389787653052506</v>
      </c>
      <c r="M32" s="50" cm="1">
        <f t="array" ref="M32">_xll.FDSB(A32,"PERCENT_CHANGE(FMA_EPS(+1,0,,,,""PORTAGG"",""MEAN""),FMA_EPS(+1,-3AM,,,,""PORTAGG"",""MEAN""))")</f>
        <v>-1.8476459262552301</v>
      </c>
      <c r="O32" s="3" cm="1">
        <f t="array" ref="O32">_xll.FDS(C32,"FG_TOTAL_RETURNC(0,-3AM)")</f>
        <v>8.4825520000000001</v>
      </c>
      <c r="P32" s="3" cm="1">
        <f t="array" ref="P32">_xll.FDS(C32,"FG_TOTAL_RETURNC(0,-6AM)")</f>
        <v>14.212142999999999</v>
      </c>
      <c r="Q32" s="9" cm="1">
        <f t="array" ref="Q32">_xll.FDS(C32,"P_PRICE(0)/P_PRICE_HIGH_PR(0,,,USD,,,""PRICE"",""INTRA"",""52W"")")</f>
        <v>0.99157435000000005</v>
      </c>
      <c r="R32" s="9" cm="1">
        <f t="array" ref="R32">_xll.FDS(C32,"P_PRICE(0)/P_PRICE_low_PR(0,,,USD,,,""PRICE"",""INTRA"",""52W"")-1")</f>
        <v>0.30069410000000002</v>
      </c>
    </row>
    <row r="33" spans="1:18" x14ac:dyDescent="0.35">
      <c r="A33" t="s">
        <v>46</v>
      </c>
      <c r="B33" t="s">
        <v>850</v>
      </c>
      <c r="C33" t="str">
        <f t="shared" ref="C33:C34" si="15">A33</f>
        <v>EWJ</v>
      </c>
      <c r="E33" cm="1">
        <f t="array" ref="E33">_xll.FDS(C33,"FMA_COS_UP(""EPS"",""1M"",+1,NOW,,,""PORTAGG"",""MEANR"")")</f>
        <v>115</v>
      </c>
      <c r="F33" cm="1">
        <f t="array" ref="F33">_xll.FDS(C33,"FMA_COS_DOWN(""EPS"",""1M"",+1,NOW,,,""PORTAGG"",""MEANR"")")</f>
        <v>91</v>
      </c>
      <c r="G33" cm="1">
        <f t="array" ref="G33">_xll.FDS(A33,"SIZE(FG_CONSTITUENTS)")</f>
        <v>219</v>
      </c>
      <c r="H33" s="9">
        <f t="shared" ref="H33:H34" si="16">E33/$G33</f>
        <v>0.52511415525114158</v>
      </c>
      <c r="I33" s="9">
        <f t="shared" ref="I33:I34" si="17">F33/$G33</f>
        <v>0.41552511415525112</v>
      </c>
      <c r="J33" s="9">
        <f t="shared" ref="J33:J34" si="18">H33-I33</f>
        <v>0.10958904109589046</v>
      </c>
      <c r="K33" s="5" cm="1">
        <f t="array" ref="K33">_xll.FDS(A33,"FMA_PCT_ABOVE_MAVG(200,0,,,,""PORTAGG"")")/100</f>
        <v>0.66666666666666696</v>
      </c>
      <c r="L33" s="50" cm="1">
        <f t="array" ref="L33">_xll.FDSB(A33,"PERCENT_CHANGE(FMA_EPS(+1,0,,,,""PORTAGG"",""MEAN""),FMA_EPS(+1,-1AM,,,,""PORTAGG"",""MEAN""))")</f>
        <v>2.0151552121530201</v>
      </c>
      <c r="M33" s="50" cm="1">
        <f t="array" ref="M33">_xll.FDSB(A33,"PERCENT_CHANGE(FMA_EPS(+1,0,,,,""PORTAGG"",""MEAN""),FMA_EPS(+1,-3AM,,,,""PORTAGG"",""MEAN""))")</f>
        <v>-3.0064091596245399</v>
      </c>
      <c r="O33" s="3" cm="1">
        <f t="array" ref="O33">_xll.FDS(C33,"FG_TOTAL_RETURNC(0,-3AM)")</f>
        <v>9.9080200000000005</v>
      </c>
      <c r="P33" s="3" cm="1">
        <f t="array" ref="P33">_xll.FDS(C33,"FG_TOTAL_RETURNC(0,-6AM)")</f>
        <v>10.567403000000001</v>
      </c>
      <c r="Q33" s="9" cm="1">
        <f t="array" ref="Q33">_xll.FDS(C33,"P_PRICE(0)/P_PRICE_HIGH_PR(0,,,USD,,,""PRICE"",""INTRA"",""52W"")")</f>
        <v>0.96244160000000001</v>
      </c>
      <c r="R33" s="9" cm="1">
        <f t="array" ref="R33">_xll.FDS(C33,"P_PRICE(0)/P_PRICE_low_PR(0,,,USD,,,""PRICE"",""INTRA"",""52W"")-1")</f>
        <v>0.26587843999999999</v>
      </c>
    </row>
    <row r="34" spans="1:18" x14ac:dyDescent="0.35">
      <c r="A34" t="s">
        <v>1</v>
      </c>
      <c r="B34" t="s">
        <v>123</v>
      </c>
      <c r="C34" t="str">
        <f t="shared" si="15"/>
        <v>SPY</v>
      </c>
      <c r="E34" cm="1">
        <f t="array" ref="E34">_xll.FDS(C34,"FMA_COS_UP(""EPS"",""1M"",+1,NOW,,,""PORTAGG"",""MEANR"")")</f>
        <v>181</v>
      </c>
      <c r="F34" cm="1">
        <f t="array" ref="F34">_xll.FDS(C34,"FMA_COS_DOWN(""EPS"",""1M"",+1,NOW,,,""PORTAGG"",""MEANR"")")</f>
        <v>184</v>
      </c>
      <c r="G34" cm="1">
        <f t="array" ref="G34">_xll.FDS(A34,"SIZE(FG_CONSTITUENTS)")</f>
        <v>504</v>
      </c>
      <c r="H34" s="9">
        <f t="shared" si="16"/>
        <v>0.35912698412698413</v>
      </c>
      <c r="I34" s="9">
        <f t="shared" si="17"/>
        <v>0.36507936507936506</v>
      </c>
      <c r="J34" s="9">
        <f t="shared" si="18"/>
        <v>-5.9523809523809312E-3</v>
      </c>
      <c r="K34" s="5" cm="1">
        <f t="array" ref="K34">_xll.FDS(A34,"FMA_PCT_ABOVE_MAVG(200,0,,,,""PORTAGG"")")/100</f>
        <v>0.75745526838966204</v>
      </c>
      <c r="L34" s="50" cm="1">
        <f t="array" ref="L34">_xll.FDSB(A34,"PERCENT_CHANGE(FMA_EPS(+1,0,,,,""PORTAGG"",""MEAN""),FMA_EPS(+1,-1AM,,,,""PORTAGG"",""MEAN""))")</f>
        <v>0.57227030370540499</v>
      </c>
      <c r="M34" s="50" cm="1">
        <f t="array" ref="M34">_xll.FDSB(A34,"PERCENT_CHANGE(FMA_EPS(+1,0,,,,""PORTAGG"",""MEAN""),FMA_EPS(+1,-3AM,,,,""PORTAGG"",""MEAN""))")</f>
        <v>-0.51062598010156401</v>
      </c>
      <c r="O34" s="3" cm="1">
        <f t="array" ref="O34">_xll.FDS(C34,"FG_TOTAL_RETURNC(0,-3AM)")</f>
        <v>9.5403310000000001</v>
      </c>
      <c r="P34" s="3" cm="1">
        <f t="array" ref="P34">_xll.FDS(C34,"FG_TOTAL_RETURNC(0,-6AM)")</f>
        <v>15.216184</v>
      </c>
      <c r="Q34" s="9" cm="1">
        <f t="array" ref="Q34">_xll.FDS(C34,"P_PRICE(0)/P_PRICE_HIGH_PR(0,,,USD,,,""PRICE"",""INTRA"",""52W"")")</f>
        <v>0.99368979999999996</v>
      </c>
      <c r="R34" s="9" cm="1">
        <f t="array" ref="R34">_xll.FDS(C34,"P_PRICE(0)/P_PRICE_low_PR(0,,,USD,,,""PRICE"",""INTRA"",""52W"")-1")</f>
        <v>0.34202919999999998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52"/>
      <c r="F38" s="52"/>
      <c r="Q38" s="9"/>
      <c r="R38" s="9"/>
    </row>
    <row r="39" spans="1:18" ht="15" customHeight="1" x14ac:dyDescent="0.35">
      <c r="E39" s="52"/>
      <c r="F39" s="52"/>
      <c r="Q39" s="9"/>
      <c r="R39" s="9"/>
    </row>
    <row r="40" spans="1:18" ht="15" customHeight="1" x14ac:dyDescent="0.35">
      <c r="E40" s="52"/>
      <c r="F40" s="52"/>
      <c r="Q40" s="9"/>
      <c r="R40" s="9"/>
    </row>
    <row r="41" spans="1:18" ht="15" customHeight="1" x14ac:dyDescent="0.35">
      <c r="C41" s="1"/>
      <c r="D41" s="1"/>
      <c r="E41" s="52"/>
      <c r="F41" s="52"/>
      <c r="Q41" s="9"/>
      <c r="R41" s="9"/>
    </row>
    <row r="42" spans="1:18" ht="15" customHeight="1" x14ac:dyDescent="0.35">
      <c r="E42" s="52"/>
      <c r="F42" s="52"/>
      <c r="Q42" s="9"/>
      <c r="R42" s="9"/>
    </row>
    <row r="43" spans="1:18" ht="15" customHeight="1" x14ac:dyDescent="0.35">
      <c r="E43" s="52"/>
      <c r="F43" s="52"/>
      <c r="Q43" s="9"/>
      <c r="R43" s="9"/>
    </row>
    <row r="44" spans="1:18" ht="15" customHeight="1" x14ac:dyDescent="0.35">
      <c r="E44" s="52"/>
      <c r="F44" s="52"/>
      <c r="Q44" s="9"/>
      <c r="R44" s="9"/>
    </row>
    <row r="45" spans="1:18" ht="15" customHeight="1" x14ac:dyDescent="0.35">
      <c r="E45" s="52"/>
      <c r="F45" s="52"/>
      <c r="P45" s="1"/>
      <c r="Q45" s="9"/>
      <c r="R45" s="9"/>
    </row>
    <row r="46" spans="1:18" ht="15" customHeight="1" x14ac:dyDescent="0.35">
      <c r="E46" s="52"/>
      <c r="F46" s="52"/>
      <c r="Q46" s="9"/>
      <c r="R46" s="9"/>
    </row>
    <row r="47" spans="1:18" ht="15" customHeight="1" x14ac:dyDescent="0.35">
      <c r="E47" s="52"/>
      <c r="F47" s="52"/>
      <c r="Q47" s="9"/>
      <c r="R47" s="9"/>
    </row>
    <row r="48" spans="1:18" ht="15" customHeight="1" x14ac:dyDescent="0.35">
      <c r="C48" s="1"/>
      <c r="D48" s="1"/>
      <c r="E48" s="52"/>
      <c r="F48" s="52"/>
      <c r="Q48" s="9"/>
      <c r="R48" s="9"/>
    </row>
    <row r="49" spans="3:18" ht="15" customHeight="1" x14ac:dyDescent="0.35">
      <c r="E49" s="52"/>
      <c r="F49" s="52"/>
      <c r="Q49" s="9"/>
      <c r="R49" s="9"/>
    </row>
    <row r="50" spans="3:18" ht="15" customHeight="1" x14ac:dyDescent="0.35">
      <c r="E50" s="52"/>
      <c r="F50" s="52"/>
      <c r="Q50" s="9"/>
      <c r="R50" s="9"/>
    </row>
    <row r="51" spans="3:18" ht="15" customHeight="1" x14ac:dyDescent="0.35">
      <c r="E51" s="52"/>
      <c r="F51" s="52"/>
      <c r="Q51" s="9"/>
      <c r="R51" s="9"/>
    </row>
    <row r="52" spans="3:18" ht="15" customHeight="1" x14ac:dyDescent="0.35">
      <c r="E52" s="52"/>
      <c r="F52" s="52"/>
      <c r="Q52" s="9"/>
      <c r="R52" s="9"/>
    </row>
    <row r="53" spans="3:18" ht="15" customHeight="1" x14ac:dyDescent="0.35">
      <c r="C53" s="1"/>
      <c r="D53" s="1"/>
      <c r="E53" s="52"/>
      <c r="F53" s="52"/>
      <c r="Q53" s="9"/>
      <c r="R53" s="9"/>
    </row>
    <row r="54" spans="3:18" ht="15" customHeight="1" x14ac:dyDescent="0.35">
      <c r="E54" s="52"/>
      <c r="F54" s="52"/>
      <c r="Q54" s="9"/>
      <c r="R54" s="9"/>
    </row>
    <row r="55" spans="3:18" ht="15" customHeight="1" x14ac:dyDescent="0.35">
      <c r="E55" s="52"/>
      <c r="F55" s="52"/>
      <c r="Q55" s="9"/>
      <c r="R55" s="9"/>
    </row>
    <row r="56" spans="3:18" ht="15" customHeight="1" x14ac:dyDescent="0.35">
      <c r="E56" s="52"/>
      <c r="F56" s="52"/>
      <c r="Q56" s="9"/>
      <c r="R56" s="9"/>
    </row>
    <row r="57" spans="3:18" ht="15" customHeight="1" x14ac:dyDescent="0.35">
      <c r="E57" s="52"/>
      <c r="F57" s="52"/>
      <c r="Q57" s="9"/>
      <c r="R57" s="9"/>
    </row>
    <row r="58" spans="3:18" ht="15" customHeight="1" x14ac:dyDescent="0.35">
      <c r="C58" s="1"/>
      <c r="D58" s="1"/>
      <c r="E58" s="52"/>
      <c r="F58" s="52"/>
      <c r="Q58" s="9"/>
      <c r="R58" s="9"/>
    </row>
    <row r="59" spans="3:18" ht="15" customHeight="1" x14ac:dyDescent="0.35">
      <c r="C59" s="1"/>
      <c r="D59" s="1"/>
      <c r="E59" s="52"/>
      <c r="F59" s="52"/>
    </row>
    <row r="60" spans="3:18" ht="15" customHeight="1" x14ac:dyDescent="0.35">
      <c r="E60" s="52"/>
      <c r="F60" s="52"/>
    </row>
    <row r="61" spans="3:18" ht="15" customHeight="1" x14ac:dyDescent="0.35">
      <c r="E61" s="52"/>
      <c r="F61" s="52"/>
    </row>
    <row r="62" spans="3:18" ht="15" customHeight="1" x14ac:dyDescent="0.35">
      <c r="E62" s="53"/>
      <c r="F62" s="53"/>
      <c r="G62" s="1"/>
    </row>
    <row r="63" spans="3:18" ht="15" customHeight="1" x14ac:dyDescent="0.35">
      <c r="E63" s="52"/>
      <c r="F63" s="52"/>
    </row>
    <row r="64" spans="3:18" ht="15" customHeight="1" x14ac:dyDescent="0.35">
      <c r="E64" s="52"/>
      <c r="F64" s="52"/>
    </row>
    <row r="65" spans="5:7" ht="15" customHeight="1" x14ac:dyDescent="0.35">
      <c r="E65" s="52"/>
      <c r="F65" s="52"/>
    </row>
    <row r="66" spans="5:7" ht="15" customHeight="1" x14ac:dyDescent="0.35">
      <c r="E66" s="52"/>
      <c r="F66" s="52"/>
    </row>
    <row r="67" spans="5:7" ht="15" customHeight="1" x14ac:dyDescent="0.35">
      <c r="E67" s="52"/>
      <c r="F67" s="52"/>
    </row>
    <row r="68" spans="5:7" ht="15" customHeight="1" x14ac:dyDescent="0.35">
      <c r="E68" s="52"/>
      <c r="F68" s="52"/>
    </row>
    <row r="69" spans="5:7" ht="15" customHeight="1" x14ac:dyDescent="0.35">
      <c r="E69" s="52"/>
      <c r="F69" s="52"/>
    </row>
    <row r="70" spans="5:7" ht="15" customHeight="1" x14ac:dyDescent="0.35">
      <c r="E70" s="53"/>
      <c r="F70" s="53"/>
      <c r="G70" s="1"/>
    </row>
    <row r="71" spans="5:7" ht="15" customHeight="1" x14ac:dyDescent="0.35">
      <c r="E71" s="52"/>
      <c r="F71" s="52"/>
    </row>
    <row r="72" spans="5:7" ht="15" customHeight="1" x14ac:dyDescent="0.35">
      <c r="E72" s="52"/>
      <c r="F72" s="52"/>
    </row>
    <row r="73" spans="5:7" ht="15" customHeight="1" x14ac:dyDescent="0.35">
      <c r="E73" s="52"/>
      <c r="F73" s="52"/>
    </row>
    <row r="74" spans="5:7" ht="15" customHeight="1" x14ac:dyDescent="0.35">
      <c r="E74" s="52"/>
      <c r="F74" s="52"/>
    </row>
    <row r="75" spans="5:7" ht="15" customHeight="1" x14ac:dyDescent="0.35">
      <c r="E75" s="52"/>
      <c r="F75" s="52"/>
    </row>
    <row r="76" spans="5:7" ht="15" customHeight="1" x14ac:dyDescent="0.35">
      <c r="E76" s="52"/>
      <c r="F76" s="52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workbookViewId="0">
      <selection activeCell="A4" sqref="A4"/>
    </sheetView>
  </sheetViews>
  <sheetFormatPr defaultRowHeight="14.5" x14ac:dyDescent="0.35"/>
  <cols>
    <col min="3" max="3" width="45.6328125" bestFit="1" customWidth="1"/>
    <col min="4" max="4" width="14.54296875" customWidth="1"/>
    <col min="5" max="5" width="10.90625" customWidth="1"/>
    <col min="6" max="7" width="8.453125" customWidth="1"/>
    <col min="8" max="8" width="24.08984375" customWidth="1"/>
    <col min="9" max="9" width="20.453125" customWidth="1"/>
    <col min="10" max="10" width="24.36328125" bestFit="1" customWidth="1"/>
    <col min="11" max="11" width="13.453125" customWidth="1"/>
    <col min="12" max="12" width="14.36328125" customWidth="1"/>
    <col min="13" max="13" width="15.6328125" customWidth="1"/>
    <col min="14" max="14" width="12.36328125" customWidth="1"/>
    <col min="16" max="16" width="9.6328125" customWidth="1"/>
  </cols>
  <sheetData>
    <row r="1" spans="2:18" ht="58" x14ac:dyDescent="0.35">
      <c r="L1" t="s">
        <v>540</v>
      </c>
      <c r="M1" t="s">
        <v>539</v>
      </c>
      <c r="N1" s="60" t="s">
        <v>412</v>
      </c>
      <c r="P1" s="60" t="s">
        <v>411</v>
      </c>
    </row>
    <row r="2" spans="2:18" x14ac:dyDescent="0.35">
      <c r="L2" s="6">
        <f>Assumption!E52</f>
        <v>0.25</v>
      </c>
      <c r="M2" s="6">
        <f>Assumption!F52</f>
        <v>0.25</v>
      </c>
      <c r="N2" s="6">
        <f>Assumption!G52</f>
        <v>0.5</v>
      </c>
    </row>
    <row r="3" spans="2:18" x14ac:dyDescent="0.35">
      <c r="D3" t="s">
        <v>409</v>
      </c>
      <c r="E3" s="55" t="s">
        <v>93</v>
      </c>
      <c r="H3" t="s">
        <v>410</v>
      </c>
      <c r="I3" t="s">
        <v>98</v>
      </c>
      <c r="J3" s="1"/>
      <c r="P3" t="s">
        <v>548</v>
      </c>
      <c r="R3" t="s">
        <v>817</v>
      </c>
    </row>
    <row r="4" spans="2:18" x14ac:dyDescent="0.35">
      <c r="B4" t="s">
        <v>437</v>
      </c>
      <c r="C4" t="s">
        <v>440</v>
      </c>
      <c r="D4" s="9">
        <f>HLOOKUP(B4,'Monthly Returns'!$A$1:$AC$134, 127, FALSE)</f>
        <v>-0.14531827</v>
      </c>
      <c r="E4" s="9">
        <f>HLOOKUP(B4,'Monthly Returns'!$A$1:$AC$134, 132, FALSE)</f>
        <v>0.14130434782608695</v>
      </c>
      <c r="H4" s="9">
        <f>HLOOKUP(B4,'Yearly returns'!$B$1:$V$140, 133, FALSE)</f>
        <v>0.35802469135802467</v>
      </c>
      <c r="I4" s="9">
        <f>HLOOKUP(B4,'Yearly returns'!$B$1:$V$140, 138, FALSE)</f>
        <v>0.26800000000000002</v>
      </c>
      <c r="L4" s="56">
        <f t="shared" ref="L4:L24" si="0">(1-PERCENTRANK($E$4:$E$24,E4))*100</f>
        <v>80</v>
      </c>
      <c r="M4" s="56">
        <f t="shared" ref="M4:M24" si="1">(1-PERCENTRANK($H$4:$H$24,H4))*100</f>
        <v>19.999999999999996</v>
      </c>
      <c r="N4" s="56">
        <f t="shared" ref="N4:N24" si="2">(1-PERCENTRANK($I$4:$I$24,I4))*100</f>
        <v>95</v>
      </c>
      <c r="P4">
        <f>L4*Assumption!$E$52 + M4*Assumption!$F$52 + N4*Assumption!$G$52</f>
        <v>72.5</v>
      </c>
      <c r="R4" cm="1">
        <f t="array" ref="R4">_xlfn.PERCENTRANK.EXC(_xlfn._xlws.FILTER(P$4:P$24, ISNUMBER(P$4:P$24)),P4)*100</f>
        <v>90.9</v>
      </c>
    </row>
    <row r="5" spans="2:18" x14ac:dyDescent="0.35">
      <c r="B5" t="s">
        <v>27</v>
      </c>
      <c r="C5" t="s">
        <v>441</v>
      </c>
      <c r="D5" s="9">
        <f>HLOOKUP(B5,'Monthly Returns'!$A$1:$AC$134, 127, FALSE)</f>
        <v>-0.24767702</v>
      </c>
      <c r="E5" s="9">
        <f>HLOOKUP(B5,'Monthly Returns'!$A$1:$AC$134, 132, FALSE)</f>
        <v>0.24793388429752067</v>
      </c>
      <c r="H5" s="9">
        <f>HLOOKUP(B5,'Yearly returns'!$B$1:$V$140, 133, FALSE)</f>
        <v>0.42975206611570249</v>
      </c>
      <c r="I5" s="9">
        <f>HLOOKUP(B5,'Yearly returns'!$B$1:$V$140, 138, FALSE)</f>
        <v>0.55700000000000005</v>
      </c>
      <c r="L5" s="56">
        <f t="shared" si="0"/>
        <v>19.999999999999996</v>
      </c>
      <c r="M5" s="56">
        <f t="shared" si="1"/>
        <v>9.9999999999999982</v>
      </c>
      <c r="N5" s="56">
        <f t="shared" si="2"/>
        <v>80</v>
      </c>
      <c r="P5">
        <f>L5*Assumption!$E$52 + M5*Assumption!$F$52 + N5*Assumption!$G$52</f>
        <v>47.5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442</v>
      </c>
      <c r="D6" s="9">
        <f>HLOOKUP(B6,'Monthly Returns'!$A$1:$AC$134, 127, FALSE)</f>
        <v>-0.25031137000000003</v>
      </c>
      <c r="E6" s="9">
        <f>HLOOKUP(B6,'Monthly Returns'!$A$1:$AC$134, 132, FALSE)</f>
        <v>0.19008264462809918</v>
      </c>
      <c r="H6" s="9">
        <f>HLOOKUP(B6,'Yearly returns'!$B$1:$V$140, 133, FALSE)</f>
        <v>0.24793388429752067</v>
      </c>
      <c r="I6" s="9">
        <f>HLOOKUP(B6,'Yearly returns'!$B$1:$V$140, 138, FALSE)</f>
        <v>0.64700000000000002</v>
      </c>
      <c r="L6" s="56">
        <f t="shared" si="0"/>
        <v>55.000000000000007</v>
      </c>
      <c r="M6" s="56">
        <f t="shared" si="1"/>
        <v>80</v>
      </c>
      <c r="N6" s="56">
        <f t="shared" si="2"/>
        <v>65</v>
      </c>
      <c r="P6">
        <f>L6*Assumption!$E$52 + M6*Assumption!$F$52 + N6*Assumption!$G$52</f>
        <v>66.25</v>
      </c>
      <c r="R6" cm="1">
        <f t="array" ref="R6">_xlfn.PERCENTRANK.EXC(_xlfn._xlws.FILTER(P$4:P$24, ISNUMBER(P$4:P$24)),P6)*100</f>
        <v>77.2</v>
      </c>
    </row>
    <row r="7" spans="2:18" x14ac:dyDescent="0.35">
      <c r="B7" t="s">
        <v>30</v>
      </c>
      <c r="C7" t="s">
        <v>443</v>
      </c>
      <c r="D7" s="9">
        <f>HLOOKUP(B7,'Monthly Returns'!$A$1:$AC$134, 127, FALSE)</f>
        <v>-0.23558742999999999</v>
      </c>
      <c r="E7" s="9">
        <f>HLOOKUP(B7,'Monthly Returns'!$A$1:$AC$134, 132, FALSE)</f>
        <v>0.19008264462809918</v>
      </c>
      <c r="H7" s="9">
        <f>HLOOKUP(B7,'Yearly returns'!$B$1:$V$140, 133, FALSE)</f>
        <v>0.28099173553719009</v>
      </c>
      <c r="I7" s="9">
        <f>HLOOKUP(B7,'Yearly returns'!$B$1:$V$140, 138, FALSE)</f>
        <v>0.77</v>
      </c>
      <c r="L7" s="56">
        <f t="shared" si="0"/>
        <v>55.000000000000007</v>
      </c>
      <c r="M7" s="56">
        <f t="shared" si="1"/>
        <v>55.000000000000007</v>
      </c>
      <c r="N7" s="56">
        <f t="shared" si="2"/>
        <v>40</v>
      </c>
      <c r="P7">
        <f>L7*Assumption!$E$52 + M7*Assumption!$F$52 + N7*Assumption!$G$52</f>
        <v>47.5</v>
      </c>
      <c r="R7" cm="1">
        <f t="array" ref="R7">_xlfn.PERCENTRANK.EXC(_xlfn._xlws.FILTER(P$4:P$24, ISNUMBER(P$4:P$24)),P7)*100</f>
        <v>36.299999999999997</v>
      </c>
    </row>
    <row r="8" spans="2:18" x14ac:dyDescent="0.35">
      <c r="B8" t="s">
        <v>23</v>
      </c>
      <c r="C8" t="s">
        <v>444</v>
      </c>
      <c r="D8" s="9">
        <f>HLOOKUP(B8,'Monthly Returns'!$A$1:$AC$134, 127, FALSE)</f>
        <v>-0.32687527000000005</v>
      </c>
      <c r="E8" s="9">
        <f>HLOOKUP(B8,'Monthly Returns'!$A$1:$AC$134, 132, FALSE)</f>
        <v>0.2231404958677686</v>
      </c>
      <c r="H8" s="9">
        <f>HLOOKUP(B8,'Yearly returns'!$B$1:$V$140, 133, FALSE)</f>
        <v>0.42975206611570249</v>
      </c>
      <c r="I8" s="9">
        <f>HLOOKUP(B8,'Yearly returns'!$B$1:$V$140, 138, FALSE)</f>
        <v>0.97499999999999998</v>
      </c>
      <c r="L8" s="56">
        <f t="shared" si="0"/>
        <v>30.000000000000004</v>
      </c>
      <c r="M8" s="56">
        <f t="shared" si="1"/>
        <v>9.9999999999999982</v>
      </c>
      <c r="N8" s="56">
        <f t="shared" si="2"/>
        <v>0</v>
      </c>
      <c r="P8">
        <f>L8*Assumption!$E$52 + M8*Assumption!$F$52 + N8*Assumption!$G$52</f>
        <v>10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445</v>
      </c>
      <c r="D9" s="9">
        <f>HLOOKUP(B9,'Monthly Returns'!$A$1:$AC$134, 127, FALSE)</f>
        <v>-0.26236623999999997</v>
      </c>
      <c r="E9" s="9">
        <f>HLOOKUP(B9,'Monthly Returns'!$A$1:$AC$134, 132, FALSE)</f>
        <v>0.23140495867768596</v>
      </c>
      <c r="H9" s="9">
        <f>HLOOKUP(B9,'Yearly returns'!$B$1:$V$140, 133, FALSE)</f>
        <v>0.256198347107438</v>
      </c>
      <c r="I9" s="9">
        <f>HLOOKUP(B9,'Yearly returns'!$B$1:$V$140, 138, FALSE)</f>
        <v>0.90900000000000003</v>
      </c>
      <c r="L9" s="56">
        <f t="shared" si="0"/>
        <v>25</v>
      </c>
      <c r="M9" s="58">
        <f t="shared" si="1"/>
        <v>70</v>
      </c>
      <c r="N9" s="56">
        <f t="shared" si="2"/>
        <v>5.0000000000000044</v>
      </c>
      <c r="P9">
        <f>L9*Assumption!$E$52 + M9*Assumption!$F$52 + N9*Assumption!$G$52</f>
        <v>26.250000000000004</v>
      </c>
      <c r="R9" cm="1">
        <f t="array" ref="R9">_xlfn.PERCENTRANK.EXC(_xlfn._xlws.FILTER(P$4:P$24, ISNUMBER(P$4:P$24)),P9)*100</f>
        <v>13.600000000000001</v>
      </c>
    </row>
    <row r="10" spans="2:18" x14ac:dyDescent="0.35">
      <c r="B10" t="s">
        <v>33</v>
      </c>
      <c r="C10" t="s">
        <v>446</v>
      </c>
      <c r="D10" s="9">
        <f>HLOOKUP(B10,'Monthly Returns'!$A$1:$AC$134, 127, FALSE)</f>
        <v>-0.17338259</v>
      </c>
      <c r="E10" s="9">
        <f>HLOOKUP(B10,'Monthly Returns'!$A$1:$AC$134, 132, FALSE)</f>
        <v>0.10743801652892562</v>
      </c>
      <c r="H10" s="9">
        <f>HLOOKUP(B10,'Yearly returns'!$B$1:$V$140, 133, FALSE)</f>
        <v>0.24793388429752067</v>
      </c>
      <c r="I10" s="9">
        <f>HLOOKUP(B10,'Yearly returns'!$B$1:$V$140, 138, FALSE)</f>
        <v>0.83599999999999997</v>
      </c>
      <c r="L10" s="56">
        <f t="shared" si="0"/>
        <v>95</v>
      </c>
      <c r="M10" s="56">
        <f t="shared" si="1"/>
        <v>80</v>
      </c>
      <c r="N10" s="56">
        <f t="shared" si="2"/>
        <v>25</v>
      </c>
      <c r="P10">
        <f>L10*Assumption!$E$52 + M10*Assumption!$F$52 + N10*Assumption!$G$52</f>
        <v>56.25</v>
      </c>
      <c r="R10" cm="1">
        <f t="array" ref="R10">_xlfn.PERCENTRANK.EXC(_xlfn._xlws.FILTER(P$4:P$24, ISNUMBER(P$4:P$24)),P10)*100</f>
        <v>54.500000000000007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-0.13732390999999999</v>
      </c>
      <c r="E11" s="9">
        <f>HLOOKUP(B11,'Monthly Returns'!$A$1:$AC$134, 132, FALSE)</f>
        <v>0.12396694214876033</v>
      </c>
      <c r="H11" s="9">
        <f>HLOOKUP(B11,'Yearly returns'!$B$1:$V$140, 133, FALSE)</f>
        <v>0.17355371900826447</v>
      </c>
      <c r="I11" s="9">
        <f>HLOOKUP(B11,'Yearly returns'!$B$1:$V$140, 138, FALSE)</f>
        <v>0.745</v>
      </c>
      <c r="L11" s="56">
        <f t="shared" si="0"/>
        <v>90</v>
      </c>
      <c r="M11" s="56">
        <f t="shared" si="1"/>
        <v>90</v>
      </c>
      <c r="N11" s="56">
        <f t="shared" si="2"/>
        <v>44.999999999999993</v>
      </c>
      <c r="P11">
        <f>L11*Assumption!$E$52 + M11*Assumption!$F$52 + N11*Assumption!$G$52</f>
        <v>67.5</v>
      </c>
      <c r="R11" cm="1">
        <f t="array" ref="R11">_xlfn.PERCENTRANK.EXC(_xlfn._xlws.FILTER(P$4:P$24, ISNUMBER(P$4:P$24)),P11)*100</f>
        <v>86.3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-0.27981556000000002</v>
      </c>
      <c r="E12" s="9">
        <f>HLOOKUP(B12,'Monthly Returns'!$A$1:$AC$134, 132, FALSE)</f>
        <v>0.17355371900826447</v>
      </c>
      <c r="H12" s="9">
        <f>HLOOKUP(B12,'Yearly returns'!$B$1:$V$140, 133, FALSE)</f>
        <v>0.27272727272727271</v>
      </c>
      <c r="I12" s="9">
        <f>HLOOKUP(B12,'Yearly returns'!$B$1:$V$140, 138, FALSE)</f>
        <v>0.85199999999999998</v>
      </c>
      <c r="L12" s="56">
        <f t="shared" si="0"/>
        <v>65</v>
      </c>
      <c r="M12" s="56">
        <f t="shared" si="1"/>
        <v>65</v>
      </c>
      <c r="N12" s="56">
        <f t="shared" si="2"/>
        <v>15.000000000000002</v>
      </c>
      <c r="P12">
        <f>L12*Assumption!$E$52 + M12*Assumption!$F$52 + N12*Assumption!$G$52</f>
        <v>40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-0.19906586000000001</v>
      </c>
      <c r="E13" s="9">
        <f>HLOOKUP(B13,'Monthly Returns'!$A$1:$AC$134, 132, FALSE)</f>
        <v>0.19834710743801653</v>
      </c>
      <c r="H13" s="9">
        <f>HLOOKUP(B13,'Yearly returns'!$B$1:$V$140, 133, FALSE)</f>
        <v>0.31404958677685951</v>
      </c>
      <c r="I13" s="9">
        <f>HLOOKUP(B13,'Yearly returns'!$B$1:$V$140, 138, FALSE)</f>
        <v>0.70399999999999996</v>
      </c>
      <c r="L13" s="56">
        <f t="shared" si="0"/>
        <v>40</v>
      </c>
      <c r="M13" s="56">
        <f t="shared" si="1"/>
        <v>35</v>
      </c>
      <c r="N13" s="56">
        <f t="shared" si="2"/>
        <v>60</v>
      </c>
      <c r="P13">
        <f>L13*Assumption!$E$52 + M13*Assumption!$F$52 + N13*Assumption!$G$52</f>
        <v>48.75</v>
      </c>
      <c r="R13" cm="1">
        <f t="array" ref="R13">_xlfn.PERCENTRANK.EXC(_xlfn._xlws.FILTER(P$4:P$24, ISNUMBER(P$4:P$24)),P13)*100</f>
        <v>45.4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-0.33652529999999997</v>
      </c>
      <c r="E14" s="9">
        <f>HLOOKUP(B14,'Monthly Returns'!$A$1:$AC$134, 132, FALSE)</f>
        <v>0.28099173553719009</v>
      </c>
      <c r="H14" s="9">
        <f>HLOOKUP(B14,'Yearly returns'!$B$1:$V$140, 133, FALSE)</f>
        <v>0.33057851239669422</v>
      </c>
      <c r="I14" s="9">
        <f>HLOOKUP(B14,'Yearly returns'!$B$1:$V$140, 138, FALSE)</f>
        <v>0.81899999999999995</v>
      </c>
      <c r="L14" s="56">
        <f t="shared" si="0"/>
        <v>9.9999999999999982</v>
      </c>
      <c r="M14" s="56">
        <f t="shared" si="1"/>
        <v>30.000000000000004</v>
      </c>
      <c r="N14" s="56">
        <f t="shared" si="2"/>
        <v>30.000000000000004</v>
      </c>
      <c r="P14">
        <f>L14*Assumption!$E$52 + M14*Assumption!$F$52 + N14*Assumption!$G$52</f>
        <v>25</v>
      </c>
      <c r="R14" cm="1">
        <f t="array" ref="R14">_xlfn.PERCENTRANK.EXC(_xlfn._xlws.FILTER(P$4:P$24, ISNUMBER(P$4:P$24)),P14)*100</f>
        <v>9</v>
      </c>
    </row>
    <row r="15" spans="2:18" x14ac:dyDescent="0.35">
      <c r="B15" t="s">
        <v>22</v>
      </c>
      <c r="C15" t="s">
        <v>447</v>
      </c>
      <c r="D15" s="9">
        <f>HLOOKUP(B15,'Monthly Returns'!$A$1:$AC$134, 127, FALSE)</f>
        <v>-0.28219944000000002</v>
      </c>
      <c r="E15" s="9">
        <f>HLOOKUP(B15,'Monthly Returns'!$A$1:$AC$134, 132, FALSE)</f>
        <v>0.256198347107438</v>
      </c>
      <c r="H15" s="9">
        <f>HLOOKUP(B15,'Yearly returns'!$B$1:$V$140, 133, FALSE)</f>
        <v>0.30578512396694213</v>
      </c>
      <c r="I15" s="9">
        <f>HLOOKUP(B15,'Yearly returns'!$B$1:$V$140, 138, FALSE)</f>
        <v>0.45900000000000002</v>
      </c>
      <c r="L15" s="56">
        <f t="shared" si="0"/>
        <v>15.000000000000002</v>
      </c>
      <c r="M15" s="56">
        <f t="shared" si="1"/>
        <v>40</v>
      </c>
      <c r="N15" s="56">
        <f t="shared" si="2"/>
        <v>85</v>
      </c>
      <c r="P15">
        <f>L15*Assumption!$E$52 + M15*Assumption!$F$52 + N15*Assumption!$G$52</f>
        <v>56.25</v>
      </c>
      <c r="R15" cm="1">
        <f t="array" ref="R15">_xlfn.PERCENTRANK.EXC(_xlfn._xlws.FILTER(P$4:P$24, ISNUMBER(P$4:P$24)),P15)*100</f>
        <v>54.500000000000007</v>
      </c>
    </row>
    <row r="16" spans="2:18" x14ac:dyDescent="0.35">
      <c r="B16" t="s">
        <v>28</v>
      </c>
      <c r="C16" t="s">
        <v>448</v>
      </c>
      <c r="D16" s="9">
        <f>HLOOKUP(B16,'Monthly Returns'!$A$1:$AC$134, 127, FALSE)</f>
        <v>-0.37152035</v>
      </c>
      <c r="E16" s="9">
        <f>HLOOKUP(B16,'Monthly Returns'!$A$1:$AC$134, 132, FALSE)</f>
        <v>0.28925619834710742</v>
      </c>
      <c r="H16" s="9">
        <f>HLOOKUP(B16,'Yearly returns'!$B$1:$V$140, 133, FALSE)</f>
        <v>0.4462809917355372</v>
      </c>
      <c r="I16" s="9">
        <f>HLOOKUP(B16,'Yearly returns'!$B$1:$V$140, 138, FALSE)</f>
        <v>0.72899999999999998</v>
      </c>
      <c r="L16" s="56">
        <f t="shared" si="0"/>
        <v>5.0000000000000044</v>
      </c>
      <c r="M16" s="56">
        <f t="shared" si="1"/>
        <v>0</v>
      </c>
      <c r="N16" s="56">
        <f t="shared" si="2"/>
        <v>55.000000000000007</v>
      </c>
      <c r="P16">
        <f>L16*Assumption!$E$52 + M16*Assumption!$F$52 + N16*Assumption!$G$52</f>
        <v>28.750000000000004</v>
      </c>
      <c r="R16" cm="1">
        <f t="array" ref="R16">_xlfn.PERCENTRANK.EXC(_xlfn._xlws.FILTER(P$4:P$24, ISNUMBER(P$4:P$24)),P16)*100</f>
        <v>18.099999999999998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-0.19367705999999998</v>
      </c>
      <c r="E17" s="9">
        <f>HLOOKUP(B17,'Monthly Returns'!$A$1:$AC$134, 132, FALSE)</f>
        <v>0.14049586776859505</v>
      </c>
      <c r="H17" s="9">
        <f>HLOOKUP(B17,'Yearly returns'!$B$1:$V$140, 133, FALSE)</f>
        <v>0.14049586776859505</v>
      </c>
      <c r="I17" s="9">
        <f>HLOOKUP(B17,'Yearly returns'!$B$1:$V$140, 138, FALSE)</f>
        <v>0.86799999999999999</v>
      </c>
      <c r="L17" s="56">
        <f t="shared" si="0"/>
        <v>85</v>
      </c>
      <c r="M17" s="56">
        <f t="shared" si="1"/>
        <v>95</v>
      </c>
      <c r="N17" s="56">
        <f t="shared" si="2"/>
        <v>9.9999999999999982</v>
      </c>
      <c r="P17">
        <f>L17*Assumption!$E$52 + M17*Assumption!$F$52 + N17*Assumption!$G$52</f>
        <v>50</v>
      </c>
      <c r="R17" cm="1">
        <f t="array" ref="R17">_xlfn.PERCENTRANK.EXC(_xlfn._xlws.FILTER(P$4:P$24, ISNUMBER(P$4:P$24)),P17)*100</f>
        <v>50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-0.26190477000000001</v>
      </c>
      <c r="E18" s="9">
        <f>HLOOKUP(B18,'Monthly Returns'!$A$1:$AC$134, 132, FALSE)</f>
        <v>0.20661157024793389</v>
      </c>
      <c r="H18" s="9">
        <f>HLOOKUP(B18,'Yearly returns'!$B$1:$V$140, 133, FALSE)</f>
        <v>0.2975206611570248</v>
      </c>
      <c r="I18" s="9">
        <f>HLOOKUP(B18,'Yearly returns'!$B$1:$V$140, 138, FALSE)</f>
        <v>0.27800000000000002</v>
      </c>
      <c r="L18" s="56">
        <f t="shared" si="0"/>
        <v>35</v>
      </c>
      <c r="M18" s="56">
        <f t="shared" si="1"/>
        <v>50</v>
      </c>
      <c r="N18" s="56">
        <f t="shared" si="2"/>
        <v>90</v>
      </c>
      <c r="P18">
        <f>L18*Assumption!$E$52 + M18*Assumption!$F$52 + N18*Assumption!$G$52</f>
        <v>66.25</v>
      </c>
      <c r="R18" cm="1">
        <f t="array" ref="R18">_xlfn.PERCENTRANK.EXC(_xlfn._xlws.FILTER(P$4:P$24, ISNUMBER(P$4:P$24)),P18)*100</f>
        <v>77.2</v>
      </c>
    </row>
    <row r="19" spans="2:18" x14ac:dyDescent="0.35">
      <c r="B19" t="s">
        <v>31</v>
      </c>
      <c r="C19" t="s">
        <v>449</v>
      </c>
      <c r="D19" s="9">
        <f>HLOOKUP(B19,'Monthly Returns'!$A$1:$AC$134, 127, FALSE)</f>
        <v>-0.1760584</v>
      </c>
      <c r="E19" s="9">
        <f>HLOOKUP(B19,'Monthly Returns'!$A$1:$AC$134, 132, FALSE)</f>
        <v>0.17796610169491525</v>
      </c>
      <c r="H19" s="9">
        <f>HLOOKUP(B19,'Yearly returns'!$B$1:$V$140, 133, FALSE)</f>
        <v>0.29906542056074764</v>
      </c>
      <c r="I19" s="9">
        <f>HLOOKUP(B19,'Yearly returns'!$B$1:$V$140, 138, FALSE)</f>
        <v>0.59199999999999997</v>
      </c>
      <c r="L19" s="56">
        <f t="shared" si="0"/>
        <v>60</v>
      </c>
      <c r="M19" s="56">
        <f t="shared" si="1"/>
        <v>44.999999999999993</v>
      </c>
      <c r="N19" s="56">
        <f t="shared" si="2"/>
        <v>75</v>
      </c>
      <c r="P19">
        <f>L19*Assumption!$E$52 + M19*Assumption!$F$52 + N19*Assumption!$G$52</f>
        <v>63.75</v>
      </c>
      <c r="R19" cm="1">
        <f t="array" ref="R19">_xlfn.PERCENTRANK.EXC(_xlfn._xlws.FILTER(P$4:P$24, ISNUMBER(P$4:P$24)),P19)*100</f>
        <v>72.7</v>
      </c>
    </row>
    <row r="20" spans="2:18" x14ac:dyDescent="0.35">
      <c r="B20" t="s">
        <v>764</v>
      </c>
      <c r="C20" s="1" t="s">
        <v>765</v>
      </c>
      <c r="D20" s="9">
        <f>HLOOKUP(B20,'Monthly Returns'!$A$1:$AC$134, 127, FALSE)</f>
        <v>-0.26036166999999999</v>
      </c>
      <c r="E20" s="9">
        <f>HLOOKUP(B20,'Monthly Returns'!$A$1:$AC$134, 132, FALSE)</f>
        <v>7.43801652892562E-2</v>
      </c>
      <c r="H20" s="9">
        <f>HLOOKUP(B20,'Yearly returns'!$B$1:$V$140, 133, FALSE)</f>
        <v>0.18181818181818182</v>
      </c>
      <c r="I20" s="9">
        <f>HLOOKUP(B20,'Yearly returns'!$B$1:$V$140, 138, FALSE)</f>
        <v>0.21299999999999999</v>
      </c>
      <c r="L20" s="56">
        <f t="shared" si="0"/>
        <v>100</v>
      </c>
      <c r="M20" s="56">
        <f t="shared" si="1"/>
        <v>85</v>
      </c>
      <c r="N20" s="56">
        <f t="shared" si="2"/>
        <v>100</v>
      </c>
      <c r="P20">
        <f>L20*Assumption!$E$52 + M20*Assumption!$F$52 + N20*Assumption!$G$52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451</v>
      </c>
      <c r="D21" s="9">
        <f>HLOOKUP(B21,'Monthly Returns'!$A$1:$AC$134, 127, FALSE)</f>
        <v>-0.22740417000000002</v>
      </c>
      <c r="E21" s="9">
        <f>HLOOKUP(B21,'Monthly Returns'!$A$1:$AC$134, 132, FALSE)</f>
        <v>0.31404958677685951</v>
      </c>
      <c r="H21" s="9">
        <f>HLOOKUP(B21,'Yearly returns'!$B$1:$V$140, 133, FALSE)</f>
        <v>0.38016528925619836</v>
      </c>
      <c r="I21" s="9">
        <f>HLOOKUP(B21,'Yearly returns'!$B$1:$V$140, 138, FALSE)</f>
        <v>0.61399999999999999</v>
      </c>
      <c r="L21" s="56">
        <f t="shared" si="0"/>
        <v>0</v>
      </c>
      <c r="M21" s="56">
        <f t="shared" si="1"/>
        <v>15.000000000000002</v>
      </c>
      <c r="N21" s="56">
        <f t="shared" si="2"/>
        <v>70</v>
      </c>
      <c r="P21">
        <f>L21*Assumption!$E$52 + M21*Assumption!$F$52 + N21*Assumption!$G$52</f>
        <v>38.75</v>
      </c>
      <c r="R21" cm="1">
        <f t="array" ref="R21">_xlfn.PERCENTRANK.EXC(_xlfn._xlws.FILTER(P$4:P$24, ISNUMBER(P$4:P$24)),P21)*100</f>
        <v>27.200000000000003</v>
      </c>
    </row>
    <row r="22" spans="2:18" x14ac:dyDescent="0.35">
      <c r="B22" t="s">
        <v>34</v>
      </c>
      <c r="C22" t="s">
        <v>452</v>
      </c>
      <c r="D22" s="9">
        <f>HLOOKUP(B22,'Monthly Returns'!$A$1:$AC$134, 127, FALSE)</f>
        <v>-0.26410658000000004</v>
      </c>
      <c r="E22" s="9">
        <f>HLOOKUP(B22,'Monthly Returns'!$A$1:$AC$134, 132, FALSE)</f>
        <v>0.16949152542372881</v>
      </c>
      <c r="H22" s="9">
        <f>HLOOKUP(B22,'Yearly returns'!$B$1:$V$140, 133, FALSE)</f>
        <v>0.28037383177570091</v>
      </c>
      <c r="I22" s="9">
        <f>HLOOKUP(B22,'Yearly returns'!$B$1:$V$140, 138, FALSE)</f>
        <v>0.73099999999999998</v>
      </c>
      <c r="L22" s="56">
        <f t="shared" si="0"/>
        <v>70</v>
      </c>
      <c r="M22" s="56">
        <f t="shared" si="1"/>
        <v>60</v>
      </c>
      <c r="N22" s="56">
        <f t="shared" si="2"/>
        <v>50</v>
      </c>
      <c r="P22">
        <f>L22*Assumption!$E$52 + M22*Assumption!$F$52 + N22*Assumption!$G$52</f>
        <v>57.5</v>
      </c>
      <c r="R22" cm="1">
        <f t="array" ref="R22">_xlfn.PERCENTRANK.EXC(_xlfn._xlws.FILTER(P$4:P$24, ISNUMBER(P$4:P$24)),P22)*100</f>
        <v>63.6</v>
      </c>
    </row>
    <row r="23" spans="2:18" x14ac:dyDescent="0.35">
      <c r="B23" t="s">
        <v>37</v>
      </c>
      <c r="C23" t="s">
        <v>453</v>
      </c>
      <c r="D23" s="9">
        <f>HLOOKUP(B23,'Monthly Returns'!$A$1:$AC$134, 127, FALSE)</f>
        <v>-0.26653569999999999</v>
      </c>
      <c r="E23" s="9">
        <f>HLOOKUP(B23,'Monthly Returns'!$A$1:$AC$134, 132, FALSE)</f>
        <v>0.19008264462809918</v>
      </c>
      <c r="H23" s="9">
        <f>HLOOKUP(B23,'Yearly returns'!$B$1:$V$140, 133, FALSE)</f>
        <v>0.34710743801652894</v>
      </c>
      <c r="I23" s="9">
        <f>HLOOKUP(B23,'Yearly returns'!$B$1:$V$140, 138, FALSE)</f>
        <v>0.84399999999999997</v>
      </c>
      <c r="L23" s="56">
        <f t="shared" si="0"/>
        <v>55.000000000000007</v>
      </c>
      <c r="M23" s="56">
        <f t="shared" si="1"/>
        <v>25</v>
      </c>
      <c r="N23" s="56">
        <f t="shared" si="2"/>
        <v>19.999999999999996</v>
      </c>
      <c r="P23">
        <f>L23*Assumption!$E$52 + M23*Assumption!$F$52 + N23*Assumption!$G$52</f>
        <v>30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454</v>
      </c>
      <c r="D24" s="9">
        <f>HLOOKUP(B24,'Monthly Returns'!$A$1:$AC$134, 127, FALSE)</f>
        <v>-0.21045297999999998</v>
      </c>
      <c r="E24" s="9">
        <f>HLOOKUP(B24,'Monthly Returns'!$A$1:$AC$134, 132, FALSE)</f>
        <v>0.15841584158415842</v>
      </c>
      <c r="H24" s="9">
        <f>HLOOKUP(B24,'Yearly returns'!$B$1:$V$140, 133, FALSE)</f>
        <v>0.12222222222222222</v>
      </c>
      <c r="I24" s="9">
        <f>HLOOKUP(B24,'Yearly returns'!$B$1:$V$140, 138, FALSE)</f>
        <v>0.78</v>
      </c>
      <c r="L24" s="56">
        <f t="shared" si="0"/>
        <v>75</v>
      </c>
      <c r="M24" s="56">
        <f t="shared" si="1"/>
        <v>100</v>
      </c>
      <c r="N24" s="56">
        <f t="shared" si="2"/>
        <v>35</v>
      </c>
      <c r="P24">
        <f>L24*Assumption!$E$52 + M24*Assumption!$F$52 + N24*Assumption!$G$52</f>
        <v>61.25</v>
      </c>
      <c r="R24" cm="1">
        <f t="array" ref="R24">_xlfn.PERCENTRANK.EXC(_xlfn._xlws.FILTER(P$4:P$24, ISNUMBER(P$4:P$24)),P24)*100</f>
        <v>68.100000000000009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08984375" bestFit="1" customWidth="1"/>
    <col min="2" max="2" width="34.36328125" bestFit="1" customWidth="1"/>
    <col min="3" max="3" width="10" bestFit="1" customWidth="1"/>
    <col min="4" max="4" width="18.08984375" bestFit="1" customWidth="1"/>
    <col min="5" max="5" width="11.54296875" customWidth="1"/>
    <col min="6" max="6" width="21" customWidth="1"/>
    <col min="7" max="7" width="11.08984375" bestFit="1" customWidth="1"/>
    <col min="8" max="9" width="31.36328125" style="49" customWidth="1"/>
    <col min="10" max="10" width="36.08984375" style="49" customWidth="1"/>
    <col min="12" max="12" width="10.453125" customWidth="1"/>
    <col min="18" max="18" width="14.90625" bestFit="1" customWidth="1"/>
    <col min="19" max="19" width="11.08984375" customWidth="1"/>
    <col min="20" max="20" width="14.08984375" bestFit="1" customWidth="1"/>
    <col min="21" max="21" width="13.36328125" bestFit="1" customWidth="1"/>
    <col min="22" max="22" width="14.632812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814</v>
      </c>
      <c r="L2" s="5">
        <v>0.95</v>
      </c>
    </row>
    <row r="3" spans="1:22" x14ac:dyDescent="0.35">
      <c r="H3"/>
      <c r="I3"/>
      <c r="J3"/>
      <c r="K3" t="s">
        <v>815</v>
      </c>
      <c r="L3" s="5">
        <v>0.05</v>
      </c>
    </row>
    <row r="4" spans="1:22" x14ac:dyDescent="0.35">
      <c r="A4" t="s">
        <v>855</v>
      </c>
      <c r="B4" t="s">
        <v>535</v>
      </c>
      <c r="C4" t="s">
        <v>854</v>
      </c>
      <c r="D4" t="s">
        <v>562</v>
      </c>
      <c r="F4" t="s">
        <v>816</v>
      </c>
      <c r="G4" s="124" t="s">
        <v>852</v>
      </c>
      <c r="H4" s="124" t="s">
        <v>851</v>
      </c>
      <c r="I4" s="124" t="s">
        <v>871</v>
      </c>
      <c r="J4" s="124" t="s">
        <v>853</v>
      </c>
      <c r="S4" s="124" t="s">
        <v>852</v>
      </c>
      <c r="T4" s="124" t="s">
        <v>851</v>
      </c>
      <c r="U4" s="124" t="s">
        <v>871</v>
      </c>
      <c r="V4" s="124" t="s">
        <v>853</v>
      </c>
    </row>
    <row r="5" spans="1:22" x14ac:dyDescent="0.35">
      <c r="A5" t="s">
        <v>181</v>
      </c>
      <c r="B5" t="s">
        <v>440</v>
      </c>
      <c r="C5" t="s">
        <v>437</v>
      </c>
      <c r="D5" t="s">
        <v>622</v>
      </c>
      <c r="E5" s="3" t="s">
        <v>437</v>
      </c>
      <c r="F5" s="9">
        <f>HLOOKUP(E5,'Monthly Returns'!$A$1:$AE$136,134,FALSE)</f>
        <v>0.84899999999999998</v>
      </c>
      <c r="G5" s="7" cm="1">
        <f t="array" ref="G5">_xll.FDSZ(C5,"FG_PRICE(0)")</f>
        <v>26.404499999999999</v>
      </c>
      <c r="H5" s="7" cm="1">
        <f t="array" ref="H5">_xll.FDSZ(C5,"FG_PRICE_MAVG(0,,,,30)")</f>
        <v>25.444927</v>
      </c>
      <c r="I5" s="7" cm="1">
        <f t="array" ref="I5">_xll.FDSZ(C5,"FG_PRICE_MAVG(0,,,,60)")</f>
        <v>25.118742000000001</v>
      </c>
      <c r="J5" s="7" cm="1">
        <f t="array" ref="J5">_xll.FDSZ(C5,"FG_PRICE_MAVG(0,,,,200)")</f>
        <v>27.485824999999998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872</v>
      </c>
      <c r="S5" s="7" cm="1">
        <f t="array" ref="S5">_xll.FDSZ($R5,"FG_PRICE(0)")</f>
        <v>257.08046999999999</v>
      </c>
      <c r="T5" s="7" cm="1">
        <f t="array" ref="T5">_xll.FDSZ($R5,"FG_PRICE(0)")</f>
        <v>257.08046999999999</v>
      </c>
      <c r="U5" s="7" cm="1">
        <f t="array" ref="U5">_xll.FDSZ($R5,"FG_PRICE(0)")</f>
        <v>257.08046999999999</v>
      </c>
      <c r="V5" s="7" cm="1">
        <f t="array" ref="V5">_xll.FDSZ($R5,"FG_PRICE(0)")</f>
        <v>257.08046999999999</v>
      </c>
    </row>
    <row r="6" spans="1:22" x14ac:dyDescent="0.35">
      <c r="A6" t="s">
        <v>298</v>
      </c>
      <c r="B6" t="s">
        <v>441</v>
      </c>
      <c r="C6" t="s">
        <v>27</v>
      </c>
      <c r="D6" t="s">
        <v>621</v>
      </c>
      <c r="E6" s="3" t="s">
        <v>27</v>
      </c>
      <c r="F6" s="9">
        <f>HLOOKUP(E6,'Monthly Returns'!$A$1:$AE$136,134,FALSE)</f>
        <v>0.86</v>
      </c>
      <c r="G6" s="162" cm="1">
        <f t="array" ref="G6">_xll.FDSZ(C6,"FG_PRICE(0)")</f>
        <v>27.12</v>
      </c>
      <c r="H6" s="162" cm="1">
        <f t="array" ref="H6">_xll.FDSZ(C6,"FG_PRICE_MAVG(0,,,,30)")</f>
        <v>25.533667000000001</v>
      </c>
      <c r="I6" s="162" cm="1">
        <f t="array" ref="I6">_xll.FDSZ(C6,"FG_PRICE_MAVG(0,,,,60)")</f>
        <v>26.112333</v>
      </c>
      <c r="J6" s="162" cm="1">
        <f t="array" ref="J6">_xll.FDSZ(C6,"FG_PRICE_MAVG(0,,,,200)")</f>
        <v>27.188020000000002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873</v>
      </c>
      <c r="S6" s="7" cm="1">
        <f t="array" ref="S6">_xll.FDSZ($R6,"FG_PRICE(0)")</f>
        <v>206.73259999999999</v>
      </c>
      <c r="T6" s="7" cm="1">
        <f t="array" ref="T6">_xll.FDSZ($R6,"FG_PRICE(0)")</f>
        <v>206.73259999999999</v>
      </c>
      <c r="U6" s="7" cm="1">
        <f t="array" ref="U6">_xll.FDSZ($R6,"FG_PRICE(0)")</f>
        <v>206.73259999999999</v>
      </c>
      <c r="V6" s="7" cm="1">
        <f t="array" ref="V6">_xll.FDSZ($R6,"FG_PRICE(0)")</f>
        <v>206.73259999999999</v>
      </c>
    </row>
    <row r="7" spans="1:22" x14ac:dyDescent="0.35">
      <c r="A7" t="s">
        <v>191</v>
      </c>
      <c r="B7" t="s">
        <v>442</v>
      </c>
      <c r="C7" t="s">
        <v>35</v>
      </c>
      <c r="D7" t="s">
        <v>658</v>
      </c>
      <c r="E7" s="3" t="s">
        <v>35</v>
      </c>
      <c r="F7" s="9">
        <f>HLOOKUP(E7,'Monthly Returns'!$A$1:$AE$136,134,FALSE)</f>
        <v>0.54900000000000004</v>
      </c>
      <c r="G7" s="162" cm="1">
        <f t="array" ref="G7">_xll.FDSZ(C7,"FG_PRICE(0)")</f>
        <v>22.95</v>
      </c>
      <c r="H7" s="162" cm="1">
        <f t="array" ref="H7">_xll.FDSZ(C7,"FG_PRICE_MAVG(0,,,,30)")</f>
        <v>22.521334</v>
      </c>
      <c r="I7" s="162" cm="1">
        <f t="array" ref="I7">_xll.FDSZ(C7,"FG_PRICE_MAVG(0,,,,60)")</f>
        <v>22.31</v>
      </c>
      <c r="J7" s="162" cm="1">
        <f t="array" ref="J7">_xll.FDSZ(C7,"FG_PRICE_MAVG(0,,,,200)")</f>
        <v>22.42475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874</v>
      </c>
      <c r="S7" s="7" cm="1">
        <f t="array" ref="S7">_xll.FDSZ($R7,"FG_PRICE(0)")</f>
        <v>1119.6068</v>
      </c>
      <c r="T7" s="7" cm="1">
        <f t="array" ref="T7">_xll.FDSZ($R7,"FG_PRICE(0)")</f>
        <v>1119.6068</v>
      </c>
      <c r="U7" s="7" cm="1">
        <f t="array" ref="U7">_xll.FDSZ($R7,"FG_PRICE(0)")</f>
        <v>1119.6068</v>
      </c>
      <c r="V7" s="7" cm="1">
        <f t="array" ref="V7">_xll.FDSZ($R7,"FG_PRICE(0)")</f>
        <v>1119.6068</v>
      </c>
    </row>
    <row r="8" spans="1:22" x14ac:dyDescent="0.35">
      <c r="A8" t="s">
        <v>209</v>
      </c>
      <c r="B8" t="s">
        <v>443</v>
      </c>
      <c r="C8" t="s">
        <v>30</v>
      </c>
      <c r="D8" t="s">
        <v>706</v>
      </c>
      <c r="E8" s="3" t="s">
        <v>30</v>
      </c>
      <c r="F8" s="9">
        <f>HLOOKUP(E8,'Monthly Returns'!$A$1:$AE$136,134,FALSE)</f>
        <v>0.64700000000000002</v>
      </c>
      <c r="G8" s="162" cm="1">
        <f t="array" ref="G8">_xll.FDSZ(C8,"FG_PRICE(0)")</f>
        <v>27.97</v>
      </c>
      <c r="H8" s="162" cm="1">
        <f t="array" ref="H8">_xll.FDSZ(C8,"FG_PRICE_MAVG(0,,,,30)")</f>
        <v>27.446000000000002</v>
      </c>
      <c r="I8" s="162" cm="1">
        <f t="array" ref="I8">_xll.FDSZ(C8,"FG_PRICE_MAVG(0,,,,60)")</f>
        <v>26.823767</v>
      </c>
      <c r="J8" s="162" cm="1">
        <f t="array" ref="J8">_xll.FDSZ(C8,"FG_PRICE_MAVG(0,,,,200)")</f>
        <v>25.668972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875</v>
      </c>
      <c r="S8" s="7" cm="1">
        <f t="array" ref="S8">_xll.FDSZ($R8,"FG_PRICE(0)")</f>
        <v>337.67327999999998</v>
      </c>
      <c r="T8" s="7" cm="1">
        <f t="array" ref="T8">_xll.FDSZ($R8,"FG_PRICE(0)")</f>
        <v>337.67327999999998</v>
      </c>
      <c r="U8" s="7" cm="1">
        <f t="array" ref="U8">_xll.FDSZ($R8,"FG_PRICE(0)")</f>
        <v>337.67327999999998</v>
      </c>
      <c r="V8" s="7" cm="1">
        <f t="array" ref="V8">_xll.FDSZ($R8,"FG_PRICE(0)")</f>
        <v>337.67327999999998</v>
      </c>
    </row>
    <row r="9" spans="1:22" x14ac:dyDescent="0.35">
      <c r="A9" t="s">
        <v>261</v>
      </c>
      <c r="B9" t="s">
        <v>444</v>
      </c>
      <c r="C9" t="s">
        <v>23</v>
      </c>
      <c r="D9" t="s">
        <v>707</v>
      </c>
      <c r="E9" s="3" t="s">
        <v>23</v>
      </c>
      <c r="F9" s="9">
        <f>HLOOKUP(E9,'Monthly Returns'!$A$1:$AE$136,134,FALSE)</f>
        <v>0.72099999999999997</v>
      </c>
      <c r="G9" s="162" cm="1">
        <f t="array" ref="G9">_xll.FDSZ(C9,"FG_PRICE(0)")</f>
        <v>23.62</v>
      </c>
      <c r="H9" s="162" cm="1">
        <f t="array" ref="H9">_xll.FDSZ(C9,"FG_PRICE_MAVG(0,,,,30)")</f>
        <v>23.014668</v>
      </c>
      <c r="I9" s="162" cm="1">
        <f t="array" ref="I9">_xll.FDSZ(C9,"FG_PRICE_MAVG(0,,,,60)")</f>
        <v>22.450417000000002</v>
      </c>
      <c r="J9" s="162" cm="1">
        <f t="array" ref="J9">_xll.FDSZ(C9,"FG_PRICE_MAVG(0,,,,200)")</f>
        <v>20.418023999999999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876</v>
      </c>
      <c r="S9" s="7" cm="1">
        <f t="array" ref="S9">_xll.FDSZ($R9,"FG_PRICE(0)")</f>
        <v>212.91728000000001</v>
      </c>
      <c r="T9" s="7" cm="1">
        <f t="array" ref="T9">_xll.FDSZ($R9,"FG_PRICE(0)")</f>
        <v>212.91728000000001</v>
      </c>
      <c r="U9" s="7" cm="1">
        <f t="array" ref="U9">_xll.FDSZ($R9,"FG_PRICE(0)")</f>
        <v>212.91728000000001</v>
      </c>
      <c r="V9" s="7" cm="1">
        <f t="array" ref="V9">_xll.FDSZ($R9,"FG_PRICE(0)")</f>
        <v>212.91728000000001</v>
      </c>
    </row>
    <row r="10" spans="1:22" x14ac:dyDescent="0.35">
      <c r="A10" t="s">
        <v>308</v>
      </c>
      <c r="B10" t="s">
        <v>445</v>
      </c>
      <c r="C10" t="s">
        <v>29</v>
      </c>
      <c r="D10" t="s">
        <v>705</v>
      </c>
      <c r="E10" s="3" t="s">
        <v>29</v>
      </c>
      <c r="F10" s="9">
        <f>HLOOKUP(E10,'Monthly Returns'!$A$1:$AE$136,134,FALSE)</f>
        <v>0.91800000000000004</v>
      </c>
      <c r="G10" s="162" cm="1">
        <f t="array" ref="G10">_xll.FDSZ(C10,"FG_PRICE(0)")</f>
        <v>38.374899999999997</v>
      </c>
      <c r="H10" s="162" cm="1">
        <f t="array" ref="H10">_xll.FDSZ(C10,"FG_PRICE_MAVG(0,,,,30)")</f>
        <v>35.161163000000002</v>
      </c>
      <c r="I10" s="162" cm="1">
        <f t="array" ref="I10">_xll.FDSZ(C10,"FG_PRICE_MAVG(0,,,,60)")</f>
        <v>34.511226999999998</v>
      </c>
      <c r="J10" s="162" cm="1">
        <f t="array" ref="J10">_xll.FDSZ(C10,"FG_PRICE_MAVG(0,,,,200)")</f>
        <v>31.990159999999999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877</v>
      </c>
      <c r="S10" s="7" cm="1">
        <f t="array" ref="S10">_xll.FDSZ($R10,"FG_PRICE(0)")</f>
        <v>882.77135999999996</v>
      </c>
      <c r="T10" s="7" cm="1">
        <f t="array" ref="T10">_xll.FDSZ($R10,"FG_PRICE(0)")</f>
        <v>882.77135999999996</v>
      </c>
      <c r="U10" s="7" cm="1">
        <f t="array" ref="U10">_xll.FDSZ($R10,"FG_PRICE(0)")</f>
        <v>882.77135999999996</v>
      </c>
      <c r="V10" s="7" cm="1">
        <f t="array" ref="V10">_xll.FDSZ($R10,"FG_PRICE(0)")</f>
        <v>882.77135999999996</v>
      </c>
    </row>
    <row r="11" spans="1:22" x14ac:dyDescent="0.35">
      <c r="A11" t="s">
        <v>198</v>
      </c>
      <c r="B11" t="s">
        <v>446</v>
      </c>
      <c r="C11" t="s">
        <v>33</v>
      </c>
      <c r="D11" t="s">
        <v>680</v>
      </c>
      <c r="E11" s="3" t="s">
        <v>33</v>
      </c>
      <c r="F11" s="9">
        <f>HLOOKUP(E11,'Monthly Returns'!$A$1:$AE$136,134,FALSE)</f>
        <v>0.77</v>
      </c>
      <c r="G11" s="162" cm="1">
        <f t="array" ref="G11">_xll.FDSZ(C11,"FG_PRICE(0)")</f>
        <v>21.97</v>
      </c>
      <c r="H11" s="162" cm="1">
        <f t="array" ref="H11">_xll.FDSZ(C11,"FG_PRICE_MAVG(0,,,,30)")</f>
        <v>21.511333</v>
      </c>
      <c r="I11" s="162" cm="1">
        <f t="array" ref="I11">_xll.FDSZ(C11,"FG_PRICE_MAVG(0,,,,60)")</f>
        <v>21.357334000000002</v>
      </c>
      <c r="J11" s="162" cm="1">
        <f t="array" ref="J11">_xll.FDSZ(C11,"FG_PRICE_MAVG(0,,,,200)")</f>
        <v>21.024750000000001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878</v>
      </c>
      <c r="S11" s="7" cm="1">
        <f t="array" ref="S11">_xll.FDSZ($R11,"FG_PRICE(0)")</f>
        <v>235.51544000000001</v>
      </c>
      <c r="T11" s="7" cm="1">
        <f t="array" ref="T11">_xll.FDSZ($R11,"FG_PRICE(0)")</f>
        <v>235.51544000000001</v>
      </c>
      <c r="U11" s="7" cm="1">
        <f t="array" ref="U11">_xll.FDSZ($R11,"FG_PRICE(0)")</f>
        <v>235.51544000000001</v>
      </c>
      <c r="V11" s="7" cm="1">
        <f t="array" ref="V11">_xll.FDSZ($R11,"FG_PRICE(0)")</f>
        <v>235.51544000000001</v>
      </c>
    </row>
    <row r="12" spans="1:22" x14ac:dyDescent="0.35">
      <c r="A12" t="s">
        <v>221</v>
      </c>
      <c r="B12" t="s">
        <v>40</v>
      </c>
      <c r="C12" t="s">
        <v>24</v>
      </c>
      <c r="D12" t="s">
        <v>727</v>
      </c>
      <c r="E12" s="3" t="s">
        <v>24</v>
      </c>
      <c r="F12" s="9">
        <f>HLOOKUP(E12,'Monthly Returns'!$A$1:$AE$136,134,FALSE)</f>
        <v>0.745</v>
      </c>
      <c r="G12" s="162" cm="1">
        <f t="array" ref="G12">_xll.FDSZ(C12,"FG_PRICE(0)")</f>
        <v>48.49</v>
      </c>
      <c r="H12" s="162" cm="1">
        <f t="array" ref="H12">_xll.FDSZ(C12,"FG_PRICE_MAVG(0,,,,30)")</f>
        <v>46.734332999999999</v>
      </c>
      <c r="I12" s="162" cm="1">
        <f t="array" ref="I12">_xll.FDSZ(C12,"FG_PRICE_MAVG(0,,,,60)")</f>
        <v>45.789499999999997</v>
      </c>
      <c r="J12" s="162" cm="1">
        <f t="array" ref="J12">_xll.FDSZ(C12,"FG_PRICE_MAVG(0,,,,200)")</f>
        <v>46.325699999999998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879</v>
      </c>
      <c r="S12" s="7" cm="1">
        <f t="array" ref="S12">_xll.FDSZ($R12,"FG_PRICE(0)")</f>
        <v>343.06743999999998</v>
      </c>
      <c r="T12" s="7" cm="1">
        <f t="array" ref="T12">_xll.FDSZ($R12,"FG_PRICE(0)")</f>
        <v>343.06743999999998</v>
      </c>
      <c r="U12" s="7" cm="1">
        <f t="array" ref="U12">_xll.FDSZ($R12,"FG_PRICE(0)")</f>
        <v>343.06743999999998</v>
      </c>
      <c r="V12" s="7" cm="1">
        <f t="array" ref="V12">_xll.FDSZ($R12,"FG_PRICE(0)")</f>
        <v>343.06743999999998</v>
      </c>
    </row>
    <row r="13" spans="1:22" x14ac:dyDescent="0.35">
      <c r="A13" t="s">
        <v>305</v>
      </c>
      <c r="B13" t="s">
        <v>53</v>
      </c>
      <c r="C13" t="s">
        <v>7</v>
      </c>
      <c r="D13" t="s">
        <v>685</v>
      </c>
      <c r="E13" s="3" t="s">
        <v>7</v>
      </c>
      <c r="F13" s="9">
        <f>HLOOKUP(E13,'Monthly Returns'!$A$1:$AE$136,134,FALSE)</f>
        <v>0.45900000000000002</v>
      </c>
      <c r="G13" s="162" cm="1">
        <f t="array" ref="G13">_xll.FDSZ(C13,"FG_PRICE(0)")</f>
        <v>67.27</v>
      </c>
      <c r="H13" s="162" cm="1">
        <f t="array" ref="H13">_xll.FDSZ(C13,"FG_PRICE_MAVG(0,,,,30)")</f>
        <v>66.751999999999995</v>
      </c>
      <c r="I13" s="162" cm="1">
        <f t="array" ref="I13">_xll.FDSZ(C13,"FG_PRICE_MAVG(0,,,,60)")</f>
        <v>66.533330000000007</v>
      </c>
      <c r="J13" s="162" cm="1">
        <f t="array" ref="J13">_xll.FDSZ(C13,"FG_PRICE_MAVG(0,,,,200)")</f>
        <v>62.595399999999998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880</v>
      </c>
      <c r="S13" s="7" cm="1">
        <f t="array" ref="S13">_xll.FDSZ($R13,"FG_PRICE(0)")</f>
        <v>531.4194</v>
      </c>
      <c r="T13" s="7" cm="1">
        <f t="array" ref="T13">_xll.FDSZ($R13,"FG_PRICE(0)")</f>
        <v>531.4194</v>
      </c>
      <c r="U13" s="7" cm="1">
        <f t="array" ref="U13">_xll.FDSZ($R13,"FG_PRICE(0)")</f>
        <v>531.4194</v>
      </c>
      <c r="V13" s="7" cm="1">
        <f t="array" ref="V13">_xll.FDSZ($R13,"FG_PRICE(0)")</f>
        <v>531.4194</v>
      </c>
    </row>
    <row r="14" spans="1:22" x14ac:dyDescent="0.35">
      <c r="A14" t="s">
        <v>214</v>
      </c>
      <c r="B14" t="s">
        <v>38</v>
      </c>
      <c r="C14" t="s">
        <v>21</v>
      </c>
      <c r="D14" t="s">
        <v>667</v>
      </c>
      <c r="E14" s="3" t="s">
        <v>21</v>
      </c>
      <c r="F14" s="9">
        <f>HLOOKUP(E14,'Monthly Returns'!$A$1:$AE$136,134,FALSE)</f>
        <v>0.77</v>
      </c>
      <c r="G14" s="162" cm="1">
        <f t="array" ref="G14">_xll.FDSZ(C14,"FG_PRICE(0)")</f>
        <v>67.05</v>
      </c>
      <c r="H14" s="162" cm="1">
        <f t="array" ref="H14">_xll.FDSZ(C14,"FG_PRICE_MAVG(0,,,,30)")</f>
        <v>64.403000000000006</v>
      </c>
      <c r="I14" s="162" cm="1">
        <f t="array" ref="I14">_xll.FDSZ(C14,"FG_PRICE_MAVG(0,,,,60)")</f>
        <v>63.079500000000003</v>
      </c>
      <c r="J14" s="162" cm="1">
        <f t="array" ref="J14">_xll.FDSZ(C14,"FG_PRICE_MAVG(0,,,,200)")</f>
        <v>62.634999999999998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881</v>
      </c>
      <c r="S14" s="7" cm="1">
        <f t="array" ref="S14">_xll.FDSZ($R14,"FG_PRICE(0)")</f>
        <v>487.53073000000001</v>
      </c>
      <c r="T14" s="7" cm="1">
        <f t="array" ref="T14">_xll.FDSZ($R14,"FG_PRICE(0)")</f>
        <v>487.53073000000001</v>
      </c>
      <c r="U14" s="7" cm="1">
        <f t="array" ref="U14">_xll.FDSZ($R14,"FG_PRICE(0)")</f>
        <v>487.53073000000001</v>
      </c>
      <c r="V14" s="7" cm="1">
        <f t="array" ref="V14">_xll.FDSZ($R14,"FG_PRICE(0)")</f>
        <v>487.53073000000001</v>
      </c>
    </row>
    <row r="15" spans="1:22" x14ac:dyDescent="0.35">
      <c r="A15" t="s">
        <v>295</v>
      </c>
      <c r="B15" t="s">
        <v>54</v>
      </c>
      <c r="C15" t="s">
        <v>12</v>
      </c>
      <c r="D15" t="s">
        <v>610</v>
      </c>
      <c r="E15" s="3" t="s">
        <v>12</v>
      </c>
      <c r="F15" s="9">
        <f>HLOOKUP(E15,'Monthly Returns'!$A$1:$AE$136,134,FALSE)</f>
        <v>0.49099999999999999</v>
      </c>
      <c r="G15" s="162" cm="1">
        <f t="array" ref="G15">_xll.FDSZ(C15,"FG_PRICE(0)")</f>
        <v>32.4</v>
      </c>
      <c r="H15" s="162" cm="1">
        <f t="array" ref="H15">_xll.FDSZ(C15,"FG_PRICE_MAVG(0,,,,30)")</f>
        <v>33.009</v>
      </c>
      <c r="I15" s="162" cm="1">
        <f t="array" ref="I15">_xll.FDSZ(C15,"FG_PRICE_MAVG(0,,,,60)")</f>
        <v>33.482666000000002</v>
      </c>
      <c r="J15" s="162" cm="1">
        <f t="array" ref="J15">_xll.FDSZ(C15,"FG_PRICE_MAVG(0,,,,200)")</f>
        <v>32.324249999999999</v>
      </c>
      <c r="L15">
        <f t="shared" si="1"/>
        <v>0</v>
      </c>
      <c r="M15">
        <f t="shared" si="2"/>
        <v>0</v>
      </c>
      <c r="N15">
        <f t="shared" si="3"/>
        <v>1</v>
      </c>
      <c r="P15">
        <f t="shared" si="4"/>
        <v>1</v>
      </c>
      <c r="R15" t="s">
        <v>882</v>
      </c>
      <c r="S15" s="7" cm="1">
        <f t="array" ref="S15">_xll.FDSZ($R15,"FG_PRICE(0)")</f>
        <v>216.74019999999999</v>
      </c>
      <c r="T15" s="7" cm="1">
        <f t="array" ref="T15">_xll.FDSZ($R15,"FG_PRICE(0)")</f>
        <v>216.74019999999999</v>
      </c>
      <c r="U15" s="7" cm="1">
        <f t="array" ref="U15">_xll.FDSZ($R15,"FG_PRICE(0)")</f>
        <v>216.74019999999999</v>
      </c>
      <c r="V15" s="7" cm="1">
        <f t="array" ref="V15">_xll.FDSZ($R15,"FG_PRICE(0)")</f>
        <v>216.74019999999999</v>
      </c>
    </row>
    <row r="16" spans="1:22" x14ac:dyDescent="0.35">
      <c r="A16" t="s">
        <v>370</v>
      </c>
      <c r="B16" t="s">
        <v>447</v>
      </c>
      <c r="C16" t="s">
        <v>22</v>
      </c>
      <c r="D16" t="s">
        <v>720</v>
      </c>
      <c r="E16" s="3" t="s">
        <v>22</v>
      </c>
      <c r="F16" s="9">
        <f>HLOOKUP(E16,'Monthly Returns'!$A$1:$AE$136,134,FALSE)</f>
        <v>0.60599999999999998</v>
      </c>
      <c r="G16" s="162" cm="1">
        <f t="array" ref="G16">_xll.FDSZ(C16,"FG_PRICE(0)")</f>
        <v>38.76</v>
      </c>
      <c r="H16" s="162" cm="1">
        <f t="array" ref="H16">_xll.FDSZ(C16,"FG_PRICE_MAVG(0,,,,30)")</f>
        <v>38.45767</v>
      </c>
      <c r="I16" s="162" cm="1">
        <f t="array" ref="I16">_xll.FDSZ(C16,"FG_PRICE_MAVG(0,,,,60)")</f>
        <v>39.057335000000002</v>
      </c>
      <c r="J16" s="162" cm="1">
        <f t="array" ref="J16">_xll.FDSZ(C16,"FG_PRICE_MAVG(0,,,,200)")</f>
        <v>39.499049999999997</v>
      </c>
      <c r="L16">
        <f t="shared" si="1"/>
        <v>1</v>
      </c>
      <c r="M16">
        <f t="shared" si="2"/>
        <v>0</v>
      </c>
      <c r="N16">
        <f t="shared" si="3"/>
        <v>0</v>
      </c>
      <c r="P16">
        <f t="shared" si="4"/>
        <v>1</v>
      </c>
      <c r="R16" t="s">
        <v>883</v>
      </c>
      <c r="S16" s="7" cm="1">
        <f t="array" ref="S16">_xll.FDSZ($R16,"FG_PRICE(0)")</f>
        <v>304.04912999999999</v>
      </c>
      <c r="T16" s="7" cm="1">
        <f t="array" ref="T16">_xll.FDSZ($R16,"FG_PRICE(0)")</f>
        <v>304.04912999999999</v>
      </c>
      <c r="U16" s="7" cm="1">
        <f t="array" ref="U16">_xll.FDSZ($R16,"FG_PRICE(0)")</f>
        <v>304.04912999999999</v>
      </c>
      <c r="V16" s="7" cm="1">
        <f t="array" ref="V16">_xll.FDSZ($R16,"FG_PRICE(0)")</f>
        <v>304.04912999999999</v>
      </c>
    </row>
    <row r="17" spans="1:22" x14ac:dyDescent="0.35">
      <c r="A17" t="s">
        <v>503</v>
      </c>
      <c r="B17" t="s">
        <v>448</v>
      </c>
      <c r="C17" t="s">
        <v>28</v>
      </c>
      <c r="D17" t="s">
        <v>647</v>
      </c>
      <c r="E17" s="3" t="s">
        <v>28</v>
      </c>
      <c r="F17" s="9">
        <f>HLOOKUP(E17,'Monthly Returns'!$A$1:$AE$136,134,FALSE)</f>
        <v>0.53200000000000003</v>
      </c>
      <c r="G17" s="162" cm="1">
        <f t="array" ref="G17">_xll.FDSZ(C17,"FG_PRICE(0)")</f>
        <v>40.33</v>
      </c>
      <c r="H17" s="162" cm="1">
        <f t="array" ref="H17">_xll.FDSZ(C17,"FG_PRICE_MAVG(0,,,,30)")</f>
        <v>40.195999999999998</v>
      </c>
      <c r="I17" s="162" cm="1">
        <f t="array" ref="I17">_xll.FDSZ(C17,"FG_PRICE_MAVG(0,,,,60)")</f>
        <v>39.172694999999997</v>
      </c>
      <c r="J17" s="162" cm="1">
        <f t="array" ref="J17">_xll.FDSZ(C17,"FG_PRICE_MAVG(0,,,,200)")</f>
        <v>36.968510000000002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884</v>
      </c>
      <c r="S17" s="7" cm="1">
        <f t="array" ref="S17">_xll.FDSZ($R17,"FG_PRICE(0)")</f>
        <v>9.6662569999999999</v>
      </c>
      <c r="T17" s="7" cm="1">
        <f t="array" ref="T17">_xll.FDSZ($R17,"FG_PRICE(0)")</f>
        <v>9.6662569999999999</v>
      </c>
      <c r="U17" s="7" cm="1">
        <f t="array" ref="U17">_xll.FDSZ($R17,"FG_PRICE(0)")</f>
        <v>9.6662569999999999</v>
      </c>
      <c r="V17" s="7" cm="1">
        <f t="array" ref="V17">_xll.FDSZ($R17,"FG_PRICE(0)")</f>
        <v>9.6662569999999999</v>
      </c>
    </row>
    <row r="18" spans="1:22" x14ac:dyDescent="0.35">
      <c r="A18" t="s">
        <v>188</v>
      </c>
      <c r="B18" t="s">
        <v>52</v>
      </c>
      <c r="C18" t="s">
        <v>32</v>
      </c>
      <c r="D18" t="s">
        <v>657</v>
      </c>
      <c r="E18" s="3" t="s">
        <v>32</v>
      </c>
      <c r="F18" s="9">
        <f>HLOOKUP(E18,'Monthly Returns'!$A$1:$AE$136,134,FALSE)</f>
        <v>0.377</v>
      </c>
      <c r="G18" s="162" cm="1">
        <f t="array" ref="G18">_xll.FDSZ(C18,"FG_PRICE(0)")</f>
        <v>50.71</v>
      </c>
      <c r="H18" s="162" cm="1">
        <f t="array" ref="H18">_xll.FDSZ(C18,"FG_PRICE_MAVG(0,,,,30)")</f>
        <v>51.186</v>
      </c>
      <c r="I18" s="162" cm="1">
        <f t="array" ref="I18">_xll.FDSZ(C18,"FG_PRICE_MAVG(0,,,,60)")</f>
        <v>50.09525</v>
      </c>
      <c r="J18" s="162" cm="1">
        <f t="array" ref="J18">_xll.FDSZ(C18,"FG_PRICE_MAVG(0,,,,200)")</f>
        <v>46.012123000000003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885</v>
      </c>
      <c r="S18" s="7" cm="1">
        <f t="array" ref="S18">_xll.FDSZ($R18,"FG_PRICE(0)")</f>
        <v>1249.2673</v>
      </c>
      <c r="T18" s="7" cm="1">
        <f t="array" ref="T18">_xll.FDSZ($R18,"FG_PRICE(0)")</f>
        <v>1249.2673</v>
      </c>
      <c r="U18" s="7" cm="1">
        <f t="array" ref="U18">_xll.FDSZ($R18,"FG_PRICE(0)")</f>
        <v>1249.2673</v>
      </c>
      <c r="V18" s="7" cm="1">
        <f t="array" ref="V18">_xll.FDSZ($R18,"FG_PRICE(0)")</f>
        <v>1249.2673</v>
      </c>
    </row>
    <row r="19" spans="1:22" x14ac:dyDescent="0.35">
      <c r="A19" t="s">
        <v>181</v>
      </c>
      <c r="B19" t="s">
        <v>41</v>
      </c>
      <c r="C19" t="s">
        <v>26</v>
      </c>
      <c r="D19" t="s">
        <v>622</v>
      </c>
      <c r="E19" s="3" t="s">
        <v>26</v>
      </c>
      <c r="F19" s="9">
        <f>HLOOKUP(E19,'Monthly Returns'!$A$1:$AE$136,134,FALSE)</f>
        <v>0.77</v>
      </c>
      <c r="G19" s="162" cm="1">
        <f t="array" ref="G19">_xll.FDSZ(C19,"FG_PRICE(0)")</f>
        <v>40.17</v>
      </c>
      <c r="H19" s="162" cm="1">
        <f t="array" ref="H19">_xll.FDSZ(C19,"FG_PRICE_MAVG(0,,,,30)")</f>
        <v>38.722667999999999</v>
      </c>
      <c r="I19" s="162" cm="1">
        <f t="array" ref="I19">_xll.FDSZ(C19,"FG_PRICE_MAVG(0,,,,60)")</f>
        <v>38.728332999999999</v>
      </c>
      <c r="J19" s="162" cm="1">
        <f t="array" ref="J19">_xll.FDSZ(C19,"FG_PRICE_MAVG(0,,,,200)")</f>
        <v>42.561349999999997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872</v>
      </c>
      <c r="S19" s="7" cm="1">
        <f t="array" ref="S19">_xll.FDSZ($R19,"FG_PRICE(0)")</f>
        <v>257.08046999999999</v>
      </c>
      <c r="T19" s="7" cm="1">
        <f t="array" ref="T19">_xll.FDSZ($R19,"FG_PRICE(0)")</f>
        <v>257.08046999999999</v>
      </c>
      <c r="U19" s="7" cm="1">
        <f t="array" ref="U19">_xll.FDSZ($R19,"FG_PRICE(0)")</f>
        <v>257.08046999999999</v>
      </c>
      <c r="V19" s="7" cm="1">
        <f t="array" ref="V19">_xll.FDSZ($R19,"FG_PRICE(0)")</f>
        <v>257.08046999999999</v>
      </c>
    </row>
    <row r="20" spans="1:22" x14ac:dyDescent="0.35">
      <c r="A20" t="s">
        <v>364</v>
      </c>
      <c r="B20" t="s">
        <v>449</v>
      </c>
      <c r="C20" t="s">
        <v>31</v>
      </c>
      <c r="D20" t="s">
        <v>709</v>
      </c>
      <c r="E20" s="3" t="s">
        <v>31</v>
      </c>
      <c r="F20" s="9">
        <f>HLOOKUP(E20,'Monthly Returns'!$A$1:$AE$136,134,FALSE)</f>
        <v>0.67200000000000004</v>
      </c>
      <c r="G20" s="162" cm="1">
        <f t="array" ref="G20">_xll.FDSZ(C20,"FG_PRICE(0)")</f>
        <v>17.97</v>
      </c>
      <c r="H20" s="162" cm="1">
        <f t="array" ref="H20">_xll.FDSZ(C20,"FG_PRICE_MAVG(0,,,,30)")</f>
        <v>17.680754</v>
      </c>
      <c r="I20" s="162" cm="1">
        <f t="array" ref="I20">_xll.FDSZ(C20,"FG_PRICE_MAVG(0,,,,60)")</f>
        <v>17.726627000000001</v>
      </c>
      <c r="J20" s="162" cm="1">
        <f t="array" ref="J20">_xll.FDSZ(C20,"FG_PRICE_MAVG(0,,,,200)")</f>
        <v>17.703213000000002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886</v>
      </c>
      <c r="S20" s="7" cm="1">
        <f t="array" ref="S20">_xll.FDSZ($R20,"FG_PRICE(0)")</f>
        <v>103.64228</v>
      </c>
      <c r="T20" s="7" cm="1">
        <f t="array" ref="T20">_xll.FDSZ($R20,"FG_PRICE(0)")</f>
        <v>103.64228</v>
      </c>
      <c r="U20" s="7" cm="1">
        <f t="array" ref="U20">_xll.FDSZ($R20,"FG_PRICE(0)")</f>
        <v>103.64228</v>
      </c>
      <c r="V20" s="7" cm="1">
        <f t="array" ref="V20">_xll.FDSZ($R20,"FG_PRICE(0)")</f>
        <v>103.64228</v>
      </c>
    </row>
    <row r="21" spans="1:22" x14ac:dyDescent="0.35">
      <c r="A21" t="s">
        <v>225</v>
      </c>
      <c r="B21" t="s">
        <v>765</v>
      </c>
      <c r="C21" t="s">
        <v>764</v>
      </c>
      <c r="D21" t="s">
        <v>730</v>
      </c>
      <c r="E21" s="3" t="s">
        <v>764</v>
      </c>
      <c r="F21" s="9">
        <f>HLOOKUP(E21,'Monthly Returns'!$A$1:$AE$136,134,FALSE)</f>
        <v>0.54900000000000004</v>
      </c>
      <c r="G21" s="162" cm="1">
        <f t="array" ref="G21">_xll.FDSZ(C21,"FG_PRICE(0)")</f>
        <v>1394.93</v>
      </c>
      <c r="H21" s="162" cm="1">
        <f t="array" ref="H21">_xll.FDSZ(C21,"FG_PRICE_MAVG(0,,,,30)")</f>
        <v>1383.8779999999999</v>
      </c>
      <c r="I21" s="162" cm="1">
        <f t="array" ref="I21">_xll.FDSZ(C21,"FG_PRICE_MAVG(0,,,,60)")</f>
        <v>1391.3330000000001</v>
      </c>
      <c r="J21" s="162" cm="1">
        <f t="array" ref="J21">_xll.FDSZ(C21,"FG_PRICE_MAVG(0,,,,200)")</f>
        <v>1455.7195999999999</v>
      </c>
      <c r="L21">
        <f t="shared" si="1"/>
        <v>1</v>
      </c>
      <c r="M21">
        <f t="shared" si="2"/>
        <v>1</v>
      </c>
      <c r="N21">
        <f t="shared" si="3"/>
        <v>0</v>
      </c>
      <c r="P21">
        <f t="shared" si="4"/>
        <v>2</v>
      </c>
      <c r="R21" t="s">
        <v>764</v>
      </c>
      <c r="S21" s="7" cm="1">
        <f t="array" ref="S21">_xll.FDSZ($R21,"FG_PRICE(0)")</f>
        <v>1394.93</v>
      </c>
      <c r="T21" s="7" cm="1">
        <f t="array" ref="T21">_xll.FDSZ($R21,"FG_PRICE(0)")</f>
        <v>1394.93</v>
      </c>
      <c r="U21" s="7" cm="1">
        <f t="array" ref="U21">_xll.FDSZ($R21,"FG_PRICE(0)")</f>
        <v>1394.93</v>
      </c>
      <c r="V21" s="7" cm="1">
        <f t="array" ref="V21">_xll.FDSZ($R21,"FG_PRICE(0)")</f>
        <v>1394.93</v>
      </c>
    </row>
    <row r="22" spans="1:22" x14ac:dyDescent="0.35">
      <c r="A22" t="s">
        <v>283</v>
      </c>
      <c r="B22" t="s">
        <v>451</v>
      </c>
      <c r="C22" t="s">
        <v>25</v>
      </c>
      <c r="D22" t="s">
        <v>734</v>
      </c>
      <c r="E22" s="3" t="s">
        <v>25</v>
      </c>
      <c r="F22" s="9">
        <f>HLOOKUP(E22,'Monthly Returns'!$A$1:$AE$136,134,FALSE)</f>
        <v>0.245</v>
      </c>
      <c r="G22" s="162" cm="1">
        <f t="array" ref="G22">_xll.FDSZ(C22,"FG_PRICE(0)")</f>
        <v>35.15</v>
      </c>
      <c r="H22" s="162" cm="1">
        <f t="array" ref="H22">_xll.FDSZ(C22,"FG_PRICE_MAVG(0,,,,30)")</f>
        <v>37.057000000000002</v>
      </c>
      <c r="I22" s="162" cm="1">
        <f t="array" ref="I22">_xll.FDSZ(C22,"FG_PRICE_MAVG(0,,,,60)")</f>
        <v>35.316333999999998</v>
      </c>
      <c r="J22" s="162" cm="1">
        <f t="array" ref="J22">_xll.FDSZ(C22,"FG_PRICE_MAVG(0,,,,200)")</f>
        <v>34.647449999999999</v>
      </c>
      <c r="L22">
        <f t="shared" si="1"/>
        <v>0</v>
      </c>
      <c r="M22">
        <f t="shared" si="2"/>
        <v>0</v>
      </c>
      <c r="N22">
        <f t="shared" si="3"/>
        <v>1</v>
      </c>
      <c r="P22">
        <f t="shared" si="4"/>
        <v>1</v>
      </c>
      <c r="R22" t="s">
        <v>887</v>
      </c>
      <c r="S22" s="7" cm="1">
        <f t="array" ref="S22">_xll.FDSZ($R22,"FG_PRICE(0)")</f>
        <v>227.9572</v>
      </c>
      <c r="T22" s="7" cm="1">
        <f t="array" ref="T22">_xll.FDSZ($R22,"FG_PRICE(0)")</f>
        <v>227.9572</v>
      </c>
      <c r="U22" s="7" cm="1">
        <f t="array" ref="U22">_xll.FDSZ($R22,"FG_PRICE(0)")</f>
        <v>227.9572</v>
      </c>
      <c r="V22" s="7" cm="1">
        <f t="array" ref="V22">_xll.FDSZ($R22,"FG_PRICE(0)")</f>
        <v>227.9572</v>
      </c>
    </row>
    <row r="23" spans="1:22" x14ac:dyDescent="0.35">
      <c r="A23" t="s">
        <v>377</v>
      </c>
      <c r="B23" t="s">
        <v>452</v>
      </c>
      <c r="C23" t="s">
        <v>34</v>
      </c>
      <c r="D23" t="s">
        <v>738</v>
      </c>
      <c r="E23" s="3" t="s">
        <v>34</v>
      </c>
      <c r="F23" s="9">
        <f>HLOOKUP(E23,'Monthly Returns'!$A$1:$AE$136,134,FALSE)</f>
        <v>0.38600000000000001</v>
      </c>
      <c r="G23" s="162" cm="1">
        <f t="array" ref="G23">_xll.FDSZ(C23,"FG_PRICE(0)")</f>
        <v>14.58</v>
      </c>
      <c r="H23" s="162" cm="1">
        <f t="array" ref="H23">_xll.FDSZ(C23,"FG_PRICE_MAVG(0,,,,30)")</f>
        <v>14.62018</v>
      </c>
      <c r="I23" s="162" cm="1">
        <f t="array" ref="I23">_xll.FDSZ(C23,"FG_PRICE_MAVG(0,,,,60)")</f>
        <v>14.7659235</v>
      </c>
      <c r="J23" s="162" cm="1">
        <f t="array" ref="J23">_xll.FDSZ(C23,"FG_PRICE_MAVG(0,,,,200)")</f>
        <v>14.795750999999999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888</v>
      </c>
      <c r="S23" s="7" cm="1">
        <f t="array" ref="S23">_xll.FDSZ($R23,"FG_PRICE(0)")</f>
        <v>146.87386000000001</v>
      </c>
      <c r="T23" s="7" cm="1">
        <f t="array" ref="T23">_xll.FDSZ($R23,"FG_PRICE(0)")</f>
        <v>146.87386000000001</v>
      </c>
      <c r="U23" s="7" cm="1">
        <f t="array" ref="U23">_xll.FDSZ($R23,"FG_PRICE(0)")</f>
        <v>146.87386000000001</v>
      </c>
      <c r="V23" s="7" cm="1">
        <f t="array" ref="V23">_xll.FDSZ($R23,"FG_PRICE(0)")</f>
        <v>146.87386000000001</v>
      </c>
    </row>
    <row r="24" spans="1:22" x14ac:dyDescent="0.35">
      <c r="A24" t="s">
        <v>228</v>
      </c>
      <c r="B24" t="s">
        <v>453</v>
      </c>
      <c r="C24" t="s">
        <v>37</v>
      </c>
      <c r="D24" t="s">
        <v>743</v>
      </c>
      <c r="E24" s="3" t="s">
        <v>37</v>
      </c>
      <c r="F24" s="9">
        <f>HLOOKUP(E24,'Monthly Returns'!$A$1:$AE$136,134,FALSE)</f>
        <v>0.745</v>
      </c>
      <c r="G24" s="162" cm="1">
        <f t="array" ref="G24">_xll.FDSZ(C24,"FG_PRICE(0)")</f>
        <v>13.555</v>
      </c>
      <c r="H24" s="162" cm="1">
        <f t="array" ref="H24">_xll.FDSZ(C24,"FG_PRICE_MAVG(0,,,,30)")</f>
        <v>13.280167</v>
      </c>
      <c r="I24" s="162" cm="1">
        <f t="array" ref="I24">_xll.FDSZ(C24,"FG_PRICE_MAVG(0,,,,60)")</f>
        <v>13.047416999999999</v>
      </c>
      <c r="J24" s="162" cm="1">
        <f t="array" ref="J24">_xll.FDSZ(C24,"FG_PRICE_MAVG(0,,,,200)")</f>
        <v>13.546625000000001</v>
      </c>
      <c r="L24">
        <f t="shared" si="1"/>
        <v>1</v>
      </c>
      <c r="M24">
        <f t="shared" si="2"/>
        <v>1</v>
      </c>
      <c r="N24">
        <f t="shared" si="3"/>
        <v>1</v>
      </c>
      <c r="P24">
        <f t="shared" si="4"/>
        <v>3</v>
      </c>
      <c r="R24" t="s">
        <v>889</v>
      </c>
      <c r="S24" s="7" cm="1">
        <f t="array" ref="S24">_xll.FDSZ($R24,"FG_PRICE(0)")</f>
        <v>397.19945754000003</v>
      </c>
      <c r="T24" s="7" cm="1">
        <f t="array" ref="T24">_xll.FDSZ($R24,"FG_PRICE(0)")</f>
        <v>397.19945754000003</v>
      </c>
      <c r="U24" s="7" cm="1">
        <f t="array" ref="U24">_xll.FDSZ($R24,"FG_PRICE(0)")</f>
        <v>397.19945754000003</v>
      </c>
      <c r="V24" s="7" cm="1">
        <f t="array" ref="V24">_xll.FDSZ($R24,"FG_PRICE(0)")</f>
        <v>397.19945754000003</v>
      </c>
    </row>
    <row r="25" spans="1:22" x14ac:dyDescent="0.35">
      <c r="A25" t="s">
        <v>367</v>
      </c>
      <c r="B25" t="s">
        <v>454</v>
      </c>
      <c r="C25" t="s">
        <v>36</v>
      </c>
      <c r="D25" t="s">
        <v>713</v>
      </c>
      <c r="E25" s="3" t="s">
        <v>36</v>
      </c>
      <c r="F25" s="9">
        <f>HLOOKUP(E25,'Monthly Returns'!$A$1:$AE$136,134,FALSE)</f>
        <v>0.45</v>
      </c>
      <c r="G25" s="162" cm="1">
        <f t="array" ref="G25">_xll.FDSZ(C25,"FG_PRICE(0)")</f>
        <v>44.45</v>
      </c>
      <c r="H25" s="162" cm="1">
        <f t="array" ref="H25">_xll.FDSZ(C25,"FG_PRICE_MAVG(0,,,,30)")</f>
        <v>44.005333</v>
      </c>
      <c r="I25" s="162" cm="1">
        <f t="array" ref="I25">_xll.FDSZ(C25,"FG_PRICE_MAVG(0,,,,60)")</f>
        <v>43.231667000000002</v>
      </c>
      <c r="J25" s="162" cm="1">
        <f t="array" ref="J25">_xll.FDSZ(C25,"FG_PRICE_MAVG(0,,,,200)")</f>
        <v>41.018099999999997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890</v>
      </c>
      <c r="S25" s="7" cm="1">
        <f t="array" ref="S25">_xll.FDSZ($R25,"FG_PRICE(0)")</f>
        <v>53.004596999999997</v>
      </c>
      <c r="T25" s="7" cm="1">
        <f t="array" ref="T25">_xll.FDSZ($R25,"FG_PRICE(0)")</f>
        <v>53.004596999999997</v>
      </c>
      <c r="U25" s="7" cm="1">
        <f t="array" ref="U25">_xll.FDSZ($R25,"FG_PRICE(0)")</f>
        <v>53.004596999999997</v>
      </c>
      <c r="V25" s="7" cm="1">
        <f t="array" ref="V25">_xll.FDSZ($R25,"FG_PRICE(0)")</f>
        <v>53.004596999999997</v>
      </c>
    </row>
    <row r="27" spans="1:22" x14ac:dyDescent="0.35">
      <c r="K27" s="129" t="s">
        <v>916</v>
      </c>
      <c r="L27" s="129">
        <f>SUM(L5:L25)</f>
        <v>17</v>
      </c>
      <c r="M27" s="129">
        <f>SUM(M5:M25)</f>
        <v>17</v>
      </c>
      <c r="N27" s="129">
        <f>SUM(N5:N25)</f>
        <v>15</v>
      </c>
    </row>
    <row r="28" spans="1:22" x14ac:dyDescent="0.35">
      <c r="K28" s="129" t="s">
        <v>90</v>
      </c>
      <c r="L28" s="129">
        <f>COUNT(L5:L25)</f>
        <v>21</v>
      </c>
      <c r="M28" s="129">
        <f>COUNT(M5:M25)</f>
        <v>21</v>
      </c>
      <c r="N28" s="129">
        <f>COUNT(N5:N25)</f>
        <v>21</v>
      </c>
    </row>
    <row r="29" spans="1:22" x14ac:dyDescent="0.35">
      <c r="K29" s="129"/>
      <c r="L29" s="129"/>
      <c r="M29" s="129"/>
      <c r="N29" s="129"/>
    </row>
    <row r="30" spans="1:22" x14ac:dyDescent="0.35">
      <c r="K30" s="129" t="s">
        <v>92</v>
      </c>
      <c r="L30" s="188">
        <f>L27/L28</f>
        <v>0.80952380952380953</v>
      </c>
      <c r="M30" s="188">
        <f t="shared" ref="M30:N30" si="5">M27/M28</f>
        <v>0.80952380952380953</v>
      </c>
      <c r="N30" s="18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632812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6328125" bestFit="1" customWidth="1"/>
    <col min="10" max="10" width="15.453125" customWidth="1"/>
    <col min="16" max="16" width="22.90625" customWidth="1"/>
    <col min="17" max="17" width="32.6328125" customWidth="1"/>
    <col min="18" max="20" width="12.36328125" customWidth="1"/>
  </cols>
  <sheetData>
    <row r="2" spans="1:20" x14ac:dyDescent="0.35">
      <c r="B2" t="s">
        <v>818</v>
      </c>
      <c r="C2" t="s">
        <v>819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  <c r="I2" t="s">
        <v>825</v>
      </c>
      <c r="J2" t="s">
        <v>826</v>
      </c>
      <c r="S2" t="s">
        <v>827</v>
      </c>
    </row>
    <row r="3" spans="1:20" x14ac:dyDescent="0.35">
      <c r="A3" t="s">
        <v>828</v>
      </c>
      <c r="B3" t="s">
        <v>829</v>
      </c>
      <c r="C3" cm="1">
        <f t="array" ref="C3">_xll.FDS($A3,"FG_PRICE(0)")</f>
        <v>110.94</v>
      </c>
      <c r="D3" cm="1">
        <f t="array" ref="D3">_xll.FDS($A3,"FG_PRICE_MAVG(0,,,,30)")</f>
        <v>123.59533999999999</v>
      </c>
      <c r="E3" s="56" cm="1">
        <f t="array" ref="E3">_xll.FDS($A3,"FG_PRICE_CHANGE(0,-1AM)")</f>
        <v>-14.066615027110799</v>
      </c>
      <c r="F3" s="56" cm="1">
        <f t="array" ref="F3">_xll.FDS($A3,"FG_PRICE_CHANGE(0,-3AM)")</f>
        <v>-17.955923679929001</v>
      </c>
      <c r="G3" s="56" cm="1">
        <f t="array" ref="G3">_xll.FDS($A3,"FG_PRICE_CHANGE(0,-6AM)")</f>
        <v>-7.9794293297943</v>
      </c>
      <c r="H3" s="56" cm="1">
        <f t="array" ref="H3">_xll.FDS($A3,"FG_PRICE_CHANGE(0,-1AY)")</f>
        <v>-14.6877883728084</v>
      </c>
      <c r="I3" s="56" cm="1">
        <f t="array" ref="I3">_xll.FDS($A3,"FG_PRICE(0)/MAX(FG_PRICE(0,-1AY))")</f>
        <v>0.76956159822419501</v>
      </c>
      <c r="J3" cm="1">
        <f t="array" ref="J3">_xll.FDS($A3,"MAX(FG_PRICE(0,-5AY))")</f>
        <v>219.77</v>
      </c>
      <c r="P3" t="s">
        <v>437</v>
      </c>
      <c r="Q3" t="s">
        <v>440</v>
      </c>
      <c r="R3" t="s">
        <v>437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830</v>
      </c>
      <c r="B4" t="s">
        <v>831</v>
      </c>
      <c r="C4" cm="1">
        <f t="array" ref="C4">_xll.FDS($A4,"FG_PRICE(0)")</f>
        <v>4.0369999999999999</v>
      </c>
      <c r="D4" cm="1">
        <f t="array" ref="D4">_xll.FDS($A4,"FG_PRICE_MAVG(0,,,,30)")</f>
        <v>3.8365165999999999</v>
      </c>
      <c r="E4" s="56" cm="1">
        <f t="array" ref="E4">_xll.FDS($A4,"FG_PRICE_CHANGE(0,-1AM)")</f>
        <v>9.0933657613836001</v>
      </c>
      <c r="F4" s="56" cm="1">
        <f t="array" ref="F4">_xll.FDS($A4,"FG_PRICE_CHANGE(0,-3AM)")</f>
        <v>3.81895332390381</v>
      </c>
      <c r="G4" s="56" cm="1">
        <f t="array" ref="G4">_xll.FDS($A4,"FG_PRICE_CHANGE(0,-6AM)")</f>
        <v>6.7283542630535402</v>
      </c>
      <c r="H4" s="56" cm="1">
        <f t="array" ref="H4">_xll.FDS($A4,"FG_PRICE_CHANGE(0,-1AY)")</f>
        <v>0.66076549058720102</v>
      </c>
      <c r="I4" s="56" cm="1">
        <f t="array" ref="I4">_xll.FDS($A4,"FG_PRICE(0)/MAX(FG_PRICE(0,-1AY))")</f>
        <v>0.97370959961408599</v>
      </c>
      <c r="J4" cm="1">
        <f t="array" ref="J4">_xll.FDS($A4,"MAX(FG_PRICE(0,-5AY))")</f>
        <v>4.9290000000000003</v>
      </c>
      <c r="P4" t="s">
        <v>27</v>
      </c>
      <c r="Q4" t="s">
        <v>441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832</v>
      </c>
      <c r="B5" t="s">
        <v>466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56" cm="1">
        <f t="array" ref="E5">_xll.FDS($A5,"FG_PRICE_CHANGE(0,-1AM)")</f>
        <v>0</v>
      </c>
      <c r="F5" s="56" cm="1">
        <f t="array" ref="F5">_xll.FDS($A5,"FG_PRICE_CHANGE(0,-3AM)")</f>
        <v>0</v>
      </c>
      <c r="G5" s="56" cm="1">
        <f t="array" ref="G5">_xll.FDS($A5,"FG_PRICE_CHANGE(0,-6AM)")</f>
        <v>-10.1788890051261</v>
      </c>
      <c r="H5" s="56" cm="1">
        <f t="array" ref="H5">_xll.FDS($A5,"FG_PRICE_CHANGE(0,-1AY)")</f>
        <v>8.6697886343500805</v>
      </c>
      <c r="I5" s="56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442</v>
      </c>
      <c r="R5" t="s">
        <v>35</v>
      </c>
      <c r="S5">
        <f>IF(E9&lt;$C$19, -1, IF(E9&gt;$C$20,1,0))</f>
        <v>1</v>
      </c>
      <c r="T5">
        <f t="shared" si="0"/>
        <v>1</v>
      </c>
    </row>
    <row r="6" spans="1:20" x14ac:dyDescent="0.35">
      <c r="A6" t="s">
        <v>833</v>
      </c>
      <c r="B6" t="s">
        <v>834</v>
      </c>
      <c r="C6" cm="1">
        <f t="array" ref="C6">_xll.FDS($A6,"FG_PRICE(0)")</f>
        <v>5.1950000000000003</v>
      </c>
      <c r="D6" cm="1">
        <f t="array" ref="D6">_xll.FDS($A6,"FG_PRICE_MAVG(0,,,,30)")</f>
        <v>5.6929999999999996</v>
      </c>
      <c r="E6" s="56" cm="1">
        <f t="array" ref="E6">_xll.FDS($A6,"FG_PRICE_CHANGE(0,-1AM)")</f>
        <v>-11.2724167378309</v>
      </c>
      <c r="F6" s="56" cm="1">
        <f t="array" ref="F6">_xll.FDS($A6,"FG_PRICE_CHANGE(0,-3AM)")</f>
        <v>-12.542087542087501</v>
      </c>
      <c r="G6" s="56" cm="1">
        <f t="array" ref="G6">_xll.FDS($A6,"FG_PRICE_CHANGE(0,-6AM)")</f>
        <v>-8.4581497797356793</v>
      </c>
      <c r="H6" s="56" cm="1">
        <f t="array" ref="H6">_xll.FDS($A6,"FG_PRICE_CHANGE(0,-1AY)")</f>
        <v>-24.326292789511999</v>
      </c>
      <c r="I6" s="56" cm="1">
        <f t="array" ref="I6">_xll.FDS($A6,"FG_PRICE(0)/MAX(FG_PRICE(0,-1AY))")</f>
        <v>0.68332785268003904</v>
      </c>
      <c r="J6" cm="1">
        <f t="array" ref="J6">_xll.FDS($A6,"MAX(FG_PRICE(0,-5AY))")</f>
        <v>14.2525</v>
      </c>
      <c r="P6" t="s">
        <v>30</v>
      </c>
      <c r="Q6" t="s">
        <v>443</v>
      </c>
      <c r="R6" t="s">
        <v>30</v>
      </c>
    </row>
    <row r="7" spans="1:20" x14ac:dyDescent="0.35">
      <c r="A7" t="s">
        <v>835</v>
      </c>
      <c r="B7" t="s">
        <v>836</v>
      </c>
      <c r="C7" cm="1">
        <f t="array" ref="C7">_xll.FDS($A7,"FG_PRICE(0)")</f>
        <v>4330</v>
      </c>
      <c r="D7" cm="1">
        <f t="array" ref="D7">_xll.FDS($A7,"FG_PRICE_MAVG(0,,,,30)")</f>
        <v>4007.7665999999999</v>
      </c>
      <c r="E7" s="56" cm="1">
        <f t="array" ref="E7">_xll.FDS($A7,"FG_PRICE_CHANGE(0,-1AM)")</f>
        <v>8.3854818523154009</v>
      </c>
      <c r="F7" s="56" cm="1">
        <f t="array" ref="F7">_xll.FDS($A7,"FG_PRICE_CHANGE(0,-3AM)")</f>
        <v>20.244376562066101</v>
      </c>
      <c r="G7" s="56" cm="1">
        <f t="array" ref="G7">_xll.FDS($A7,"FG_PRICE_CHANGE(0,-6AM)")</f>
        <v>18.3060109289618</v>
      </c>
      <c r="H7" s="56" cm="1">
        <f t="array" ref="H7">_xll.FDS($A7,"FG_PRICE_CHANGE(0,-1AY)")</f>
        <v>5.5325371679259003</v>
      </c>
      <c r="I7" s="56" cm="1">
        <f t="array" ref="I7">_xll.FDS($A7,"FG_PRICE(0)/MAX(FG_PRICE(0,-1AY))")</f>
        <v>1</v>
      </c>
      <c r="J7" cm="1">
        <f t="array" ref="J7">_xll.FDS($A7,"MAX(FG_PRICE(0,-5AY))")</f>
        <v>8163</v>
      </c>
      <c r="P7" t="s">
        <v>23</v>
      </c>
      <c r="Q7" t="s">
        <v>444</v>
      </c>
      <c r="R7" t="s">
        <v>23</v>
      </c>
    </row>
    <row r="8" spans="1:20" x14ac:dyDescent="0.35">
      <c r="A8" t="s">
        <v>837</v>
      </c>
      <c r="B8" t="s">
        <v>838</v>
      </c>
      <c r="C8" cm="1">
        <f t="array" ref="C8">_xll.FDS($A8,"FG_PRICE(0)")</f>
        <v>939</v>
      </c>
      <c r="D8" cm="1">
        <f t="array" ref="D8">_xll.FDS($A8,"FG_PRICE_MAVG(0,,,,30)")</f>
        <v>903.8</v>
      </c>
      <c r="E8" s="56" cm="1">
        <f t="array" ref="E8">_xll.FDS($A8,"FG_PRICE_CHANGE(0,-1AM)")</f>
        <v>5.2690582959641397</v>
      </c>
      <c r="F8" s="56" cm="1">
        <f t="array" ref="F8">_xll.FDS($A8,"FG_PRICE_CHANGE(0,-3AM)")</f>
        <v>-0.84477296726505102</v>
      </c>
      <c r="G8" s="56" cm="1">
        <f t="array" ref="G8">_xll.FDS($A8,"FG_PRICE_CHANGE(0,-6AM)")</f>
        <v>3.1868131868131999</v>
      </c>
      <c r="H8" s="56" cm="1">
        <f t="array" ref="H8">_xll.FDS($A8,"FG_PRICE_CHANGE(0,-1AY)")</f>
        <v>-6.1</v>
      </c>
      <c r="I8" s="56" cm="1">
        <f t="array" ref="I8">_xll.FDS($A8,"FG_PRICE(0)/MAX(FG_PRICE(0,-1AY))")</f>
        <v>0.82731277533039604</v>
      </c>
      <c r="J8" cm="1">
        <f t="array" ref="J8">_xll.FDS($A8,"MAX(FG_PRICE(0,-5AY))")</f>
        <v>1272.5899999999999</v>
      </c>
      <c r="P8" t="s">
        <v>29</v>
      </c>
      <c r="Q8" t="s">
        <v>445</v>
      </c>
      <c r="R8" t="s">
        <v>29</v>
      </c>
    </row>
    <row r="9" spans="1:20" x14ac:dyDescent="0.35">
      <c r="A9" t="s">
        <v>839</v>
      </c>
      <c r="B9" t="s">
        <v>840</v>
      </c>
      <c r="C9" cm="1">
        <f t="array" ref="C9">_xll.FDS($A9,"FG_PRICE(0)")</f>
        <v>17755</v>
      </c>
      <c r="D9" cm="1">
        <f t="array" ref="D9">_xll.FDS($A9,"FG_PRICE_MAVG(0,,,,30)")</f>
        <v>16786</v>
      </c>
      <c r="E9" s="56" cm="1">
        <f t="array" ref="E9">_xll.FDS($A9,"FG_PRICE_CHANGE(0,-1AM)")</f>
        <v>10.1768538628607</v>
      </c>
      <c r="F9" s="56" cm="1">
        <f t="array" ref="F9">_xll.FDS($A9,"FG_PRICE_CHANGE(0,-3AM)")</f>
        <v>7.6060606060606197</v>
      </c>
      <c r="G9" s="56" cm="1">
        <f t="array" ref="G9">_xll.FDS($A9,"FG_PRICE_CHANGE(0,-6AM)")</f>
        <v>-12.3426314490249</v>
      </c>
      <c r="H9" s="56" cm="1">
        <f t="array" ref="H9">_xll.FDS($A9,"FG_PRICE_CHANGE(0,-1AY)")</f>
        <v>-23.6508277789723</v>
      </c>
      <c r="I9" s="56" cm="1">
        <f t="array" ref="I9">_xll.FDS($A9,"FG_PRICE(0)/MAX(FG_PRICE(0,-1AY))")</f>
        <v>0.695184025058731</v>
      </c>
      <c r="J9" cm="1">
        <f t="array" ref="J9">_xll.FDS($A9,"MAX(FG_PRICE(0,-5AY))")</f>
        <v>48241</v>
      </c>
      <c r="P9" t="s">
        <v>33</v>
      </c>
      <c r="Q9" t="s">
        <v>446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841</v>
      </c>
      <c r="B10" t="s">
        <v>842</v>
      </c>
      <c r="C10" cm="1">
        <f t="array" ref="C10">_xll.FDS($A10,"FG_PRICE(0)")</f>
        <v>1088</v>
      </c>
      <c r="D10" cm="1">
        <f t="array" ref="D10">_xll.FDS($A10,"FG_PRICE_MAVG(0,,,,30)")</f>
        <v>973.46669999999995</v>
      </c>
      <c r="E10" s="56" cm="1">
        <f t="array" ref="E10">_xll.FDS($A10,"FG_PRICE_CHANGE(0,-1AM)")</f>
        <v>19.560439560439601</v>
      </c>
      <c r="F10" s="56" cm="1">
        <f t="array" ref="F10">_xll.FDS($A10,"FG_PRICE_CHANGE(0,-3AM)")</f>
        <v>5.1207729468599101</v>
      </c>
      <c r="G10" s="56" cm="1">
        <f t="array" ref="G10">_xll.FDS($A10,"FG_PRICE_CHANGE(0,-6AM)")</f>
        <v>-14.330708661417299</v>
      </c>
      <c r="H10" s="56" cm="1">
        <f t="array" ref="H10">_xll.FDS($A10,"FG_PRICE_CHANGE(0,-1AY)")</f>
        <v>-28.655737704918</v>
      </c>
      <c r="I10" s="56" cm="1">
        <f t="array" ref="I10">_xll.FDS($A10,"FG_PRICE(0)/MAX(FG_PRICE(0,-1AY))")</f>
        <v>0.66341463414634105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843</v>
      </c>
      <c r="C11" cm="1">
        <f t="array" ref="C11">_xll.FDS($A11,"FG_PRICE(0)")</f>
        <v>614.79999999999995</v>
      </c>
      <c r="D11" cm="1">
        <f t="array" ref="D11">_xll.FDS($A11,"FG_PRICE_MAVG(0,,,,30)")</f>
        <v>629.9</v>
      </c>
      <c r="E11" s="56" cm="1">
        <f t="array" ref="E11">_xll.FDS($A11,"FG_PRICE_CHANGE(0,-1AM)")</f>
        <v>-6.66464247760742</v>
      </c>
      <c r="F11" s="56" cm="1">
        <f t="array" ref="F11">_xll.FDS($A11,"FG_PRICE_CHANGE(0,-3AM)")</f>
        <v>-2.5055502695845302</v>
      </c>
      <c r="G11" s="56" cm="1">
        <f t="array" ref="G11">_xll.FDS($A11,"FG_PRICE_CHANGE(0,-6AM)")</f>
        <v>-18.827567995774999</v>
      </c>
      <c r="H11" s="56" cm="1">
        <f t="array" ref="H11">_xll.FDS($A11,"FG_PRICE_CHANGE(0,-1AY)")</f>
        <v>5.7629451230001703</v>
      </c>
      <c r="I11" s="56" cm="1">
        <f t="array" ref="I11">_xll.FDS($A11,"FG_PRICE(0)/MAX(FG_PRICE(0,-1AY))")</f>
        <v>0.80534451139638497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844</v>
      </c>
      <c r="B12" t="s">
        <v>845</v>
      </c>
      <c r="C12" cm="1">
        <f t="array" ref="C12">_xll.FDS($A12,"FG_PRICE(0)")</f>
        <v>0.96300079999999999</v>
      </c>
      <c r="D12" cm="1">
        <f t="array" ref="D12">_xll.FDS($A12,"FG_PRICE_MAVG(0,,,,30)")</f>
        <v>0.96949034999999995</v>
      </c>
      <c r="E12" s="56" cm="1">
        <f t="array" ref="E12">_xll.FDS($A12,"FG_PRICE_CHANGE(0,-1AM)")</f>
        <v>-0.83615747534626605</v>
      </c>
      <c r="F12" s="56" cm="1">
        <f t="array" ref="F12">_xll.FDS($A12,"FG_PRICE_CHANGE(0,-3AM)")</f>
        <v>-3.39904279464993</v>
      </c>
      <c r="G12" s="56" cm="1">
        <f t="array" ref="G12">_xll.FDS($A12,"FG_PRICE_CHANGE(0,-6AM)")</f>
        <v>-0.39237407545607</v>
      </c>
      <c r="H12" s="56" cm="1">
        <f t="array" ref="H12">_xll.FDS($A12,"FG_PRICE_CHANGE(0,-1AY)")</f>
        <v>-18.611326133103901</v>
      </c>
      <c r="I12" s="56" cm="1">
        <f t="array" ref="I12">_xll.FDS($A12,"FG_PRICE(0)/MAX(FG_PRICE(0,-1AY))")</f>
        <v>0.813886738668961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447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448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449</v>
      </c>
      <c r="R18" t="s">
        <v>31</v>
      </c>
    </row>
    <row r="19" spans="2:20" x14ac:dyDescent="0.35">
      <c r="B19" t="s">
        <v>847</v>
      </c>
      <c r="C19" s="65">
        <v>-5</v>
      </c>
      <c r="P19" s="1" t="s">
        <v>764</v>
      </c>
      <c r="Q19" s="1" t="s">
        <v>765</v>
      </c>
      <c r="R19" s="1" t="s">
        <v>764</v>
      </c>
    </row>
    <row r="20" spans="2:20" x14ac:dyDescent="0.35">
      <c r="B20" t="s">
        <v>848</v>
      </c>
      <c r="C20" s="65">
        <v>10</v>
      </c>
      <c r="P20" t="s">
        <v>25</v>
      </c>
      <c r="Q20" t="s">
        <v>451</v>
      </c>
      <c r="R20" t="s">
        <v>25</v>
      </c>
    </row>
    <row r="21" spans="2:20" x14ac:dyDescent="0.35">
      <c r="P21" t="s">
        <v>34</v>
      </c>
      <c r="Q21" t="s">
        <v>452</v>
      </c>
      <c r="R21" t="s">
        <v>34</v>
      </c>
      <c r="S21" s="1"/>
    </row>
    <row r="22" spans="2:20" x14ac:dyDescent="0.35">
      <c r="P22" t="s">
        <v>37</v>
      </c>
      <c r="Q22" t="s">
        <v>453</v>
      </c>
      <c r="R22" t="s">
        <v>37</v>
      </c>
    </row>
    <row r="23" spans="2:20" x14ac:dyDescent="0.35">
      <c r="P23" t="s">
        <v>36</v>
      </c>
      <c r="Q23" t="s">
        <v>454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438</v>
      </c>
      <c r="Q24" t="s">
        <v>455</v>
      </c>
      <c r="R24" t="s">
        <v>438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456</v>
      </c>
      <c r="R30" t="s">
        <v>48</v>
      </c>
    </row>
    <row r="31" spans="2:20" x14ac:dyDescent="0.35">
      <c r="P31" t="s">
        <v>51</v>
      </c>
      <c r="Q31" t="s">
        <v>457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41712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15.5037640908984</v>
      </c>
      <c r="D2" s="3" cm="1">
        <f t="array" ref="D2:D122">_xll.FDS(D1,"FMA_PE(LTMA,-10AY,0,AM,""PORTAGG"",""MEANR"")")</f>
        <v>15.737940174239601</v>
      </c>
      <c r="E2" s="3" cm="1">
        <f t="array" ref="E2:E122">_xll.FDS(E1,"FMA_PE(LTMA,-10AY,0,AM,""PORTAGG"",""MEANR"")")</f>
        <v>19.3132941449778</v>
      </c>
      <c r="F2" s="3" cm="1">
        <f t="array" ref="F2:F122">_xll.FDS(F1,"FMA_PE(LTMA,-10AY,0,AM,""PORTAGG"",""MEANR"")")</f>
        <v>15.252667208717799</v>
      </c>
      <c r="G2" s="3" cm="1">
        <f t="array" ref="G2:G122">_xll.FDS(G1,"FMA_PE(LTMA,-10AY,0,AM,""PORTAGG"",""MEANR"")")</f>
        <v>15.0240960553656</v>
      </c>
      <c r="H2" s="3" cm="1">
        <f t="array" ref="H2:H122">_xll.FDS(H1,"FMA_PE(LTMA,-10AY,0,AM,""PORTAGG"",""MEANR"")")</f>
        <v>16.725518402664601</v>
      </c>
      <c r="I2" s="3" cm="1">
        <f t="array" ref="I2:I122">_xll.FDS(I1,"FMA_PE(LTMA,-10AY,0,AM,""PORTAGG"",""MEANR"")")</f>
        <v>15.720272086561501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11.645872555920199</v>
      </c>
      <c r="L2" s="3" cm="1">
        <f t="array" ref="L2:L122">_xll.FDS(L1,"FMA_PE(LTMA,-10AY,0,AM,""PORTAGG"",""MEANR"")")</f>
        <v>11.208842325043999</v>
      </c>
      <c r="M2" s="3" cm="1">
        <f t="array" ref="M2:M122">_xll.FDS(M1,"FMA_PE(LTMA,-10AY,0,AM,""PORTAGG"",""MEANR"")")</f>
        <v>15.705393622386</v>
      </c>
      <c r="N2" s="3" cm="1">
        <f t="array" ref="N2:N122">_xll.FDS(N1,"FMA_PE(LTMA,-10AY,0,AM,""PORTAGG"",""MEANR"")")</f>
        <v>33.202896886959898</v>
      </c>
      <c r="O2" s="3" cm="1">
        <f t="array" ref="O2:O122">_xll.FDS(O1,"FMA_PE(LTMA,-10AY,0,AM,""PORTAGG"",""MEANR"")")</f>
        <v>16.343560576414198</v>
      </c>
      <c r="P2" s="3" cm="1">
        <f t="array" ref="P2:P122">_xll.FDS(P1,"FMA_PE(LTMA,-10AY,0,AM,""PORTAGG"",""MEANR"")")</f>
        <v>9.1927786127462898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18.6948639585117</v>
      </c>
      <c r="S2" s="3" cm="1">
        <f t="array" ref="S2:S122">_xll.FDS(S1,"FMA_PE(LTMA,-10AY,0,AM,""PORTAGG"",""MEANR"")")</f>
        <v>9.2124736614526093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11.698455764763599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41743</v>
      </c>
      <c r="B3" s="3" t="e">
        <v>#N/A</v>
      </c>
      <c r="C3" s="3">
        <v>15.6857948128815</v>
      </c>
      <c r="D3" s="3">
        <v>15.6961439622404</v>
      </c>
      <c r="E3" s="3">
        <v>19.260581658895902</v>
      </c>
      <c r="F3" s="3">
        <v>15.355434232574099</v>
      </c>
      <c r="G3" s="3">
        <v>14.895406611513801</v>
      </c>
      <c r="H3" s="3">
        <v>16.725171701318999</v>
      </c>
      <c r="I3" s="3">
        <v>15.6972419383335</v>
      </c>
      <c r="J3" s="3" t="e">
        <v>#N/A</v>
      </c>
      <c r="K3" s="3">
        <v>11.534088890038101</v>
      </c>
      <c r="L3" s="3">
        <v>11.4842918840765</v>
      </c>
      <c r="M3" s="3">
        <v>15.6201302077645</v>
      </c>
      <c r="N3" s="3">
        <v>31.4666492672816</v>
      </c>
      <c r="O3" s="3">
        <v>16.408634005753001</v>
      </c>
      <c r="P3" s="3">
        <v>9.3104703217578901</v>
      </c>
      <c r="Q3" s="3" t="e">
        <v>#N/A</v>
      </c>
      <c r="R3" s="3">
        <v>18.366841115008199</v>
      </c>
      <c r="S3" s="3">
        <v>9.7286198212658608</v>
      </c>
      <c r="T3" s="3" t="e">
        <v>#N/A</v>
      </c>
      <c r="U3" s="3">
        <v>11.912786920991101</v>
      </c>
      <c r="V3" s="3" t="e">
        <v>#N/A</v>
      </c>
    </row>
    <row r="4" spans="1:22" x14ac:dyDescent="0.35">
      <c r="A4" s="2">
        <v>41773</v>
      </c>
      <c r="B4" s="3" t="e">
        <v>#N/A</v>
      </c>
      <c r="C4" s="3">
        <v>15.869027011150401</v>
      </c>
      <c r="D4" s="3">
        <v>15.739498028097101</v>
      </c>
      <c r="E4" s="3">
        <v>19.419028586042</v>
      </c>
      <c r="F4" s="3">
        <v>15.1777879309951</v>
      </c>
      <c r="G4" s="3">
        <v>14.815344651646299</v>
      </c>
      <c r="H4" s="3">
        <v>16.7140651425455</v>
      </c>
      <c r="I4" s="3">
        <v>15.4413940089229</v>
      </c>
      <c r="J4" s="3" t="e">
        <v>#N/A</v>
      </c>
      <c r="K4" s="3">
        <v>11.436584149983901</v>
      </c>
      <c r="L4" s="3">
        <v>11.66180124201</v>
      </c>
      <c r="M4" s="3">
        <v>15.695483771757599</v>
      </c>
      <c r="N4" s="3">
        <v>31.4012206783914</v>
      </c>
      <c r="O4" s="3">
        <v>16.597724376669898</v>
      </c>
      <c r="P4" s="3">
        <v>9.2174481822618102</v>
      </c>
      <c r="Q4" s="3" t="e">
        <v>#N/A</v>
      </c>
      <c r="R4" s="3">
        <v>18.076094105620399</v>
      </c>
      <c r="S4" s="3">
        <v>10.0431067721084</v>
      </c>
      <c r="T4" s="3" t="e">
        <v>#N/A</v>
      </c>
      <c r="U4" s="3">
        <v>11.8917495244519</v>
      </c>
      <c r="V4" s="3" t="e">
        <v>#N/A</v>
      </c>
    </row>
    <row r="5" spans="1:22" x14ac:dyDescent="0.35">
      <c r="A5" s="2">
        <v>41803</v>
      </c>
      <c r="B5" s="3" t="e">
        <v>#N/A</v>
      </c>
      <c r="C5" s="3">
        <v>15.8404301515366</v>
      </c>
      <c r="D5" s="3">
        <v>15.600200819356401</v>
      </c>
      <c r="E5" s="3">
        <v>19.239199126059599</v>
      </c>
      <c r="F5" s="3">
        <v>15.1687139790616</v>
      </c>
      <c r="G5" s="3">
        <v>15.2789182722147</v>
      </c>
      <c r="H5" s="3">
        <v>16.733316042393501</v>
      </c>
      <c r="I5" s="3">
        <v>15.499027592346501</v>
      </c>
      <c r="J5" s="3" t="e">
        <v>#N/A</v>
      </c>
      <c r="K5" s="3">
        <v>11.278486355852401</v>
      </c>
      <c r="L5" s="3">
        <v>11.8448698935553</v>
      </c>
      <c r="M5" s="3">
        <v>15.8192955505512</v>
      </c>
      <c r="N5" s="3">
        <v>26.7651744711894</v>
      </c>
      <c r="O5" s="3">
        <v>17.042877985558199</v>
      </c>
      <c r="P5" s="3">
        <v>9.3521898308031908</v>
      </c>
      <c r="Q5" s="3" t="e">
        <v>#N/A</v>
      </c>
      <c r="R5" s="3">
        <v>17.7944897557262</v>
      </c>
      <c r="S5" s="3">
        <v>10.285706962728099</v>
      </c>
      <c r="T5" s="3" t="e">
        <v>#N/A</v>
      </c>
      <c r="U5" s="3">
        <v>12.1014803153146</v>
      </c>
      <c r="V5" s="3" t="e">
        <v>#N/A</v>
      </c>
    </row>
    <row r="6" spans="1:22" x14ac:dyDescent="0.35">
      <c r="A6" s="2">
        <v>41834</v>
      </c>
      <c r="B6" s="3" t="e">
        <v>#N/A</v>
      </c>
      <c r="C6" s="3">
        <v>16.297384110557498</v>
      </c>
      <c r="D6" s="3">
        <v>15.6738928034457</v>
      </c>
      <c r="E6" s="3">
        <v>19.187760590162501</v>
      </c>
      <c r="F6" s="3">
        <v>14.7956813737768</v>
      </c>
      <c r="G6" s="3">
        <v>15.869913583202001</v>
      </c>
      <c r="H6" s="3">
        <v>16.746326696273499</v>
      </c>
      <c r="I6" s="3">
        <v>15.6679169798778</v>
      </c>
      <c r="J6" s="3" t="e">
        <v>#N/A</v>
      </c>
      <c r="K6" s="3">
        <v>11.235959809132099</v>
      </c>
      <c r="L6" s="3">
        <v>11.959833548986699</v>
      </c>
      <c r="M6" s="3">
        <v>16.002099209155698</v>
      </c>
      <c r="N6" s="3">
        <v>24.010576480816599</v>
      </c>
      <c r="O6" s="3">
        <v>17.0244403808653</v>
      </c>
      <c r="P6" s="3">
        <v>9.4335763063538494</v>
      </c>
      <c r="Q6" s="3" t="e">
        <v>#N/A</v>
      </c>
      <c r="R6" s="3">
        <v>17.852890301239299</v>
      </c>
      <c r="S6" s="3">
        <v>10.6106683594271</v>
      </c>
      <c r="T6" s="3" t="e">
        <v>#N/A</v>
      </c>
      <c r="U6" s="3">
        <v>12.5658438770269</v>
      </c>
      <c r="V6" s="3" t="e">
        <v>#N/A</v>
      </c>
    </row>
    <row r="7" spans="1:22" x14ac:dyDescent="0.35">
      <c r="A7" s="2">
        <v>41865</v>
      </c>
      <c r="B7" s="3" t="e">
        <v>#N/A</v>
      </c>
      <c r="C7" s="3">
        <v>16.423660359434201</v>
      </c>
      <c r="D7" s="3">
        <v>15.927352226880799</v>
      </c>
      <c r="E7" s="3">
        <v>19.4659050581493</v>
      </c>
      <c r="F7" s="3">
        <v>14.7070106386637</v>
      </c>
      <c r="G7" s="3">
        <v>15.9050990521584</v>
      </c>
      <c r="H7" s="3">
        <v>16.6822378766065</v>
      </c>
      <c r="I7" s="3">
        <v>14.992022709815499</v>
      </c>
      <c r="J7" s="3" t="e">
        <v>#N/A</v>
      </c>
      <c r="K7" s="3">
        <v>11.6524612856606</v>
      </c>
      <c r="L7" s="3">
        <v>12.2137841693401</v>
      </c>
      <c r="M7" s="3">
        <v>16.303431194204201</v>
      </c>
      <c r="N7" s="3">
        <v>21.503483228774101</v>
      </c>
      <c r="O7" s="3">
        <v>17.501024936480601</v>
      </c>
      <c r="P7" s="3">
        <v>9.7153314208714203</v>
      </c>
      <c r="Q7" s="3" t="e">
        <v>#N/A</v>
      </c>
      <c r="R7" s="3">
        <v>17.549408947901998</v>
      </c>
      <c r="S7" s="3">
        <v>10.401600709391399</v>
      </c>
      <c r="T7" s="3" t="e">
        <v>#N/A</v>
      </c>
      <c r="U7" s="3">
        <v>12.8904072394234</v>
      </c>
      <c r="V7" s="3" t="e">
        <v>#N/A</v>
      </c>
    </row>
    <row r="8" spans="1:22" x14ac:dyDescent="0.35">
      <c r="A8" s="2">
        <v>41894</v>
      </c>
      <c r="B8" s="3" t="e">
        <v>#N/A</v>
      </c>
      <c r="C8" s="3">
        <v>16.352159314123998</v>
      </c>
      <c r="D8" s="3">
        <v>15.7956980188894</v>
      </c>
      <c r="E8" s="3">
        <v>19.7738191734068</v>
      </c>
      <c r="F8" s="3">
        <v>14.738242749432199</v>
      </c>
      <c r="G8" s="3">
        <v>15.580950789767501</v>
      </c>
      <c r="H8" s="3">
        <v>16.8318784834401</v>
      </c>
      <c r="I8" s="3">
        <v>14.740210879317701</v>
      </c>
      <c r="J8" s="3" t="e">
        <v>#N/A</v>
      </c>
      <c r="K8" s="3">
        <v>11.552585175410901</v>
      </c>
      <c r="L8" s="3">
        <v>12.4849951714851</v>
      </c>
      <c r="M8" s="3">
        <v>16.390853315301499</v>
      </c>
      <c r="N8" s="3">
        <v>20.3590947290432</v>
      </c>
      <c r="O8" s="3">
        <v>18.016921615676999</v>
      </c>
      <c r="P8" s="3">
        <v>9.7044635771307597</v>
      </c>
      <c r="Q8" s="3" t="e">
        <v>#N/A</v>
      </c>
      <c r="R8" s="3">
        <v>19.203755214590799</v>
      </c>
      <c r="S8" s="3">
        <v>10.5131102491627</v>
      </c>
      <c r="T8" s="3" t="e">
        <v>#N/A</v>
      </c>
      <c r="U8" s="3">
        <v>13.765640116166299</v>
      </c>
      <c r="V8" s="3" t="e">
        <v>#N/A</v>
      </c>
    </row>
    <row r="9" spans="1:22" x14ac:dyDescent="0.35">
      <c r="A9" s="2">
        <v>41926</v>
      </c>
      <c r="B9" s="3" t="e">
        <v>#N/A</v>
      </c>
      <c r="C9" s="3">
        <v>15.917419719194299</v>
      </c>
      <c r="D9" s="3">
        <v>15.358986255921</v>
      </c>
      <c r="E9" s="3">
        <v>19.009061897577698</v>
      </c>
      <c r="F9" s="3">
        <v>14.501278044235301</v>
      </c>
      <c r="G9" s="3">
        <v>14.4093225089934</v>
      </c>
      <c r="H9" s="3">
        <v>16.366999899591601</v>
      </c>
      <c r="I9" s="3">
        <v>14.0339159511429</v>
      </c>
      <c r="J9" s="3" t="e">
        <v>#N/A</v>
      </c>
      <c r="K9" s="3">
        <v>11.043720520982101</v>
      </c>
      <c r="L9" s="3">
        <v>13.014034122949999</v>
      </c>
      <c r="M9" s="3">
        <v>15.886308340544</v>
      </c>
      <c r="N9" s="3">
        <v>17.450815042263599</v>
      </c>
      <c r="O9" s="3">
        <v>17.881641153236298</v>
      </c>
      <c r="P9" s="3">
        <v>9.2033791426630902</v>
      </c>
      <c r="Q9" s="3" t="e">
        <v>#N/A</v>
      </c>
      <c r="R9" s="3">
        <v>18.873039366995599</v>
      </c>
      <c r="S9" s="3">
        <v>10.2970016285988</v>
      </c>
      <c r="T9" s="3" t="e">
        <v>#N/A</v>
      </c>
      <c r="U9" s="3">
        <v>13.2299322732381</v>
      </c>
      <c r="V9" s="3" t="e">
        <v>#N/A</v>
      </c>
    </row>
    <row r="10" spans="1:22" x14ac:dyDescent="0.35">
      <c r="A10" s="2">
        <v>41957</v>
      </c>
      <c r="B10" s="3" t="e">
        <v>#N/A</v>
      </c>
      <c r="C10" s="3">
        <v>16.3890480544536</v>
      </c>
      <c r="D10" s="3">
        <v>15.892484622664901</v>
      </c>
      <c r="E10" s="3">
        <v>19.982591288794499</v>
      </c>
      <c r="F10" s="3">
        <v>14.669535758437901</v>
      </c>
      <c r="G10" s="3">
        <v>14.209968561399601</v>
      </c>
      <c r="H10" s="3">
        <v>16.391091320343801</v>
      </c>
      <c r="I10" s="3">
        <v>14.0499343010415</v>
      </c>
      <c r="J10" s="3" t="e">
        <v>#N/A</v>
      </c>
      <c r="K10" s="3">
        <v>11.5296392353274</v>
      </c>
      <c r="L10" s="3">
        <v>12.244796668681101</v>
      </c>
      <c r="M10" s="3">
        <v>17.014358820650099</v>
      </c>
      <c r="N10" s="3">
        <v>17.049470877172499</v>
      </c>
      <c r="O10" s="3">
        <v>19.107374273280001</v>
      </c>
      <c r="P10" s="3">
        <v>9.6359923411252293</v>
      </c>
      <c r="Q10" s="3" t="e">
        <v>#N/A</v>
      </c>
      <c r="R10" s="3">
        <v>19.671414593555799</v>
      </c>
      <c r="S10" s="3">
        <v>11.157119236858399</v>
      </c>
      <c r="T10" s="3" t="e">
        <v>#N/A</v>
      </c>
      <c r="U10" s="3">
        <v>13.1762789231027</v>
      </c>
      <c r="V10" s="3" t="e">
        <v>#N/A</v>
      </c>
    </row>
    <row r="11" spans="1:22" x14ac:dyDescent="0.35">
      <c r="A11" s="2">
        <v>41985</v>
      </c>
      <c r="B11" s="3" t="e">
        <v>#N/A</v>
      </c>
      <c r="C11" s="3">
        <v>16.388933672556099</v>
      </c>
      <c r="D11" s="3">
        <v>16.4693788203077</v>
      </c>
      <c r="E11" s="3">
        <v>19.955160550041001</v>
      </c>
      <c r="F11" s="3">
        <v>14.5900412204763</v>
      </c>
      <c r="G11" s="3">
        <v>14.019190197778601</v>
      </c>
      <c r="H11" s="3">
        <v>16.089945866280701</v>
      </c>
      <c r="I11" s="3">
        <v>13.710796150936799</v>
      </c>
      <c r="J11" s="3" t="e">
        <v>#N/A</v>
      </c>
      <c r="K11" s="3">
        <v>11.4672224602716</v>
      </c>
      <c r="L11" s="3">
        <v>11.673234092985</v>
      </c>
      <c r="M11" s="3">
        <v>15.8798745785001</v>
      </c>
      <c r="N11" s="3">
        <v>16.9396245526736</v>
      </c>
      <c r="O11" s="3">
        <v>18.918104254989998</v>
      </c>
      <c r="P11" s="3">
        <v>9.7492316504446794</v>
      </c>
      <c r="Q11" s="3" t="e">
        <v>#N/A</v>
      </c>
      <c r="R11" s="3">
        <v>19.281169916537099</v>
      </c>
      <c r="S11" s="3">
        <v>11.4186440851666</v>
      </c>
      <c r="T11" s="3" t="e">
        <v>#N/A</v>
      </c>
      <c r="U11" s="3">
        <v>12.9037719911215</v>
      </c>
      <c r="V11" s="3" t="e">
        <v>#N/A</v>
      </c>
    </row>
    <row r="12" spans="1:22" x14ac:dyDescent="0.35">
      <c r="A12" s="2">
        <v>42018</v>
      </c>
      <c r="B12" s="3" t="e">
        <v>#N/A</v>
      </c>
      <c r="C12" s="3">
        <v>16.017352310261501</v>
      </c>
      <c r="D12" s="3">
        <v>16.627478696085898</v>
      </c>
      <c r="E12" s="3">
        <v>20.546366797715699</v>
      </c>
      <c r="F12" s="3">
        <v>14.5677955000167</v>
      </c>
      <c r="G12" s="3">
        <v>13.1443421663962</v>
      </c>
      <c r="H12" s="3">
        <v>16.1372256378259</v>
      </c>
      <c r="I12" s="3">
        <v>13.728549217709</v>
      </c>
      <c r="J12" s="3" t="e">
        <v>#N/A</v>
      </c>
      <c r="K12" s="3">
        <v>11.4000552141967</v>
      </c>
      <c r="L12" s="3">
        <v>11.931890164659199</v>
      </c>
      <c r="M12" s="3">
        <v>16.816813563913499</v>
      </c>
      <c r="N12" s="3">
        <v>12.7656935211673</v>
      </c>
      <c r="O12" s="3">
        <v>19.293054816996399</v>
      </c>
      <c r="P12" s="3">
        <v>10.424657395004999</v>
      </c>
      <c r="Q12" s="3">
        <v>14.5855785759373</v>
      </c>
      <c r="R12" s="3">
        <v>19.573562788788401</v>
      </c>
      <c r="S12" s="3">
        <v>12.111152973648201</v>
      </c>
      <c r="T12" s="3">
        <v>12.206093614838601</v>
      </c>
      <c r="U12" s="3">
        <v>12.3471392396991</v>
      </c>
      <c r="V12" s="3" t="e">
        <v>#N/A</v>
      </c>
    </row>
    <row r="13" spans="1:22" x14ac:dyDescent="0.35">
      <c r="A13" s="2">
        <v>42048</v>
      </c>
      <c r="B13" s="3" t="e">
        <v>#N/A</v>
      </c>
      <c r="C13" s="3">
        <v>16.7796961676252</v>
      </c>
      <c r="D13" s="3">
        <v>17.688205715625401</v>
      </c>
      <c r="E13" s="3">
        <v>21.021419983266199</v>
      </c>
      <c r="F13" s="3">
        <v>18.391565013461602</v>
      </c>
      <c r="G13" s="3">
        <v>15.9852003026889</v>
      </c>
      <c r="H13" s="3">
        <v>16.570712884108101</v>
      </c>
      <c r="I13" s="3">
        <v>14.2967690521221</v>
      </c>
      <c r="J13" s="3" t="e">
        <v>#N/A</v>
      </c>
      <c r="K13" s="3">
        <v>12.274903431027401</v>
      </c>
      <c r="L13" s="3">
        <v>12.601061710373999</v>
      </c>
      <c r="M13" s="3">
        <v>18.476960717904401</v>
      </c>
      <c r="N13" s="3">
        <v>16.212925022488399</v>
      </c>
      <c r="O13" s="3">
        <v>20.8930555822602</v>
      </c>
      <c r="P13" s="3">
        <v>10.677003794793499</v>
      </c>
      <c r="Q13" s="3">
        <v>15.238742904699899</v>
      </c>
      <c r="R13" s="3">
        <v>22.753421798306299</v>
      </c>
      <c r="S13" s="3">
        <v>12.199176984850499</v>
      </c>
      <c r="T13" s="3">
        <v>12.7421974482564</v>
      </c>
      <c r="U13" s="3">
        <v>12.9326869696716</v>
      </c>
      <c r="V13" s="3" t="e">
        <v>#N/A</v>
      </c>
    </row>
    <row r="14" spans="1:22" x14ac:dyDescent="0.35">
      <c r="A14" s="2">
        <v>42076</v>
      </c>
      <c r="B14" s="3" t="e">
        <v>#N/A</v>
      </c>
      <c r="C14" s="3">
        <v>16.480651656089499</v>
      </c>
      <c r="D14" s="3">
        <v>17.909461682306599</v>
      </c>
      <c r="E14" s="3">
        <v>20.979943484251901</v>
      </c>
      <c r="F14" s="3">
        <v>20.1005197723448</v>
      </c>
      <c r="G14" s="3">
        <v>16.122659742018801</v>
      </c>
      <c r="H14" s="3">
        <v>16.992537042724599</v>
      </c>
      <c r="I14" s="3">
        <v>14.262387884681599</v>
      </c>
      <c r="J14" s="3" t="e">
        <v>#N/A</v>
      </c>
      <c r="K14" s="3">
        <v>12.179790255312501</v>
      </c>
      <c r="L14" s="3">
        <v>12.8553140651508</v>
      </c>
      <c r="M14" s="3">
        <v>18.3312699334837</v>
      </c>
      <c r="N14" s="3">
        <v>17.579234172489301</v>
      </c>
      <c r="O14" s="3">
        <v>20.9008192073555</v>
      </c>
      <c r="P14" s="3">
        <v>10.767097093531</v>
      </c>
      <c r="Q14" s="3">
        <v>14.970179628442899</v>
      </c>
      <c r="R14" s="3">
        <v>23.299089131737698</v>
      </c>
      <c r="S14" s="3">
        <v>11.691890835778899</v>
      </c>
      <c r="T14" s="3">
        <v>13.0195215302235</v>
      </c>
      <c r="U14" s="3">
        <v>16.747785079396099</v>
      </c>
      <c r="V14" s="3" t="e">
        <v>#N/A</v>
      </c>
    </row>
    <row r="15" spans="1:22" x14ac:dyDescent="0.35">
      <c r="A15" s="2">
        <v>42108</v>
      </c>
      <c r="B15" s="3" t="e">
        <v>#N/A</v>
      </c>
      <c r="C15" s="3">
        <v>16.441545840267501</v>
      </c>
      <c r="D15" s="3">
        <v>17.816399332220499</v>
      </c>
      <c r="E15" s="3">
        <v>20.909171236717501</v>
      </c>
      <c r="F15" s="3">
        <v>19.711924280757401</v>
      </c>
      <c r="G15" s="3">
        <v>16.058215445180899</v>
      </c>
      <c r="H15" s="3">
        <v>17.0228430673316</v>
      </c>
      <c r="I15" s="3">
        <v>14.0989534221717</v>
      </c>
      <c r="J15" s="3" t="e">
        <v>#N/A</v>
      </c>
      <c r="K15" s="3">
        <v>12.090305731358001</v>
      </c>
      <c r="L15" s="3">
        <v>13.403181512210701</v>
      </c>
      <c r="M15" s="3">
        <v>18.553614113568798</v>
      </c>
      <c r="N15" s="3">
        <v>16.373505301331601</v>
      </c>
      <c r="O15" s="3">
        <v>20.844057293822601</v>
      </c>
      <c r="P15" s="3">
        <v>11.3645423292829</v>
      </c>
      <c r="Q15" s="3">
        <v>14.7320576120319</v>
      </c>
      <c r="R15" s="3">
        <v>22.639729629637799</v>
      </c>
      <c r="S15" s="3">
        <v>11.694906028118099</v>
      </c>
      <c r="T15" s="3">
        <v>13.192750735192501</v>
      </c>
      <c r="U15" s="3">
        <v>16.747737403326099</v>
      </c>
      <c r="V15" s="3" t="e">
        <v>#N/A</v>
      </c>
    </row>
    <row r="16" spans="1:22" x14ac:dyDescent="0.35">
      <c r="A16" s="2">
        <v>42138</v>
      </c>
      <c r="B16" s="3" t="e">
        <v>#N/A</v>
      </c>
      <c r="C16" s="3">
        <v>16.4010146001865</v>
      </c>
      <c r="D16" s="3">
        <v>17.5294969004003</v>
      </c>
      <c r="E16" s="3">
        <v>20.6067138045644</v>
      </c>
      <c r="F16" s="3">
        <v>19.190491357826499</v>
      </c>
      <c r="G16" s="3">
        <v>15.7398424739443</v>
      </c>
      <c r="H16" s="3">
        <v>16.8746259345574</v>
      </c>
      <c r="I16" s="3">
        <v>14.014968776158099</v>
      </c>
      <c r="J16" s="3" t="e">
        <v>#N/A</v>
      </c>
      <c r="K16" s="3">
        <v>11.797563461966501</v>
      </c>
      <c r="L16" s="3">
        <v>13.9599613992019</v>
      </c>
      <c r="M16" s="3">
        <v>18.393481098362901</v>
      </c>
      <c r="N16" s="3">
        <v>15.295515597064901</v>
      </c>
      <c r="O16" s="3">
        <v>20.280473869385499</v>
      </c>
      <c r="P16" s="3">
        <v>11.4282746854634</v>
      </c>
      <c r="Q16" s="3">
        <v>14.8974568910384</v>
      </c>
      <c r="R16" s="3">
        <v>22.0507109064419</v>
      </c>
      <c r="S16" s="3">
        <v>11.8845976209972</v>
      </c>
      <c r="T16" s="3">
        <v>13.718759222067201</v>
      </c>
      <c r="U16" s="3">
        <v>16.623598261396801</v>
      </c>
      <c r="V16" s="3" t="e">
        <v>#N/A</v>
      </c>
    </row>
    <row r="17" spans="1:22" x14ac:dyDescent="0.35">
      <c r="A17" s="2">
        <v>42167</v>
      </c>
      <c r="B17" s="3" t="e">
        <v>#N/A</v>
      </c>
      <c r="C17" s="3">
        <v>16.1379618487159</v>
      </c>
      <c r="D17" s="3">
        <v>16.977340663939199</v>
      </c>
      <c r="E17" s="3">
        <v>20.120025708928001</v>
      </c>
      <c r="F17" s="3">
        <v>18.143625242056999</v>
      </c>
      <c r="G17" s="3">
        <v>16.2646008095989</v>
      </c>
      <c r="H17" s="3">
        <v>16.695490187048701</v>
      </c>
      <c r="I17" s="3">
        <v>13.8567682186873</v>
      </c>
      <c r="J17" s="3" t="e">
        <v>#N/A</v>
      </c>
      <c r="K17" s="3">
        <v>11.401711725459</v>
      </c>
      <c r="L17" s="3">
        <v>13.865975366118899</v>
      </c>
      <c r="M17" s="3">
        <v>17.974879917540601</v>
      </c>
      <c r="N17" s="3">
        <v>14.313111348275401</v>
      </c>
      <c r="O17" s="3">
        <v>19.9794491624641</v>
      </c>
      <c r="P17" s="3">
        <v>11.464899442425899</v>
      </c>
      <c r="Q17" s="3">
        <v>14.5368599336303</v>
      </c>
      <c r="R17" s="3">
        <v>21.4209569265571</v>
      </c>
      <c r="S17" s="3">
        <v>11.454114248182201</v>
      </c>
      <c r="T17" s="3">
        <v>13.470590577656001</v>
      </c>
      <c r="U17" s="3">
        <v>16.637610484275999</v>
      </c>
      <c r="V17" s="3" t="e">
        <v>#N/A</v>
      </c>
    </row>
    <row r="18" spans="1:22" x14ac:dyDescent="0.35">
      <c r="A18" s="2">
        <v>42199</v>
      </c>
      <c r="B18" s="3" t="e">
        <v>#N/A</v>
      </c>
      <c r="C18" s="3">
        <v>15.5415660884816</v>
      </c>
      <c r="D18" s="3">
        <v>16.916174419202299</v>
      </c>
      <c r="E18" s="3">
        <v>20.058642433863699</v>
      </c>
      <c r="F18" s="3">
        <v>17.1768773464057</v>
      </c>
      <c r="G18" s="3">
        <v>15.8505208209321</v>
      </c>
      <c r="H18" s="3">
        <v>16.590358010052</v>
      </c>
      <c r="I18" s="3">
        <v>13.513324510221899</v>
      </c>
      <c r="J18" s="3" t="e">
        <v>#N/A</v>
      </c>
      <c r="K18" s="3">
        <v>11.1448075590228</v>
      </c>
      <c r="L18" s="3">
        <v>13.805301642954801</v>
      </c>
      <c r="M18" s="3">
        <v>17.95403645499</v>
      </c>
      <c r="N18" s="3">
        <v>13.212632826821601</v>
      </c>
      <c r="O18" s="3">
        <v>20.817896433939101</v>
      </c>
      <c r="P18" s="3">
        <v>10.7246007540273</v>
      </c>
      <c r="Q18" s="3">
        <v>14.4791321797039</v>
      </c>
      <c r="R18" s="3">
        <v>20.8049904991828</v>
      </c>
      <c r="S18" s="3">
        <v>11.5398224375478</v>
      </c>
      <c r="T18" s="3">
        <v>13.564986240714299</v>
      </c>
      <c r="U18" s="3">
        <v>17.297087752346901</v>
      </c>
      <c r="V18" s="3" t="e">
        <v>#N/A</v>
      </c>
    </row>
    <row r="19" spans="1:22" x14ac:dyDescent="0.35">
      <c r="A19" s="2">
        <v>42230</v>
      </c>
      <c r="B19" s="3" t="e">
        <v>#N/A</v>
      </c>
      <c r="C19" s="3">
        <v>15.124837174047601</v>
      </c>
      <c r="D19" s="3">
        <v>16.4052531045661</v>
      </c>
      <c r="E19" s="3">
        <v>19.790753089147</v>
      </c>
      <c r="F19" s="3">
        <v>16.0523781331494</v>
      </c>
      <c r="G19" s="3">
        <v>15.2261266887866</v>
      </c>
      <c r="H19" s="3">
        <v>15.804519798768199</v>
      </c>
      <c r="I19" s="3">
        <v>12.9250771582446</v>
      </c>
      <c r="J19" s="3" t="e">
        <v>#N/A</v>
      </c>
      <c r="K19" s="3">
        <v>10.9774323090782</v>
      </c>
      <c r="L19" s="3">
        <v>12.820796856215599</v>
      </c>
      <c r="M19" s="3">
        <v>17.322836005805001</v>
      </c>
      <c r="N19" s="3">
        <v>12.0881335666416</v>
      </c>
      <c r="O19" s="3">
        <v>21.2542191390868</v>
      </c>
      <c r="P19" s="3">
        <v>10.5209645957984</v>
      </c>
      <c r="Q19" s="3">
        <v>14.4817194211554</v>
      </c>
      <c r="R19" s="3">
        <v>19.785047070091199</v>
      </c>
      <c r="S19" s="3">
        <v>10.9639085565603</v>
      </c>
      <c r="T19" s="3">
        <v>13.262972009949999</v>
      </c>
      <c r="U19" s="3">
        <v>16.8381130869865</v>
      </c>
      <c r="V19" s="3" t="e">
        <v>#N/A</v>
      </c>
    </row>
    <row r="20" spans="1:22" x14ac:dyDescent="0.35">
      <c r="A20" s="2">
        <v>42261</v>
      </c>
      <c r="B20" s="3" t="e">
        <v>#N/A</v>
      </c>
      <c r="C20" s="3">
        <v>15.1732434508524</v>
      </c>
      <c r="D20" s="3">
        <v>15.872714110489699</v>
      </c>
      <c r="E20" s="3">
        <v>19.056539985241098</v>
      </c>
      <c r="F20" s="3">
        <v>15.106743188422699</v>
      </c>
      <c r="G20" s="3">
        <v>14.4915415600277</v>
      </c>
      <c r="H20" s="3">
        <v>16.196015783409901</v>
      </c>
      <c r="I20" s="3">
        <v>12.805064756533101</v>
      </c>
      <c r="J20" s="3" t="e">
        <v>#N/A</v>
      </c>
      <c r="K20" s="3">
        <v>10.6687373265377</v>
      </c>
      <c r="L20" s="3">
        <v>12.763907824453399</v>
      </c>
      <c r="M20" s="3">
        <v>16.965539137649401</v>
      </c>
      <c r="N20" s="3">
        <v>11.5361231172212</v>
      </c>
      <c r="O20" s="3">
        <v>20.326712307526101</v>
      </c>
      <c r="P20" s="3">
        <v>9.8065390678149509</v>
      </c>
      <c r="Q20" s="3">
        <v>14.1205880410938</v>
      </c>
      <c r="R20" s="3">
        <v>18.945373025780398</v>
      </c>
      <c r="S20" s="3">
        <v>10.279615602162799</v>
      </c>
      <c r="T20" s="3">
        <v>13.147141538385799</v>
      </c>
      <c r="U20" s="3">
        <v>17.414920557815702</v>
      </c>
      <c r="V20" s="3" t="e">
        <v>#N/A</v>
      </c>
    </row>
    <row r="21" spans="1:22" x14ac:dyDescent="0.35">
      <c r="A21" s="2">
        <v>42291</v>
      </c>
      <c r="B21" s="3" t="e">
        <v>#N/A</v>
      </c>
      <c r="C21" s="3">
        <v>15.475177741285201</v>
      </c>
      <c r="D21" s="3">
        <v>16.1414906395886</v>
      </c>
      <c r="E21" s="3">
        <v>18.8588075946972</v>
      </c>
      <c r="F21" s="3">
        <v>14.158493881012401</v>
      </c>
      <c r="G21" s="3">
        <v>15.3369069746653</v>
      </c>
      <c r="H21" s="3">
        <v>16.772815422517699</v>
      </c>
      <c r="I21" s="3">
        <v>12.8133989462569</v>
      </c>
      <c r="J21" s="3" t="e">
        <v>#N/A</v>
      </c>
      <c r="K21" s="3">
        <v>11.0437608888542</v>
      </c>
      <c r="L21" s="3">
        <v>12.376249337888201</v>
      </c>
      <c r="M21" s="3">
        <v>17.634701405890201</v>
      </c>
      <c r="N21" s="3">
        <v>10.559607739249399</v>
      </c>
      <c r="O21" s="3">
        <v>20.594337676467902</v>
      </c>
      <c r="P21" s="3">
        <v>10.1447296114445</v>
      </c>
      <c r="Q21" s="3">
        <v>14.0837756867039</v>
      </c>
      <c r="R21" s="3">
        <v>18.6785051477931</v>
      </c>
      <c r="S21" s="3">
        <v>11.024364704933699</v>
      </c>
      <c r="T21" s="3">
        <v>13.754359920951501</v>
      </c>
      <c r="U21" s="3">
        <v>20.192014598893099</v>
      </c>
      <c r="V21" s="3" t="e">
        <v>#N/A</v>
      </c>
    </row>
    <row r="22" spans="1:22" x14ac:dyDescent="0.35">
      <c r="A22" s="2">
        <v>42321</v>
      </c>
      <c r="B22" s="3" t="e">
        <v>#N/A</v>
      </c>
      <c r="C22" s="3">
        <v>15.992305234281799</v>
      </c>
      <c r="D22" s="3">
        <v>16.102357838032599</v>
      </c>
      <c r="E22" s="3">
        <v>18.289329878661299</v>
      </c>
      <c r="F22" s="3">
        <v>12.7331596409071</v>
      </c>
      <c r="G22" s="3">
        <v>11.255302418552599</v>
      </c>
      <c r="H22" s="3">
        <v>16.379661296553301</v>
      </c>
      <c r="I22" s="3">
        <v>12.587967481277801</v>
      </c>
      <c r="J22" s="3" t="e">
        <v>#N/A</v>
      </c>
      <c r="K22" s="3">
        <v>11.2114874744251</v>
      </c>
      <c r="L22" s="3">
        <v>12.340917754456701</v>
      </c>
      <c r="M22" s="3">
        <v>17.0351869564272</v>
      </c>
      <c r="N22" s="3">
        <v>12.1313066140294</v>
      </c>
      <c r="O22" s="3">
        <v>19.9916852293833</v>
      </c>
      <c r="P22" s="3">
        <v>10.1207151532743</v>
      </c>
      <c r="Q22" s="3">
        <v>13.0074838536106</v>
      </c>
      <c r="R22" s="3">
        <v>16.4389837248691</v>
      </c>
      <c r="S22" s="3">
        <v>11.4291238460324</v>
      </c>
      <c r="T22" s="3">
        <v>12.336909859814501</v>
      </c>
      <c r="U22" s="3">
        <v>24.4027397420334</v>
      </c>
      <c r="V22" s="3" t="e">
        <v>#N/A</v>
      </c>
    </row>
    <row r="23" spans="1:22" x14ac:dyDescent="0.35">
      <c r="A23" s="2">
        <v>42352</v>
      </c>
      <c r="B23" s="3" t="e">
        <v>#N/A</v>
      </c>
      <c r="C23" s="3">
        <v>15.634042037774201</v>
      </c>
      <c r="D23" s="3">
        <v>15.3606511382244</v>
      </c>
      <c r="E23" s="3">
        <v>17.9608720153898</v>
      </c>
      <c r="F23" s="3">
        <v>10.8551461020686</v>
      </c>
      <c r="G23" s="3">
        <v>10.604233595317099</v>
      </c>
      <c r="H23" s="3">
        <v>16.289683874798399</v>
      </c>
      <c r="I23" s="3">
        <v>12.0216275527301</v>
      </c>
      <c r="J23" s="3" t="e">
        <v>#N/A</v>
      </c>
      <c r="K23" s="3">
        <v>10.3723331423726</v>
      </c>
      <c r="L23" s="3">
        <v>12.392888171671901</v>
      </c>
      <c r="M23" s="3">
        <v>15.6265896013659</v>
      </c>
      <c r="N23" s="3">
        <v>-2.4244903074866699</v>
      </c>
      <c r="O23" s="3">
        <v>19.8714505239282</v>
      </c>
      <c r="P23" s="3">
        <v>9.5591938884237599</v>
      </c>
      <c r="Q23" s="3">
        <v>11.5361009461088</v>
      </c>
      <c r="R23" s="3">
        <v>14.375095418507</v>
      </c>
      <c r="S23" s="3">
        <v>9.6269913652632795</v>
      </c>
      <c r="T23" s="3">
        <v>11.0580725255088</v>
      </c>
      <c r="U23" s="3">
        <v>23.241602386247699</v>
      </c>
      <c r="V23" s="3" t="e">
        <v>#N/A</v>
      </c>
    </row>
    <row r="24" spans="1:22" x14ac:dyDescent="0.35">
      <c r="A24" s="2">
        <v>42383</v>
      </c>
      <c r="B24" s="3" t="e">
        <v>#N/A</v>
      </c>
      <c r="C24" s="3">
        <v>15.3495983414868</v>
      </c>
      <c r="D24" s="3">
        <v>15.9943958194887</v>
      </c>
      <c r="E24" s="3">
        <v>16.625590020873901</v>
      </c>
      <c r="F24" s="3">
        <v>11.023935591257599</v>
      </c>
      <c r="G24" s="3">
        <v>14.450221257602999</v>
      </c>
      <c r="H24" s="3">
        <v>16.198430846936098</v>
      </c>
      <c r="I24" s="3">
        <v>11.1248125955867</v>
      </c>
      <c r="J24" s="3">
        <v>22.540366750630898</v>
      </c>
      <c r="K24" s="3">
        <v>9.7061337084260906</v>
      </c>
      <c r="L24" s="3">
        <v>11.1477059040861</v>
      </c>
      <c r="M24" s="3">
        <v>15.1204006562304</v>
      </c>
      <c r="N24" s="3">
        <v>-1.19020289192977</v>
      </c>
      <c r="O24" s="3">
        <v>19.606720673605</v>
      </c>
      <c r="P24" s="3">
        <v>9.6773413477977197</v>
      </c>
      <c r="Q24" s="3">
        <v>10.838252975180399</v>
      </c>
      <c r="R24" s="3">
        <v>14.010093649681499</v>
      </c>
      <c r="S24" s="3">
        <v>9.7811826520488498</v>
      </c>
      <c r="T24" s="3">
        <v>12.2174348621877</v>
      </c>
      <c r="U24" s="3">
        <v>35.445737016263401</v>
      </c>
      <c r="V24" s="3">
        <v>11.7373578330327</v>
      </c>
    </row>
    <row r="25" spans="1:22" x14ac:dyDescent="0.35">
      <c r="A25" s="2">
        <v>42412</v>
      </c>
      <c r="B25" s="3" t="e">
        <v>#N/A</v>
      </c>
      <c r="C25" s="3">
        <v>15.435186741248399</v>
      </c>
      <c r="D25" s="3">
        <v>16.571926389288301</v>
      </c>
      <c r="E25" s="3">
        <v>17.199073033944799</v>
      </c>
      <c r="F25" s="3">
        <v>11.734344304518</v>
      </c>
      <c r="G25" s="3">
        <v>17.409093901922901</v>
      </c>
      <c r="H25" s="3">
        <v>16.369482947749798</v>
      </c>
      <c r="I25" s="3">
        <v>11.869060451507201</v>
      </c>
      <c r="J25" s="3">
        <v>23.155347669760101</v>
      </c>
      <c r="K25" s="3">
        <v>10.1128939524871</v>
      </c>
      <c r="L25" s="3">
        <v>11.2193076842051</v>
      </c>
      <c r="M25" s="3">
        <v>15.6245780224226</v>
      </c>
      <c r="N25" s="3">
        <v>-0.422211141953098</v>
      </c>
      <c r="O25" s="3">
        <v>18.833980293508699</v>
      </c>
      <c r="P25" s="3">
        <v>8.8889510654125807</v>
      </c>
      <c r="Q25" s="3">
        <v>11.751544941615901</v>
      </c>
      <c r="R25" s="3">
        <v>15.662292856177601</v>
      </c>
      <c r="S25" s="3">
        <v>9.4397744237744003</v>
      </c>
      <c r="T25" s="3">
        <v>12.058395985923299</v>
      </c>
      <c r="U25" s="3">
        <v>19.220073423448799</v>
      </c>
      <c r="V25" s="3">
        <v>10.701430199725699</v>
      </c>
    </row>
    <row r="26" spans="1:22" x14ac:dyDescent="0.35">
      <c r="A26" s="2">
        <v>42443</v>
      </c>
      <c r="B26" s="3" t="e">
        <v>#N/A</v>
      </c>
      <c r="C26" s="3">
        <v>15.4483920776785</v>
      </c>
      <c r="D26" s="3">
        <v>16.837498211783501</v>
      </c>
      <c r="E26" s="3">
        <v>16.787236875244801</v>
      </c>
      <c r="F26" s="3">
        <v>12.338350504407099</v>
      </c>
      <c r="G26" s="3">
        <v>22.4042555009758</v>
      </c>
      <c r="H26" s="3">
        <v>16.6372277433154</v>
      </c>
      <c r="I26" s="3">
        <v>12.4762295757145</v>
      </c>
      <c r="J26" s="3">
        <v>24.721564041414101</v>
      </c>
      <c r="K26" s="3">
        <v>10.613776308339</v>
      </c>
      <c r="L26" s="3">
        <v>12.8995747251781</v>
      </c>
      <c r="M26" s="3">
        <v>15.938257871807901</v>
      </c>
      <c r="N26" s="3">
        <v>0.34856812899426298</v>
      </c>
      <c r="O26" s="3">
        <v>18.950425189150501</v>
      </c>
      <c r="P26" s="3">
        <v>9.4211012784728201</v>
      </c>
      <c r="Q26" s="3">
        <v>12.1173149460232</v>
      </c>
      <c r="R26" s="3">
        <v>16.652641825570399</v>
      </c>
      <c r="S26" s="3">
        <v>9.8081669295820895</v>
      </c>
      <c r="T26" s="3">
        <v>13.0698997004361</v>
      </c>
      <c r="U26" s="3">
        <v>-4.8204146354478397</v>
      </c>
      <c r="V26" s="3">
        <v>11.7577408725101</v>
      </c>
    </row>
    <row r="27" spans="1:22" x14ac:dyDescent="0.35">
      <c r="A27" s="2">
        <v>42474</v>
      </c>
      <c r="B27" s="3" t="e">
        <v>#N/A</v>
      </c>
      <c r="C27" s="3">
        <v>15.3809731520235</v>
      </c>
      <c r="D27" s="3">
        <v>16.6263180528519</v>
      </c>
      <c r="E27" s="3">
        <v>17.069951175259401</v>
      </c>
      <c r="F27" s="3">
        <v>12.4567064814724</v>
      </c>
      <c r="G27" s="3">
        <v>21.833718102960301</v>
      </c>
      <c r="H27" s="3">
        <v>16.6884739627084</v>
      </c>
      <c r="I27" s="3">
        <v>12.565377813023</v>
      </c>
      <c r="J27" s="3">
        <v>24.6598881809193</v>
      </c>
      <c r="K27" s="3">
        <v>10.704467874211501</v>
      </c>
      <c r="L27" s="3">
        <v>13.3774354545913</v>
      </c>
      <c r="M27" s="3">
        <v>16.078986908069599</v>
      </c>
      <c r="N27" s="3">
        <v>1.29433245115198</v>
      </c>
      <c r="O27" s="3">
        <v>18.97388253854</v>
      </c>
      <c r="P27" s="3">
        <v>9.7236125036731096</v>
      </c>
      <c r="Q27" s="3">
        <v>12.185096194248001</v>
      </c>
      <c r="R27" s="3">
        <v>16.4429498807039</v>
      </c>
      <c r="S27" s="3">
        <v>9.9020277031769606</v>
      </c>
      <c r="T27" s="3">
        <v>13.3128142497544</v>
      </c>
      <c r="U27" s="3">
        <v>-3.4117719430672602</v>
      </c>
      <c r="V27" s="3">
        <v>11.9800260087654</v>
      </c>
    </row>
    <row r="28" spans="1:22" x14ac:dyDescent="0.35">
      <c r="A28" s="2">
        <v>42503</v>
      </c>
      <c r="B28" s="3" t="e">
        <v>#N/A</v>
      </c>
      <c r="C28" s="3">
        <v>15.3272556656201</v>
      </c>
      <c r="D28" s="3">
        <v>16.3507976267252</v>
      </c>
      <c r="E28" s="3">
        <v>16.889386278281801</v>
      </c>
      <c r="F28" s="3">
        <v>12.078337977409699</v>
      </c>
      <c r="G28" s="3">
        <v>21.3167437795646</v>
      </c>
      <c r="H28" s="3">
        <v>16.3672683152461</v>
      </c>
      <c r="I28" s="3">
        <v>12.3675217785031</v>
      </c>
      <c r="J28" s="3">
        <v>24.353860115923499</v>
      </c>
      <c r="K28" s="3">
        <v>10.4352914562345</v>
      </c>
      <c r="L28" s="3">
        <v>13.063470716010899</v>
      </c>
      <c r="M28" s="3">
        <v>15.6581590476905</v>
      </c>
      <c r="N28" s="3">
        <v>3.27870653993332</v>
      </c>
      <c r="O28" s="3">
        <v>18.909648796417901</v>
      </c>
      <c r="P28" s="3">
        <v>9.5064180934990503</v>
      </c>
      <c r="Q28" s="3">
        <v>12.154364238779699</v>
      </c>
      <c r="R28" s="3">
        <v>16.2886829761174</v>
      </c>
      <c r="S28" s="3">
        <v>9.5980722183060294</v>
      </c>
      <c r="T28" s="3">
        <v>13.2441455188145</v>
      </c>
      <c r="U28" s="3">
        <v>-1.6677537540157299</v>
      </c>
      <c r="V28" s="3">
        <v>12.361239200718099</v>
      </c>
    </row>
    <row r="29" spans="1:22" x14ac:dyDescent="0.35">
      <c r="A29" s="2">
        <v>42535</v>
      </c>
      <c r="B29" s="3" t="e">
        <v>#N/A</v>
      </c>
      <c r="C29" s="3">
        <v>14.996317216952701</v>
      </c>
      <c r="D29" s="3">
        <v>16.4612148777789</v>
      </c>
      <c r="E29" s="3">
        <v>17.214135654804601</v>
      </c>
      <c r="F29" s="3">
        <v>11.9590466832686</v>
      </c>
      <c r="G29" s="3">
        <v>20.1495336571957</v>
      </c>
      <c r="H29" s="3">
        <v>16.564669993945</v>
      </c>
      <c r="I29" s="3">
        <v>12.8770573635503</v>
      </c>
      <c r="J29" s="3">
        <v>23.139439232720299</v>
      </c>
      <c r="K29" s="3">
        <v>10.4595804912446</v>
      </c>
      <c r="L29" s="3">
        <v>12.833240894590899</v>
      </c>
      <c r="M29" s="3">
        <v>15.666931322258399</v>
      </c>
      <c r="N29" s="3">
        <v>3.9387210493191001</v>
      </c>
      <c r="O29" s="3">
        <v>19.006206007379301</v>
      </c>
      <c r="P29" s="3">
        <v>10.194629806578099</v>
      </c>
      <c r="Q29" s="3">
        <v>12.158764724496301</v>
      </c>
      <c r="R29" s="3">
        <v>16.375395293323699</v>
      </c>
      <c r="S29" s="3">
        <v>9.4300354067106102</v>
      </c>
      <c r="T29" s="3">
        <v>13.1409414977848</v>
      </c>
      <c r="U29" s="3">
        <v>0.46440243961060201</v>
      </c>
      <c r="V29" s="3">
        <v>12.767978901959699</v>
      </c>
    </row>
    <row r="30" spans="1:22" x14ac:dyDescent="0.35">
      <c r="A30" s="2">
        <v>42565</v>
      </c>
      <c r="B30" s="3" t="e">
        <v>#N/A</v>
      </c>
      <c r="C30" s="3">
        <v>15.6626350328943</v>
      </c>
      <c r="D30" s="3">
        <v>17.092803253149601</v>
      </c>
      <c r="E30" s="3">
        <v>17.9507664289928</v>
      </c>
      <c r="F30" s="3">
        <v>11.7503210838918</v>
      </c>
      <c r="G30" s="3">
        <v>20.0660252753317</v>
      </c>
      <c r="H30" s="3">
        <v>16.759453290132299</v>
      </c>
      <c r="I30" s="3">
        <v>13.2492969592171</v>
      </c>
      <c r="J30" s="3">
        <v>22.946447140713701</v>
      </c>
      <c r="K30" s="3">
        <v>10.5602652685973</v>
      </c>
      <c r="L30" s="3">
        <v>13.947664443775</v>
      </c>
      <c r="M30" s="3">
        <v>16.1296803574843</v>
      </c>
      <c r="N30" s="3">
        <v>5.1973904803457804</v>
      </c>
      <c r="O30" s="3">
        <v>19.515875300035301</v>
      </c>
      <c r="P30" s="3">
        <v>10.826096989217501</v>
      </c>
      <c r="Q30" s="3">
        <v>12.596261870729</v>
      </c>
      <c r="R30" s="3">
        <v>16.635636216779101</v>
      </c>
      <c r="S30" s="3">
        <v>9.7708194224123801</v>
      </c>
      <c r="T30" s="3">
        <v>13.5882062374599</v>
      </c>
      <c r="U30" s="3">
        <v>2.2788123320630702</v>
      </c>
      <c r="V30" s="3">
        <v>12.9563213545708</v>
      </c>
    </row>
    <row r="31" spans="1:22" x14ac:dyDescent="0.35">
      <c r="A31" s="2">
        <v>42594</v>
      </c>
      <c r="B31" s="3" t="e">
        <v>#N/A</v>
      </c>
      <c r="C31" s="3">
        <v>16.051319412136198</v>
      </c>
      <c r="D31" s="3">
        <v>17.883139595040699</v>
      </c>
      <c r="E31" s="3">
        <v>18.4152543073338</v>
      </c>
      <c r="F31" s="3">
        <v>12.4071646746641</v>
      </c>
      <c r="G31" s="3">
        <v>19.156471851895802</v>
      </c>
      <c r="H31" s="3">
        <v>16.991964654878402</v>
      </c>
      <c r="I31" s="3">
        <v>13.8013596416782</v>
      </c>
      <c r="J31" s="3">
        <v>23.186069475851099</v>
      </c>
      <c r="K31" s="3">
        <v>10.5690759384992</v>
      </c>
      <c r="L31" s="3">
        <v>14.4331438551788</v>
      </c>
      <c r="M31" s="3">
        <v>16.9963795685535</v>
      </c>
      <c r="N31" s="3">
        <v>6.36105651861347</v>
      </c>
      <c r="O31" s="3">
        <v>19.764783015398699</v>
      </c>
      <c r="P31" s="3">
        <v>11.628574044809101</v>
      </c>
      <c r="Q31" s="3">
        <v>13.1153864692954</v>
      </c>
      <c r="R31" s="3">
        <v>16.812617243683398</v>
      </c>
      <c r="S31" s="3">
        <v>9.5208888634540703</v>
      </c>
      <c r="T31" s="3">
        <v>13.5115498794573</v>
      </c>
      <c r="U31" s="3">
        <v>3.8052855833262398</v>
      </c>
      <c r="V31" s="3">
        <v>12.912322102198001</v>
      </c>
    </row>
    <row r="32" spans="1:22" x14ac:dyDescent="0.35">
      <c r="A32" s="2">
        <v>42627</v>
      </c>
      <c r="B32" s="3" t="e">
        <v>#N/A</v>
      </c>
      <c r="C32" s="3">
        <v>15.9470429155174</v>
      </c>
      <c r="D32" s="3">
        <v>17.247304365429599</v>
      </c>
      <c r="E32" s="3">
        <v>17.646571132789202</v>
      </c>
      <c r="F32" s="3">
        <v>12.040874327972199</v>
      </c>
      <c r="G32" s="3">
        <v>17.904898307968899</v>
      </c>
      <c r="H32" s="3">
        <v>17.1264974720476</v>
      </c>
      <c r="I32" s="3">
        <v>13.663147617278501</v>
      </c>
      <c r="J32" s="3">
        <v>21.7019744770408</v>
      </c>
      <c r="K32" s="3">
        <v>10.5719091184418</v>
      </c>
      <c r="L32" s="3">
        <v>14.3850008328768</v>
      </c>
      <c r="M32" s="3">
        <v>16.637919561273002</v>
      </c>
      <c r="N32" s="3">
        <v>7.8424323295066802</v>
      </c>
      <c r="O32" s="3">
        <v>19.7067088170513</v>
      </c>
      <c r="P32" s="3">
        <v>12.253423072402599</v>
      </c>
      <c r="Q32" s="3">
        <v>13.129879609758101</v>
      </c>
      <c r="R32" s="3">
        <v>15.9953365173505</v>
      </c>
      <c r="S32" s="3">
        <v>9.4660186786851508</v>
      </c>
      <c r="T32" s="3">
        <v>13.3902839237153</v>
      </c>
      <c r="U32" s="3">
        <v>5.6586715282630502</v>
      </c>
      <c r="V32" s="3">
        <v>12.866086743365001</v>
      </c>
    </row>
    <row r="33" spans="1:22" x14ac:dyDescent="0.35">
      <c r="A33" s="2">
        <v>42657</v>
      </c>
      <c r="B33" s="3" t="e">
        <v>#N/A</v>
      </c>
      <c r="C33" s="3">
        <v>16.5780014321873</v>
      </c>
      <c r="D33" s="3">
        <v>18.246153530090901</v>
      </c>
      <c r="E33" s="3">
        <v>17.439102049508602</v>
      </c>
      <c r="F33" s="3">
        <v>12.242374548467</v>
      </c>
      <c r="G33" s="3">
        <v>16.231174648123599</v>
      </c>
      <c r="H33" s="3">
        <v>17.288733490081601</v>
      </c>
      <c r="I33" s="3">
        <v>14.1939909616971</v>
      </c>
      <c r="J33" s="3">
        <v>22.032731121905702</v>
      </c>
      <c r="K33" s="3">
        <v>10.7008835044482</v>
      </c>
      <c r="L33" s="3">
        <v>15.0395301371294</v>
      </c>
      <c r="M33" s="3">
        <v>16.445106559440301</v>
      </c>
      <c r="N33" s="3">
        <v>10.716514689107001</v>
      </c>
      <c r="O33" s="3">
        <v>19.654589593830099</v>
      </c>
      <c r="P33" s="3">
        <v>12.7170695384082</v>
      </c>
      <c r="Q33" s="3">
        <v>13.305795958745399</v>
      </c>
      <c r="R33" s="3">
        <v>15.964524420654699</v>
      </c>
      <c r="S33" s="3">
        <v>9.3490670671283098</v>
      </c>
      <c r="T33" s="3">
        <v>13.5621685608179</v>
      </c>
      <c r="U33" s="3">
        <v>10.3630928758674</v>
      </c>
      <c r="V33" s="3">
        <v>12.4644534173812</v>
      </c>
    </row>
    <row r="34" spans="1:22" x14ac:dyDescent="0.35">
      <c r="A34" s="2">
        <v>42688</v>
      </c>
      <c r="B34" s="3" t="e">
        <v>#N/A</v>
      </c>
      <c r="C34" s="3">
        <v>16.231824549654199</v>
      </c>
      <c r="D34" s="3">
        <v>16.8418096066051</v>
      </c>
      <c r="E34" s="3">
        <v>16.483475708749701</v>
      </c>
      <c r="F34" s="3">
        <v>12.4922441171323</v>
      </c>
      <c r="G34" s="3">
        <v>15.8870948267502</v>
      </c>
      <c r="H34" s="3">
        <v>16.878742204543698</v>
      </c>
      <c r="I34" s="3">
        <v>13.8288543491042</v>
      </c>
      <c r="J34" s="3">
        <v>20.816906760333399</v>
      </c>
      <c r="K34" s="3">
        <v>10.6038554833903</v>
      </c>
      <c r="L34" s="3">
        <v>14.7236543950171</v>
      </c>
      <c r="M34" s="3">
        <v>15.670391849609199</v>
      </c>
      <c r="N34" s="3">
        <v>11.477114280055799</v>
      </c>
      <c r="O34" s="3">
        <v>19.010719567749799</v>
      </c>
      <c r="P34" s="3">
        <v>12.5517619067707</v>
      </c>
      <c r="Q34" s="3">
        <v>12.966339878622801</v>
      </c>
      <c r="R34" s="3">
        <v>15.708800938861</v>
      </c>
      <c r="S34" s="3">
        <v>8.8615180784732903</v>
      </c>
      <c r="T34" s="3">
        <v>12.3756673417996</v>
      </c>
      <c r="U34" s="3">
        <v>11.669225772354499</v>
      </c>
      <c r="V34" s="3">
        <v>13.9691229280818</v>
      </c>
    </row>
    <row r="35" spans="1:22" x14ac:dyDescent="0.35">
      <c r="A35" s="2">
        <v>42718</v>
      </c>
      <c r="B35" s="3" t="e">
        <v>#N/A</v>
      </c>
      <c r="C35" s="3">
        <v>16.596428200477298</v>
      </c>
      <c r="D35" s="3">
        <v>17.511663449413099</v>
      </c>
      <c r="E35" s="3">
        <v>17.0558367494565</v>
      </c>
      <c r="F35" s="3">
        <v>13.448349139244201</v>
      </c>
      <c r="G35" s="3">
        <v>15.467817590945501</v>
      </c>
      <c r="H35" s="3">
        <v>17.139494805590399</v>
      </c>
      <c r="I35" s="3">
        <v>14.4486005058072</v>
      </c>
      <c r="J35" s="3">
        <v>21.000366263907601</v>
      </c>
      <c r="K35" s="3">
        <v>11.1447788507765</v>
      </c>
      <c r="L35" s="3">
        <v>14.2563354576394</v>
      </c>
      <c r="M35" s="3">
        <v>16.663264804387701</v>
      </c>
      <c r="N35" s="3">
        <v>14.516005115532399</v>
      </c>
      <c r="O35" s="3">
        <v>19.016783744177499</v>
      </c>
      <c r="P35" s="3">
        <v>13.1131051967979</v>
      </c>
      <c r="Q35" s="3">
        <v>14.090392109020399</v>
      </c>
      <c r="R35" s="3">
        <v>16.103409686317899</v>
      </c>
      <c r="S35" s="3">
        <v>8.9428416166654507</v>
      </c>
      <c r="T35" s="3">
        <v>12.8229594359417</v>
      </c>
      <c r="U35" s="3">
        <v>13.257599590996101</v>
      </c>
      <c r="V35" s="3">
        <v>14.825011437884299</v>
      </c>
    </row>
    <row r="36" spans="1:22" x14ac:dyDescent="0.35">
      <c r="A36" s="2">
        <v>42748</v>
      </c>
      <c r="B36" s="3">
        <v>14.889179056643799</v>
      </c>
      <c r="C36" s="3">
        <v>15.8223708912808</v>
      </c>
      <c r="D36" s="3">
        <v>17.729283649646</v>
      </c>
      <c r="E36" s="3">
        <v>18.038137285977101</v>
      </c>
      <c r="F36" s="3">
        <v>14.192262716434</v>
      </c>
      <c r="G36" s="3">
        <v>15.584017157296399</v>
      </c>
      <c r="H36" s="3">
        <v>17.260979520653098</v>
      </c>
      <c r="I36" s="3">
        <v>14.398160343260701</v>
      </c>
      <c r="J36" s="3">
        <v>20.3689639310616</v>
      </c>
      <c r="K36" s="3">
        <v>11.299198978145199</v>
      </c>
      <c r="L36" s="3">
        <v>15.340131673468701</v>
      </c>
      <c r="M36" s="3">
        <v>17.5670004694888</v>
      </c>
      <c r="N36" s="3">
        <v>14.735953932152199</v>
      </c>
      <c r="O36" s="3">
        <v>19.4076076398743</v>
      </c>
      <c r="P36" s="3">
        <v>13.605526801657801</v>
      </c>
      <c r="Q36" s="3">
        <v>14.7930932153405</v>
      </c>
      <c r="R36" s="3">
        <v>16.592743555297901</v>
      </c>
      <c r="S36" s="3">
        <v>9.27721060183414</v>
      </c>
      <c r="T36" s="3">
        <v>13.4743003618392</v>
      </c>
      <c r="U36" s="3">
        <v>14.8910534927564</v>
      </c>
      <c r="V36" s="3">
        <v>14.8517137660751</v>
      </c>
    </row>
    <row r="37" spans="1:22" x14ac:dyDescent="0.35">
      <c r="A37" s="2">
        <v>42780</v>
      </c>
      <c r="B37" s="3">
        <v>15.0590107116306</v>
      </c>
      <c r="C37" s="3">
        <v>16.670655329501201</v>
      </c>
      <c r="D37" s="3">
        <v>17.720657735545899</v>
      </c>
      <c r="E37" s="3">
        <v>17.874841909320299</v>
      </c>
      <c r="F37" s="3">
        <v>16.087654884406199</v>
      </c>
      <c r="G37" s="3">
        <v>17.451800509196399</v>
      </c>
      <c r="H37" s="3">
        <v>17.308062390110599</v>
      </c>
      <c r="I37" s="3">
        <v>14.6024681967682</v>
      </c>
      <c r="J37" s="3">
        <v>21.884220643434201</v>
      </c>
      <c r="K37" s="3">
        <v>11.614999775143</v>
      </c>
      <c r="L37" s="3">
        <v>16.426561776702901</v>
      </c>
      <c r="M37" s="3">
        <v>17.964894483654199</v>
      </c>
      <c r="N37" s="3">
        <v>13.7672255485622</v>
      </c>
      <c r="O37" s="3">
        <v>20.395874325017999</v>
      </c>
      <c r="P37" s="3">
        <v>14.0806745083328</v>
      </c>
      <c r="Q37" s="3">
        <v>14.708181973242899</v>
      </c>
      <c r="R37" s="3">
        <v>16.4796020806059</v>
      </c>
      <c r="S37" s="3">
        <v>9.9863178610916297</v>
      </c>
      <c r="T37" s="3">
        <v>13.468907304609001</v>
      </c>
      <c r="U37" s="3">
        <v>15.465706520156701</v>
      </c>
      <c r="V37" s="3">
        <v>15.135264078186999</v>
      </c>
    </row>
    <row r="38" spans="1:22" x14ac:dyDescent="0.35">
      <c r="A38" s="2">
        <v>42808</v>
      </c>
      <c r="B38" s="3">
        <v>15.173164315000699</v>
      </c>
      <c r="C38" s="3">
        <v>16.7950678256049</v>
      </c>
      <c r="D38" s="3">
        <v>17.449000157298901</v>
      </c>
      <c r="E38" s="3">
        <v>17.854695200864199</v>
      </c>
      <c r="F38" s="3">
        <v>15.661242205900701</v>
      </c>
      <c r="G38" s="3">
        <v>16.112664915715399</v>
      </c>
      <c r="H38" s="3">
        <v>17.075013744433502</v>
      </c>
      <c r="I38" s="3">
        <v>14.474156792115</v>
      </c>
      <c r="J38" s="3">
        <v>21.3281961124706</v>
      </c>
      <c r="K38" s="3">
        <v>11.6155841300903</v>
      </c>
      <c r="L38" s="3">
        <v>16.619004818799102</v>
      </c>
      <c r="M38" s="3">
        <v>18.4210018942772</v>
      </c>
      <c r="N38" s="3">
        <v>14.2026780719532</v>
      </c>
      <c r="O38" s="3">
        <v>20.494997586478501</v>
      </c>
      <c r="P38" s="3">
        <v>14.036142747003</v>
      </c>
      <c r="Q38" s="3">
        <v>14.7421647582009</v>
      </c>
      <c r="R38" s="3">
        <v>16.276389016527901</v>
      </c>
      <c r="S38" s="3">
        <v>9.8284229400303698</v>
      </c>
      <c r="T38" s="3">
        <v>13.349565172985001</v>
      </c>
      <c r="U38" s="3">
        <v>15.454718735127599</v>
      </c>
      <c r="V38" s="3">
        <v>15.271373622693901</v>
      </c>
    </row>
    <row r="39" spans="1:22" x14ac:dyDescent="0.35">
      <c r="A39" s="2">
        <v>42838</v>
      </c>
      <c r="B39" s="3">
        <v>15.1383851512216</v>
      </c>
      <c r="C39" s="3">
        <v>17.1198199557533</v>
      </c>
      <c r="D39" s="3">
        <v>17.400755357725199</v>
      </c>
      <c r="E39" s="3">
        <v>18.027661718730599</v>
      </c>
      <c r="F39" s="3">
        <v>15.3138484554435</v>
      </c>
      <c r="G39" s="3">
        <v>15.614358643966501</v>
      </c>
      <c r="H39" s="3">
        <v>17.125177008276101</v>
      </c>
      <c r="I39" s="3">
        <v>14.396164492589</v>
      </c>
      <c r="J39" s="3">
        <v>21.055079882182</v>
      </c>
      <c r="K39" s="3">
        <v>11.310081509779099</v>
      </c>
      <c r="L39" s="3">
        <v>16.129400433253402</v>
      </c>
      <c r="M39" s="3">
        <v>18.354263030551799</v>
      </c>
      <c r="N39" s="3">
        <v>14.2927556118524</v>
      </c>
      <c r="O39" s="3">
        <v>20.385480708587199</v>
      </c>
      <c r="P39" s="3">
        <v>13.8458772631525</v>
      </c>
      <c r="Q39" s="3">
        <v>14.711180422637399</v>
      </c>
      <c r="R39" s="3">
        <v>16.301246356641599</v>
      </c>
      <c r="S39" s="3">
        <v>9.7174106769693402</v>
      </c>
      <c r="T39" s="3">
        <v>13.3266114317899</v>
      </c>
      <c r="U39" s="3">
        <v>15.729881192628399</v>
      </c>
      <c r="V39" s="3">
        <v>15.248197357902299</v>
      </c>
    </row>
    <row r="40" spans="1:22" x14ac:dyDescent="0.35">
      <c r="A40" s="2">
        <v>42867</v>
      </c>
      <c r="B40" s="3">
        <v>14.9068473011286</v>
      </c>
      <c r="C40" s="3">
        <v>17.344322104258399</v>
      </c>
      <c r="D40" s="3">
        <v>17.417205002359999</v>
      </c>
      <c r="E40" s="3">
        <v>18.134806813198999</v>
      </c>
      <c r="F40" s="3">
        <v>15.158389186216001</v>
      </c>
      <c r="G40" s="3">
        <v>15.297014811213201</v>
      </c>
      <c r="H40" s="3">
        <v>17.301200782048099</v>
      </c>
      <c r="I40" s="3">
        <v>14.3547666267478</v>
      </c>
      <c r="J40" s="3">
        <v>20.642598033668701</v>
      </c>
      <c r="K40" s="3">
        <v>11.1839496884041</v>
      </c>
      <c r="L40" s="3">
        <v>16.153535333130002</v>
      </c>
      <c r="M40" s="3">
        <v>18.307147506083901</v>
      </c>
      <c r="N40" s="3">
        <v>15.3184253893214</v>
      </c>
      <c r="O40" s="3">
        <v>20.4281537885422</v>
      </c>
      <c r="P40" s="3">
        <v>14.021078997772101</v>
      </c>
      <c r="Q40" s="3">
        <v>14.6498988853707</v>
      </c>
      <c r="R40" s="3">
        <v>16.040569475432001</v>
      </c>
      <c r="S40" s="3">
        <v>9.7356034139520098</v>
      </c>
      <c r="T40" s="3">
        <v>13.2973974627674</v>
      </c>
      <c r="U40" s="3">
        <v>15.978488888674001</v>
      </c>
      <c r="V40" s="3">
        <v>14.987965249940199</v>
      </c>
    </row>
    <row r="41" spans="1:22" x14ac:dyDescent="0.35">
      <c r="A41" s="2">
        <v>42900</v>
      </c>
      <c r="B41" s="3">
        <v>15.1418444060601</v>
      </c>
      <c r="C41" s="3">
        <v>17.2605326101794</v>
      </c>
      <c r="D41" s="3">
        <v>17.396304517590199</v>
      </c>
      <c r="E41" s="3">
        <v>18.298918086543701</v>
      </c>
      <c r="F41" s="3">
        <v>14.744263293074001</v>
      </c>
      <c r="G41" s="3">
        <v>14.9377128480559</v>
      </c>
      <c r="H41" s="3">
        <v>17.294203855798099</v>
      </c>
      <c r="I41" s="3">
        <v>14.341487802094299</v>
      </c>
      <c r="J41" s="3">
        <v>20.219161646661298</v>
      </c>
      <c r="K41" s="3">
        <v>11.0568346440076</v>
      </c>
      <c r="L41" s="3">
        <v>15.1999038064309</v>
      </c>
      <c r="M41" s="3">
        <v>17.6424511426831</v>
      </c>
      <c r="N41" s="3">
        <v>15.391839082184999</v>
      </c>
      <c r="O41" s="3">
        <v>20.366573875704599</v>
      </c>
      <c r="P41" s="3">
        <v>14.07646928722</v>
      </c>
      <c r="Q41" s="3">
        <v>14.147081510876699</v>
      </c>
      <c r="R41" s="3">
        <v>16.072117848386899</v>
      </c>
      <c r="S41" s="3">
        <v>9.7131439981347398</v>
      </c>
      <c r="T41" s="3">
        <v>12.924746033395699</v>
      </c>
      <c r="U41" s="3">
        <v>15.720274246722999</v>
      </c>
      <c r="V41" s="3">
        <v>15.0212888365465</v>
      </c>
    </row>
    <row r="42" spans="1:22" x14ac:dyDescent="0.35">
      <c r="A42" s="2">
        <v>42930</v>
      </c>
      <c r="B42" s="3">
        <v>15.3440771286309</v>
      </c>
      <c r="C42" s="3">
        <v>17.8899506333136</v>
      </c>
      <c r="D42" s="3">
        <v>17.374884662784201</v>
      </c>
      <c r="E42" s="3">
        <v>17.886108788001401</v>
      </c>
      <c r="F42" s="3">
        <v>14.552643287240199</v>
      </c>
      <c r="G42" s="3">
        <v>14.9370982482691</v>
      </c>
      <c r="H42" s="3">
        <v>17.172403664270401</v>
      </c>
      <c r="I42" s="3">
        <v>14.6960630142979</v>
      </c>
      <c r="J42" s="3">
        <v>19.9804531780009</v>
      </c>
      <c r="K42" s="3">
        <v>10.947917878380199</v>
      </c>
      <c r="L42" s="3">
        <v>15.133375581573199</v>
      </c>
      <c r="M42" s="3">
        <v>17.8815597935066</v>
      </c>
      <c r="N42" s="3">
        <v>15.412385527844</v>
      </c>
      <c r="O42" s="3">
        <v>20.6393410213898</v>
      </c>
      <c r="P42" s="3">
        <v>14.3037271061468</v>
      </c>
      <c r="Q42" s="3">
        <v>14.150226914645399</v>
      </c>
      <c r="R42" s="3">
        <v>15.951709429725399</v>
      </c>
      <c r="S42" s="3">
        <v>9.7605973339698409</v>
      </c>
      <c r="T42" s="3">
        <v>12.9965339423324</v>
      </c>
      <c r="U42" s="3">
        <v>16.374356424545599</v>
      </c>
      <c r="V42" s="3">
        <v>15.427190061286</v>
      </c>
    </row>
    <row r="43" spans="1:22" x14ac:dyDescent="0.35">
      <c r="A43" s="2">
        <v>42961</v>
      </c>
      <c r="B43" s="3">
        <v>15.155599057450001</v>
      </c>
      <c r="C43" s="3">
        <v>18.2309471472411</v>
      </c>
      <c r="D43" s="3">
        <v>17.216270878151899</v>
      </c>
      <c r="E43" s="3">
        <v>17.772856371431601</v>
      </c>
      <c r="F43" s="3">
        <v>14.3347967168349</v>
      </c>
      <c r="G43" s="3">
        <v>15.102132594497601</v>
      </c>
      <c r="H43" s="3">
        <v>17.298115428472201</v>
      </c>
      <c r="I43" s="3">
        <v>14.5926500811764</v>
      </c>
      <c r="J43" s="3">
        <v>19.653787326011301</v>
      </c>
      <c r="K43" s="3">
        <v>10.449404961541999</v>
      </c>
      <c r="L43" s="3">
        <v>15.3271288464581</v>
      </c>
      <c r="M43" s="3">
        <v>18.045515886659398</v>
      </c>
      <c r="N43" s="3">
        <v>15.3455569602399</v>
      </c>
      <c r="O43" s="3">
        <v>20.7261803067233</v>
      </c>
      <c r="P43" s="3">
        <v>14.5173371551247</v>
      </c>
      <c r="Q43" s="3">
        <v>14.0480072485596</v>
      </c>
      <c r="R43" s="3">
        <v>15.9292314494995</v>
      </c>
      <c r="S43" s="3">
        <v>9.6468067900827208</v>
      </c>
      <c r="T43" s="3">
        <v>12.9851389726755</v>
      </c>
      <c r="U43" s="3">
        <v>17.528273277918299</v>
      </c>
      <c r="V43" s="3">
        <v>15.1715951343071</v>
      </c>
    </row>
    <row r="44" spans="1:22" x14ac:dyDescent="0.35">
      <c r="A44" s="2">
        <v>42992</v>
      </c>
      <c r="B44" s="3">
        <v>15.6759511196893</v>
      </c>
      <c r="C44" s="3">
        <v>19.594962643690501</v>
      </c>
      <c r="D44" s="3">
        <v>17.1438820129239</v>
      </c>
      <c r="E44" s="3">
        <v>18.561524745643201</v>
      </c>
      <c r="F44" s="3">
        <v>14.033956207098299</v>
      </c>
      <c r="G44" s="3">
        <v>16.580267947803002</v>
      </c>
      <c r="H44" s="3">
        <v>17.5577273540578</v>
      </c>
      <c r="I44" s="3">
        <v>14.5680591674351</v>
      </c>
      <c r="J44" s="3">
        <v>19.2411263381202</v>
      </c>
      <c r="K44" s="3">
        <v>10.390658813767701</v>
      </c>
      <c r="L44" s="3">
        <v>15.6931272356452</v>
      </c>
      <c r="M44" s="3">
        <v>17.929590730742099</v>
      </c>
      <c r="N44" s="3">
        <v>14.2720685488566</v>
      </c>
      <c r="O44" s="3">
        <v>21.202721708235799</v>
      </c>
      <c r="P44" s="3">
        <v>14.7089045844849</v>
      </c>
      <c r="Q44" s="3">
        <v>12.992426347986401</v>
      </c>
      <c r="R44" s="3">
        <v>16.485604115648599</v>
      </c>
      <c r="S44" s="3">
        <v>9.4408947489949195</v>
      </c>
      <c r="T44" s="3">
        <v>12.416879040854701</v>
      </c>
      <c r="U44" s="3">
        <v>18.138804193659301</v>
      </c>
      <c r="V44" s="3">
        <v>15.177779492162299</v>
      </c>
    </row>
    <row r="45" spans="1:22" x14ac:dyDescent="0.35">
      <c r="A45" s="2">
        <v>43021</v>
      </c>
      <c r="B45" s="3">
        <v>15.857574557864099</v>
      </c>
      <c r="C45" s="3">
        <v>17.961027740545699</v>
      </c>
      <c r="D45" s="3">
        <v>17.418527362946001</v>
      </c>
      <c r="E45" s="3">
        <v>19.3724753338916</v>
      </c>
      <c r="F45" s="3">
        <v>13.635527726408901</v>
      </c>
      <c r="G45" s="3">
        <v>16.661375548088799</v>
      </c>
      <c r="H45" s="3">
        <v>17.398922201544799</v>
      </c>
      <c r="I45" s="3">
        <v>14.7158918468261</v>
      </c>
      <c r="J45" s="3">
        <v>18.572286229133201</v>
      </c>
      <c r="K45" s="3">
        <v>10.597644388210201</v>
      </c>
      <c r="L45" s="3">
        <v>15.837991804834299</v>
      </c>
      <c r="M45" s="3">
        <v>18.304879898325499</v>
      </c>
      <c r="N45" s="3">
        <v>16.180007901497401</v>
      </c>
      <c r="O45" s="3">
        <v>21.258725898239</v>
      </c>
      <c r="P45" s="3">
        <v>15.1395349072996</v>
      </c>
      <c r="Q45" s="3">
        <v>12.7668238918033</v>
      </c>
      <c r="R45" s="3">
        <v>16.833055287510799</v>
      </c>
      <c r="S45" s="3">
        <v>9.1155473230835593</v>
      </c>
      <c r="T45" s="3">
        <v>12.3599050290478</v>
      </c>
      <c r="U45" s="3">
        <v>18.207327764808401</v>
      </c>
      <c r="V45" s="3">
        <v>14.3844376095079</v>
      </c>
    </row>
    <row r="46" spans="1:22" x14ac:dyDescent="0.35">
      <c r="A46" s="2">
        <v>43053</v>
      </c>
      <c r="B46" s="3">
        <v>16.442047142369901</v>
      </c>
      <c r="C46" s="3">
        <v>17.921990330657799</v>
      </c>
      <c r="D46" s="3">
        <v>17.104285404510499</v>
      </c>
      <c r="E46" s="3">
        <v>19.3789924406673</v>
      </c>
      <c r="F46" s="3">
        <v>12.837164657156899</v>
      </c>
      <c r="G46" s="3">
        <v>16.424122876051001</v>
      </c>
      <c r="H46" s="3">
        <v>17.268224206103401</v>
      </c>
      <c r="I46" s="3">
        <v>14.901668622045101</v>
      </c>
      <c r="J46" s="3">
        <v>16.9406472375506</v>
      </c>
      <c r="K46" s="3">
        <v>10.432655751836499</v>
      </c>
      <c r="L46" s="3">
        <v>14.281950159808201</v>
      </c>
      <c r="M46" s="3">
        <v>18.341389777218101</v>
      </c>
      <c r="N46" s="3">
        <v>16.176068935714799</v>
      </c>
      <c r="O46" s="3">
        <v>21.548870849011699</v>
      </c>
      <c r="P46" s="3">
        <v>15.4111506325051</v>
      </c>
      <c r="Q46" s="3">
        <v>12.442107191877399</v>
      </c>
      <c r="R46" s="3">
        <v>17.1149911430423</v>
      </c>
      <c r="S46" s="3">
        <v>9.1598389663216402</v>
      </c>
      <c r="T46" s="3">
        <v>11.748181922473499</v>
      </c>
      <c r="U46" s="3">
        <v>19.164563225417101</v>
      </c>
      <c r="V46" s="3">
        <v>14.434089311598401</v>
      </c>
    </row>
    <row r="47" spans="1:22" x14ac:dyDescent="0.35">
      <c r="A47" s="2">
        <v>43083</v>
      </c>
      <c r="B47" s="3">
        <v>15.889380632022</v>
      </c>
      <c r="C47" s="3">
        <v>16.585345175978102</v>
      </c>
      <c r="D47" s="3">
        <v>17.380764415520598</v>
      </c>
      <c r="E47" s="3">
        <v>19.539953846878401</v>
      </c>
      <c r="F47" s="3">
        <v>12.4658642825908</v>
      </c>
      <c r="G47" s="3">
        <v>15.886685586816199</v>
      </c>
      <c r="H47" s="3">
        <v>17.895518474873398</v>
      </c>
      <c r="I47" s="3">
        <v>14.5569092712171</v>
      </c>
      <c r="J47" s="3">
        <v>17.081568641876501</v>
      </c>
      <c r="K47" s="3">
        <v>10.142132595563901</v>
      </c>
      <c r="L47" s="3">
        <v>14.4322662870345</v>
      </c>
      <c r="M47" s="3">
        <v>17.571876502840698</v>
      </c>
      <c r="N47" s="3">
        <v>19.823662131693901</v>
      </c>
      <c r="O47" s="3">
        <v>21.8764465791402</v>
      </c>
      <c r="P47" s="3">
        <v>15.145892583026299</v>
      </c>
      <c r="Q47" s="3">
        <v>13.083697204232299</v>
      </c>
      <c r="R47" s="3">
        <v>17.3672439733506</v>
      </c>
      <c r="S47" s="3">
        <v>8.7703160807843492</v>
      </c>
      <c r="T47" s="3">
        <v>11.5742686710893</v>
      </c>
      <c r="U47" s="3">
        <v>21.1011451635481</v>
      </c>
      <c r="V47" s="3">
        <v>14.2832624765148</v>
      </c>
    </row>
    <row r="48" spans="1:22" x14ac:dyDescent="0.35">
      <c r="A48" s="2">
        <v>43112</v>
      </c>
      <c r="B48" s="3">
        <v>16.579621162972401</v>
      </c>
      <c r="C48" s="3">
        <v>18.3230866286445</v>
      </c>
      <c r="D48" s="3">
        <v>18.060216717627601</v>
      </c>
      <c r="E48" s="3">
        <v>20.258735253930301</v>
      </c>
      <c r="F48" s="3">
        <v>12.6878421811984</v>
      </c>
      <c r="G48" s="3">
        <v>17.934570875686099</v>
      </c>
      <c r="H48" s="3">
        <v>18.602503452641798</v>
      </c>
      <c r="I48" s="3">
        <v>14.749421160389801</v>
      </c>
      <c r="J48" s="3">
        <v>17.106555480074</v>
      </c>
      <c r="K48" s="3">
        <v>10.410071905827399</v>
      </c>
      <c r="L48" s="3">
        <v>15.328926974531599</v>
      </c>
      <c r="M48" s="3">
        <v>18.332445979567002</v>
      </c>
      <c r="N48" s="3">
        <v>21.525613753006599</v>
      </c>
      <c r="O48" s="3">
        <v>22.9610677939948</v>
      </c>
      <c r="P48" s="3">
        <v>16.235737537066701</v>
      </c>
      <c r="Q48" s="3">
        <v>13.704765012867799</v>
      </c>
      <c r="R48" s="3">
        <v>18.381855818390399</v>
      </c>
      <c r="S48" s="3">
        <v>8.9188639946518293</v>
      </c>
      <c r="T48" s="3">
        <v>12.2457234607723</v>
      </c>
      <c r="U48" s="3">
        <v>24.655900014342301</v>
      </c>
      <c r="V48" s="3">
        <v>14.735072050752899</v>
      </c>
    </row>
    <row r="49" spans="1:22" x14ac:dyDescent="0.35">
      <c r="A49" s="2">
        <v>43145</v>
      </c>
      <c r="B49" s="3">
        <v>15.170244624987699</v>
      </c>
      <c r="C49" s="3">
        <v>17.452487342283899</v>
      </c>
      <c r="D49" s="3">
        <v>17.899947432326801</v>
      </c>
      <c r="E49" s="3">
        <v>19.432507492722099</v>
      </c>
      <c r="F49" s="3">
        <v>12.3445528026181</v>
      </c>
      <c r="G49" s="3">
        <v>18.3709777095651</v>
      </c>
      <c r="H49" s="3">
        <v>18.469190024282199</v>
      </c>
      <c r="I49" s="3">
        <v>14.0779938144605</v>
      </c>
      <c r="J49" s="3">
        <v>17.845671695625999</v>
      </c>
      <c r="K49" s="3">
        <v>10.5462970825418</v>
      </c>
      <c r="L49" s="3">
        <v>16.0541472562699</v>
      </c>
      <c r="M49" s="3">
        <v>17.883657116052799</v>
      </c>
      <c r="N49" s="3">
        <v>24.0662827228632</v>
      </c>
      <c r="O49" s="3">
        <v>21.914578014935401</v>
      </c>
      <c r="P49" s="3">
        <v>15.310199750944101</v>
      </c>
      <c r="Q49" s="3">
        <v>13.5191025079993</v>
      </c>
      <c r="R49" s="3">
        <v>17.881744074229299</v>
      </c>
      <c r="S49" s="3">
        <v>8.8128006997675197</v>
      </c>
      <c r="T49" s="3">
        <v>12.352276552456299</v>
      </c>
      <c r="U49" s="3">
        <v>23.780601373556198</v>
      </c>
      <c r="V49" s="3">
        <v>14.9553231949306</v>
      </c>
    </row>
    <row r="50" spans="1:22" x14ac:dyDescent="0.35">
      <c r="A50" s="2">
        <v>43173</v>
      </c>
      <c r="B50" s="3">
        <v>15.2703984300095</v>
      </c>
      <c r="C50" s="3">
        <v>17.449802468636602</v>
      </c>
      <c r="D50" s="3">
        <v>17.503416354134</v>
      </c>
      <c r="E50" s="3">
        <v>19.2758001058214</v>
      </c>
      <c r="F50" s="3">
        <v>11.7552790817795</v>
      </c>
      <c r="G50" s="3">
        <v>19.5813846921364</v>
      </c>
      <c r="H50" s="3">
        <v>18.493926475621599</v>
      </c>
      <c r="I50" s="3">
        <v>14.5032455550088</v>
      </c>
      <c r="J50" s="3">
        <v>17.9110495399072</v>
      </c>
      <c r="K50" s="3">
        <v>10.540634520531899</v>
      </c>
      <c r="L50" s="3">
        <v>16.439549113659801</v>
      </c>
      <c r="M50" s="3">
        <v>18.0480654352051</v>
      </c>
      <c r="N50" s="3">
        <v>23.516224726402701</v>
      </c>
      <c r="O50" s="3">
        <v>21.6192568913077</v>
      </c>
      <c r="P50" s="3">
        <v>15.3436071394532</v>
      </c>
      <c r="Q50" s="3">
        <v>12.8039625269897</v>
      </c>
      <c r="R50" s="3">
        <v>17.674050472703701</v>
      </c>
      <c r="S50" s="3">
        <v>9.1617743100532802</v>
      </c>
      <c r="T50" s="3">
        <v>12.347276245197399</v>
      </c>
      <c r="U50" s="3">
        <v>24.538115499033001</v>
      </c>
      <c r="V50" s="3">
        <v>15.164140076644101</v>
      </c>
    </row>
    <row r="51" spans="1:22" x14ac:dyDescent="0.35">
      <c r="A51" s="2">
        <v>43203</v>
      </c>
      <c r="B51" s="3">
        <v>14.9507261086555</v>
      </c>
      <c r="C51" s="3">
        <v>17.085247545361099</v>
      </c>
      <c r="D51" s="3">
        <v>17.260712702061799</v>
      </c>
      <c r="E51" s="3">
        <v>18.836528052427401</v>
      </c>
      <c r="F51" s="3">
        <v>11.8027494612671</v>
      </c>
      <c r="G51" s="3">
        <v>19.126594922968302</v>
      </c>
      <c r="H51" s="3">
        <v>18.355081227537301</v>
      </c>
      <c r="I51" s="3">
        <v>14.3904445776516</v>
      </c>
      <c r="J51" s="3">
        <v>17.807618799388401</v>
      </c>
      <c r="K51" s="3">
        <v>10.370777346832901</v>
      </c>
      <c r="L51" s="3">
        <v>16.0303350192628</v>
      </c>
      <c r="M51" s="3">
        <v>17.8153726129323</v>
      </c>
      <c r="N51" s="3">
        <v>22.768759239526201</v>
      </c>
      <c r="O51" s="3">
        <v>21.4156195768308</v>
      </c>
      <c r="P51" s="3">
        <v>14.9452050749564</v>
      </c>
      <c r="Q51" s="3">
        <v>12.728881615377601</v>
      </c>
      <c r="R51" s="3">
        <v>17.3552635589799</v>
      </c>
      <c r="S51" s="3">
        <v>8.8841000603329103</v>
      </c>
      <c r="T51" s="3">
        <v>12.4335824520444</v>
      </c>
      <c r="U51" s="3">
        <v>24.524206836947702</v>
      </c>
      <c r="V51" s="3">
        <v>15.178122363881901</v>
      </c>
    </row>
    <row r="52" spans="1:22" x14ac:dyDescent="0.35">
      <c r="A52" s="2">
        <v>43234</v>
      </c>
      <c r="B52" s="3">
        <v>14.539406252009901</v>
      </c>
      <c r="C52" s="3">
        <v>16.6671103610058</v>
      </c>
      <c r="D52" s="3">
        <v>16.680042103952101</v>
      </c>
      <c r="E52" s="3">
        <v>18.660472429546498</v>
      </c>
      <c r="F52" s="3">
        <v>11.843177702520601</v>
      </c>
      <c r="G52" s="3">
        <v>18.519683293987701</v>
      </c>
      <c r="H52" s="3">
        <v>18.133289176038002</v>
      </c>
      <c r="I52" s="3">
        <v>14.3723278948796</v>
      </c>
      <c r="J52" s="3">
        <v>17.369204085547999</v>
      </c>
      <c r="K52" s="3">
        <v>10.219144848145699</v>
      </c>
      <c r="L52" s="3">
        <v>15.6395371571603</v>
      </c>
      <c r="M52" s="3">
        <v>17.714113730526801</v>
      </c>
      <c r="N52" s="3">
        <v>22.122353904030401</v>
      </c>
      <c r="O52" s="3">
        <v>21.327230854343401</v>
      </c>
      <c r="P52" s="3">
        <v>14.905190166145101</v>
      </c>
      <c r="Q52" s="3">
        <v>12.5920053862462</v>
      </c>
      <c r="R52" s="3">
        <v>17.142811261849602</v>
      </c>
      <c r="S52" s="3">
        <v>8.5797515159084501</v>
      </c>
      <c r="T52" s="3">
        <v>11.9767225732206</v>
      </c>
      <c r="U52" s="3">
        <v>24.153969975727399</v>
      </c>
      <c r="V52" s="3">
        <v>15.296431858271401</v>
      </c>
    </row>
    <row r="53" spans="1:22" x14ac:dyDescent="0.35">
      <c r="A53" s="2">
        <v>43265</v>
      </c>
      <c r="B53" s="3">
        <v>14.1917194838976</v>
      </c>
      <c r="C53" s="3">
        <v>15.9090249124904</v>
      </c>
      <c r="D53" s="3">
        <v>16.296271782620899</v>
      </c>
      <c r="E53" s="3">
        <v>18.318952152259101</v>
      </c>
      <c r="F53" s="3">
        <v>11.6036894050416</v>
      </c>
      <c r="G53" s="3">
        <v>18.303981993578599</v>
      </c>
      <c r="H53" s="3">
        <v>17.898540430873702</v>
      </c>
      <c r="I53" s="3">
        <v>14.2832959732437</v>
      </c>
      <c r="J53" s="3">
        <v>17.244640210593101</v>
      </c>
      <c r="K53" s="3">
        <v>10.052626959477299</v>
      </c>
      <c r="L53" s="3">
        <v>14.443676624680799</v>
      </c>
      <c r="M53" s="3">
        <v>17.252368841376601</v>
      </c>
      <c r="N53" s="3">
        <v>21.747023603405701</v>
      </c>
      <c r="O53" s="3">
        <v>21.338385207468399</v>
      </c>
      <c r="P53" s="3">
        <v>14.6862322789041</v>
      </c>
      <c r="Q53" s="3">
        <v>12.5926749155909</v>
      </c>
      <c r="R53" s="3">
        <v>16.9082364445681</v>
      </c>
      <c r="S53" s="3">
        <v>8.1549339643295102</v>
      </c>
      <c r="T53" s="3">
        <v>12.153475562532501</v>
      </c>
      <c r="U53" s="3">
        <v>23.574940867004901</v>
      </c>
      <c r="V53" s="3">
        <v>15.5111210516858</v>
      </c>
    </row>
    <row r="54" spans="1:22" x14ac:dyDescent="0.35">
      <c r="A54" s="2">
        <v>43294</v>
      </c>
      <c r="B54" s="3">
        <v>13.4170735733667</v>
      </c>
      <c r="C54" s="3">
        <v>15.233109987582701</v>
      </c>
      <c r="D54" s="3">
        <v>15.8040767804052</v>
      </c>
      <c r="E54" s="3">
        <v>17.765574209594501</v>
      </c>
      <c r="F54" s="3">
        <v>11.3324669409302</v>
      </c>
      <c r="G54" s="3">
        <v>17.392777775481001</v>
      </c>
      <c r="H54" s="3">
        <v>17.544238403801099</v>
      </c>
      <c r="I54" s="3">
        <v>14.1217214386244</v>
      </c>
      <c r="J54" s="3">
        <v>17.3991980210068</v>
      </c>
      <c r="K54" s="3">
        <v>9.7200431750379099</v>
      </c>
      <c r="L54" s="3">
        <v>14.3166779290757</v>
      </c>
      <c r="M54" s="3">
        <v>16.7189862034536</v>
      </c>
      <c r="N54" s="3">
        <v>21.361124952884801</v>
      </c>
      <c r="O54" s="3">
        <v>21.326825979790001</v>
      </c>
      <c r="P54" s="3">
        <v>14.1725207142022</v>
      </c>
      <c r="Q54" s="3">
        <v>12.521455441387801</v>
      </c>
      <c r="R54" s="3">
        <v>16.385274859255901</v>
      </c>
      <c r="S54" s="3">
        <v>7.7416122678438803</v>
      </c>
      <c r="T54" s="3">
        <v>12.0831115367591</v>
      </c>
      <c r="U54" s="3">
        <v>21.572382213393201</v>
      </c>
      <c r="V54" s="3">
        <v>15.5166244987198</v>
      </c>
    </row>
    <row r="55" spans="1:22" x14ac:dyDescent="0.35">
      <c r="A55" s="2">
        <v>43326</v>
      </c>
      <c r="B55" s="3">
        <v>12.737383195911701</v>
      </c>
      <c r="C55" s="3">
        <v>15.103010063186399</v>
      </c>
      <c r="D55" s="3">
        <v>15.580797714370901</v>
      </c>
      <c r="E55" s="3">
        <v>17.6833657813306</v>
      </c>
      <c r="F55" s="3">
        <v>11.613712822354101</v>
      </c>
      <c r="G55" s="3">
        <v>17.5993502698749</v>
      </c>
      <c r="H55" s="3">
        <v>17.809956537778501</v>
      </c>
      <c r="I55" s="3">
        <v>14.058463324273299</v>
      </c>
      <c r="J55" s="3">
        <v>17.253998973226299</v>
      </c>
      <c r="K55" s="3">
        <v>9.4100620225105995</v>
      </c>
      <c r="L55" s="3">
        <v>14.0145836629016</v>
      </c>
      <c r="M55" s="3">
        <v>16.348758906982901</v>
      </c>
      <c r="N55" s="3">
        <v>21.0893309810597</v>
      </c>
      <c r="O55" s="3">
        <v>22.0408466988385</v>
      </c>
      <c r="P55" s="3">
        <v>13.626676846991799</v>
      </c>
      <c r="Q55" s="3">
        <v>12.9836444859382</v>
      </c>
      <c r="R55" s="3">
        <v>16.2712532796407</v>
      </c>
      <c r="S55" s="3">
        <v>7.5731312752598798</v>
      </c>
      <c r="T55" s="3">
        <v>12.092325963394201</v>
      </c>
      <c r="U55" s="3">
        <v>22.132378858325598</v>
      </c>
      <c r="V55" s="3">
        <v>14.857481720292601</v>
      </c>
    </row>
    <row r="56" spans="1:22" x14ac:dyDescent="0.35">
      <c r="A56" s="2">
        <v>43357</v>
      </c>
      <c r="B56" s="3">
        <v>12.3339098286952</v>
      </c>
      <c r="C56" s="3">
        <v>15.3395791844017</v>
      </c>
      <c r="D56" s="3">
        <v>15.5905153347277</v>
      </c>
      <c r="E56" s="3">
        <v>16.773442824354301</v>
      </c>
      <c r="F56" s="3">
        <v>11.3861383804776</v>
      </c>
      <c r="G56" s="3">
        <v>16.2505666980345</v>
      </c>
      <c r="H56" s="3">
        <v>17.789742050284001</v>
      </c>
      <c r="I56" s="3">
        <v>13.816311097847001</v>
      </c>
      <c r="J56" s="3">
        <v>17.2663085209836</v>
      </c>
      <c r="K56" s="3">
        <v>9.3762574571107997</v>
      </c>
      <c r="L56" s="3">
        <v>13.110485272828599</v>
      </c>
      <c r="M56" s="3">
        <v>15.8584421180676</v>
      </c>
      <c r="N56" s="3">
        <v>21.526057221873401</v>
      </c>
      <c r="O56" s="3">
        <v>22.3472247740354</v>
      </c>
      <c r="P56" s="3">
        <v>13.1725821062905</v>
      </c>
      <c r="Q56" s="3">
        <v>13.3484833960168</v>
      </c>
      <c r="R56" s="3">
        <v>16.333179468104301</v>
      </c>
      <c r="S56" s="3">
        <v>7.3697279103792299</v>
      </c>
      <c r="T56" s="3">
        <v>12.944683873658899</v>
      </c>
      <c r="U56" s="3">
        <v>22.100582175131901</v>
      </c>
      <c r="V56" s="3">
        <v>14.4849882578487</v>
      </c>
    </row>
    <row r="57" spans="1:22" x14ac:dyDescent="0.35">
      <c r="A57" s="2">
        <v>43385</v>
      </c>
      <c r="B57" s="3">
        <v>11.8434098324265</v>
      </c>
      <c r="C57" s="3">
        <v>17.076345981872802</v>
      </c>
      <c r="D57" s="3">
        <v>15.1713077560018</v>
      </c>
      <c r="E57" s="3">
        <v>15.9883057991846</v>
      </c>
      <c r="F57" s="3">
        <v>11.2567395054208</v>
      </c>
      <c r="G57" s="3">
        <v>16.392962335582801</v>
      </c>
      <c r="H57" s="3">
        <v>17.054845619725299</v>
      </c>
      <c r="I57" s="3">
        <v>12.9453487569104</v>
      </c>
      <c r="J57" s="3">
        <v>16.536369326402301</v>
      </c>
      <c r="K57" s="3">
        <v>8.8757807669675302</v>
      </c>
      <c r="L57" s="3">
        <v>13.5260400450573</v>
      </c>
      <c r="M57" s="3">
        <v>14.931160206429199</v>
      </c>
      <c r="N57" s="3">
        <v>19.424136409210401</v>
      </c>
      <c r="O57" s="3">
        <v>20.5938307951869</v>
      </c>
      <c r="P57" s="3">
        <v>12.3891802374179</v>
      </c>
      <c r="Q57" s="3">
        <v>13.221448001047399</v>
      </c>
      <c r="R57" s="3">
        <v>15.930185119689201</v>
      </c>
      <c r="S57" s="3">
        <v>7.5211305896059599</v>
      </c>
      <c r="T57" s="3">
        <v>12.6442149652715</v>
      </c>
      <c r="U57" s="3">
        <v>20.4290106356083</v>
      </c>
      <c r="V57" s="3">
        <v>14.4485098601002</v>
      </c>
    </row>
    <row r="58" spans="1:22" x14ac:dyDescent="0.35">
      <c r="A58" s="2">
        <v>43418</v>
      </c>
      <c r="B58" s="3">
        <v>11.590396814985001</v>
      </c>
      <c r="C58" s="3">
        <v>16.990084094188202</v>
      </c>
      <c r="D58" s="3">
        <v>15.113425489723401</v>
      </c>
      <c r="E58" s="3">
        <v>15.406655663504401</v>
      </c>
      <c r="F58" s="3">
        <v>11.319959871348701</v>
      </c>
      <c r="G58" s="3">
        <v>16.550276604769</v>
      </c>
      <c r="H58" s="3">
        <v>16.588995015569399</v>
      </c>
      <c r="I58" s="3">
        <v>12.625601231828</v>
      </c>
      <c r="J58" s="3">
        <v>14.9893505451601</v>
      </c>
      <c r="K58" s="3">
        <v>8.4676571118905208</v>
      </c>
      <c r="L58" s="3">
        <v>13.707136655264099</v>
      </c>
      <c r="M58" s="3">
        <v>14.4406517322805</v>
      </c>
      <c r="N58" s="3">
        <v>18.376952859826702</v>
      </c>
      <c r="O58" s="3">
        <v>21.208984510463999</v>
      </c>
      <c r="P58" s="3">
        <v>12.097105807449401</v>
      </c>
      <c r="Q58" s="3">
        <v>13.565768124342201</v>
      </c>
      <c r="R58" s="3">
        <v>15.389020361861601</v>
      </c>
      <c r="S58" s="3">
        <v>6.9425947923305298</v>
      </c>
      <c r="T58" s="3">
        <v>12.949633758636899</v>
      </c>
      <c r="U58" s="3">
        <v>19.415973740246301</v>
      </c>
      <c r="V58" s="3">
        <v>14.6926364021914</v>
      </c>
    </row>
    <row r="59" spans="1:22" x14ac:dyDescent="0.35">
      <c r="A59" s="2">
        <v>43448</v>
      </c>
      <c r="B59" s="3">
        <v>11.368925551199901</v>
      </c>
      <c r="C59" s="3">
        <v>16.766008781218801</v>
      </c>
      <c r="D59" s="3">
        <v>15.6659450029211</v>
      </c>
      <c r="E59" s="3">
        <v>16.8004097027104</v>
      </c>
      <c r="F59" s="3">
        <v>11.624823699182899</v>
      </c>
      <c r="G59" s="3">
        <v>17.108004547947701</v>
      </c>
      <c r="H59" s="3">
        <v>16.619703164400299</v>
      </c>
      <c r="I59" s="3">
        <v>12.5628365737967</v>
      </c>
      <c r="J59" s="3">
        <v>14.5944800978987</v>
      </c>
      <c r="K59" s="3">
        <v>8.3516163339707692</v>
      </c>
      <c r="L59" s="3">
        <v>13.7570760330527</v>
      </c>
      <c r="M59" s="3">
        <v>14.6448532502815</v>
      </c>
      <c r="N59" s="3">
        <v>19.838639365425198</v>
      </c>
      <c r="O59" s="3">
        <v>21.598678772973699</v>
      </c>
      <c r="P59" s="3">
        <v>12.0438449424264</v>
      </c>
      <c r="Q59" s="3">
        <v>14.180457216475601</v>
      </c>
      <c r="R59" s="3">
        <v>14.8151687910768</v>
      </c>
      <c r="S59" s="3">
        <v>6.6371741449564201</v>
      </c>
      <c r="T59" s="3">
        <v>12.209843555062699</v>
      </c>
      <c r="U59" s="3">
        <v>19.537879007768002</v>
      </c>
      <c r="V59" s="3">
        <v>15.5738699335162</v>
      </c>
    </row>
    <row r="60" spans="1:22" x14ac:dyDescent="0.35">
      <c r="A60" s="2">
        <v>43479</v>
      </c>
      <c r="B60" s="3">
        <v>10.8010841263002</v>
      </c>
      <c r="C60" s="3">
        <v>17.560677463386099</v>
      </c>
      <c r="D60" s="3">
        <v>16.026771864437901</v>
      </c>
      <c r="E60" s="3">
        <v>17.7754254885478</v>
      </c>
      <c r="F60" s="3">
        <v>11.6651868925705</v>
      </c>
      <c r="G60" s="3">
        <v>17.520935672547001</v>
      </c>
      <c r="H60" s="3">
        <v>16.783351541363199</v>
      </c>
      <c r="I60" s="3">
        <v>12.692532710252999</v>
      </c>
      <c r="J60" s="3">
        <v>15.2494760501854</v>
      </c>
      <c r="K60" s="3">
        <v>8.42802565246493</v>
      </c>
      <c r="L60" s="3">
        <v>14.644199742809</v>
      </c>
      <c r="M60" s="3">
        <v>15.198253840247601</v>
      </c>
      <c r="N60" s="3">
        <v>15.1931795659121</v>
      </c>
      <c r="O60" s="3">
        <v>21.205301951402902</v>
      </c>
      <c r="P60" s="3">
        <v>11.573250301624601</v>
      </c>
      <c r="Q60" s="3">
        <v>14.5331515608635</v>
      </c>
      <c r="R60" s="3">
        <v>14.6076022317983</v>
      </c>
      <c r="S60" s="3">
        <v>6.6799051141846597</v>
      </c>
      <c r="T60" s="3">
        <v>11.9642124901666</v>
      </c>
      <c r="U60" s="3">
        <v>18.301852059448699</v>
      </c>
      <c r="V60" s="3">
        <v>16.503647075148098</v>
      </c>
    </row>
    <row r="61" spans="1:22" x14ac:dyDescent="0.35">
      <c r="A61" s="2">
        <v>43510</v>
      </c>
      <c r="B61" s="3">
        <v>11.946193923970799</v>
      </c>
      <c r="C61" s="3">
        <v>17.804119108210202</v>
      </c>
      <c r="D61" s="3">
        <v>15.8645318117477</v>
      </c>
      <c r="E61" s="3">
        <v>17.467662124791001</v>
      </c>
      <c r="F61" s="3">
        <v>11.4315313975035</v>
      </c>
      <c r="G61" s="3">
        <v>19.168027540237901</v>
      </c>
      <c r="H61" s="3">
        <v>16.918813396862198</v>
      </c>
      <c r="I61" s="3">
        <v>13.462548198488401</v>
      </c>
      <c r="J61" s="3">
        <v>15.3995709167035</v>
      </c>
      <c r="K61" s="3">
        <v>9.97631808433988</v>
      </c>
      <c r="L61" s="3">
        <v>15.300189566048999</v>
      </c>
      <c r="M61" s="3">
        <v>15.011934241251099</v>
      </c>
      <c r="N61" s="3">
        <v>17.6213409695671</v>
      </c>
      <c r="O61" s="3">
        <v>21.508389493985501</v>
      </c>
      <c r="P61" s="3">
        <v>12.7531494889251</v>
      </c>
      <c r="Q61" s="3">
        <v>13.4500756827122</v>
      </c>
      <c r="R61" s="3">
        <v>15.651276713496699</v>
      </c>
      <c r="S61" s="3">
        <v>7.32408868659014</v>
      </c>
      <c r="T61" s="3">
        <v>11.6857967558272</v>
      </c>
      <c r="U61" s="3">
        <v>18.663707342645399</v>
      </c>
      <c r="V61" s="3">
        <v>17.562340026946799</v>
      </c>
    </row>
    <row r="62" spans="1:22" x14ac:dyDescent="0.35">
      <c r="A62" s="2">
        <v>43538</v>
      </c>
      <c r="B62" s="3">
        <v>12.6505062280392</v>
      </c>
      <c r="C62" s="3">
        <v>15.8165459145314</v>
      </c>
      <c r="D62" s="3">
        <v>15.8586759031177</v>
      </c>
      <c r="E62" s="3">
        <v>16.7536919206871</v>
      </c>
      <c r="F62" s="3">
        <v>11.580916093486101</v>
      </c>
      <c r="G62" s="3">
        <v>20.0363807300693</v>
      </c>
      <c r="H62" s="3">
        <v>17.043793142849101</v>
      </c>
      <c r="I62" s="3">
        <v>14.114035153435999</v>
      </c>
      <c r="J62" s="3">
        <v>15.380023722863999</v>
      </c>
      <c r="K62" s="3">
        <v>10.028370773051099</v>
      </c>
      <c r="L62" s="3">
        <v>14.7425957381662</v>
      </c>
      <c r="M62" s="3">
        <v>15.2887788075919</v>
      </c>
      <c r="N62" s="3">
        <v>18.6462568634714</v>
      </c>
      <c r="O62" s="3">
        <v>21.7352787146792</v>
      </c>
      <c r="P62" s="3">
        <v>12.8268901304909</v>
      </c>
      <c r="Q62" s="3">
        <v>13.5478613019422</v>
      </c>
      <c r="R62" s="3">
        <v>16.184405349101901</v>
      </c>
      <c r="S62" s="3">
        <v>7.4603092938117799</v>
      </c>
      <c r="T62" s="3">
        <v>12.7412678877012</v>
      </c>
      <c r="U62" s="3">
        <v>19.744382732186899</v>
      </c>
      <c r="V62" s="3">
        <v>17.2308668172622</v>
      </c>
    </row>
    <row r="63" spans="1:22" x14ac:dyDescent="0.35">
      <c r="A63" s="2">
        <v>43567</v>
      </c>
      <c r="B63" s="3">
        <v>12.7829072761107</v>
      </c>
      <c r="C63" s="3">
        <v>15.745838572324701</v>
      </c>
      <c r="D63" s="3">
        <v>15.6644852194799</v>
      </c>
      <c r="E63" s="3">
        <v>16.716432208032298</v>
      </c>
      <c r="F63" s="3">
        <v>11.6324437555272</v>
      </c>
      <c r="G63" s="3">
        <v>19.635158713831199</v>
      </c>
      <c r="H63" s="3">
        <v>16.909378229967398</v>
      </c>
      <c r="I63" s="3">
        <v>14.3736325810123</v>
      </c>
      <c r="J63" s="3">
        <v>15.423952267296601</v>
      </c>
      <c r="K63" s="3">
        <v>10.4252251576081</v>
      </c>
      <c r="L63" s="3">
        <v>14.220149421398199</v>
      </c>
      <c r="M63" s="3">
        <v>15.3260264682638</v>
      </c>
      <c r="N63" s="3">
        <v>18.499014880579601</v>
      </c>
      <c r="O63" s="3">
        <v>21.610990126664099</v>
      </c>
      <c r="P63" s="3">
        <v>12.9562707737553</v>
      </c>
      <c r="Q63" s="3">
        <v>13.6042917375303</v>
      </c>
      <c r="R63" s="3">
        <v>16.145818027051</v>
      </c>
      <c r="S63" s="3">
        <v>7.30165887339977</v>
      </c>
      <c r="T63" s="3">
        <v>12.7272619436116</v>
      </c>
      <c r="U63" s="3">
        <v>19.776261936152</v>
      </c>
      <c r="V63" s="3">
        <v>17.4495485355718</v>
      </c>
    </row>
    <row r="64" spans="1:22" x14ac:dyDescent="0.35">
      <c r="A64" s="2">
        <v>43599</v>
      </c>
      <c r="B64" s="3">
        <v>12.365734194136699</v>
      </c>
      <c r="C64" s="3">
        <v>15.5790366223881</v>
      </c>
      <c r="D64" s="3">
        <v>15.264414260369501</v>
      </c>
      <c r="E64" s="3">
        <v>16.523042054092102</v>
      </c>
      <c r="F64" s="3">
        <v>11.3060790453395</v>
      </c>
      <c r="G64" s="3">
        <v>18.419340941835799</v>
      </c>
      <c r="H64" s="3">
        <v>16.714324324328999</v>
      </c>
      <c r="I64" s="3">
        <v>14.417088395924401</v>
      </c>
      <c r="J64" s="3">
        <v>15.1389165340491</v>
      </c>
      <c r="K64" s="3">
        <v>10.444787229605399</v>
      </c>
      <c r="L64" s="3">
        <v>13.9668026803845</v>
      </c>
      <c r="M64" s="3">
        <v>15.121041401490199</v>
      </c>
      <c r="N64" s="3">
        <v>17.732842182468101</v>
      </c>
      <c r="O64" s="3">
        <v>21.256587580274999</v>
      </c>
      <c r="P64" s="3">
        <v>12.6386174440595</v>
      </c>
      <c r="Q64" s="3">
        <v>13.3331606499814</v>
      </c>
      <c r="R64" s="3">
        <v>15.9975120382092</v>
      </c>
      <c r="S64" s="3">
        <v>7.0824082987575796</v>
      </c>
      <c r="T64" s="3">
        <v>12.432951470249</v>
      </c>
      <c r="U64" s="3">
        <v>19.506549884083999</v>
      </c>
      <c r="V64" s="3">
        <v>16.970935738547499</v>
      </c>
    </row>
    <row r="65" spans="1:22" x14ac:dyDescent="0.35">
      <c r="A65" s="2">
        <v>43630</v>
      </c>
      <c r="B65" s="3">
        <v>12.5033228442749</v>
      </c>
      <c r="C65" s="3">
        <v>15.8031531647674</v>
      </c>
      <c r="D65" s="3">
        <v>15.4021342313986</v>
      </c>
      <c r="E65" s="3">
        <v>16.689962851704902</v>
      </c>
      <c r="F65" s="3">
        <v>11.4414586672209</v>
      </c>
      <c r="G65" s="3">
        <v>17.867810957320199</v>
      </c>
      <c r="H65" s="3">
        <v>17.064575190302499</v>
      </c>
      <c r="I65" s="3">
        <v>14.5559335903893</v>
      </c>
      <c r="J65" s="3">
        <v>14.9447533660692</v>
      </c>
      <c r="K65" s="3">
        <v>10.758699611973899</v>
      </c>
      <c r="L65" s="3">
        <v>14.201102683335201</v>
      </c>
      <c r="M65" s="3">
        <v>14.987916116561101</v>
      </c>
      <c r="N65" s="3">
        <v>17.853937181520301</v>
      </c>
      <c r="O65" s="3">
        <v>21.513930789699302</v>
      </c>
      <c r="P65" s="3">
        <v>12.427413714982199</v>
      </c>
      <c r="Q65" s="3">
        <v>13.710530026891799</v>
      </c>
      <c r="R65" s="3">
        <v>16.205593281675299</v>
      </c>
      <c r="S65" s="3">
        <v>7.2150315750929197</v>
      </c>
      <c r="T65" s="3">
        <v>12.751024303854001</v>
      </c>
      <c r="U65" s="3">
        <v>19.3403713896295</v>
      </c>
      <c r="V65" s="3">
        <v>17.446836267086699</v>
      </c>
    </row>
    <row r="66" spans="1:22" x14ac:dyDescent="0.35">
      <c r="A66" s="2">
        <v>43658</v>
      </c>
      <c r="B66" s="3">
        <v>12.610180268554201</v>
      </c>
      <c r="C66" s="3">
        <v>16.008909256244301</v>
      </c>
      <c r="D66" s="3">
        <v>15.628668942451499</v>
      </c>
      <c r="E66" s="3">
        <v>16.777428551571099</v>
      </c>
      <c r="F66" s="3">
        <v>11.569895472796601</v>
      </c>
      <c r="G66" s="3">
        <v>17.700356448001301</v>
      </c>
      <c r="H66" s="3">
        <v>17.192156661004802</v>
      </c>
      <c r="I66" s="3">
        <v>14.988949918494599</v>
      </c>
      <c r="J66" s="3">
        <v>14.810971482332601</v>
      </c>
      <c r="K66" s="3">
        <v>11.1868379468767</v>
      </c>
      <c r="L66" s="3">
        <v>14.3327042145793</v>
      </c>
      <c r="M66" s="3">
        <v>14.824636286130801</v>
      </c>
      <c r="N66" s="3">
        <v>18.224500891394701</v>
      </c>
      <c r="O66" s="3">
        <v>21.185273307206302</v>
      </c>
      <c r="P66" s="3">
        <v>12.5800257211556</v>
      </c>
      <c r="Q66" s="3">
        <v>13.8698677738992</v>
      </c>
      <c r="R66" s="3">
        <v>16.5280355400416</v>
      </c>
      <c r="S66" s="3">
        <v>7.4759951075693101</v>
      </c>
      <c r="T66" s="3">
        <v>13.36721997739</v>
      </c>
      <c r="U66" s="3">
        <v>19.110142150243</v>
      </c>
      <c r="V66" s="3">
        <v>17.638379106260199</v>
      </c>
    </row>
    <row r="67" spans="1:22" x14ac:dyDescent="0.35">
      <c r="A67" s="2">
        <v>43691</v>
      </c>
      <c r="B67" s="3">
        <v>12.343068231961899</v>
      </c>
      <c r="C67" s="3">
        <v>15.206169900135899</v>
      </c>
      <c r="D67" s="3">
        <v>15.885260634818501</v>
      </c>
      <c r="E67" s="3">
        <v>16.034085846556199</v>
      </c>
      <c r="F67" s="3">
        <v>10.8295074410475</v>
      </c>
      <c r="G67" s="3">
        <v>17.619168009946701</v>
      </c>
      <c r="H67" s="3">
        <v>16.858497252378001</v>
      </c>
      <c r="I67" s="3">
        <v>14.790187271793799</v>
      </c>
      <c r="J67" s="3">
        <v>14.1018316536094</v>
      </c>
      <c r="K67" s="3">
        <v>11.1582613758845</v>
      </c>
      <c r="L67" s="3">
        <v>14.2383208584715</v>
      </c>
      <c r="M67" s="3">
        <v>13.9917072668395</v>
      </c>
      <c r="N67" s="3">
        <v>17.065012752856202</v>
      </c>
      <c r="O67" s="3">
        <v>21.0422861171735</v>
      </c>
      <c r="P67" s="3">
        <v>12.1096306515176</v>
      </c>
      <c r="Q67" s="3">
        <v>13.178219493121601</v>
      </c>
      <c r="R67" s="3">
        <v>16.140623331483699</v>
      </c>
      <c r="S67" s="3">
        <v>7.78392767046034</v>
      </c>
      <c r="T67" s="3">
        <v>13.751132191308599</v>
      </c>
      <c r="U67" s="3">
        <v>18.3456539192379</v>
      </c>
      <c r="V67" s="3">
        <v>17.595856273624399</v>
      </c>
    </row>
    <row r="68" spans="1:22" x14ac:dyDescent="0.35">
      <c r="A68" s="2">
        <v>43721</v>
      </c>
      <c r="B68" s="3">
        <v>13.0452635184963</v>
      </c>
      <c r="C68" s="3">
        <v>16.467508268363201</v>
      </c>
      <c r="D68" s="3">
        <v>16.0515983404241</v>
      </c>
      <c r="E68" s="3">
        <v>15.5855364499701</v>
      </c>
      <c r="F68" s="3">
        <v>11.097189547257001</v>
      </c>
      <c r="G68" s="3">
        <v>17.282128917475401</v>
      </c>
      <c r="H68" s="3">
        <v>16.919203328885899</v>
      </c>
      <c r="I68" s="3">
        <v>15.437907648978999</v>
      </c>
      <c r="J68" s="3">
        <v>15.061652958536399</v>
      </c>
      <c r="K68" s="3">
        <v>11.841148747858</v>
      </c>
      <c r="L68" s="3">
        <v>14.1999935891627</v>
      </c>
      <c r="M68" s="3">
        <v>14.028645468034201</v>
      </c>
      <c r="N68" s="3">
        <v>19.7039094126458</v>
      </c>
      <c r="O68" s="3">
        <v>21.2244811719438</v>
      </c>
      <c r="P68" s="3">
        <v>12.7656287375329</v>
      </c>
      <c r="Q68" s="3">
        <v>13.948194765187999</v>
      </c>
      <c r="R68" s="3">
        <v>16.5660258072846</v>
      </c>
      <c r="S68" s="3">
        <v>7.9641384759775899</v>
      </c>
      <c r="T68" s="3">
        <v>14.483542887143701</v>
      </c>
      <c r="U68" s="3">
        <v>17.491618877924001</v>
      </c>
      <c r="V68" s="3">
        <v>17.837258078729899</v>
      </c>
    </row>
    <row r="69" spans="1:22" x14ac:dyDescent="0.35">
      <c r="A69" s="2">
        <v>43752</v>
      </c>
      <c r="B69" s="3">
        <v>13.0322625530764</v>
      </c>
      <c r="C69" s="3">
        <v>17.015369015589599</v>
      </c>
      <c r="D69" s="3">
        <v>15.688736076436699</v>
      </c>
      <c r="E69" s="3">
        <v>15.235331181841399</v>
      </c>
      <c r="F69" s="3">
        <v>10.8207475001871</v>
      </c>
      <c r="G69" s="3">
        <v>17.025878249698401</v>
      </c>
      <c r="H69" s="3">
        <v>16.6075340183883</v>
      </c>
      <c r="I69" s="3">
        <v>15.939134496817699</v>
      </c>
      <c r="J69" s="3">
        <v>15.195814641778901</v>
      </c>
      <c r="K69" s="3">
        <v>12.305403008200599</v>
      </c>
      <c r="L69" s="3">
        <v>14.6984320612699</v>
      </c>
      <c r="M69" s="3">
        <v>13.6467623559386</v>
      </c>
      <c r="N69" s="3">
        <v>16.9449491081537</v>
      </c>
      <c r="O69" s="3">
        <v>21.3395238757717</v>
      </c>
      <c r="P69" s="3">
        <v>12.4197541294764</v>
      </c>
      <c r="Q69" s="3">
        <v>14.1858936615779</v>
      </c>
      <c r="R69" s="3">
        <v>16.673682952622801</v>
      </c>
      <c r="S69" s="3">
        <v>7.50518969106143</v>
      </c>
      <c r="T69" s="3">
        <v>14.2839707056444</v>
      </c>
      <c r="U69" s="3">
        <v>17.271525007401699</v>
      </c>
      <c r="V69" s="3">
        <v>17.5905203903203</v>
      </c>
    </row>
    <row r="70" spans="1:22" x14ac:dyDescent="0.35">
      <c r="A70" s="2">
        <v>43783</v>
      </c>
      <c r="B70" s="3">
        <v>12.927212960780199</v>
      </c>
      <c r="C70" s="3">
        <v>14.569377825176399</v>
      </c>
      <c r="D70" s="3">
        <v>15.812096116389499</v>
      </c>
      <c r="E70" s="3">
        <v>15.1215036826957</v>
      </c>
      <c r="F70" s="3">
        <v>11.0556266640023</v>
      </c>
      <c r="G70" s="3">
        <v>16.807849272463798</v>
      </c>
      <c r="H70" s="3">
        <v>16.844140129032098</v>
      </c>
      <c r="I70" s="3">
        <v>16.5297271550427</v>
      </c>
      <c r="J70" s="3">
        <v>15.326000500048099</v>
      </c>
      <c r="K70" s="3">
        <v>13.539919866839099</v>
      </c>
      <c r="L70" s="3">
        <v>15.2052014997527</v>
      </c>
      <c r="M70" s="3">
        <v>13.738114626414299</v>
      </c>
      <c r="N70" s="3">
        <v>15.585751636120399</v>
      </c>
      <c r="O70" s="3">
        <v>22.771057035715099</v>
      </c>
      <c r="P70" s="3">
        <v>12.371620939860801</v>
      </c>
      <c r="Q70" s="3">
        <v>14.228133610964299</v>
      </c>
      <c r="R70" s="3">
        <v>17.090432372985799</v>
      </c>
      <c r="S70" s="3">
        <v>8.3903587497370893</v>
      </c>
      <c r="T70" s="3">
        <v>14.564075699205899</v>
      </c>
      <c r="U70" s="3">
        <v>17.835188939146001</v>
      </c>
      <c r="V70" s="3">
        <v>18.5276586108148</v>
      </c>
    </row>
    <row r="71" spans="1:22" x14ac:dyDescent="0.35">
      <c r="A71" s="2">
        <v>43812</v>
      </c>
      <c r="B71" s="3">
        <v>14.166669542909901</v>
      </c>
      <c r="C71" s="3">
        <v>16.060972249548701</v>
      </c>
      <c r="D71" s="3">
        <v>16.423648836930202</v>
      </c>
      <c r="E71" s="3">
        <v>15.2001717286894</v>
      </c>
      <c r="F71" s="3">
        <v>10.782443021328801</v>
      </c>
      <c r="G71" s="3">
        <v>16.409326551607499</v>
      </c>
      <c r="H71" s="3">
        <v>16.770530951196701</v>
      </c>
      <c r="I71" s="3">
        <v>17.2065324908082</v>
      </c>
      <c r="J71" s="3">
        <v>15.715703260249899</v>
      </c>
      <c r="K71" s="3">
        <v>14.190973219220201</v>
      </c>
      <c r="L71" s="3">
        <v>16.296347160153999</v>
      </c>
      <c r="M71" s="3">
        <v>14.2412030600801</v>
      </c>
      <c r="N71" s="3">
        <v>16.841085875640101</v>
      </c>
      <c r="O71" s="3">
        <v>23.112256033070398</v>
      </c>
      <c r="P71" s="3">
        <v>13.2842793577006</v>
      </c>
      <c r="Q71" s="3">
        <v>14.1845707772281</v>
      </c>
      <c r="R71" s="3">
        <v>17.0185995990268</v>
      </c>
      <c r="S71" s="3">
        <v>9.0527446302889594</v>
      </c>
      <c r="T71" s="3">
        <v>15.925074060498501</v>
      </c>
      <c r="U71" s="3">
        <v>17.508667642524799</v>
      </c>
      <c r="V71" s="3">
        <v>18.906327431760101</v>
      </c>
    </row>
    <row r="72" spans="1:22" x14ac:dyDescent="0.35">
      <c r="A72" s="2">
        <v>43844</v>
      </c>
      <c r="B72" s="3">
        <v>14.991067136964499</v>
      </c>
      <c r="C72" s="3">
        <v>15.9107988657661</v>
      </c>
      <c r="D72" s="3">
        <v>17.450033672162</v>
      </c>
      <c r="E72" s="3">
        <v>14.9381719692324</v>
      </c>
      <c r="F72" s="3">
        <v>11.149161826490101</v>
      </c>
      <c r="G72" s="3">
        <v>16.812910807359501</v>
      </c>
      <c r="H72" s="3">
        <v>16.880542911191601</v>
      </c>
      <c r="I72" s="3">
        <v>17.763068598069101</v>
      </c>
      <c r="J72" s="3">
        <v>15.885161251971301</v>
      </c>
      <c r="K72" s="3">
        <v>14.941885272773501</v>
      </c>
      <c r="L72" s="3">
        <v>17.535335998843699</v>
      </c>
      <c r="M72" s="3">
        <v>14.5246396806828</v>
      </c>
      <c r="N72" s="3">
        <v>19.030374560139698</v>
      </c>
      <c r="O72" s="3">
        <v>23.682079383494202</v>
      </c>
      <c r="P72" s="3">
        <v>14.109061902844999</v>
      </c>
      <c r="Q72" s="3">
        <v>15.1822306298822</v>
      </c>
      <c r="R72" s="3">
        <v>17.075509820919699</v>
      </c>
      <c r="S72" s="3">
        <v>9.9015727056276805</v>
      </c>
      <c r="T72" s="3">
        <v>16.014823203930298</v>
      </c>
      <c r="U72" s="3">
        <v>16.300754034701502</v>
      </c>
      <c r="V72" s="3">
        <v>20.314996149669501</v>
      </c>
    </row>
    <row r="73" spans="1:22" x14ac:dyDescent="0.35">
      <c r="A73" s="2">
        <v>43875</v>
      </c>
      <c r="B73" s="3">
        <v>14.4196708182496</v>
      </c>
      <c r="C73" s="3">
        <v>14.7779857568301</v>
      </c>
      <c r="D73" s="3">
        <v>16.480007796212298</v>
      </c>
      <c r="E73" s="3">
        <v>13.9227446411941</v>
      </c>
      <c r="F73" s="3">
        <v>11.3018507034562</v>
      </c>
      <c r="G73" s="3">
        <v>16.710784986112799</v>
      </c>
      <c r="H73" s="3">
        <v>16.439794366722499</v>
      </c>
      <c r="I73" s="3">
        <v>17.301870601546</v>
      </c>
      <c r="J73" s="3">
        <v>16.568690056712398</v>
      </c>
      <c r="K73" s="3">
        <v>16.618609985464701</v>
      </c>
      <c r="L73" s="3">
        <v>16.745794511948901</v>
      </c>
      <c r="M73" s="3">
        <v>14.4690122004525</v>
      </c>
      <c r="N73" s="3">
        <v>16.234814341457199</v>
      </c>
      <c r="O73" s="3">
        <v>23.421718721895999</v>
      </c>
      <c r="P73" s="3">
        <v>13.8078783303972</v>
      </c>
      <c r="Q73" s="3">
        <v>14.0636917842066</v>
      </c>
      <c r="R73" s="3">
        <v>16.623553851270099</v>
      </c>
      <c r="S73" s="3">
        <v>9.6504710708201902</v>
      </c>
      <c r="T73" s="3">
        <v>15.082293618795701</v>
      </c>
      <c r="U73" s="3">
        <v>15.5129745550361</v>
      </c>
      <c r="V73" s="3">
        <v>18.323938889424099</v>
      </c>
    </row>
    <row r="74" spans="1:22" x14ac:dyDescent="0.35">
      <c r="A74" s="2">
        <v>43903</v>
      </c>
      <c r="B74" s="3">
        <v>14.202742228360201</v>
      </c>
      <c r="C74" s="3">
        <v>15.300374221601601</v>
      </c>
      <c r="D74" s="3">
        <v>14.694925963445099</v>
      </c>
      <c r="E74" s="3">
        <v>12.648632722488401</v>
      </c>
      <c r="F74" s="3">
        <v>9.3217019537118198</v>
      </c>
      <c r="G74" s="3">
        <v>16.109473760191801</v>
      </c>
      <c r="H74" s="3">
        <v>16.123736559942799</v>
      </c>
      <c r="I74" s="3">
        <v>16.049385203596501</v>
      </c>
      <c r="J74" s="3">
        <v>14.8386865432711</v>
      </c>
      <c r="K74" s="3">
        <v>14.765970522311999</v>
      </c>
      <c r="L74" s="3">
        <v>16.504756385930602</v>
      </c>
      <c r="M74" s="3">
        <v>12.298493114638299</v>
      </c>
      <c r="N74" s="3">
        <v>11.9270254872576</v>
      </c>
      <c r="O74" s="3">
        <v>20.7569166903154</v>
      </c>
      <c r="P74" s="3">
        <v>12.901091383750099</v>
      </c>
      <c r="Q74" s="3">
        <v>13.5097992843941</v>
      </c>
      <c r="R74" s="3">
        <v>14.4973255473084</v>
      </c>
      <c r="S74" s="3">
        <v>8.2329409388941794</v>
      </c>
      <c r="T74" s="3">
        <v>14.1406711538311</v>
      </c>
      <c r="U74" s="3">
        <v>14.7404624567339</v>
      </c>
      <c r="V74" s="3">
        <v>17.130594759490801</v>
      </c>
    </row>
    <row r="75" spans="1:22" x14ac:dyDescent="0.35">
      <c r="A75" s="2">
        <v>43935</v>
      </c>
      <c r="B75" s="3">
        <v>14.0928198772153</v>
      </c>
      <c r="C75" s="3">
        <v>15.160820606751701</v>
      </c>
      <c r="D75" s="3">
        <v>14.353275488147201</v>
      </c>
      <c r="E75" s="3">
        <v>12.7148115638077</v>
      </c>
      <c r="F75" s="3">
        <v>10.009869170448701</v>
      </c>
      <c r="G75" s="3">
        <v>15.812415958406101</v>
      </c>
      <c r="H75" s="3">
        <v>16.349301756554699</v>
      </c>
      <c r="I75" s="3">
        <v>16.232616639957701</v>
      </c>
      <c r="J75" s="3">
        <v>14.433818392370499</v>
      </c>
      <c r="K75" s="3">
        <v>14.682565705385899</v>
      </c>
      <c r="L75" s="3">
        <v>16.436834865165999</v>
      </c>
      <c r="M75" s="3">
        <v>12.266379976264201</v>
      </c>
      <c r="N75" s="3">
        <v>11.847038974137501</v>
      </c>
      <c r="O75" s="3">
        <v>20.339575981752901</v>
      </c>
      <c r="P75" s="3">
        <v>13.0850726112033</v>
      </c>
      <c r="Q75" s="3">
        <v>13.7173482545077</v>
      </c>
      <c r="R75" s="3">
        <v>15.1946509411883</v>
      </c>
      <c r="S75" s="3">
        <v>8.14800669641747</v>
      </c>
      <c r="T75" s="3">
        <v>14.763815975299901</v>
      </c>
      <c r="U75" s="3">
        <v>15.108695955574101</v>
      </c>
      <c r="V75" s="3">
        <v>17.503786853501101</v>
      </c>
    </row>
    <row r="76" spans="1:22" x14ac:dyDescent="0.35">
      <c r="A76" s="2">
        <v>43965</v>
      </c>
      <c r="B76" s="3">
        <v>14.3258079212951</v>
      </c>
      <c r="C76" s="3">
        <v>15.190608901909201</v>
      </c>
      <c r="D76" s="3">
        <v>14.267436077361801</v>
      </c>
      <c r="E76" s="3">
        <v>13.443536873476299</v>
      </c>
      <c r="F76" s="3">
        <v>10.813399160799801</v>
      </c>
      <c r="G76" s="3">
        <v>16.7390275501659</v>
      </c>
      <c r="H76" s="3">
        <v>16.688321088865401</v>
      </c>
      <c r="I76" s="3">
        <v>16.421516989722601</v>
      </c>
      <c r="J76" s="3">
        <v>15.8085593091514</v>
      </c>
      <c r="K76" s="3">
        <v>14.8723790530853</v>
      </c>
      <c r="L76" s="3">
        <v>17.2329685608026</v>
      </c>
      <c r="M76" s="3">
        <v>12.3671655178831</v>
      </c>
      <c r="N76" s="3">
        <v>12.0323725973557</v>
      </c>
      <c r="O76" s="3">
        <v>21.121421440765101</v>
      </c>
      <c r="P76" s="3">
        <v>13.249108192294999</v>
      </c>
      <c r="Q76" s="3">
        <v>14.0958668354231</v>
      </c>
      <c r="R76" s="3">
        <v>16.453430727999901</v>
      </c>
      <c r="S76" s="3">
        <v>8.4713526488591793</v>
      </c>
      <c r="T76" s="3">
        <v>15.798497311166299</v>
      </c>
      <c r="U76" s="3">
        <v>15.387367031845301</v>
      </c>
      <c r="V76" s="3">
        <v>18.222077398093202</v>
      </c>
    </row>
    <row r="77" spans="1:22" x14ac:dyDescent="0.35">
      <c r="A77" s="2">
        <v>43994</v>
      </c>
      <c r="B77" s="3">
        <v>14.6053914607844</v>
      </c>
      <c r="C77" s="3">
        <v>16.154517820165299</v>
      </c>
      <c r="D77" s="3">
        <v>16.106319263968999</v>
      </c>
      <c r="E77" s="3">
        <v>15.3496368548074</v>
      </c>
      <c r="F77" s="3">
        <v>11.9588246579745</v>
      </c>
      <c r="G77" s="3">
        <v>19.305012876598902</v>
      </c>
      <c r="H77" s="3">
        <v>18.629973628248099</v>
      </c>
      <c r="I77" s="3">
        <v>16.977066472854901</v>
      </c>
      <c r="J77" s="3">
        <v>17.212880033672299</v>
      </c>
      <c r="K77" s="3">
        <v>15.377108240809401</v>
      </c>
      <c r="L77" s="3">
        <v>19.6527739670396</v>
      </c>
      <c r="M77" s="3">
        <v>12.9086202290455</v>
      </c>
      <c r="N77" s="3">
        <v>13.8530020154457</v>
      </c>
      <c r="O77" s="3">
        <v>22.485782568908601</v>
      </c>
      <c r="P77" s="3">
        <v>13.869636712439</v>
      </c>
      <c r="Q77" s="3">
        <v>14.7291339695454</v>
      </c>
      <c r="R77" s="3">
        <v>17.970803446825698</v>
      </c>
      <c r="S77" s="3">
        <v>9.6525069454576098</v>
      </c>
      <c r="T77" s="3">
        <v>17.204136491999002</v>
      </c>
      <c r="U77" s="3">
        <v>16.235629300307099</v>
      </c>
      <c r="V77" s="3">
        <v>19.2796949703779</v>
      </c>
    </row>
    <row r="78" spans="1:22" x14ac:dyDescent="0.35">
      <c r="A78" s="2">
        <v>44026</v>
      </c>
      <c r="B78" s="3">
        <v>16.3354826277405</v>
      </c>
      <c r="C78" s="3">
        <v>17.6660045113202</v>
      </c>
      <c r="D78" s="3">
        <v>17.273146437218401</v>
      </c>
      <c r="E78" s="3">
        <v>15.8111796240687</v>
      </c>
      <c r="F78" s="3">
        <v>11.809778810352899</v>
      </c>
      <c r="G78" s="3">
        <v>22.6296672259483</v>
      </c>
      <c r="H78" s="3">
        <v>19.511218615210101</v>
      </c>
      <c r="I78" s="3">
        <v>17.756501222745499</v>
      </c>
      <c r="J78" s="3">
        <v>17.865917094354899</v>
      </c>
      <c r="K78" s="3">
        <v>15.54254669592</v>
      </c>
      <c r="L78" s="3">
        <v>30.9705963051133</v>
      </c>
      <c r="M78" s="3">
        <v>13.400690057076501</v>
      </c>
      <c r="N78" s="3">
        <v>14.959707635539999</v>
      </c>
      <c r="O78" s="3">
        <v>24.144452011930198</v>
      </c>
      <c r="P78" s="3">
        <v>15.063318382667299</v>
      </c>
      <c r="Q78" s="3">
        <v>15.351144428928301</v>
      </c>
      <c r="R78" s="3">
        <v>18.690186501959101</v>
      </c>
      <c r="S78" s="3">
        <v>10.0899602812712</v>
      </c>
      <c r="T78" s="3">
        <v>17.9683864158761</v>
      </c>
      <c r="U78" s="3">
        <v>16.3225570473383</v>
      </c>
      <c r="V78" s="3">
        <v>19.739991017729</v>
      </c>
    </row>
    <row r="79" spans="1:22" x14ac:dyDescent="0.35">
      <c r="A79" s="2">
        <v>44057</v>
      </c>
      <c r="B79" s="3">
        <v>16.308151425264199</v>
      </c>
      <c r="C79" s="3">
        <v>19.044872972201301</v>
      </c>
      <c r="D79" s="3">
        <v>18.363028897067601</v>
      </c>
      <c r="E79" s="3">
        <v>17.774562306549601</v>
      </c>
      <c r="F79" s="3">
        <v>12.556455256160399</v>
      </c>
      <c r="G79" s="3">
        <v>25.332898603586202</v>
      </c>
      <c r="H79" s="3">
        <v>19.6082703126364</v>
      </c>
      <c r="I79" s="3">
        <v>17.728292809847598</v>
      </c>
      <c r="J79" s="3">
        <v>20.5644738435617</v>
      </c>
      <c r="K79" s="3">
        <v>16.359225576981999</v>
      </c>
      <c r="L79" s="3">
        <v>34.4633073218343</v>
      </c>
      <c r="M79" s="3">
        <v>13.4833823127675</v>
      </c>
      <c r="N79" s="3">
        <v>15.0224459200167</v>
      </c>
      <c r="O79" s="3">
        <v>25.373715175657701</v>
      </c>
      <c r="P79" s="3">
        <v>15.180343782002501</v>
      </c>
      <c r="Q79" s="3">
        <v>15.977669442758501</v>
      </c>
      <c r="R79" s="3">
        <v>20.019665899463899</v>
      </c>
      <c r="S79" s="3">
        <v>10.037697769512301</v>
      </c>
      <c r="T79" s="3">
        <v>16.006010598426499</v>
      </c>
      <c r="U79" s="3">
        <v>16.735722674432299</v>
      </c>
      <c r="V79" s="3">
        <v>20.660272065215299</v>
      </c>
    </row>
    <row r="80" spans="1:22" x14ac:dyDescent="0.35">
      <c r="A80" s="2">
        <v>44088</v>
      </c>
      <c r="B80" s="3">
        <v>16.8836728032087</v>
      </c>
      <c r="C80" s="3">
        <v>19.0934029625585</v>
      </c>
      <c r="D80" s="3">
        <v>18.820278787722</v>
      </c>
      <c r="E80" s="3">
        <v>18.732008002925198</v>
      </c>
      <c r="F80" s="3">
        <v>12.861409969209401</v>
      </c>
      <c r="G80" s="3">
        <v>32.633054487495997</v>
      </c>
      <c r="H80" s="3">
        <v>20.3722690096183</v>
      </c>
      <c r="I80" s="3">
        <v>17.277805821054901</v>
      </c>
      <c r="J80" s="3">
        <v>20.031042259146101</v>
      </c>
      <c r="K80" s="3">
        <v>16.395759106266699</v>
      </c>
      <c r="L80" s="3">
        <v>33.046640938037697</v>
      </c>
      <c r="M80" s="3">
        <v>13.527179253536699</v>
      </c>
      <c r="N80" s="3">
        <v>16.320866956518099</v>
      </c>
      <c r="O80" s="3">
        <v>25.8858675351158</v>
      </c>
      <c r="P80" s="3">
        <v>15.8097919968745</v>
      </c>
      <c r="Q80" s="3">
        <v>15.8808583179183</v>
      </c>
      <c r="R80" s="3">
        <v>20.598310143156802</v>
      </c>
      <c r="S80" s="3">
        <v>10.6592710262538</v>
      </c>
      <c r="T80" s="3">
        <v>16.4177148126433</v>
      </c>
      <c r="U80" s="3">
        <v>18.233889888931301</v>
      </c>
      <c r="V80" s="3">
        <v>24.0836322620906</v>
      </c>
    </row>
    <row r="81" spans="1:22" x14ac:dyDescent="0.35">
      <c r="A81" s="2">
        <v>44118</v>
      </c>
      <c r="B81" s="3">
        <v>17.6291293833042</v>
      </c>
      <c r="C81" s="3">
        <v>19.6397762724153</v>
      </c>
      <c r="D81" s="3">
        <v>19.6030008710046</v>
      </c>
      <c r="E81" s="3">
        <v>19.753107809195701</v>
      </c>
      <c r="F81" s="3">
        <v>14.204965449542801</v>
      </c>
      <c r="G81" s="3">
        <v>37.030692149948699</v>
      </c>
      <c r="H81" s="3">
        <v>20.6726928222729</v>
      </c>
      <c r="I81" s="3">
        <v>17.342051006364699</v>
      </c>
      <c r="J81" s="3">
        <v>20.465114878378099</v>
      </c>
      <c r="K81" s="3">
        <v>16.086224790140101</v>
      </c>
      <c r="L81" s="3">
        <v>31.204698071727101</v>
      </c>
      <c r="M81" s="3">
        <v>13.3596570103376</v>
      </c>
      <c r="N81" s="3">
        <v>15.405057671664199</v>
      </c>
      <c r="O81" s="3">
        <v>26.950406442300899</v>
      </c>
      <c r="P81" s="3">
        <v>16.775137499682401</v>
      </c>
      <c r="Q81" s="3">
        <v>16.784339178301899</v>
      </c>
      <c r="R81" s="3">
        <v>21.888673554929898</v>
      </c>
      <c r="S81" s="3">
        <v>11.4491012357493</v>
      </c>
      <c r="T81" s="3">
        <v>16.119067344285501</v>
      </c>
      <c r="U81" s="3">
        <v>18.741622333710801</v>
      </c>
      <c r="V81" s="3">
        <v>26.071178817493099</v>
      </c>
    </row>
    <row r="82" spans="1:22" x14ac:dyDescent="0.35">
      <c r="A82" s="2">
        <v>44148</v>
      </c>
      <c r="B82" s="3">
        <v>17.887973225285599</v>
      </c>
      <c r="C82" s="3">
        <v>21.945708291657901</v>
      </c>
      <c r="D82" s="3">
        <v>21.6698973099708</v>
      </c>
      <c r="E82" s="3">
        <v>23.9801603036071</v>
      </c>
      <c r="F82" s="3">
        <v>18.324882346997999</v>
      </c>
      <c r="G82" s="3">
        <v>43.450509453011897</v>
      </c>
      <c r="H82" s="3">
        <v>20.831034650417902</v>
      </c>
      <c r="I82" s="3">
        <v>17.041279110591798</v>
      </c>
      <c r="J82" s="3">
        <v>23.0620906234962</v>
      </c>
      <c r="K82" s="3">
        <v>16.669225103416</v>
      </c>
      <c r="L82" s="3">
        <v>30.423896096768999</v>
      </c>
      <c r="M82" s="3">
        <v>13.804476300372301</v>
      </c>
      <c r="N82" s="3">
        <v>14.893783935797501</v>
      </c>
      <c r="O82" s="3">
        <v>27.2615949115341</v>
      </c>
      <c r="P82" s="3">
        <v>17.233011932012499</v>
      </c>
      <c r="Q82" s="3">
        <v>17.417142308753601</v>
      </c>
      <c r="R82" s="3">
        <v>22.471012202535999</v>
      </c>
      <c r="S82" s="3">
        <v>13.153673126708901</v>
      </c>
      <c r="T82" s="3">
        <v>25.305671914311102</v>
      </c>
      <c r="U82" s="3">
        <v>19.0875235803389</v>
      </c>
      <c r="V82" s="3">
        <v>27.456079346853599</v>
      </c>
    </row>
    <row r="83" spans="1:22" x14ac:dyDescent="0.35">
      <c r="A83" s="2">
        <v>44179</v>
      </c>
      <c r="B83" s="3">
        <v>18.8763681524342</v>
      </c>
      <c r="C83" s="3">
        <v>23.508089841960398</v>
      </c>
      <c r="D83" s="3">
        <v>25.021391668843599</v>
      </c>
      <c r="E83" s="3">
        <v>25.148432429653301</v>
      </c>
      <c r="F83" s="3">
        <v>21.5506690438235</v>
      </c>
      <c r="G83" s="3">
        <v>50.865089777073798</v>
      </c>
      <c r="H83" s="3">
        <v>21.4780926954462</v>
      </c>
      <c r="I83" s="3">
        <v>17.634566403483099</v>
      </c>
      <c r="J83" s="3">
        <v>27.621723575817501</v>
      </c>
      <c r="K83" s="3">
        <v>18.744715742836298</v>
      </c>
      <c r="L83" s="3">
        <v>34.609578464863098</v>
      </c>
      <c r="M83" s="3">
        <v>13.724034431804199</v>
      </c>
      <c r="N83" s="3">
        <v>19.191373765095399</v>
      </c>
      <c r="O83" s="3">
        <v>32.287987268460903</v>
      </c>
      <c r="P83" s="3">
        <v>17.484300550122398</v>
      </c>
      <c r="Q83" s="3">
        <v>17.441278437502501</v>
      </c>
      <c r="R83" s="3">
        <v>25.627974188193701</v>
      </c>
      <c r="S83" s="3">
        <v>13.264501644816701</v>
      </c>
      <c r="T83" s="3">
        <v>24.539087966718601</v>
      </c>
      <c r="U83" s="3">
        <v>21.214996204235899</v>
      </c>
      <c r="V83" s="3">
        <v>28.059256198361801</v>
      </c>
    </row>
    <row r="84" spans="1:22" x14ac:dyDescent="0.35">
      <c r="A84" s="2">
        <v>44210</v>
      </c>
      <c r="B84" s="3">
        <v>21.1189816996866</v>
      </c>
      <c r="C84" s="3">
        <v>24.615852788756399</v>
      </c>
      <c r="D84" s="3">
        <v>26.159104327526201</v>
      </c>
      <c r="E84" s="3">
        <v>25.932139304382801</v>
      </c>
      <c r="F84" s="3">
        <v>22.861281775546299</v>
      </c>
      <c r="G84" s="3">
        <v>49.280734878872899</v>
      </c>
      <c r="H84" s="3">
        <v>21.024950042883599</v>
      </c>
      <c r="I84" s="3">
        <v>19.272630621223598</v>
      </c>
      <c r="J84" s="3">
        <v>32.460438750498099</v>
      </c>
      <c r="K84" s="3">
        <v>21.850534628962698</v>
      </c>
      <c r="L84" s="3">
        <v>34.224213232065502</v>
      </c>
      <c r="M84" s="3">
        <v>13.8992511806377</v>
      </c>
      <c r="N84" s="3">
        <v>17.7995512891729</v>
      </c>
      <c r="O84" s="3">
        <v>34.528318216034897</v>
      </c>
      <c r="P84" s="3">
        <v>19.897578252185799</v>
      </c>
      <c r="Q84" s="3">
        <v>17.962317950549199</v>
      </c>
      <c r="R84" s="3">
        <v>28.713856745734201</v>
      </c>
      <c r="S84" s="3">
        <v>14.531747155024901</v>
      </c>
      <c r="T84" s="3">
        <v>25.349159312788</v>
      </c>
      <c r="U84" s="3">
        <v>24.3973762659218</v>
      </c>
      <c r="V84" s="3">
        <v>29.1685123834962</v>
      </c>
    </row>
    <row r="85" spans="1:22" x14ac:dyDescent="0.35">
      <c r="A85" s="2">
        <v>44239</v>
      </c>
      <c r="B85" s="3">
        <v>22.307340924536799</v>
      </c>
      <c r="C85" s="3">
        <v>26.8407430753733</v>
      </c>
      <c r="D85" s="3">
        <v>24.442356011656301</v>
      </c>
      <c r="E85" s="3">
        <v>24.825929593639898</v>
      </c>
      <c r="F85" s="3">
        <v>15.324441648716199</v>
      </c>
      <c r="G85" s="3">
        <v>45.491060299325397</v>
      </c>
      <c r="H85" s="3">
        <v>19.688810515042501</v>
      </c>
      <c r="I85" s="3">
        <v>18.764272789566601</v>
      </c>
      <c r="J85" s="3">
        <v>29.056978795702602</v>
      </c>
      <c r="K85" s="3">
        <v>21.366988503865102</v>
      </c>
      <c r="L85" s="3">
        <v>28.357563926889199</v>
      </c>
      <c r="M85" s="3">
        <v>14.63275198999</v>
      </c>
      <c r="N85" s="3">
        <v>17.411708432006801</v>
      </c>
      <c r="O85" s="3">
        <v>32.905168754778103</v>
      </c>
      <c r="P85" s="3">
        <v>21.983464490677001</v>
      </c>
      <c r="Q85" s="3">
        <v>16.928079971919399</v>
      </c>
      <c r="R85" s="3">
        <v>27.2091515795737</v>
      </c>
      <c r="S85" s="3">
        <v>13.047550087006799</v>
      </c>
      <c r="T85" s="3">
        <v>23.701772268414299</v>
      </c>
      <c r="U85" s="3">
        <v>23.945847052558499</v>
      </c>
      <c r="V85" s="3">
        <v>26.443766123386599</v>
      </c>
    </row>
    <row r="86" spans="1:22" x14ac:dyDescent="0.35">
      <c r="A86" s="2">
        <v>44267</v>
      </c>
      <c r="B86" s="3">
        <v>19.924419837442901</v>
      </c>
      <c r="C86" s="3">
        <v>31.933019562191401</v>
      </c>
      <c r="D86" s="3">
        <v>23.8768598774172</v>
      </c>
      <c r="E86" s="3">
        <v>22.7060008212108</v>
      </c>
      <c r="F86" s="3">
        <v>17.021055275336199</v>
      </c>
      <c r="G86" s="3">
        <v>65.734042229919396</v>
      </c>
      <c r="H86" s="3">
        <v>19.623132505092698</v>
      </c>
      <c r="I86" s="3">
        <v>18.521866964605699</v>
      </c>
      <c r="J86" s="3">
        <v>27.096027116948701</v>
      </c>
      <c r="K86" s="3">
        <v>20.232401649057199</v>
      </c>
      <c r="L86" s="3">
        <v>20.2453637995166</v>
      </c>
      <c r="M86" s="3">
        <v>13.5737421822886</v>
      </c>
      <c r="N86" s="3">
        <v>17.7040360572202</v>
      </c>
      <c r="O86" s="3">
        <v>30.952526848932301</v>
      </c>
      <c r="P86" s="3">
        <v>19.657786235202799</v>
      </c>
      <c r="Q86" s="3">
        <v>16.809841832600299</v>
      </c>
      <c r="R86" s="3">
        <v>27.510185688804999</v>
      </c>
      <c r="S86" s="3">
        <v>11.9949781790852</v>
      </c>
      <c r="T86" s="3">
        <v>27.044883978181801</v>
      </c>
      <c r="U86" s="3">
        <v>24.236315997237501</v>
      </c>
      <c r="V86" s="3">
        <v>26.3983204983763</v>
      </c>
    </row>
    <row r="87" spans="1:22" x14ac:dyDescent="0.35">
      <c r="A87" s="2">
        <v>44300</v>
      </c>
      <c r="B87" s="3">
        <v>19.4498503127943</v>
      </c>
      <c r="C87" s="3">
        <v>29.7643019488875</v>
      </c>
      <c r="D87" s="3">
        <v>23.002736856005701</v>
      </c>
      <c r="E87" s="3">
        <v>21.870413769665301</v>
      </c>
      <c r="F87" s="3">
        <v>16.540343509348901</v>
      </c>
      <c r="G87" s="3">
        <v>59.279639339063301</v>
      </c>
      <c r="H87" s="3">
        <v>18.986272879327601</v>
      </c>
      <c r="I87" s="3">
        <v>18.072200435832698</v>
      </c>
      <c r="J87" s="3">
        <v>25.867691226742899</v>
      </c>
      <c r="K87" s="3">
        <v>19.496532749183</v>
      </c>
      <c r="L87" s="3">
        <v>18.842318412121099</v>
      </c>
      <c r="M87" s="3">
        <v>13.0937638238206</v>
      </c>
      <c r="N87" s="3">
        <v>17.282713561239301</v>
      </c>
      <c r="O87" s="3">
        <v>29.939772780492401</v>
      </c>
      <c r="P87" s="3">
        <v>19.238198473797599</v>
      </c>
      <c r="Q87" s="3">
        <v>16.6579828073769</v>
      </c>
      <c r="R87" s="3">
        <v>26.571690036768199</v>
      </c>
      <c r="S87" s="3">
        <v>11.3020080145902</v>
      </c>
      <c r="T87" s="3">
        <v>25.5644596079959</v>
      </c>
      <c r="U87" s="3">
        <v>23.600223363837799</v>
      </c>
      <c r="V87" s="3">
        <v>25.701192044830702</v>
      </c>
    </row>
    <row r="88" spans="1:22" x14ac:dyDescent="0.35">
      <c r="A88" s="2">
        <v>44330</v>
      </c>
      <c r="B88" s="3">
        <v>19.248620300735201</v>
      </c>
      <c r="C88" s="3">
        <v>27.400045219321701</v>
      </c>
      <c r="D88" s="3">
        <v>22.196373919638798</v>
      </c>
      <c r="E88" s="3">
        <v>21.1110766843444</v>
      </c>
      <c r="F88" s="3">
        <v>16.337522895002401</v>
      </c>
      <c r="G88" s="3">
        <v>53.966603573977601</v>
      </c>
      <c r="H88" s="3">
        <v>18.314044576680502</v>
      </c>
      <c r="I88" s="3">
        <v>16.963486173479598</v>
      </c>
      <c r="J88" s="3">
        <v>24.617277385092599</v>
      </c>
      <c r="K88" s="3">
        <v>17.9018916410927</v>
      </c>
      <c r="L88" s="3">
        <v>17.6836756712068</v>
      </c>
      <c r="M88" s="3">
        <v>12.6147279643108</v>
      </c>
      <c r="N88" s="3">
        <v>15.000041796726499</v>
      </c>
      <c r="O88" s="3">
        <v>29.2370149134711</v>
      </c>
      <c r="P88" s="3">
        <v>18.624746400044899</v>
      </c>
      <c r="Q88" s="3">
        <v>16.4788147732522</v>
      </c>
      <c r="R88" s="3">
        <v>25.533936757653201</v>
      </c>
      <c r="S88" s="3">
        <v>10.802646629372999</v>
      </c>
      <c r="T88" s="3">
        <v>24.239257111572901</v>
      </c>
      <c r="U88" s="3">
        <v>22.702096605934202</v>
      </c>
      <c r="V88" s="3">
        <v>25.090533373761101</v>
      </c>
    </row>
    <row r="89" spans="1:22" x14ac:dyDescent="0.35">
      <c r="A89" s="2">
        <v>44361</v>
      </c>
      <c r="B89" s="3">
        <v>19.324260171389501</v>
      </c>
      <c r="C89" s="3">
        <v>24.961440500683398</v>
      </c>
      <c r="D89" s="3">
        <v>21.659469329645098</v>
      </c>
      <c r="E89" s="3">
        <v>21.693829626142801</v>
      </c>
      <c r="F89" s="3">
        <v>15.9304208292198</v>
      </c>
      <c r="G89" s="3">
        <v>47.179431864763004</v>
      </c>
      <c r="H89" s="3">
        <v>17.753405132921198</v>
      </c>
      <c r="I89" s="3">
        <v>16.785002333541001</v>
      </c>
      <c r="J89" s="3">
        <v>23.6568853490983</v>
      </c>
      <c r="K89" s="3">
        <v>17.095210575777301</v>
      </c>
      <c r="L89" s="3">
        <v>16.742067130449801</v>
      </c>
      <c r="M89" s="3">
        <v>12.4067400385967</v>
      </c>
      <c r="N89" s="3">
        <v>17.588376159427</v>
      </c>
      <c r="O89" s="3">
        <v>29.3504189002294</v>
      </c>
      <c r="P89" s="3">
        <v>18.8109138559055</v>
      </c>
      <c r="Q89" s="3">
        <v>16.070366680642699</v>
      </c>
      <c r="R89" s="3">
        <v>24.621815918860101</v>
      </c>
      <c r="S89" s="3">
        <v>10.2516954877562</v>
      </c>
      <c r="T89" s="3">
        <v>23.774424961393599</v>
      </c>
      <c r="U89" s="3">
        <v>22.986912556913001</v>
      </c>
      <c r="V89" s="3">
        <v>24.6442538327533</v>
      </c>
    </row>
    <row r="90" spans="1:22" x14ac:dyDescent="0.35">
      <c r="A90" s="2">
        <v>44391</v>
      </c>
      <c r="B90" s="3">
        <v>18.800170586573199</v>
      </c>
      <c r="C90" s="3">
        <v>22.404396176191</v>
      </c>
      <c r="D90" s="3">
        <v>20.270465588963301</v>
      </c>
      <c r="E90" s="3">
        <v>20.9989862902294</v>
      </c>
      <c r="F90" s="3">
        <v>15.1230877246345</v>
      </c>
      <c r="G90" s="3">
        <v>41.133693478041401</v>
      </c>
      <c r="H90" s="3">
        <v>16.867907156726702</v>
      </c>
      <c r="I90" s="3">
        <v>16.337579281366001</v>
      </c>
      <c r="J90" s="3">
        <v>22.044834852190199</v>
      </c>
      <c r="K90" s="3">
        <v>16.106076187766501</v>
      </c>
      <c r="L90" s="3">
        <v>15.2309207164776</v>
      </c>
      <c r="M90" s="3">
        <v>11.878707891080101</v>
      </c>
      <c r="N90" s="3">
        <v>16.353959543336199</v>
      </c>
      <c r="O90" s="3">
        <v>28.7589489195407</v>
      </c>
      <c r="P90" s="3">
        <v>18.186909468302101</v>
      </c>
      <c r="Q90" s="3">
        <v>15.6183866555814</v>
      </c>
      <c r="R90" s="3">
        <v>23.301282352641401</v>
      </c>
      <c r="S90" s="3">
        <v>9.4881452819609304</v>
      </c>
      <c r="T90" s="3">
        <v>22.338298336826501</v>
      </c>
      <c r="U90" s="3">
        <v>21.6181388944911</v>
      </c>
      <c r="V90" s="3">
        <v>23.711306862510099</v>
      </c>
    </row>
    <row r="91" spans="1:22" x14ac:dyDescent="0.35">
      <c r="A91" s="2">
        <v>44421</v>
      </c>
      <c r="B91" s="3">
        <v>18.284759104865401</v>
      </c>
      <c r="C91" s="3">
        <v>20.2490281371979</v>
      </c>
      <c r="D91" s="3">
        <v>19.9738571614036</v>
      </c>
      <c r="E91" s="3">
        <v>19.773282978783101</v>
      </c>
      <c r="F91" s="3">
        <v>14.538471983019299</v>
      </c>
      <c r="G91" s="3">
        <v>34.980656386955999</v>
      </c>
      <c r="H91" s="3">
        <v>16.2239921412733</v>
      </c>
      <c r="I91" s="3">
        <v>15.183088854511499</v>
      </c>
      <c r="J91" s="3">
        <v>20.820105011934899</v>
      </c>
      <c r="K91" s="3">
        <v>14.7057345260815</v>
      </c>
      <c r="L91" s="3">
        <v>13.552491652728801</v>
      </c>
      <c r="M91" s="3">
        <v>11.5799094213508</v>
      </c>
      <c r="N91" s="3">
        <v>15.802067843872001</v>
      </c>
      <c r="O91" s="3">
        <v>28.868972535980401</v>
      </c>
      <c r="P91" s="3">
        <v>17.125518682588901</v>
      </c>
      <c r="Q91" s="3">
        <v>15.5164012734328</v>
      </c>
      <c r="R91" s="3">
        <v>22.0966196965819</v>
      </c>
      <c r="S91" s="3">
        <v>8.9086246096533408</v>
      </c>
      <c r="T91" s="3">
        <v>21.286064703858202</v>
      </c>
      <c r="U91" s="3">
        <v>21.2253433819868</v>
      </c>
      <c r="V91" s="3">
        <v>23.3969078989123</v>
      </c>
    </row>
    <row r="92" spans="1:22" x14ac:dyDescent="0.35">
      <c r="A92" s="2">
        <v>44453</v>
      </c>
      <c r="B92" s="3">
        <v>18.1680965509427</v>
      </c>
      <c r="C92" s="3">
        <v>17.891171292900101</v>
      </c>
      <c r="D92" s="3">
        <v>19.499637648512799</v>
      </c>
      <c r="E92" s="3">
        <v>20.518204720540801</v>
      </c>
      <c r="F92" s="3">
        <v>13.9853784723238</v>
      </c>
      <c r="G92" s="3">
        <v>30.003119461266898</v>
      </c>
      <c r="H92" s="3">
        <v>15.7983021940973</v>
      </c>
      <c r="I92" s="3">
        <v>14.790831213715901</v>
      </c>
      <c r="J92" s="3">
        <v>19.4655210928995</v>
      </c>
      <c r="K92" s="3">
        <v>13.691483734002</v>
      </c>
      <c r="L92" s="3">
        <v>11.860814503683599</v>
      </c>
      <c r="M92" s="3">
        <v>10.8799946767158</v>
      </c>
      <c r="N92" s="3">
        <v>14.5442946886226</v>
      </c>
      <c r="O92" s="3">
        <v>29.4550519485067</v>
      </c>
      <c r="P92" s="3">
        <v>16.580062029381601</v>
      </c>
      <c r="Q92" s="3">
        <v>15.299136582004699</v>
      </c>
      <c r="R92" s="3">
        <v>21.936428303367599</v>
      </c>
      <c r="S92" s="3">
        <v>8.1630498714521806</v>
      </c>
      <c r="T92" s="3">
        <v>20.058334091911998</v>
      </c>
      <c r="U92" s="3">
        <v>20.372018505881702</v>
      </c>
      <c r="V92" s="3">
        <v>22.741497613957399</v>
      </c>
    </row>
    <row r="93" spans="1:22" x14ac:dyDescent="0.35">
      <c r="A93" s="2">
        <v>44483</v>
      </c>
      <c r="B93" s="3">
        <v>17.895787786210299</v>
      </c>
      <c r="C93" s="3">
        <v>15.1174165701711</v>
      </c>
      <c r="D93" s="3">
        <v>19.760284001014899</v>
      </c>
      <c r="E93" s="3">
        <v>21.055399633678601</v>
      </c>
      <c r="F93" s="3">
        <v>14.137858457229401</v>
      </c>
      <c r="G93" s="3">
        <v>25.1814272216088</v>
      </c>
      <c r="H93" s="3">
        <v>15.671729904801801</v>
      </c>
      <c r="I93" s="3">
        <v>13.532049171560899</v>
      </c>
      <c r="J93" s="3">
        <v>17.768829007775299</v>
      </c>
      <c r="K93" s="3">
        <v>12.2698759783567</v>
      </c>
      <c r="L93" s="3">
        <v>10.4174889273916</v>
      </c>
      <c r="M93" s="3">
        <v>10.8858266436775</v>
      </c>
      <c r="N93" s="3">
        <v>14.0393645865878</v>
      </c>
      <c r="O93" s="3">
        <v>29.807282355961199</v>
      </c>
      <c r="P93" s="3">
        <v>16.0914888126124</v>
      </c>
      <c r="Q93" s="3">
        <v>15.621216566239401</v>
      </c>
      <c r="R93" s="3">
        <v>21.135183567636901</v>
      </c>
      <c r="S93" s="3">
        <v>7.4737783724361098</v>
      </c>
      <c r="T93" s="3">
        <v>19.1872813384728</v>
      </c>
      <c r="U93" s="3">
        <v>20.156024388891002</v>
      </c>
      <c r="V93" s="3">
        <v>22.250090641453301</v>
      </c>
    </row>
    <row r="94" spans="1:22" x14ac:dyDescent="0.35">
      <c r="A94" s="2">
        <v>44512</v>
      </c>
      <c r="B94" s="3">
        <v>17.907698673563299</v>
      </c>
      <c r="C94" s="3">
        <v>13.3434301776342</v>
      </c>
      <c r="D94" s="3">
        <v>18.329398673145501</v>
      </c>
      <c r="E94" s="3">
        <v>20.9817709073284</v>
      </c>
      <c r="F94" s="3">
        <v>13.0507082910805</v>
      </c>
      <c r="G94" s="3">
        <v>20.0612961002556</v>
      </c>
      <c r="H94" s="3">
        <v>14.7795180810395</v>
      </c>
      <c r="I94" s="3">
        <v>13.5718203059731</v>
      </c>
      <c r="J94" s="3">
        <v>16.634866647407399</v>
      </c>
      <c r="K94" s="3">
        <v>11.1371379092102</v>
      </c>
      <c r="L94" s="3">
        <v>8.7449721815410495</v>
      </c>
      <c r="M94" s="3">
        <v>10.6530237477187</v>
      </c>
      <c r="N94" s="3">
        <v>16.181059928319499</v>
      </c>
      <c r="O94" s="3">
        <v>29.4342499809296</v>
      </c>
      <c r="P94" s="3">
        <v>15.8271680387898</v>
      </c>
      <c r="Q94" s="3">
        <v>15.7073135001793</v>
      </c>
      <c r="R94" s="3">
        <v>20.394871609292998</v>
      </c>
      <c r="S94" s="3">
        <v>7.4339692320925703</v>
      </c>
      <c r="T94" s="3">
        <v>18.9131093890607</v>
      </c>
      <c r="U94" s="3">
        <v>20.058694534351702</v>
      </c>
      <c r="V94" s="3">
        <v>21.6585999692219</v>
      </c>
    </row>
    <row r="95" spans="1:22" x14ac:dyDescent="0.35">
      <c r="A95" s="2">
        <v>44544</v>
      </c>
      <c r="B95" s="3">
        <v>18.6581810586659</v>
      </c>
      <c r="C95" s="3">
        <v>10.1481833664644</v>
      </c>
      <c r="D95" s="3">
        <v>17.139044895054401</v>
      </c>
      <c r="E95" s="3">
        <v>20.025859679747501</v>
      </c>
      <c r="F95" s="3">
        <v>10.772860189695299</v>
      </c>
      <c r="G95" s="3">
        <v>13.8074965392578</v>
      </c>
      <c r="H95" s="3">
        <v>14.945233366797501</v>
      </c>
      <c r="I95" s="3">
        <v>12.855640634620899</v>
      </c>
      <c r="J95" s="3">
        <v>15.3881572252391</v>
      </c>
      <c r="K95" s="3">
        <v>10.1422799033353</v>
      </c>
      <c r="L95" s="3">
        <v>7.3440452737150101</v>
      </c>
      <c r="M95" s="3">
        <v>10.314867158357201</v>
      </c>
      <c r="N95" s="3">
        <v>12.7778160195022</v>
      </c>
      <c r="O95" s="3">
        <v>28.637238340870802</v>
      </c>
      <c r="P95" s="3">
        <v>14.586055872284</v>
      </c>
      <c r="Q95" s="3">
        <v>14.9641410905288</v>
      </c>
      <c r="R95" s="3">
        <v>19.027668877113101</v>
      </c>
      <c r="S95" s="3">
        <v>8.4359692387218104</v>
      </c>
      <c r="T95" s="3">
        <v>18.094583568738202</v>
      </c>
      <c r="U95" s="3">
        <v>19.396223091698602</v>
      </c>
      <c r="V95" s="3">
        <v>19.339243539392601</v>
      </c>
    </row>
    <row r="96" spans="1:22" x14ac:dyDescent="0.35">
      <c r="A96" s="2">
        <v>44575</v>
      </c>
      <c r="B96" s="3">
        <v>17.242668418065101</v>
      </c>
      <c r="C96" s="3">
        <v>9.4357030743620491</v>
      </c>
      <c r="D96" s="3">
        <v>17.088690081221799</v>
      </c>
      <c r="E96" s="3">
        <v>19.6732089474839</v>
      </c>
      <c r="F96" s="3">
        <v>11.0745459609684</v>
      </c>
      <c r="G96" s="3">
        <v>12.5971457071836</v>
      </c>
      <c r="H96" s="3">
        <v>15.4267766079835</v>
      </c>
      <c r="I96" s="3">
        <v>13.0897534660554</v>
      </c>
      <c r="J96" s="3">
        <v>15.418928407360401</v>
      </c>
      <c r="K96" s="3">
        <v>9.4676876812473996</v>
      </c>
      <c r="L96" s="3">
        <v>6.7098942658284697</v>
      </c>
      <c r="M96" s="3">
        <v>10.7724890167641</v>
      </c>
      <c r="N96" s="3">
        <v>13.6498500862174</v>
      </c>
      <c r="O96" s="3">
        <v>29.623125351359398</v>
      </c>
      <c r="P96" s="3">
        <v>14.277941347493</v>
      </c>
      <c r="Q96" s="3">
        <v>15.375773401657501</v>
      </c>
      <c r="R96" s="3">
        <v>19.2134099616027</v>
      </c>
      <c r="S96" s="3">
        <v>7.46334862838411</v>
      </c>
      <c r="T96" s="3">
        <v>16.5488785659226</v>
      </c>
      <c r="U96" s="3">
        <v>17.815042441381799</v>
      </c>
      <c r="V96" s="3">
        <v>20.9361938984506</v>
      </c>
    </row>
    <row r="97" spans="1:22" x14ac:dyDescent="0.35">
      <c r="A97" s="2">
        <v>44606</v>
      </c>
      <c r="B97" s="3">
        <v>16.402708100368201</v>
      </c>
      <c r="C97" s="3">
        <v>9.6977140593660494</v>
      </c>
      <c r="D97" s="3">
        <v>17.079347435878699</v>
      </c>
      <c r="E97" s="3">
        <v>19.583029687911399</v>
      </c>
      <c r="F97" s="3">
        <v>10.6500858175744</v>
      </c>
      <c r="G97" s="3">
        <v>11.699719871748901</v>
      </c>
      <c r="H97" s="3">
        <v>15.698269429865499</v>
      </c>
      <c r="I97" s="3">
        <v>12.6551989497686</v>
      </c>
      <c r="J97" s="3">
        <v>14.945543404002599</v>
      </c>
      <c r="K97" s="3">
        <v>9.2002851325116399</v>
      </c>
      <c r="L97" s="3">
        <v>7.20140802212451</v>
      </c>
      <c r="M97" s="3">
        <v>11.0467707942255</v>
      </c>
      <c r="N97" s="3">
        <v>-230.04963055799399</v>
      </c>
      <c r="O97" s="3">
        <v>26.662732335436001</v>
      </c>
      <c r="P97" s="3">
        <v>13.9114439597793</v>
      </c>
      <c r="Q97" s="3">
        <v>16.2839216906819</v>
      </c>
      <c r="R97" s="3">
        <v>19.099765014079601</v>
      </c>
      <c r="S97" s="3">
        <v>6.38940846968522</v>
      </c>
      <c r="T97" s="3">
        <v>16.879539902467702</v>
      </c>
      <c r="U97" s="3">
        <v>16.658647991201299</v>
      </c>
      <c r="V97" s="3">
        <v>20.679645876417201</v>
      </c>
    </row>
    <row r="98" spans="1:22" x14ac:dyDescent="0.35">
      <c r="A98" s="2">
        <v>44634</v>
      </c>
      <c r="B98" s="3">
        <v>16.303488653471302</v>
      </c>
      <c r="C98" s="3">
        <v>9.7708591917234902</v>
      </c>
      <c r="D98" s="3">
        <v>17.323476831757102</v>
      </c>
      <c r="E98" s="3">
        <v>18.957104081668199</v>
      </c>
      <c r="F98" s="3">
        <v>9.7488855807946493</v>
      </c>
      <c r="G98" s="3">
        <v>13.4855727929345</v>
      </c>
      <c r="H98" s="3">
        <v>15.8673800806556</v>
      </c>
      <c r="I98" s="3">
        <v>12.304706423743699</v>
      </c>
      <c r="J98" s="3">
        <v>14.970793801183399</v>
      </c>
      <c r="K98" s="3">
        <v>9.2676383988195408</v>
      </c>
      <c r="L98" s="3">
        <v>6.9688313895630598</v>
      </c>
      <c r="M98" s="3">
        <v>11.0799464989298</v>
      </c>
      <c r="N98" s="3">
        <v>-91.835031296086697</v>
      </c>
      <c r="O98" s="3">
        <v>26.2414689134098</v>
      </c>
      <c r="P98" s="3">
        <v>12.552906302384001</v>
      </c>
      <c r="Q98" s="3">
        <v>16.267334178534501</v>
      </c>
      <c r="R98" s="3">
        <v>18.7682577404276</v>
      </c>
      <c r="S98" s="3">
        <v>5.9775065296972096</v>
      </c>
      <c r="T98" s="3">
        <v>17.292098045390599</v>
      </c>
      <c r="U98" s="3">
        <v>16.2371130965773</v>
      </c>
      <c r="V98" s="3">
        <v>21.313118301264701</v>
      </c>
    </row>
    <row r="99" spans="1:22" x14ac:dyDescent="0.35">
      <c r="A99" s="2">
        <v>44665</v>
      </c>
      <c r="B99" s="3">
        <v>16.006235043559901</v>
      </c>
      <c r="C99" s="3">
        <v>9.7606128238652605</v>
      </c>
      <c r="D99" s="3">
        <v>16.9972750929388</v>
      </c>
      <c r="E99" s="3">
        <v>18.602693851943499</v>
      </c>
      <c r="F99" s="3">
        <v>9.5255754746146799</v>
      </c>
      <c r="G99" s="3">
        <v>12.895175470513999</v>
      </c>
      <c r="H99" s="3">
        <v>15.8697510194246</v>
      </c>
      <c r="I99" s="3">
        <v>12.2032928141357</v>
      </c>
      <c r="J99" s="3">
        <v>14.989207340418499</v>
      </c>
      <c r="K99" s="3">
        <v>9.3150946745523893</v>
      </c>
      <c r="L99" s="3">
        <v>6.9749695547463899</v>
      </c>
      <c r="M99" s="3">
        <v>10.8882809382589</v>
      </c>
      <c r="N99" s="3">
        <v>-80.658672954251202</v>
      </c>
      <c r="O99" s="3">
        <v>26.0937508200611</v>
      </c>
      <c r="P99" s="3">
        <v>12.6722827131261</v>
      </c>
      <c r="Q99" s="3">
        <v>16.110109825241601</v>
      </c>
      <c r="R99" s="3">
        <v>18.6039092769898</v>
      </c>
      <c r="S99" s="3">
        <v>6.0537954541014898</v>
      </c>
      <c r="T99" s="3">
        <v>17.4083407139677</v>
      </c>
      <c r="U99" s="3">
        <v>16.149475455844598</v>
      </c>
      <c r="V99" s="3">
        <v>21.342882295854899</v>
      </c>
    </row>
    <row r="100" spans="1:22" x14ac:dyDescent="0.35">
      <c r="A100" s="2">
        <v>44694</v>
      </c>
      <c r="B100" s="3">
        <v>15.701933466018501</v>
      </c>
      <c r="C100" s="3">
        <v>9.4354550048351307</v>
      </c>
      <c r="D100" s="3">
        <v>16.259708466088998</v>
      </c>
      <c r="E100" s="3">
        <v>17.676782665591901</v>
      </c>
      <c r="F100" s="3">
        <v>8.7619012334404296</v>
      </c>
      <c r="G100" s="3">
        <v>11.802610724878701</v>
      </c>
      <c r="H100" s="3">
        <v>15.630307621261901</v>
      </c>
      <c r="I100" s="3">
        <v>11.8553272249712</v>
      </c>
      <c r="J100" s="3">
        <v>14.401302614800199</v>
      </c>
      <c r="K100" s="3">
        <v>9.2064305688573196</v>
      </c>
      <c r="L100" s="3">
        <v>6.6498954905629502</v>
      </c>
      <c r="M100" s="3">
        <v>10.5625473192414</v>
      </c>
      <c r="N100" s="3">
        <v>-70.920816456483607</v>
      </c>
      <c r="O100" s="3">
        <v>24.938237575257101</v>
      </c>
      <c r="P100" s="3">
        <v>12.4402093699969</v>
      </c>
      <c r="Q100" s="3">
        <v>15.6444914147818</v>
      </c>
      <c r="R100" s="3">
        <v>18.102436036092602</v>
      </c>
      <c r="S100" s="3">
        <v>5.64811285923484</v>
      </c>
      <c r="T100" s="3">
        <v>16.7261414929179</v>
      </c>
      <c r="U100" s="3">
        <v>15.1954331664547</v>
      </c>
      <c r="V100" s="3">
        <v>20.514721715656801</v>
      </c>
    </row>
    <row r="101" spans="1:22" x14ac:dyDescent="0.35">
      <c r="A101" s="2">
        <v>44726</v>
      </c>
      <c r="B101" s="3">
        <v>15.7240239924785</v>
      </c>
      <c r="C101" s="3">
        <v>8.2819625538728499</v>
      </c>
      <c r="D101" s="3">
        <v>15.7064468789301</v>
      </c>
      <c r="E101" s="3">
        <v>17.3652238114977</v>
      </c>
      <c r="F101" s="3">
        <v>8.2739612442811694</v>
      </c>
      <c r="G101" s="3">
        <v>11.250200159558601</v>
      </c>
      <c r="H101" s="3">
        <v>15.31693700492</v>
      </c>
      <c r="I101" s="3">
        <v>11.8062260257801</v>
      </c>
      <c r="J101" s="3">
        <v>13.924983558235899</v>
      </c>
      <c r="K101" s="3">
        <v>9.0135988396514506</v>
      </c>
      <c r="L101" s="3">
        <v>6.4027594664843299</v>
      </c>
      <c r="M101" s="3">
        <v>10.1183578773754</v>
      </c>
      <c r="N101" s="3">
        <v>-60.028804539536502</v>
      </c>
      <c r="O101" s="3">
        <v>24.5189258919902</v>
      </c>
      <c r="P101" s="3">
        <v>12.859758659238301</v>
      </c>
      <c r="Q101" s="3">
        <v>14.9578588441034</v>
      </c>
      <c r="R101" s="3">
        <v>17.804291311620702</v>
      </c>
      <c r="S101" s="3">
        <v>5.7297418286064401</v>
      </c>
      <c r="T101" s="3">
        <v>16.183020858320599</v>
      </c>
      <c r="U101" s="3">
        <v>15.085820827006</v>
      </c>
      <c r="V101" s="3">
        <v>19.6245565336732</v>
      </c>
    </row>
    <row r="102" spans="1:22" x14ac:dyDescent="0.35">
      <c r="A102" s="2">
        <v>44756</v>
      </c>
      <c r="B102" s="3">
        <v>15.6798198189852</v>
      </c>
      <c r="C102" s="3">
        <v>7.6769462371955504</v>
      </c>
      <c r="D102" s="3">
        <v>14.897463597158399</v>
      </c>
      <c r="E102" s="3">
        <v>16.583083493414801</v>
      </c>
      <c r="F102" s="3">
        <v>7.4413679956397303</v>
      </c>
      <c r="G102" s="3">
        <v>10.1715741034657</v>
      </c>
      <c r="H102" s="3">
        <v>14.921408867165599</v>
      </c>
      <c r="I102" s="3">
        <v>11.008709786649201</v>
      </c>
      <c r="J102" s="3">
        <v>13.509069321778099</v>
      </c>
      <c r="K102" s="3">
        <v>8.8579345950833108</v>
      </c>
      <c r="L102" s="3">
        <v>6.1304379540316098</v>
      </c>
      <c r="M102" s="3">
        <v>10.0214031291853</v>
      </c>
      <c r="N102" s="3">
        <v>-50.121025693937099</v>
      </c>
      <c r="O102" s="3">
        <v>24.321830722748398</v>
      </c>
      <c r="P102" s="3">
        <v>12.7955259798605</v>
      </c>
      <c r="Q102" s="3">
        <v>14.479236995041701</v>
      </c>
      <c r="R102" s="3">
        <v>17.288697847255701</v>
      </c>
      <c r="S102" s="3">
        <v>5.3292219612309504</v>
      </c>
      <c r="T102" s="3">
        <v>15.3988103389046</v>
      </c>
      <c r="U102" s="3">
        <v>13.990319567885599</v>
      </c>
      <c r="V102" s="3">
        <v>18.7829930086247</v>
      </c>
    </row>
    <row r="103" spans="1:22" x14ac:dyDescent="0.35">
      <c r="A103" s="2">
        <v>44785</v>
      </c>
      <c r="B103" s="3">
        <v>15.3366469672356</v>
      </c>
      <c r="C103" s="3">
        <v>7.6322880906443098</v>
      </c>
      <c r="D103" s="3">
        <v>14.996691508867301</v>
      </c>
      <c r="E103" s="3">
        <v>16.560900661327199</v>
      </c>
      <c r="F103" s="3">
        <v>7.1842089786558203</v>
      </c>
      <c r="G103" s="3">
        <v>10.1950166047164</v>
      </c>
      <c r="H103" s="3">
        <v>15.329271624358899</v>
      </c>
      <c r="I103" s="3">
        <v>11.324247912326401</v>
      </c>
      <c r="J103" s="3">
        <v>13.7041066529369</v>
      </c>
      <c r="K103" s="3">
        <v>9.1285298024654704</v>
      </c>
      <c r="L103" s="3">
        <v>6.2689166705321799</v>
      </c>
      <c r="M103" s="3">
        <v>10.461435036391</v>
      </c>
      <c r="N103" s="3">
        <v>-39.816640072256597</v>
      </c>
      <c r="O103" s="3">
        <v>25.833197153460599</v>
      </c>
      <c r="P103" s="3">
        <v>12.4287216194823</v>
      </c>
      <c r="Q103" s="3">
        <v>15.5258318253344</v>
      </c>
      <c r="R103" s="3">
        <v>17.307473054773599</v>
      </c>
      <c r="S103" s="3">
        <v>5.2639002217800002</v>
      </c>
      <c r="T103" s="3">
        <v>15.7429201278504</v>
      </c>
      <c r="U103" s="3">
        <v>14.0561959508267</v>
      </c>
      <c r="V103" s="3">
        <v>19.147345259240801</v>
      </c>
    </row>
    <row r="104" spans="1:22" x14ac:dyDescent="0.35">
      <c r="A104" s="2">
        <v>44818</v>
      </c>
      <c r="B104" s="3">
        <v>14.9827527375753</v>
      </c>
      <c r="C104" s="3">
        <v>7.9780843560060903</v>
      </c>
      <c r="D104" s="3">
        <v>14.7327892423822</v>
      </c>
      <c r="E104" s="3">
        <v>15.7128748036631</v>
      </c>
      <c r="F104" s="3">
        <v>6.6996849592316998</v>
      </c>
      <c r="G104" s="3">
        <v>9.4889770892006293</v>
      </c>
      <c r="H104" s="3">
        <v>15.016943684808799</v>
      </c>
      <c r="I104" s="3">
        <v>10.966474620464099</v>
      </c>
      <c r="J104" s="3">
        <v>12.999990774637499</v>
      </c>
      <c r="K104" s="3">
        <v>8.8113324333077507</v>
      </c>
      <c r="L104" s="3">
        <v>6.1278127380980303</v>
      </c>
      <c r="M104" s="3">
        <v>9.85955139779729</v>
      </c>
      <c r="N104" s="3">
        <v>-29.9897509040782</v>
      </c>
      <c r="O104" s="3">
        <v>26.022173483175202</v>
      </c>
      <c r="P104" s="3">
        <v>12.244997928965001</v>
      </c>
      <c r="Q104" s="3">
        <v>14.6968275673013</v>
      </c>
      <c r="R104" s="3">
        <v>17.047089549320098</v>
      </c>
      <c r="S104" s="3">
        <v>5.2588084780861699</v>
      </c>
      <c r="T104" s="3">
        <v>15.091201587276499</v>
      </c>
      <c r="U104" s="3">
        <v>13.549082144987199</v>
      </c>
      <c r="V104" s="3">
        <v>18.242970274852699</v>
      </c>
    </row>
    <row r="105" spans="1:22" x14ac:dyDescent="0.35">
      <c r="A105" s="2">
        <v>44848</v>
      </c>
      <c r="B105" s="3">
        <v>14.164359673947001</v>
      </c>
      <c r="C105" s="3">
        <v>7.0316006279729999</v>
      </c>
      <c r="D105" s="3">
        <v>13.6174643067973</v>
      </c>
      <c r="E105" s="3">
        <v>14.090656755617401</v>
      </c>
      <c r="F105" s="3">
        <v>6.4953929772262002</v>
      </c>
      <c r="G105" s="3">
        <v>9.1786016661414198</v>
      </c>
      <c r="H105" s="3">
        <v>14.293710201382</v>
      </c>
      <c r="I105" s="3">
        <v>10.0691627138416</v>
      </c>
      <c r="J105" s="3">
        <v>12.6728266681497</v>
      </c>
      <c r="K105" s="3">
        <v>8.5798974195821902</v>
      </c>
      <c r="L105" s="3">
        <v>6.1241096598636098</v>
      </c>
      <c r="M105" s="3">
        <v>9.3871020000800396</v>
      </c>
      <c r="N105" s="3">
        <v>-19.742052846559901</v>
      </c>
      <c r="O105" s="3">
        <v>24.9351976754863</v>
      </c>
      <c r="P105" s="3">
        <v>10.990864762397701</v>
      </c>
      <c r="Q105" s="3">
        <v>14.178234544566999</v>
      </c>
      <c r="R105" s="3">
        <v>16.102728762209502</v>
      </c>
      <c r="S105" s="3">
        <v>5.0856388351169697</v>
      </c>
      <c r="T105" s="3">
        <v>14.2039675998015</v>
      </c>
      <c r="U105" s="3">
        <v>12.646148317983201</v>
      </c>
      <c r="V105" s="3">
        <v>17.163565510987102</v>
      </c>
    </row>
    <row r="106" spans="1:22" x14ac:dyDescent="0.35">
      <c r="A106" s="2">
        <v>44879</v>
      </c>
      <c r="B106" s="3">
        <v>14.119426815735901</v>
      </c>
      <c r="C106" s="3">
        <v>6.1416079567278103</v>
      </c>
      <c r="D106" s="3">
        <v>13.4707476433955</v>
      </c>
      <c r="E106" s="3">
        <v>13.9897845943207</v>
      </c>
      <c r="F106" s="3">
        <v>6.6525113024346103</v>
      </c>
      <c r="G106" s="3">
        <v>10.249398441243899</v>
      </c>
      <c r="H106" s="3">
        <v>14.8251562194027</v>
      </c>
      <c r="I106" s="3">
        <v>10.7337885104</v>
      </c>
      <c r="J106" s="3">
        <v>13.770508875148099</v>
      </c>
      <c r="K106" s="3">
        <v>9.9978361339747099</v>
      </c>
      <c r="L106" s="3">
        <v>6.1317491676689402</v>
      </c>
      <c r="M106" s="3">
        <v>10.248125955800001</v>
      </c>
      <c r="N106" s="3">
        <v>-9.7162203040362307</v>
      </c>
      <c r="O106" s="3">
        <v>26.349975975242899</v>
      </c>
      <c r="P106" s="3">
        <v>11.2990780262787</v>
      </c>
      <c r="Q106" s="3">
        <v>14.118645237973199</v>
      </c>
      <c r="R106" s="3">
        <v>16.699346986631799</v>
      </c>
      <c r="S106" s="3">
        <v>5.3256658143609297</v>
      </c>
      <c r="T106" s="3">
        <v>14.322896604184301</v>
      </c>
      <c r="U106" s="3">
        <v>11.2456584317672</v>
      </c>
      <c r="V106" s="3">
        <v>16.782337310285499</v>
      </c>
    </row>
    <row r="107" spans="1:22" x14ac:dyDescent="0.35">
      <c r="A107" s="2">
        <v>44909</v>
      </c>
      <c r="B107" s="3">
        <v>14.4665503416545</v>
      </c>
      <c r="C107" s="3">
        <v>5.6126487624685399</v>
      </c>
      <c r="D107" s="3">
        <v>12.767038140327401</v>
      </c>
      <c r="E107" s="3">
        <v>14.079859939229101</v>
      </c>
      <c r="F107" s="3">
        <v>6.0565330144874698</v>
      </c>
      <c r="G107" s="3">
        <v>9.4571825355877301</v>
      </c>
      <c r="H107" s="3">
        <v>14.9441301319146</v>
      </c>
      <c r="I107" s="3">
        <v>11.2025211872848</v>
      </c>
      <c r="J107" s="3">
        <v>13.136955478354601</v>
      </c>
      <c r="K107" s="3">
        <v>9.8883378656753997</v>
      </c>
      <c r="L107" s="3">
        <v>5.4394858552044196</v>
      </c>
      <c r="M107" s="3">
        <v>10.2616633996701</v>
      </c>
      <c r="N107" s="3">
        <v>0.47282655287339798</v>
      </c>
      <c r="O107" s="3">
        <v>26.9577018320288</v>
      </c>
      <c r="P107" s="3">
        <v>12.433063193256499</v>
      </c>
      <c r="Q107" s="3">
        <v>12.4671276270316</v>
      </c>
      <c r="R107" s="3">
        <v>16.637528659062902</v>
      </c>
      <c r="S107" s="3">
        <v>5.1774529924980399</v>
      </c>
      <c r="T107" s="3">
        <v>12.8837553459121</v>
      </c>
      <c r="U107" s="3">
        <v>12.899286191568001</v>
      </c>
      <c r="V107" s="3">
        <v>15.3828467254085</v>
      </c>
    </row>
    <row r="108" spans="1:22" x14ac:dyDescent="0.35">
      <c r="A108" s="2">
        <v>44939</v>
      </c>
      <c r="B108" s="3">
        <v>14.733231369808999</v>
      </c>
      <c r="C108" s="3">
        <v>5.4995570907179996</v>
      </c>
      <c r="D108" s="3">
        <v>11.9170618780949</v>
      </c>
      <c r="E108" s="3">
        <v>14.567966168445199</v>
      </c>
      <c r="F108" s="3">
        <v>6.2799611142916296</v>
      </c>
      <c r="G108" s="3">
        <v>10.6923843406093</v>
      </c>
      <c r="H108" s="3">
        <v>14.997246317274801</v>
      </c>
      <c r="I108" s="3">
        <v>11.411790361440699</v>
      </c>
      <c r="J108" s="3">
        <v>13.995012096510299</v>
      </c>
      <c r="K108" s="3">
        <v>10.213399072498101</v>
      </c>
      <c r="L108" s="3">
        <v>5.7596745128629099</v>
      </c>
      <c r="M108" s="3">
        <v>11.0568462922138</v>
      </c>
      <c r="N108" s="3">
        <v>6.2239228576171604</v>
      </c>
      <c r="O108" s="3">
        <v>25.730098911250298</v>
      </c>
      <c r="P108" s="3">
        <v>13.625183754586001</v>
      </c>
      <c r="Q108" s="3">
        <v>12.3739883823171</v>
      </c>
      <c r="R108" s="3">
        <v>17.0864740763821</v>
      </c>
      <c r="S108" s="3">
        <v>5.0551028654330903</v>
      </c>
      <c r="T108" s="3">
        <v>12.4726516567784</v>
      </c>
      <c r="U108" s="3">
        <v>12.0362754713657</v>
      </c>
      <c r="V108" s="3">
        <v>16.016238520773602</v>
      </c>
    </row>
    <row r="109" spans="1:22" x14ac:dyDescent="0.35">
      <c r="A109" s="2">
        <v>44971</v>
      </c>
      <c r="B109" s="3">
        <v>14.939940721083699</v>
      </c>
      <c r="C109" s="3">
        <v>6.0037713365024796</v>
      </c>
      <c r="D109" s="3">
        <v>12.5072415003514</v>
      </c>
      <c r="E109" s="3">
        <v>13.942779534706199</v>
      </c>
      <c r="F109" s="3">
        <v>5.4365450106417104</v>
      </c>
      <c r="G109" s="3">
        <v>9.7601127384779804</v>
      </c>
      <c r="H109" s="3">
        <v>14.7501277157088</v>
      </c>
      <c r="I109" s="3">
        <v>12.3637316356458</v>
      </c>
      <c r="J109" s="3">
        <v>14.144054409624401</v>
      </c>
      <c r="K109" s="3">
        <v>10.9064463862086</v>
      </c>
      <c r="L109" s="3">
        <v>5.8322797484656599</v>
      </c>
      <c r="M109" s="3">
        <v>10.6230328797658</v>
      </c>
      <c r="N109" s="3">
        <v>7.7981561726661299</v>
      </c>
      <c r="O109" s="3">
        <v>25.1256476386808</v>
      </c>
      <c r="P109" s="3">
        <v>13.181527067651601</v>
      </c>
      <c r="Q109" s="3">
        <v>11.7297307454171</v>
      </c>
      <c r="R109" s="3">
        <v>17.3130258744362</v>
      </c>
      <c r="S109" s="3">
        <v>4.3723914539615398</v>
      </c>
      <c r="T109" s="3">
        <v>12.7092217104149</v>
      </c>
      <c r="U109" s="3">
        <v>12.2713710694492</v>
      </c>
      <c r="V109" s="3">
        <v>15.437500336781699</v>
      </c>
    </row>
    <row r="110" spans="1:22" x14ac:dyDescent="0.35">
      <c r="A110" s="2">
        <v>44999</v>
      </c>
      <c r="B110" s="3">
        <v>14.4652392520543</v>
      </c>
      <c r="C110" s="3">
        <v>5.9033760869447196</v>
      </c>
      <c r="D110" s="3">
        <v>11.9588626309523</v>
      </c>
      <c r="E110" s="3">
        <v>13.117092617267099</v>
      </c>
      <c r="F110" s="3">
        <v>5.9660925351154104</v>
      </c>
      <c r="G110" s="3">
        <v>9.4234619587866906</v>
      </c>
      <c r="H110" s="3">
        <v>14.7060657604128</v>
      </c>
      <c r="I110" s="3">
        <v>12.566062991560401</v>
      </c>
      <c r="J110" s="3">
        <v>14.5134013661352</v>
      </c>
      <c r="K110" s="3">
        <v>11.0950020634934</v>
      </c>
      <c r="L110" s="3">
        <v>5.5464748930425101</v>
      </c>
      <c r="M110" s="3">
        <v>10.200630682844601</v>
      </c>
      <c r="N110" s="3">
        <v>7.7491282502486198</v>
      </c>
      <c r="O110" s="3">
        <v>23.935783533237601</v>
      </c>
      <c r="P110" s="3">
        <v>12.2464123327898</v>
      </c>
      <c r="Q110" s="3">
        <v>11.714970181005899</v>
      </c>
      <c r="R110" s="3">
        <v>17.2178743071448</v>
      </c>
      <c r="S110" s="3">
        <v>5.0024745842429699</v>
      </c>
      <c r="T110" s="3">
        <v>12.1224368750278</v>
      </c>
      <c r="U110" s="3">
        <v>12.3885130198788</v>
      </c>
      <c r="V110" s="3">
        <v>15.180282406014101</v>
      </c>
    </row>
    <row r="111" spans="1:22" x14ac:dyDescent="0.35">
      <c r="A111" s="2">
        <v>45030</v>
      </c>
      <c r="B111" s="3">
        <v>14.406546949183801</v>
      </c>
      <c r="C111" s="3">
        <v>6.0168993526236401</v>
      </c>
      <c r="D111" s="3">
        <v>12.153506721334701</v>
      </c>
      <c r="E111" s="3">
        <v>12.988517774847701</v>
      </c>
      <c r="F111" s="3">
        <v>6.01815728922106</v>
      </c>
      <c r="G111" s="3">
        <v>9.6349517301420793</v>
      </c>
      <c r="H111" s="3">
        <v>14.677649358269401</v>
      </c>
      <c r="I111" s="3">
        <v>13.1170490206538</v>
      </c>
      <c r="J111" s="3">
        <v>14.4059830227371</v>
      </c>
      <c r="K111" s="3">
        <v>12.038184219032599</v>
      </c>
      <c r="L111" s="3">
        <v>5.7500802151542398</v>
      </c>
      <c r="M111" s="3">
        <v>10.2366138385858</v>
      </c>
      <c r="N111" s="3">
        <v>7.6667870122868296</v>
      </c>
      <c r="O111" s="3">
        <v>23.8082798494085</v>
      </c>
      <c r="P111" s="3">
        <v>12.271157420726601</v>
      </c>
      <c r="Q111" s="3">
        <v>11.664651479912401</v>
      </c>
      <c r="R111" s="3">
        <v>17.309455723010402</v>
      </c>
      <c r="S111" s="3">
        <v>5.0042086932682901</v>
      </c>
      <c r="T111" s="3">
        <v>12.0927043204954</v>
      </c>
      <c r="U111" s="3">
        <v>12.813866729628099</v>
      </c>
      <c r="V111" s="3">
        <v>15.6877256143141</v>
      </c>
    </row>
    <row r="112" spans="1:22" x14ac:dyDescent="0.35">
      <c r="A112" s="2">
        <v>45058</v>
      </c>
      <c r="B112" s="3">
        <v>14.168726056774</v>
      </c>
      <c r="C112" s="3">
        <v>6.5831450482591896</v>
      </c>
      <c r="D112" s="3">
        <v>12.0856081317039</v>
      </c>
      <c r="E112" s="3">
        <v>12.8067533250504</v>
      </c>
      <c r="F112" s="3">
        <v>6.1802362642270401</v>
      </c>
      <c r="G112" s="3">
        <v>9.6680780525893404</v>
      </c>
      <c r="H112" s="3">
        <v>14.5333268927177</v>
      </c>
      <c r="I112" s="3">
        <v>13.565473711811</v>
      </c>
      <c r="J112" s="3">
        <v>14.1779029319939</v>
      </c>
      <c r="K112" s="3">
        <v>12.101061835614299</v>
      </c>
      <c r="L112" s="3">
        <v>5.9193497148098899</v>
      </c>
      <c r="M112" s="3">
        <v>10.102312899081801</v>
      </c>
      <c r="N112" s="3">
        <v>7.5065426393130599</v>
      </c>
      <c r="O112" s="3">
        <v>23.898365768962201</v>
      </c>
      <c r="P112" s="3">
        <v>12.002306740176101</v>
      </c>
      <c r="Q112" s="3">
        <v>11.896430839091099</v>
      </c>
      <c r="R112" s="3">
        <v>17.2130258420651</v>
      </c>
      <c r="S112" s="3">
        <v>4.9011593422066797</v>
      </c>
      <c r="T112" s="3">
        <v>11.974428024304499</v>
      </c>
      <c r="U112" s="3">
        <v>13.240641700756299</v>
      </c>
      <c r="V112" s="3">
        <v>16.101091321736099</v>
      </c>
    </row>
    <row r="113" spans="1:37" x14ac:dyDescent="0.35">
      <c r="A113" s="2">
        <v>45091</v>
      </c>
      <c r="B113" s="3">
        <v>14.0075140527016</v>
      </c>
      <c r="C113" s="3">
        <v>6.7663616082190599</v>
      </c>
      <c r="D113" s="3">
        <v>13.022136041948301</v>
      </c>
      <c r="E113" s="3">
        <v>12.1376490875979</v>
      </c>
      <c r="F113" s="3">
        <v>6.5753880492523402</v>
      </c>
      <c r="G113" s="3">
        <v>9.9986307757095396</v>
      </c>
      <c r="H113" s="3">
        <v>14.528010985166</v>
      </c>
      <c r="I113" s="3">
        <v>14.817938767915599</v>
      </c>
      <c r="J113" s="3">
        <v>13.808567145038699</v>
      </c>
      <c r="K113" s="3">
        <v>12.637268635134999</v>
      </c>
      <c r="L113" s="3">
        <v>6.5600489496736598</v>
      </c>
      <c r="M113" s="3">
        <v>10.188126238028101</v>
      </c>
      <c r="N113" s="3">
        <v>7.8476673289603598</v>
      </c>
      <c r="O113" s="3">
        <v>24.074833520551898</v>
      </c>
      <c r="P113" s="3">
        <v>11.967261476154199</v>
      </c>
      <c r="Q113" s="3">
        <v>11.8237575806161</v>
      </c>
      <c r="R113" s="3">
        <v>17.288591038792799</v>
      </c>
      <c r="S113" s="3">
        <v>5.10832294830713</v>
      </c>
      <c r="T113" s="3">
        <v>11.7345861288193</v>
      </c>
      <c r="U113" s="3">
        <v>13.5971601674688</v>
      </c>
      <c r="V113" s="3">
        <v>16.663010795046699</v>
      </c>
    </row>
    <row r="114" spans="1:37" x14ac:dyDescent="0.35">
      <c r="A114" s="2">
        <v>45121</v>
      </c>
      <c r="B114" s="3">
        <v>13.917276074421199</v>
      </c>
      <c r="C114" s="3">
        <v>7.5092423968436997</v>
      </c>
      <c r="D114" s="3">
        <v>13.1914733585708</v>
      </c>
      <c r="E114" s="3">
        <v>11.9955564892041</v>
      </c>
      <c r="F114" s="3">
        <v>6.4885725105304601</v>
      </c>
      <c r="G114" s="3">
        <v>10.4478208273408</v>
      </c>
      <c r="H114" s="3">
        <v>14.6221665768372</v>
      </c>
      <c r="I114" s="3">
        <v>15.590549746554901</v>
      </c>
      <c r="J114" s="3">
        <v>13.411261617487</v>
      </c>
      <c r="K114" s="3">
        <v>12.895900749894301</v>
      </c>
      <c r="L114" s="3">
        <v>6.85585308097642</v>
      </c>
      <c r="M114" s="3">
        <v>10.5760728133247</v>
      </c>
      <c r="N114" s="3">
        <v>8.0923602067496798</v>
      </c>
      <c r="O114" s="3">
        <v>24.194966271421102</v>
      </c>
      <c r="P114" s="3">
        <v>11.9441018388617</v>
      </c>
      <c r="Q114" s="3">
        <v>11.783792263406101</v>
      </c>
      <c r="R114" s="3">
        <v>17.2443198176246</v>
      </c>
      <c r="S114" s="3">
        <v>5.7023022384925701</v>
      </c>
      <c r="T114" s="3">
        <v>11.7919317382141</v>
      </c>
      <c r="U114" s="3">
        <v>13.545633063553201</v>
      </c>
      <c r="V114" s="3">
        <v>17.2905860181977</v>
      </c>
    </row>
    <row r="115" spans="1:37" x14ac:dyDescent="0.35">
      <c r="A115" s="2">
        <v>45152</v>
      </c>
      <c r="B115" s="3">
        <v>13.8247385333213</v>
      </c>
      <c r="C115" s="3">
        <v>7.7471439676082898</v>
      </c>
      <c r="D115" s="3">
        <v>13.4821357061196</v>
      </c>
      <c r="E115" s="3">
        <v>11.4194379285493</v>
      </c>
      <c r="F115" s="3">
        <v>6.8573281763867602</v>
      </c>
      <c r="G115" s="3">
        <v>11.0613612789602</v>
      </c>
      <c r="H115" s="3">
        <v>14.7933558423971</v>
      </c>
      <c r="I115" s="3">
        <v>15.794537800012099</v>
      </c>
      <c r="J115" s="3">
        <v>13.1988406393475</v>
      </c>
      <c r="K115" s="3">
        <v>12.977486176774599</v>
      </c>
      <c r="L115" s="3">
        <v>7.0354828203164104</v>
      </c>
      <c r="M115" s="3">
        <v>10.5333311767578</v>
      </c>
      <c r="N115" s="3">
        <v>7.5626841491639896</v>
      </c>
      <c r="O115" s="3">
        <v>23.685451574517501</v>
      </c>
      <c r="P115" s="3">
        <v>11.826370148267699</v>
      </c>
      <c r="Q115" s="3">
        <v>12.146521807318701</v>
      </c>
      <c r="R115" s="3">
        <v>17.4202393634198</v>
      </c>
      <c r="S115" s="3">
        <v>6.4458434974184602</v>
      </c>
      <c r="T115" s="3">
        <v>11.5913288270894</v>
      </c>
      <c r="U115" s="3">
        <v>14.713633773625499</v>
      </c>
      <c r="V115" s="3">
        <v>17.6943679296601</v>
      </c>
    </row>
    <row r="116" spans="1:37" x14ac:dyDescent="0.35">
      <c r="A116" s="2">
        <v>45183</v>
      </c>
      <c r="B116" s="3">
        <v>13.8378341572562</v>
      </c>
      <c r="C116" s="3">
        <v>7.8914394278544204</v>
      </c>
      <c r="D116" s="3">
        <v>13.596314364665901</v>
      </c>
      <c r="E116" s="3">
        <v>11.1965811091228</v>
      </c>
      <c r="F116" s="3">
        <v>6.9526725838723404</v>
      </c>
      <c r="G116" s="3">
        <v>11.0534582563937</v>
      </c>
      <c r="H116" s="3">
        <v>14.8921930913029</v>
      </c>
      <c r="I116" s="3">
        <v>16.3503614552444</v>
      </c>
      <c r="J116" s="3">
        <v>12.817129383341101</v>
      </c>
      <c r="K116" s="3">
        <v>13.6583025334594</v>
      </c>
      <c r="L116" s="3">
        <v>7.3407303138908899</v>
      </c>
      <c r="M116" s="3">
        <v>10.6144209535498</v>
      </c>
      <c r="N116" s="3">
        <v>7.1026557569562403</v>
      </c>
      <c r="O116" s="3">
        <v>23.8822542970345</v>
      </c>
      <c r="P116" s="3">
        <v>11.6887929107756</v>
      </c>
      <c r="Q116" s="3">
        <v>11.7051425172289</v>
      </c>
      <c r="R116" s="3">
        <v>17.546469635426298</v>
      </c>
      <c r="S116" s="3">
        <v>6.6915754071242803</v>
      </c>
      <c r="T116" s="3">
        <v>11.142721276303901</v>
      </c>
      <c r="U116" s="3">
        <v>15.5091809687269</v>
      </c>
      <c r="V116" s="3">
        <v>17.553736059746001</v>
      </c>
    </row>
    <row r="117" spans="1:37" x14ac:dyDescent="0.35">
      <c r="A117" s="2">
        <v>45212</v>
      </c>
      <c r="B117" s="3">
        <v>13.5277135784207</v>
      </c>
      <c r="C117" s="3">
        <v>7.9943533132348099</v>
      </c>
      <c r="D117" s="3">
        <v>13.3855031082447</v>
      </c>
      <c r="E117" s="3">
        <v>11.1507612244318</v>
      </c>
      <c r="F117" s="3">
        <v>7.0865471874048502</v>
      </c>
      <c r="G117" s="3">
        <v>10.726106630377201</v>
      </c>
      <c r="H117" s="3">
        <v>14.883748139404499</v>
      </c>
      <c r="I117" s="3">
        <v>16.762570356271201</v>
      </c>
      <c r="J117" s="3">
        <v>12.2048728588939</v>
      </c>
      <c r="K117" s="3">
        <v>13.5686144683627</v>
      </c>
      <c r="L117" s="3">
        <v>7.3419399860426404</v>
      </c>
      <c r="M117" s="3">
        <v>10.6848658073928</v>
      </c>
      <c r="N117" s="3">
        <v>6.7645168198865404</v>
      </c>
      <c r="O117" s="3">
        <v>23.642701521026702</v>
      </c>
      <c r="P117" s="3">
        <v>11.433892474957499</v>
      </c>
      <c r="Q117" s="3">
        <v>11.539240220648299</v>
      </c>
      <c r="R117" s="3">
        <v>16.836601919621899</v>
      </c>
      <c r="S117" s="3">
        <v>6.7174689259891203</v>
      </c>
      <c r="T117" s="3">
        <v>10.670374000094199</v>
      </c>
      <c r="U117" s="3">
        <v>15.928881891220099</v>
      </c>
      <c r="V117" s="3">
        <v>17.2540767300281</v>
      </c>
    </row>
    <row r="118" spans="1:37" x14ac:dyDescent="0.35">
      <c r="A118" s="2">
        <v>45244</v>
      </c>
      <c r="B118" s="3">
        <v>13.6681042630211</v>
      </c>
      <c r="C118" s="3">
        <v>8.0193128486213805</v>
      </c>
      <c r="D118" s="3">
        <v>13.1608638227956</v>
      </c>
      <c r="E118" s="3">
        <v>10.490499642295401</v>
      </c>
      <c r="F118" s="3">
        <v>7.7428848946098796</v>
      </c>
      <c r="G118" s="3">
        <v>11.4852352541947</v>
      </c>
      <c r="H118" s="3">
        <v>14.9115292897675</v>
      </c>
      <c r="I118" s="3">
        <v>16.982223765666902</v>
      </c>
      <c r="J118" s="3">
        <v>12.914522387767001</v>
      </c>
      <c r="K118" s="3">
        <v>13.934248046973</v>
      </c>
      <c r="L118" s="3">
        <v>7.8623232203804099</v>
      </c>
      <c r="M118" s="3">
        <v>10.975656140244499</v>
      </c>
      <c r="N118" s="3">
        <v>6.7035675027606798</v>
      </c>
      <c r="O118" s="3">
        <v>23.175604732954401</v>
      </c>
      <c r="P118" s="3">
        <v>11.2935832972362</v>
      </c>
      <c r="Q118" s="3">
        <v>11.4456083173112</v>
      </c>
      <c r="R118" s="3">
        <v>16.237038769517099</v>
      </c>
      <c r="S118" s="3">
        <v>5.8457238864580301</v>
      </c>
      <c r="T118" s="3">
        <v>10.346617934497999</v>
      </c>
      <c r="U118" s="3">
        <v>15.710042371732699</v>
      </c>
      <c r="V118" s="3">
        <v>18.033972269445801</v>
      </c>
    </row>
    <row r="119" spans="1:37" x14ac:dyDescent="0.35">
      <c r="A119" s="2">
        <v>45274</v>
      </c>
      <c r="B119" s="3">
        <v>13.196463016342999</v>
      </c>
      <c r="C119" s="3">
        <v>8.5329142079202107</v>
      </c>
      <c r="D119" s="3">
        <v>13.6444157329334</v>
      </c>
      <c r="E119" s="3">
        <v>9.9564860482257007</v>
      </c>
      <c r="F119" s="3">
        <v>9.4481287806552707</v>
      </c>
      <c r="G119" s="3">
        <v>13.7934663573135</v>
      </c>
      <c r="H119" s="3">
        <v>15.155176263301099</v>
      </c>
      <c r="I119" s="3">
        <v>18.320775378732598</v>
      </c>
      <c r="J119" s="3">
        <v>14.0213674005655</v>
      </c>
      <c r="K119" s="3">
        <v>14.777687728112101</v>
      </c>
      <c r="L119" s="3">
        <v>8.4680479703593807</v>
      </c>
      <c r="M119" s="3">
        <v>11.5124336138916</v>
      </c>
      <c r="N119" s="3">
        <v>6.4030230598227096</v>
      </c>
      <c r="O119" s="3">
        <v>25.191324829500999</v>
      </c>
      <c r="P119" s="3">
        <v>10.5942658483974</v>
      </c>
      <c r="Q119" s="3">
        <v>11.249526475740099</v>
      </c>
      <c r="R119" s="3">
        <v>15.9979636835123</v>
      </c>
      <c r="S119" s="3">
        <v>5.8736415998604503</v>
      </c>
      <c r="T119" s="3">
        <v>9.9833002814388205</v>
      </c>
      <c r="U119" s="3">
        <v>16.246862766998799</v>
      </c>
      <c r="V119" s="3">
        <v>19.9216837896352</v>
      </c>
    </row>
    <row r="120" spans="1:37" x14ac:dyDescent="0.35">
      <c r="A120" s="2">
        <v>45303</v>
      </c>
      <c r="B120" s="3">
        <v>12.743686243074301</v>
      </c>
      <c r="C120" s="3">
        <v>8.6451751166137996</v>
      </c>
      <c r="D120" s="3">
        <v>14.173765663476299</v>
      </c>
      <c r="E120" s="3">
        <v>10.164738618136701</v>
      </c>
      <c r="F120" s="3">
        <v>8.6124589128965692</v>
      </c>
      <c r="G120" s="3">
        <v>15.0308540548432</v>
      </c>
      <c r="H120" s="3">
        <v>15.2599169581674</v>
      </c>
      <c r="I120" s="3">
        <v>18.735409147772501</v>
      </c>
      <c r="J120" s="3">
        <v>13.5487144093042</v>
      </c>
      <c r="K120" s="3">
        <v>14.791573534616001</v>
      </c>
      <c r="L120" s="3">
        <v>8.4443760171204207</v>
      </c>
      <c r="M120" s="3">
        <v>11.244882750842899</v>
      </c>
      <c r="N120" s="3">
        <v>6.49381796753923</v>
      </c>
      <c r="O120" s="3">
        <v>26.0132413390699</v>
      </c>
      <c r="P120" s="3">
        <v>10.4538435504438</v>
      </c>
      <c r="Q120" s="3">
        <v>11.8077638944587</v>
      </c>
      <c r="R120" s="3">
        <v>15.8807733936003</v>
      </c>
      <c r="S120" s="3">
        <v>6.1007874458301101</v>
      </c>
      <c r="T120" s="3">
        <v>10.371504341229301</v>
      </c>
      <c r="U120" s="3">
        <v>16.705071384534101</v>
      </c>
      <c r="V120" s="3">
        <v>21.336765585140999</v>
      </c>
    </row>
    <row r="121" spans="1:37" x14ac:dyDescent="0.35">
      <c r="A121" s="2">
        <v>45336</v>
      </c>
      <c r="B121" s="3">
        <v>12.994047508569</v>
      </c>
      <c r="C121" s="3">
        <v>8.5407450971737298</v>
      </c>
      <c r="D121" s="3">
        <v>14.218875324324999</v>
      </c>
      <c r="E121" s="3">
        <v>10.4075126509669</v>
      </c>
      <c r="F121" s="3">
        <v>8.9629970450261105</v>
      </c>
      <c r="G121" s="3">
        <v>14.6655407470267</v>
      </c>
      <c r="H121" s="3">
        <v>15.488276883342101</v>
      </c>
      <c r="I121" s="3">
        <v>19.1288186387164</v>
      </c>
      <c r="J121" s="3">
        <v>14.8547039274514</v>
      </c>
      <c r="K121" s="3">
        <v>16.3183510534943</v>
      </c>
      <c r="L121" s="3">
        <v>8.2091807477369905</v>
      </c>
      <c r="M121" s="3">
        <v>10.8126700024077</v>
      </c>
      <c r="N121" s="3">
        <v>6.74128332857173</v>
      </c>
      <c r="O121" s="3">
        <v>26.165893194435402</v>
      </c>
      <c r="P121" s="3">
        <v>10.1519474146564</v>
      </c>
      <c r="Q121" s="3">
        <v>11.3384189511142</v>
      </c>
      <c r="R121" s="3">
        <v>16.153468078019198</v>
      </c>
      <c r="S121" s="3">
        <v>6.6841926425149003</v>
      </c>
      <c r="T121" s="3">
        <v>9.5524540541044605</v>
      </c>
      <c r="U121" s="3">
        <v>16.8387125797511</v>
      </c>
      <c r="V121" s="3">
        <v>21.499574580417001</v>
      </c>
    </row>
    <row r="122" spans="1:37" x14ac:dyDescent="0.35">
      <c r="A122" s="2">
        <v>45364</v>
      </c>
      <c r="B122" s="3">
        <v>13.5830921540445</v>
      </c>
      <c r="C122" s="3">
        <v>7.1979907451683802</v>
      </c>
      <c r="D122" s="3">
        <v>14.128281793787799</v>
      </c>
      <c r="E122" s="3">
        <v>10.6498393651074</v>
      </c>
      <c r="F122" s="3">
        <v>8.9951833620726802</v>
      </c>
      <c r="G122" s="3">
        <v>15.166762781167201</v>
      </c>
      <c r="H122" s="3">
        <v>15.758296260072401</v>
      </c>
      <c r="I122" s="3">
        <v>19.925055740839699</v>
      </c>
      <c r="J122" s="3">
        <v>15.856871049980199</v>
      </c>
      <c r="K122" s="3">
        <v>16.14570524722</v>
      </c>
      <c r="L122" s="3">
        <v>8.4285969794355502</v>
      </c>
      <c r="M122" s="3">
        <v>10.712621407715799</v>
      </c>
      <c r="N122" s="3">
        <v>6.7493419887335699</v>
      </c>
      <c r="O122" s="3">
        <v>25.964101093379</v>
      </c>
      <c r="P122" s="3">
        <v>10.501800289715399</v>
      </c>
      <c r="Q122" s="3">
        <v>11.4530840940354</v>
      </c>
      <c r="R122" s="3">
        <v>16.862713630184199</v>
      </c>
      <c r="S122" s="3">
        <v>6.5325567929638604</v>
      </c>
      <c r="T122" s="3">
        <v>9.4207461095021401</v>
      </c>
      <c r="U122" s="3">
        <v>18.708621845373202</v>
      </c>
      <c r="V122" s="3">
        <v>21.728769886312801</v>
      </c>
    </row>
    <row r="124" spans="1:37" x14ac:dyDescent="0.35">
      <c r="A124" s="2" t="s">
        <v>95</v>
      </c>
      <c r="B124" s="3" cm="1">
        <f t="array" ref="B124">MIN(_xlfn._xlws.FILTER(B1:B122, ISNUMBER(B1:B122)))</f>
        <v>10.8010841263002</v>
      </c>
      <c r="C124" s="3" cm="1">
        <f t="array" ref="C124">MIN(_xlfn._xlws.FILTER(C1:C122, ISNUMBER(C1:C122)))</f>
        <v>5.4995570907179996</v>
      </c>
      <c r="D124" s="3" cm="1">
        <f t="array" ref="D124">MIN(_xlfn._xlws.FILTER(D1:D122, ISNUMBER(D1:D122)))</f>
        <v>11.9170618780949</v>
      </c>
      <c r="E124" s="3" cm="1">
        <f t="array" ref="E124">MIN(_xlfn._xlws.FILTER(E1:E122, ISNUMBER(E1:E122)))</f>
        <v>9.9564860482257007</v>
      </c>
      <c r="F124" s="3" cm="1">
        <f t="array" ref="F124">MIN(_xlfn._xlws.FILTER(F1:F122, ISNUMBER(F1:F122)))</f>
        <v>5.4365450106417104</v>
      </c>
      <c r="G124" s="3" cm="1">
        <f t="array" ref="G124">MIN(_xlfn._xlws.FILTER(G1:G122, ISNUMBER(G1:G122)))</f>
        <v>9.1786016661414198</v>
      </c>
      <c r="H124" s="3" cm="1">
        <f t="array" ref="H124">MIN(_xlfn._xlws.FILTER(H1:H122, ISNUMBER(H1:H122)))</f>
        <v>14.293710201382</v>
      </c>
      <c r="I124" s="3" cm="1">
        <f t="array" ref="I124">MIN(_xlfn._xlws.FILTER(I1:I122, ISNUMBER(I1:I122)))</f>
        <v>10.0691627138416</v>
      </c>
      <c r="J124" s="3" cm="1">
        <f t="array" ref="J124">MIN(_xlfn._xlws.FILTER(J1:J122, ISNUMBER(J1:J122)))</f>
        <v>12.2048728588939</v>
      </c>
      <c r="K124" s="3" cm="1">
        <f t="array" ref="K124">MIN(_xlfn._xlws.FILTER(K1:K122, ISNUMBER(K1:K122)))</f>
        <v>8.3516163339707692</v>
      </c>
      <c r="L124" s="3" cm="1">
        <f t="array" ref="L124">MIN(_xlfn._xlws.FILTER(L1:L122, ISNUMBER(L1:L122)))</f>
        <v>5.4394858552044196</v>
      </c>
      <c r="M124" s="3" cm="1">
        <f t="array" ref="M124">MIN(_xlfn._xlws.FILTER(M1:M122, ISNUMBER(M1:M122)))</f>
        <v>9.3871020000800396</v>
      </c>
      <c r="N124" s="3" cm="1">
        <f t="array" ref="N124">MIN(_xlfn._xlws.FILTER(N1:N122, ISNUMBER(N1:N122)))</f>
        <v>-230.04963055799399</v>
      </c>
      <c r="O124" s="3" cm="1">
        <f t="array" ref="O124">MIN(_xlfn._xlws.FILTER(O1:O122, ISNUMBER(O1:O122)))</f>
        <v>16.343560576414198</v>
      </c>
      <c r="P124" s="3" cm="1">
        <f t="array" ref="P124">MIN(_xlfn._xlws.FILTER(P1:P122, ISNUMBER(P1:P122)))</f>
        <v>8.8889510654125807</v>
      </c>
      <c r="Q124" s="3" cm="1">
        <f t="array" ref="Q124">MIN(_xlfn._xlws.FILTER(Q1:Q122, ISNUMBER(Q1:Q122)))</f>
        <v>10.838252975180399</v>
      </c>
      <c r="R124" s="3" cm="1">
        <f t="array" ref="R124">MIN(_xlfn._xlws.FILTER(R1:R122, ISNUMBER(R1:R122)))</f>
        <v>14.010093649681499</v>
      </c>
      <c r="S124" s="3" cm="1">
        <f t="array" ref="S124">MIN(_xlfn._xlws.FILTER(S1:S122, ISNUMBER(S1:S122)))</f>
        <v>4.3723914539615398</v>
      </c>
      <c r="T124" s="3" cm="1">
        <f t="array" ref="T124">MIN(_xlfn._xlws.FILTER(T1:T122, ISNUMBER(T1:T122)))</f>
        <v>9.4207461095021401</v>
      </c>
      <c r="U124" s="3" cm="1">
        <f t="array" ref="U124">MIN(_xlfn._xlws.FILTER(U1:U122, ISNUMBER(U1:U122)))</f>
        <v>-4.8204146354478397</v>
      </c>
      <c r="V124" s="3" cm="1">
        <f t="array" ref="V124">MIN(_xlfn._xlws.FILTER(V1:V122, ISNUMBER(V1:V122)))</f>
        <v>10.701430199725699</v>
      </c>
    </row>
    <row r="125" spans="1:37" x14ac:dyDescent="0.35">
      <c r="A125" s="2" t="s">
        <v>96</v>
      </c>
      <c r="B125" s="3" cm="1">
        <f t="array" ref="B125">MAX(_xlfn._xlws.FILTER(B1:B122, ISNUMBER(B1:B122)))</f>
        <v>22.307340924536799</v>
      </c>
      <c r="C125" s="3" cm="1">
        <f t="array" ref="C125">MAX(_xlfn._xlws.FILTER(C1:C122, ISNUMBER(C1:C122)))</f>
        <v>31.933019562191401</v>
      </c>
      <c r="D125" s="3" cm="1">
        <f t="array" ref="D125">MAX(_xlfn._xlws.FILTER(D1:D122, ISNUMBER(D1:D122)))</f>
        <v>26.159104327526201</v>
      </c>
      <c r="E125" s="3" cm="1">
        <f t="array" ref="E125">MAX(_xlfn._xlws.FILTER(E1:E122, ISNUMBER(E1:E122)))</f>
        <v>25.932139304382801</v>
      </c>
      <c r="F125" s="3" cm="1">
        <f t="array" ref="F125">MAX(_xlfn._xlws.FILTER(F1:F122, ISNUMBER(F1:F122)))</f>
        <v>22.861281775546299</v>
      </c>
      <c r="G125" s="3" cm="1">
        <f t="array" ref="G125">MAX(_xlfn._xlws.FILTER(G1:G122, ISNUMBER(G1:G122)))</f>
        <v>65.734042229919396</v>
      </c>
      <c r="H125" s="3" cm="1">
        <f t="array" ref="H125">MAX(_xlfn._xlws.FILTER(H1:H122, ISNUMBER(H1:H122)))</f>
        <v>21.4780926954462</v>
      </c>
      <c r="I125" s="3" cm="1">
        <f t="array" ref="I125">MAX(_xlfn._xlws.FILTER(I1:I122, ISNUMBER(I1:I122)))</f>
        <v>19.925055740839699</v>
      </c>
      <c r="J125" s="3" cm="1">
        <f t="array" ref="J125">MAX(_xlfn._xlws.FILTER(J1:J122, ISNUMBER(J1:J122)))</f>
        <v>32.460438750498099</v>
      </c>
      <c r="K125" s="3" cm="1">
        <f t="array" ref="K125">MAX(_xlfn._xlws.FILTER(K1:K122, ISNUMBER(K1:K122)))</f>
        <v>21.850534628962698</v>
      </c>
      <c r="L125" s="3" cm="1">
        <f t="array" ref="L125">MAX(_xlfn._xlws.FILTER(L1:L122, ISNUMBER(L1:L122)))</f>
        <v>34.609578464863098</v>
      </c>
      <c r="M125" s="3" cm="1">
        <f t="array" ref="M125">MAX(_xlfn._xlws.FILTER(M1:M122, ISNUMBER(M1:M122)))</f>
        <v>18.553614113568798</v>
      </c>
      <c r="N125" s="3" cm="1">
        <f t="array" ref="N125">MAX(_xlfn._xlws.FILTER(N1:N122, ISNUMBER(N1:N122)))</f>
        <v>33.202896886959898</v>
      </c>
      <c r="O125" s="3" cm="1">
        <f t="array" ref="O125">MAX(_xlfn._xlws.FILTER(O1:O122, ISNUMBER(O1:O122)))</f>
        <v>34.528318216034897</v>
      </c>
      <c r="P125" s="3" cm="1">
        <f t="array" ref="P125">MAX(_xlfn._xlws.FILTER(P1:P122, ISNUMBER(P1:P122)))</f>
        <v>21.983464490677001</v>
      </c>
      <c r="Q125" s="3" cm="1">
        <f t="array" ref="Q125">MAX(_xlfn._xlws.FILTER(Q1:Q122, ISNUMBER(Q1:Q122)))</f>
        <v>17.962317950549199</v>
      </c>
      <c r="R125" s="3" cm="1">
        <f t="array" ref="R125">MAX(_xlfn._xlws.FILTER(R1:R122, ISNUMBER(R1:R122)))</f>
        <v>28.713856745734201</v>
      </c>
      <c r="S125" s="3" cm="1">
        <f t="array" ref="S125">MAX(_xlfn._xlws.FILTER(S1:S122, ISNUMBER(S1:S122)))</f>
        <v>14.531747155024901</v>
      </c>
      <c r="T125" s="3" cm="1">
        <f t="array" ref="T125">MAX(_xlfn._xlws.FILTER(T1:T122, ISNUMBER(T1:T122)))</f>
        <v>27.044883978181801</v>
      </c>
      <c r="U125" s="3" cm="1">
        <f t="array" ref="U125">MAX(_xlfn._xlws.FILTER(U1:U122, ISNUMBER(U1:U122)))</f>
        <v>35.445737016263401</v>
      </c>
      <c r="V125" s="3" cm="1">
        <f t="array" ref="V125">MAX(_xlfn._xlws.FILTER(V1:V122, ISNUMBER(V1:V122)))</f>
        <v>29.1685123834962</v>
      </c>
    </row>
    <row r="127" spans="1:37" x14ac:dyDescent="0.35">
      <c r="A127" s="2" t="s">
        <v>97</v>
      </c>
      <c r="B127" s="9" cm="1">
        <f t="array" ref="B127">_xlfn.PERCENTRANK.EXC(_xlfn._xlws.FILTER(B1:B122, ISNUMBER(B1:B122)),B121)</f>
        <v>0.18099999999999999</v>
      </c>
      <c r="C127" s="9" cm="1">
        <f t="array" ref="C127">_xlfn.PERCENTRANK.EXC(_xlfn._xlws.FILTER(C1:C122, ISNUMBER(C1:C122)),C121)</f>
        <v>0.17199999999999999</v>
      </c>
      <c r="D127" s="9" cm="1">
        <f t="array" ref="D127">_xlfn.PERCENTRANK.EXC(_xlfn._xlws.FILTER(D1:D122, ISNUMBER(D1:D122)),D121)</f>
        <v>0.14699999999999999</v>
      </c>
      <c r="E127" s="9" cm="1">
        <f t="array" ref="E127">_xlfn.PERCENTRANK.EXC(_xlfn._xlws.FILTER(E1:E122, ISNUMBER(E1:E122)),E121)</f>
        <v>2.4E-2</v>
      </c>
      <c r="F127" s="9" cm="1">
        <f t="array" ref="F127">_xlfn.PERCENTRANK.EXC(_xlfn._xlws.FILTER(F1:F122, ISNUMBER(F1:F122)),F121)</f>
        <v>0.17199999999999999</v>
      </c>
      <c r="G127" s="9" cm="1">
        <f t="array" ref="G127">_xlfn.PERCENTRANK.EXC(_xlfn._xlws.FILTER(G1:G122, ISNUMBER(G1:G122)),G121)</f>
        <v>0.27800000000000002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0.27</v>
      </c>
      <c r="K127" s="9" cm="1">
        <f t="array" ref="K127">_xlfn.PERCENTRANK.EXC(_xlfn._xlws.FILTER(K1:K122, ISNUMBER(K1:K122)),K121)</f>
        <v>0.90100000000000002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0.18</v>
      </c>
      <c r="N127" s="9" cm="1">
        <f t="array" ref="N127">_xlfn.PERCENTRANK.EXC(_xlfn._xlws.FILTER(N1:N122, ISNUMBER(N1:N122)),N121)</f>
        <v>0.20399999999999999</v>
      </c>
      <c r="O127" s="9" cm="1">
        <f t="array" ref="O127">_xlfn.PERCENTRANK.EXC(_xlfn._xlws.FILTER(O1:O122, ISNUMBER(O1:O122)),O121)</f>
        <v>0.82699999999999996</v>
      </c>
      <c r="P127" s="9" cm="1">
        <f t="array" ref="P127">_xlfn.PERCENTRANK.EXC(_xlfn._xlws.FILTER(P1:P122, ISNUMBER(P1:P122)),P121)</f>
        <v>0.16300000000000001</v>
      </c>
      <c r="Q127" s="9" cm="1">
        <f t="array" ref="Q127">_xlfn.PERCENTRANK.EXC(_xlfn._xlws.FILTER(Q1:Q122, ISNUMBER(Q1:Q122)),Q121)</f>
        <v>2.5999999999999999E-2</v>
      </c>
      <c r="R127" s="9" cm="1">
        <f t="array" ref="R127">_xlfn.PERCENTRANK.EXC(_xlfn._xlws.FILTER(R1:R122, ISNUMBER(R1:R122)),R121)</f>
        <v>0.20399999999999999</v>
      </c>
      <c r="S127" s="9" cm="1">
        <f t="array" ref="S127">_xlfn.PERCENTRANK.EXC(_xlfn._xlws.FILTER(S1:S122, ISNUMBER(S1:S122)),S121)</f>
        <v>0.21299999999999999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0.54900000000000004</v>
      </c>
      <c r="V127" s="9" cm="1">
        <f t="array" ref="V127">_xlfn.PERCENTRANK.EXC(_xlfn._xlws.FILTER(V1:V122, ISNUMBER(V1:V122)),V121)</f>
        <v>0.83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41712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12.8113778795536</v>
      </c>
      <c r="D2" s="3" cm="1">
        <f t="array" ref="D2:D122">_xll.FDS(D1,"FMA_PE(NTMA,-10AY,0,AM,""PORTAGG"",""MEANR"")")</f>
        <v>14.503450102737601</v>
      </c>
      <c r="E2" s="3" cm="1">
        <f t="array" ref="E2:E122">_xll.FDS(E1,"FMA_PE(NTMA,-10AY,0,AM,""PORTAGG"",""MEANR"")")</f>
        <v>17.305064504336599</v>
      </c>
      <c r="F2" s="3" cm="1">
        <f t="array" ref="F2:F122">_xll.FDS(F1,"FMA_PE(NTMA,-10AY,0,AM,""PORTAGG"",""MEANR"")")</f>
        <v>13.175345575742901</v>
      </c>
      <c r="G2" s="3" cm="1">
        <f t="array" ref="G2:G122">_xll.FDS(G1,"FMA_PE(NTMA,-10AY,0,AM,""PORTAGG"",""MEANR"")")</f>
        <v>11.1340388548397</v>
      </c>
      <c r="H2" s="3" cm="1">
        <f t="array" ref="H2:H122">_xll.FDS(H1,"FMA_PE(NTMA,-10AY,0,AM,""PORTAGG"",""MEANR"")")</f>
        <v>15.3264817677666</v>
      </c>
      <c r="I2" s="3" cm="1">
        <f t="array" ref="I2:I122">_xll.FDS(I1,"FMA_PE(NTMA,-10AY,0,AM,""PORTAGG"",""MEANR"")")</f>
        <v>14.3154614368851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8.9082154888506899</v>
      </c>
      <c r="L2" s="3" cm="1">
        <f t="array" ref="L2:L122">_xll.FDS(L1,"FMA_PE(NTMA,-10AY,0,AM,""PORTAGG"",""MEANR"")")</f>
        <v>9.4699920591402105</v>
      </c>
      <c r="M2" s="3" cm="1">
        <f t="array" ref="M2:M122">_xll.FDS(M1,"FMA_PE(NTMA,-10AY,0,AM,""PORTAGG"",""MEANR"")")</f>
        <v>13.9027299710442</v>
      </c>
      <c r="N2" s="3" cm="1">
        <f t="array" ref="N2:N122">_xll.FDS(N1,"FMA_PE(NTMA,-10AY,0,AM,""PORTAGG"",""MEANR"")")</f>
        <v>14.877317494173401</v>
      </c>
      <c r="O2" s="3" cm="1">
        <f t="array" ref="O2:O122">_xll.FDS(O1,"FMA_PE(NTMA,-10AY,0,AM,""PORTAGG"",""MEANR"")")</f>
        <v>14.566977039567201</v>
      </c>
      <c r="P2" s="3" cm="1">
        <f t="array" ref="P2:P122">_xll.FDS(P1,"FMA_PE(NTMA,-10AY,0,AM,""PORTAGG"",""MEANR"")")</f>
        <v>8.0289676840293396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13.662853905197201</v>
      </c>
      <c r="S2" s="3" cm="1">
        <f t="array" ref="S2:S122">_xll.FDS(S1,"FMA_PE(NTMA,-10AY,0,AM,""PORTAGG"",""MEANR"")")</f>
        <v>8.9622899061819705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11.532350132539801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41743</v>
      </c>
      <c r="B3" s="3" t="e">
        <v>#N/A</v>
      </c>
      <c r="C3" s="3">
        <v>14.0951962476429</v>
      </c>
      <c r="D3" s="3">
        <v>14.4711646817569</v>
      </c>
      <c r="E3" s="3">
        <v>17.4084428057444</v>
      </c>
      <c r="F3" s="3">
        <v>13.9632147591623</v>
      </c>
      <c r="G3" s="3">
        <v>11.7811613208988</v>
      </c>
      <c r="H3" s="3">
        <v>15.625627989924</v>
      </c>
      <c r="I3" s="3">
        <v>14.5163502017915</v>
      </c>
      <c r="J3" s="3" t="e">
        <v>#N/A</v>
      </c>
      <c r="K3" s="3">
        <v>9.3455758846176504</v>
      </c>
      <c r="L3" s="3">
        <v>10.8688946888866</v>
      </c>
      <c r="M3" s="3">
        <v>14.0410827818258</v>
      </c>
      <c r="N3" s="3">
        <v>14.2822412871312</v>
      </c>
      <c r="O3" s="3">
        <v>15.133844991804001</v>
      </c>
      <c r="P3" s="3">
        <v>8.7300283771331095</v>
      </c>
      <c r="Q3" s="3" t="e">
        <v>#N/A</v>
      </c>
      <c r="R3" s="3">
        <v>13.8374147747972</v>
      </c>
      <c r="S3" s="3">
        <v>10.4622478440079</v>
      </c>
      <c r="T3" s="3" t="e">
        <v>#N/A</v>
      </c>
      <c r="U3" s="3">
        <v>12.1494245783257</v>
      </c>
      <c r="V3" s="3" t="e">
        <v>#N/A</v>
      </c>
    </row>
    <row r="4" spans="1:22" x14ac:dyDescent="0.35">
      <c r="A4" s="2">
        <v>41773</v>
      </c>
      <c r="B4" s="3" t="e">
        <v>#N/A</v>
      </c>
      <c r="C4" s="3">
        <v>14.4531060159992</v>
      </c>
      <c r="D4" s="3">
        <v>14.614056898720399</v>
      </c>
      <c r="E4" s="3">
        <v>17.958768498132599</v>
      </c>
      <c r="F4" s="3">
        <v>13.6067228180385</v>
      </c>
      <c r="G4" s="3">
        <v>12.308500710733799</v>
      </c>
      <c r="H4" s="3">
        <v>15.7084098906273</v>
      </c>
      <c r="I4" s="3">
        <v>13.981203121186599</v>
      </c>
      <c r="J4" s="3" t="e">
        <v>#N/A</v>
      </c>
      <c r="K4" s="3">
        <v>9.5525542007403796</v>
      </c>
      <c r="L4" s="3">
        <v>11.3004473214546</v>
      </c>
      <c r="M4" s="3">
        <v>14.5202935793407</v>
      </c>
      <c r="N4" s="3">
        <v>16.7995341855523</v>
      </c>
      <c r="O4" s="3">
        <v>15.678629371408601</v>
      </c>
      <c r="P4" s="3">
        <v>8.5180854318450603</v>
      </c>
      <c r="Q4" s="3" t="e">
        <v>#N/A</v>
      </c>
      <c r="R4" s="3">
        <v>14.003041438263701</v>
      </c>
      <c r="S4" s="3">
        <v>10.660162091980601</v>
      </c>
      <c r="T4" s="3" t="e">
        <v>#N/A</v>
      </c>
      <c r="U4" s="3">
        <v>11.982333202522</v>
      </c>
      <c r="V4" s="3" t="e">
        <v>#N/A</v>
      </c>
    </row>
    <row r="5" spans="1:22" x14ac:dyDescent="0.35">
      <c r="A5" s="2">
        <v>41803</v>
      </c>
      <c r="B5" s="3" t="e">
        <v>#N/A</v>
      </c>
      <c r="C5" s="3">
        <v>14.151915285923</v>
      </c>
      <c r="D5" s="3">
        <v>14.2308812778217</v>
      </c>
      <c r="E5" s="3">
        <v>17.580425561277998</v>
      </c>
      <c r="F5" s="3">
        <v>13.768958296613</v>
      </c>
      <c r="G5" s="3">
        <v>13.667326139163301</v>
      </c>
      <c r="H5" s="3">
        <v>15.7601182539773</v>
      </c>
      <c r="I5" s="3">
        <v>14.292662062336101</v>
      </c>
      <c r="J5" s="3" t="e">
        <v>#N/A</v>
      </c>
      <c r="K5" s="3">
        <v>9.5108015255735303</v>
      </c>
      <c r="L5" s="3">
        <v>11.494384368316201</v>
      </c>
      <c r="M5" s="3">
        <v>14.7424095977275</v>
      </c>
      <c r="N5" s="3">
        <v>10.6300676836861</v>
      </c>
      <c r="O5" s="3">
        <v>16.471211883531701</v>
      </c>
      <c r="P5" s="3">
        <v>8.8515486555195295</v>
      </c>
      <c r="Q5" s="3">
        <v>15.7784890421407</v>
      </c>
      <c r="R5" s="3">
        <v>14.0311788515952</v>
      </c>
      <c r="S5" s="3">
        <v>10.658658389484501</v>
      </c>
      <c r="T5" s="3">
        <v>16.578822014275101</v>
      </c>
      <c r="U5" s="3">
        <v>12.3537769739607</v>
      </c>
      <c r="V5" s="3" t="e">
        <v>#N/A</v>
      </c>
    </row>
    <row r="6" spans="1:22" x14ac:dyDescent="0.35">
      <c r="A6" s="2">
        <v>41834</v>
      </c>
      <c r="B6" s="3" t="e">
        <v>#N/A</v>
      </c>
      <c r="C6" s="3">
        <v>14.853515498178799</v>
      </c>
      <c r="D6" s="3">
        <v>14.41745216256</v>
      </c>
      <c r="E6" s="3">
        <v>17.232041900473199</v>
      </c>
      <c r="F6" s="3">
        <v>13.1320477388638</v>
      </c>
      <c r="G6" s="3">
        <v>14.644157723437001</v>
      </c>
      <c r="H6" s="3">
        <v>15.7825755227871</v>
      </c>
      <c r="I6" s="3">
        <v>14.675207760994001</v>
      </c>
      <c r="J6" s="3" t="e">
        <v>#N/A</v>
      </c>
      <c r="K6" s="3">
        <v>9.6936020279490993</v>
      </c>
      <c r="L6" s="3">
        <v>11.5308598029991</v>
      </c>
      <c r="M6" s="3">
        <v>14.9741669793012</v>
      </c>
      <c r="N6" s="3">
        <v>8.9310020995087296</v>
      </c>
      <c r="O6" s="3">
        <v>16.160227273757599</v>
      </c>
      <c r="P6" s="3">
        <v>8.9382379260431097</v>
      </c>
      <c r="Q6" s="3">
        <v>15.6013430936648</v>
      </c>
      <c r="R6" s="3">
        <v>14.522658344274999</v>
      </c>
      <c r="S6" s="3">
        <v>10.6811246514741</v>
      </c>
      <c r="T6" s="3">
        <v>14.5474636478053</v>
      </c>
      <c r="U6" s="3">
        <v>12.670783693192799</v>
      </c>
      <c r="V6" s="3" t="e">
        <v>#N/A</v>
      </c>
    </row>
    <row r="7" spans="1:22" x14ac:dyDescent="0.35">
      <c r="A7" s="2">
        <v>41865</v>
      </c>
      <c r="B7" s="3" t="e">
        <v>#N/A</v>
      </c>
      <c r="C7" s="3">
        <v>14.6110340741537</v>
      </c>
      <c r="D7" s="3">
        <v>14.867615982718901</v>
      </c>
      <c r="E7" s="3">
        <v>17.4946803873639</v>
      </c>
      <c r="F7" s="3">
        <v>13.147692835768</v>
      </c>
      <c r="G7" s="3">
        <v>14.1444110692173</v>
      </c>
      <c r="H7" s="3">
        <v>15.6050066408962</v>
      </c>
      <c r="I7" s="3">
        <v>13.661648387319399</v>
      </c>
      <c r="J7" s="3" t="e">
        <v>#N/A</v>
      </c>
      <c r="K7" s="3">
        <v>10.3326443929022</v>
      </c>
      <c r="L7" s="3">
        <v>11.6098036137841</v>
      </c>
      <c r="M7" s="3">
        <v>15.139191691463999</v>
      </c>
      <c r="N7" s="3">
        <v>7.9304798869945001</v>
      </c>
      <c r="O7" s="3">
        <v>16.5635666483523</v>
      </c>
      <c r="P7" s="3">
        <v>9.2948514185877205</v>
      </c>
      <c r="Q7" s="3">
        <v>15.9097690198561</v>
      </c>
      <c r="R7" s="3">
        <v>14.624169632510901</v>
      </c>
      <c r="S7" s="3">
        <v>10.04444249592</v>
      </c>
      <c r="T7" s="3">
        <v>14.777201652442301</v>
      </c>
      <c r="U7" s="3">
        <v>12.922482740658999</v>
      </c>
      <c r="V7" s="3" t="e">
        <v>#N/A</v>
      </c>
    </row>
    <row r="8" spans="1:22" x14ac:dyDescent="0.35">
      <c r="A8" s="2">
        <v>41894</v>
      </c>
      <c r="B8" s="3" t="e">
        <v>#N/A</v>
      </c>
      <c r="C8" s="3">
        <v>14.521487432946399</v>
      </c>
      <c r="D8" s="3">
        <v>14.631191039520999</v>
      </c>
      <c r="E8" s="3">
        <v>17.6844282572489</v>
      </c>
      <c r="F8" s="3">
        <v>13.514286973048501</v>
      </c>
      <c r="G8" s="3">
        <v>13.504476970125801</v>
      </c>
      <c r="H8" s="3">
        <v>15.766272555907101</v>
      </c>
      <c r="I8" s="3">
        <v>13.471811109500999</v>
      </c>
      <c r="J8" s="3" t="e">
        <v>#N/A</v>
      </c>
      <c r="K8" s="3">
        <v>10.143849216966</v>
      </c>
      <c r="L8" s="3">
        <v>11.873989655828501</v>
      </c>
      <c r="M8" s="3">
        <v>15.0168085490227</v>
      </c>
      <c r="N8" s="3">
        <v>8.0074540826685396</v>
      </c>
      <c r="O8" s="3">
        <v>16.9048042640812</v>
      </c>
      <c r="P8" s="3">
        <v>9.1512295749142893</v>
      </c>
      <c r="Q8" s="3">
        <v>15.8099939088822</v>
      </c>
      <c r="R8" s="3">
        <v>15.9998023367947</v>
      </c>
      <c r="S8" s="3">
        <v>9.8609189747391994</v>
      </c>
      <c r="T8" s="3">
        <v>15.0576023184693</v>
      </c>
      <c r="U8" s="3">
        <v>13.6156289329143</v>
      </c>
      <c r="V8" s="3" t="e">
        <v>#N/A</v>
      </c>
    </row>
    <row r="9" spans="1:22" x14ac:dyDescent="0.35">
      <c r="A9" s="2">
        <v>41926</v>
      </c>
      <c r="B9" s="3" t="e">
        <v>#N/A</v>
      </c>
      <c r="C9" s="3">
        <v>13.680910557775601</v>
      </c>
      <c r="D9" s="3">
        <v>13.8527192751235</v>
      </c>
      <c r="E9" s="3">
        <v>16.787502776811301</v>
      </c>
      <c r="F9" s="3">
        <v>13.2609312743421</v>
      </c>
      <c r="G9" s="3">
        <v>12.0815265953511</v>
      </c>
      <c r="H9" s="3">
        <v>15.189315462482201</v>
      </c>
      <c r="I9" s="3">
        <v>12.771105154679599</v>
      </c>
      <c r="J9" s="3" t="e">
        <v>#N/A</v>
      </c>
      <c r="K9" s="3">
        <v>9.4139775474306209</v>
      </c>
      <c r="L9" s="3">
        <v>12.068673584367399</v>
      </c>
      <c r="M9" s="3">
        <v>14.129193496540299</v>
      </c>
      <c r="N9" s="3">
        <v>6.4899871692584297</v>
      </c>
      <c r="O9" s="3">
        <v>16.340674931520901</v>
      </c>
      <c r="P9" s="3">
        <v>8.4313344777654091</v>
      </c>
      <c r="Q9" s="3">
        <v>15.2381208292088</v>
      </c>
      <c r="R9" s="3">
        <v>15.315726466031499</v>
      </c>
      <c r="S9" s="3">
        <v>9.3781326631849407</v>
      </c>
      <c r="T9" s="3">
        <v>13.7701925179623</v>
      </c>
      <c r="U9" s="3">
        <v>12.1195414953715</v>
      </c>
      <c r="V9" s="3" t="e">
        <v>#N/A</v>
      </c>
    </row>
    <row r="10" spans="1:22" x14ac:dyDescent="0.35">
      <c r="A10" s="2">
        <v>41957</v>
      </c>
      <c r="B10" s="3" t="e">
        <v>#N/A</v>
      </c>
      <c r="C10" s="3">
        <v>14.322592639994101</v>
      </c>
      <c r="D10" s="3">
        <v>14.5248236468108</v>
      </c>
      <c r="E10" s="3">
        <v>17.660855971184699</v>
      </c>
      <c r="F10" s="3">
        <v>13.366613173408</v>
      </c>
      <c r="G10" s="3">
        <v>12.0472672022998</v>
      </c>
      <c r="H10" s="3">
        <v>15.27509084799</v>
      </c>
      <c r="I10" s="3">
        <v>13.0812880560763</v>
      </c>
      <c r="J10" s="3" t="e">
        <v>#N/A</v>
      </c>
      <c r="K10" s="3">
        <v>9.6808081800142105</v>
      </c>
      <c r="L10" s="3">
        <v>10.998167242282101</v>
      </c>
      <c r="M10" s="3">
        <v>15.3639008384324</v>
      </c>
      <c r="N10" s="3">
        <v>6.4439461528940898</v>
      </c>
      <c r="O10" s="3">
        <v>17.264798603008899</v>
      </c>
      <c r="P10" s="3">
        <v>8.9356843737666907</v>
      </c>
      <c r="Q10" s="3">
        <v>15.0898572315843</v>
      </c>
      <c r="R10" s="3">
        <v>15.595834464718401</v>
      </c>
      <c r="S10" s="3">
        <v>10.1192264420513</v>
      </c>
      <c r="T10" s="3">
        <v>14.5357060569156</v>
      </c>
      <c r="U10" s="3">
        <v>12.0887934762683</v>
      </c>
      <c r="V10" s="3" t="e">
        <v>#N/A</v>
      </c>
    </row>
    <row r="11" spans="1:22" x14ac:dyDescent="0.35">
      <c r="A11" s="2">
        <v>41985</v>
      </c>
      <c r="B11" s="3" t="e">
        <v>#N/A</v>
      </c>
      <c r="C11" s="3">
        <v>13.5226232798806</v>
      </c>
      <c r="D11" s="3">
        <v>14.940320775209599</v>
      </c>
      <c r="E11" s="3">
        <v>17.218635060818599</v>
      </c>
      <c r="F11" s="3">
        <v>13.5757926795832</v>
      </c>
      <c r="G11" s="3">
        <v>12.160162467969799</v>
      </c>
      <c r="H11" s="3">
        <v>14.9003952829278</v>
      </c>
      <c r="I11" s="3">
        <v>12.8338011840845</v>
      </c>
      <c r="J11" s="3" t="e">
        <v>#N/A</v>
      </c>
      <c r="K11" s="3">
        <v>9.6172229298329199</v>
      </c>
      <c r="L11" s="3">
        <v>10.5714503800177</v>
      </c>
      <c r="M11" s="3">
        <v>14.6351312977917</v>
      </c>
      <c r="N11" s="3">
        <v>5.3309589924453604</v>
      </c>
      <c r="O11" s="3">
        <v>16.736729884452799</v>
      </c>
      <c r="P11" s="3">
        <v>9.0863143966551192</v>
      </c>
      <c r="Q11" s="3">
        <v>12.929583446367401</v>
      </c>
      <c r="R11" s="3">
        <v>14.9029994131172</v>
      </c>
      <c r="S11" s="3">
        <v>10.2226496988501</v>
      </c>
      <c r="T11" s="3">
        <v>11.614743972200801</v>
      </c>
      <c r="U11" s="3">
        <v>11.9957967559367</v>
      </c>
      <c r="V11" s="3" t="e">
        <v>#N/A</v>
      </c>
    </row>
    <row r="12" spans="1:22" x14ac:dyDescent="0.35">
      <c r="A12" s="2">
        <v>42018</v>
      </c>
      <c r="B12" s="3" t="e">
        <v>#N/A</v>
      </c>
      <c r="C12" s="3">
        <v>12.721663682645801</v>
      </c>
      <c r="D12" s="3">
        <v>14.780823646020901</v>
      </c>
      <c r="E12" s="3">
        <v>17.731721597446999</v>
      </c>
      <c r="F12" s="3">
        <v>13.474374031707001</v>
      </c>
      <c r="G12" s="3">
        <v>11.472883668354299</v>
      </c>
      <c r="H12" s="3">
        <v>14.9678191422847</v>
      </c>
      <c r="I12" s="3">
        <v>12.7358215160661</v>
      </c>
      <c r="J12" s="3" t="e">
        <v>#N/A</v>
      </c>
      <c r="K12" s="3">
        <v>9.4963643059945895</v>
      </c>
      <c r="L12" s="3">
        <v>10.817262440310101</v>
      </c>
      <c r="M12" s="3">
        <v>15.6191018846595</v>
      </c>
      <c r="N12" s="3">
        <v>4.3630012018992801</v>
      </c>
      <c r="O12" s="3">
        <v>16.8661340122996</v>
      </c>
      <c r="P12" s="3">
        <v>9.7436559942150396</v>
      </c>
      <c r="Q12" s="3">
        <v>12.8485838429153</v>
      </c>
      <c r="R12" s="3">
        <v>15.038463182197599</v>
      </c>
      <c r="S12" s="3">
        <v>10.7486029277988</v>
      </c>
      <c r="T12" s="3">
        <v>11.903272027824499</v>
      </c>
      <c r="U12" s="3">
        <v>12.045544932315799</v>
      </c>
      <c r="V12" s="3" t="e">
        <v>#N/A</v>
      </c>
    </row>
    <row r="13" spans="1:22" x14ac:dyDescent="0.35">
      <c r="A13" s="2">
        <v>42048</v>
      </c>
      <c r="B13" s="3" t="e">
        <v>#N/A</v>
      </c>
      <c r="C13" s="3">
        <v>13.472489496499399</v>
      </c>
      <c r="D13" s="3">
        <v>15.8912854970183</v>
      </c>
      <c r="E13" s="3">
        <v>18.158563766868099</v>
      </c>
      <c r="F13" s="3">
        <v>13.3718663570406</v>
      </c>
      <c r="G13" s="3">
        <v>13.435927357830501</v>
      </c>
      <c r="H13" s="3">
        <v>15.537881148258201</v>
      </c>
      <c r="I13" s="3">
        <v>12.8171333490571</v>
      </c>
      <c r="J13" s="3" t="e">
        <v>#N/A</v>
      </c>
      <c r="K13" s="3">
        <v>9.7864616724060198</v>
      </c>
      <c r="L13" s="3">
        <v>11.7818542907308</v>
      </c>
      <c r="M13" s="3">
        <v>17.052150942666199</v>
      </c>
      <c r="N13" s="3">
        <v>4.90392460148274</v>
      </c>
      <c r="O13" s="3">
        <v>18.295985325679101</v>
      </c>
      <c r="P13" s="3">
        <v>10.178291253541101</v>
      </c>
      <c r="Q13" s="3">
        <v>14.063188723207199</v>
      </c>
      <c r="R13" s="3">
        <v>16.242629798579699</v>
      </c>
      <c r="S13" s="3">
        <v>10.5266955658642</v>
      </c>
      <c r="T13" s="3">
        <v>12.676784715660901</v>
      </c>
      <c r="U13" s="3">
        <v>12.9439166841244</v>
      </c>
      <c r="V13" s="3" t="e">
        <v>#N/A</v>
      </c>
    </row>
    <row r="14" spans="1:22" x14ac:dyDescent="0.35">
      <c r="A14" s="2">
        <v>42076</v>
      </c>
      <c r="B14" s="3" t="e">
        <v>#N/A</v>
      </c>
      <c r="C14" s="3">
        <v>12.998377631764001</v>
      </c>
      <c r="D14" s="3">
        <v>15.837950139615399</v>
      </c>
      <c r="E14" s="3">
        <v>18.203849946951198</v>
      </c>
      <c r="F14" s="3">
        <v>13.3829625098344</v>
      </c>
      <c r="G14" s="3">
        <v>12.4175163314223</v>
      </c>
      <c r="H14" s="3">
        <v>15.503264698239599</v>
      </c>
      <c r="I14" s="3">
        <v>12.7079357517849</v>
      </c>
      <c r="J14" s="3" t="e">
        <v>#N/A</v>
      </c>
      <c r="K14" s="3">
        <v>9.7993700505882195</v>
      </c>
      <c r="L14" s="3">
        <v>12.0259058400438</v>
      </c>
      <c r="M14" s="3">
        <v>16.405249412654101</v>
      </c>
      <c r="N14" s="3">
        <v>4.7528281554767302</v>
      </c>
      <c r="O14" s="3">
        <v>18.069161722700201</v>
      </c>
      <c r="P14" s="3">
        <v>9.9280725008117798</v>
      </c>
      <c r="Q14" s="3">
        <v>13.524714735934801</v>
      </c>
      <c r="R14" s="3">
        <v>15.2551327713595</v>
      </c>
      <c r="S14" s="3">
        <v>9.4184169772733597</v>
      </c>
      <c r="T14" s="3">
        <v>12.313449966236499</v>
      </c>
      <c r="U14" s="3">
        <v>11.9502612760077</v>
      </c>
      <c r="V14" s="3" t="e">
        <v>#N/A</v>
      </c>
    </row>
    <row r="15" spans="1:22" x14ac:dyDescent="0.35">
      <c r="A15" s="2">
        <v>42108</v>
      </c>
      <c r="B15" s="3" t="e">
        <v>#N/A</v>
      </c>
      <c r="C15" s="3">
        <v>13.8695610223225</v>
      </c>
      <c r="D15" s="3">
        <v>15.9209668307857</v>
      </c>
      <c r="E15" s="3">
        <v>18.5754802533659</v>
      </c>
      <c r="F15" s="3">
        <v>14.444775274571599</v>
      </c>
      <c r="G15" s="3">
        <v>13.130970221100201</v>
      </c>
      <c r="H15" s="3">
        <v>16.010302960639699</v>
      </c>
      <c r="I15" s="3">
        <v>12.6105923434493</v>
      </c>
      <c r="J15" s="3" t="e">
        <v>#N/A</v>
      </c>
      <c r="K15" s="3">
        <v>10.284570915880501</v>
      </c>
      <c r="L15" s="3">
        <v>13.6948824507915</v>
      </c>
      <c r="M15" s="3">
        <v>17.5273582531545</v>
      </c>
      <c r="N15" s="3">
        <v>5.02956148365051</v>
      </c>
      <c r="O15" s="3">
        <v>18.437352452153601</v>
      </c>
      <c r="P15" s="3">
        <v>12.0834616607412</v>
      </c>
      <c r="Q15" s="3">
        <v>13.0795543149273</v>
      </c>
      <c r="R15" s="3">
        <v>15.2990998843432</v>
      </c>
      <c r="S15" s="3">
        <v>10.0232377290372</v>
      </c>
      <c r="T15" s="3">
        <v>12.7715490072977</v>
      </c>
      <c r="U15" s="3">
        <v>13.331183491700299</v>
      </c>
      <c r="V15" s="3" t="e">
        <v>#N/A</v>
      </c>
    </row>
    <row r="16" spans="1:22" x14ac:dyDescent="0.35">
      <c r="A16" s="2">
        <v>42138</v>
      </c>
      <c r="B16" s="3" t="e">
        <v>#N/A</v>
      </c>
      <c r="C16" s="3">
        <v>14.2040841489868</v>
      </c>
      <c r="D16" s="3">
        <v>15.3438109415422</v>
      </c>
      <c r="E16" s="3">
        <v>18.177865390536301</v>
      </c>
      <c r="F16" s="3">
        <v>14.593288116932801</v>
      </c>
      <c r="G16" s="3">
        <v>13.6766101072723</v>
      </c>
      <c r="H16" s="3">
        <v>15.7294007740323</v>
      </c>
      <c r="I16" s="3">
        <v>12.7028673701658</v>
      </c>
      <c r="J16" s="3" t="e">
        <v>#N/A</v>
      </c>
      <c r="K16" s="3">
        <v>9.9741188416005908</v>
      </c>
      <c r="L16" s="3">
        <v>14.4988260472779</v>
      </c>
      <c r="M16" s="3">
        <v>16.999042023646201</v>
      </c>
      <c r="N16" s="3">
        <v>5.2312456580293798</v>
      </c>
      <c r="O16" s="3">
        <v>17.181583592490998</v>
      </c>
      <c r="P16" s="3">
        <v>11.7829384991447</v>
      </c>
      <c r="Q16" s="3">
        <v>13.834005060110499</v>
      </c>
      <c r="R16" s="3">
        <v>15.443509887383801</v>
      </c>
      <c r="S16" s="3">
        <v>10.6876250231802</v>
      </c>
      <c r="T16" s="3">
        <v>13.8629653087895</v>
      </c>
      <c r="U16" s="3">
        <v>13.440814062799801</v>
      </c>
      <c r="V16" s="3" t="e">
        <v>#N/A</v>
      </c>
    </row>
    <row r="17" spans="1:22" x14ac:dyDescent="0.35">
      <c r="A17" s="2">
        <v>42167</v>
      </c>
      <c r="B17" s="3" t="e">
        <v>#N/A</v>
      </c>
      <c r="C17" s="3">
        <v>13.723237836047799</v>
      </c>
      <c r="D17" s="3">
        <v>14.343344208297999</v>
      </c>
      <c r="E17" s="3">
        <v>17.295756569350601</v>
      </c>
      <c r="F17" s="3">
        <v>13.5100815663807</v>
      </c>
      <c r="G17" s="3">
        <v>13.9270073740004</v>
      </c>
      <c r="H17" s="3">
        <v>15.409911185902599</v>
      </c>
      <c r="I17" s="3">
        <v>12.54095833347</v>
      </c>
      <c r="J17" s="3" t="e">
        <v>#N/A</v>
      </c>
      <c r="K17" s="3">
        <v>9.4930968315897992</v>
      </c>
      <c r="L17" s="3">
        <v>13.3344872044539</v>
      </c>
      <c r="M17" s="3">
        <v>16.051691361667</v>
      </c>
      <c r="N17" s="3">
        <v>5.2907553536741796</v>
      </c>
      <c r="O17" s="3">
        <v>16.795212107610901</v>
      </c>
      <c r="P17" s="3">
        <v>11.518781463985</v>
      </c>
      <c r="Q17" s="3">
        <v>13.1182487625105</v>
      </c>
      <c r="R17" s="3">
        <v>15.3176234383499</v>
      </c>
      <c r="S17" s="3">
        <v>9.8064998624742898</v>
      </c>
      <c r="T17" s="3">
        <v>12.9619173513966</v>
      </c>
      <c r="U17" s="3">
        <v>13.834951945384001</v>
      </c>
      <c r="V17" s="3" t="e">
        <v>#N/A</v>
      </c>
    </row>
    <row r="18" spans="1:22" x14ac:dyDescent="0.35">
      <c r="A18" s="2">
        <v>42199</v>
      </c>
      <c r="B18" s="3" t="e">
        <v>#N/A</v>
      </c>
      <c r="C18" s="3">
        <v>12.885919075990101</v>
      </c>
      <c r="D18" s="3">
        <v>14.489237695853401</v>
      </c>
      <c r="E18" s="3">
        <v>17.459786935237801</v>
      </c>
      <c r="F18" s="3">
        <v>12.998359686909</v>
      </c>
      <c r="G18" s="3">
        <v>12.9879045953054</v>
      </c>
      <c r="H18" s="3">
        <v>15.279122458763</v>
      </c>
      <c r="I18" s="3">
        <v>12.1545093006232</v>
      </c>
      <c r="J18" s="3" t="e">
        <v>#N/A</v>
      </c>
      <c r="K18" s="3">
        <v>9.4679327227474595</v>
      </c>
      <c r="L18" s="3">
        <v>12.9456470030264</v>
      </c>
      <c r="M18" s="3">
        <v>16.236389250692199</v>
      </c>
      <c r="N18" s="3">
        <v>4.8631122792534498</v>
      </c>
      <c r="O18" s="3">
        <v>18.406403513703999</v>
      </c>
      <c r="P18" s="3">
        <v>9.9348728848508703</v>
      </c>
      <c r="Q18" s="3">
        <v>13.189096307101201</v>
      </c>
      <c r="R18" s="3">
        <v>15.199232915438399</v>
      </c>
      <c r="S18" s="3">
        <v>10.0416664270544</v>
      </c>
      <c r="T18" s="3">
        <v>12.7860129290411</v>
      </c>
      <c r="U18" s="3">
        <v>14.836322088465099</v>
      </c>
      <c r="V18" s="3" t="e">
        <v>#N/A</v>
      </c>
    </row>
    <row r="19" spans="1:22" x14ac:dyDescent="0.35">
      <c r="A19" s="2">
        <v>42230</v>
      </c>
      <c r="B19" s="3" t="e">
        <v>#N/A</v>
      </c>
      <c r="C19" s="3">
        <v>12.3970624064999</v>
      </c>
      <c r="D19" s="3">
        <v>13.801776833766899</v>
      </c>
      <c r="E19" s="3">
        <v>17.287542398672102</v>
      </c>
      <c r="F19" s="3">
        <v>12.8169027706886</v>
      </c>
      <c r="G19" s="3">
        <v>11.743862736939599</v>
      </c>
      <c r="H19" s="3">
        <v>14.0841104180521</v>
      </c>
      <c r="I19" s="3">
        <v>11.5349649727962</v>
      </c>
      <c r="J19" s="3" t="e">
        <v>#N/A</v>
      </c>
      <c r="K19" s="3">
        <v>9.4606171409103208</v>
      </c>
      <c r="L19" s="3">
        <v>11.3208842047449</v>
      </c>
      <c r="M19" s="3">
        <v>15.2987823857785</v>
      </c>
      <c r="N19" s="3">
        <v>4.5584514190956504</v>
      </c>
      <c r="O19" s="3">
        <v>18.900003351459201</v>
      </c>
      <c r="P19" s="3">
        <v>9.6152858252699005</v>
      </c>
      <c r="Q19" s="3">
        <v>13.1645435587468</v>
      </c>
      <c r="R19" s="3">
        <v>14.4263738469388</v>
      </c>
      <c r="S19" s="3">
        <v>9.2188032306362899</v>
      </c>
      <c r="T19" s="3">
        <v>12.2087877352366</v>
      </c>
      <c r="U19" s="3">
        <v>13.621443514754301</v>
      </c>
      <c r="V19" s="3" t="e">
        <v>#N/A</v>
      </c>
    </row>
    <row r="20" spans="1:22" x14ac:dyDescent="0.35">
      <c r="A20" s="2">
        <v>42261</v>
      </c>
      <c r="B20" s="3" t="e">
        <v>#N/A</v>
      </c>
      <c r="C20" s="3">
        <v>12.5464828021915</v>
      </c>
      <c r="D20" s="3">
        <v>13.386377003362099</v>
      </c>
      <c r="E20" s="3">
        <v>16.4928996650623</v>
      </c>
      <c r="F20" s="3">
        <v>12.6295208360755</v>
      </c>
      <c r="G20" s="3">
        <v>11.193108711326801</v>
      </c>
      <c r="H20" s="3">
        <v>14.827881355986801</v>
      </c>
      <c r="I20" s="3">
        <v>11.712967737472599</v>
      </c>
      <c r="J20" s="3" t="e">
        <v>#N/A</v>
      </c>
      <c r="K20" s="3">
        <v>9.4052906385729393</v>
      </c>
      <c r="L20" s="3">
        <v>11.1971051295646</v>
      </c>
      <c r="M20" s="3">
        <v>15.064336073919501</v>
      </c>
      <c r="N20" s="3">
        <v>4.28919412675247</v>
      </c>
      <c r="O20" s="3">
        <v>17.528779999672501</v>
      </c>
      <c r="P20" s="3">
        <v>8.8002061388150103</v>
      </c>
      <c r="Q20" s="3">
        <v>12.822802478956101</v>
      </c>
      <c r="R20" s="3">
        <v>14.0926142046658</v>
      </c>
      <c r="S20" s="3">
        <v>8.4490201608690008</v>
      </c>
      <c r="T20" s="3">
        <v>11.664481222526501</v>
      </c>
      <c r="U20" s="3">
        <v>13.362602066166</v>
      </c>
      <c r="V20" s="3" t="e">
        <v>#N/A</v>
      </c>
    </row>
    <row r="21" spans="1:22" x14ac:dyDescent="0.35">
      <c r="A21" s="2">
        <v>42291</v>
      </c>
      <c r="B21" s="3" t="e">
        <v>#N/A</v>
      </c>
      <c r="C21" s="3">
        <v>12.737375163092199</v>
      </c>
      <c r="D21" s="3">
        <v>13.919458207983499</v>
      </c>
      <c r="E21" s="3">
        <v>16.362980723256101</v>
      </c>
      <c r="F21" s="3">
        <v>12.322253855331599</v>
      </c>
      <c r="G21" s="3">
        <v>12.125921233955999</v>
      </c>
      <c r="H21" s="3">
        <v>15.555930217763301</v>
      </c>
      <c r="I21" s="3">
        <v>12.06010756549</v>
      </c>
      <c r="J21" s="3" t="e">
        <v>#N/A</v>
      </c>
      <c r="K21" s="3">
        <v>10.0087966153623</v>
      </c>
      <c r="L21" s="3">
        <v>11.076462273156199</v>
      </c>
      <c r="M21" s="3">
        <v>15.9084720813616</v>
      </c>
      <c r="N21" s="3">
        <v>3.88311989980699</v>
      </c>
      <c r="O21" s="3">
        <v>17.710571842406001</v>
      </c>
      <c r="P21" s="3">
        <v>9.3543831881716208</v>
      </c>
      <c r="Q21" s="3">
        <v>12.8369032986924</v>
      </c>
      <c r="R21" s="3">
        <v>14.3401689783002</v>
      </c>
      <c r="S21" s="3">
        <v>9.3405458721098107</v>
      </c>
      <c r="T21" s="3">
        <v>12.3034136735229</v>
      </c>
      <c r="U21" s="3">
        <v>14.247752897451599</v>
      </c>
      <c r="V21" s="3">
        <v>12.886809028914501</v>
      </c>
    </row>
    <row r="22" spans="1:22" x14ac:dyDescent="0.35">
      <c r="A22" s="2">
        <v>42321</v>
      </c>
      <c r="B22" s="3" t="e">
        <v>#N/A</v>
      </c>
      <c r="C22" s="3">
        <v>13.435053300502901</v>
      </c>
      <c r="D22" s="3">
        <v>13.9709988262319</v>
      </c>
      <c r="E22" s="3">
        <v>15.938151362986201</v>
      </c>
      <c r="F22" s="3">
        <v>11.7310932431841</v>
      </c>
      <c r="G22" s="3">
        <v>7.7886467560922998</v>
      </c>
      <c r="H22" s="3">
        <v>15.0520849703931</v>
      </c>
      <c r="I22" s="3">
        <v>11.874747404755899</v>
      </c>
      <c r="J22" s="3" t="e">
        <v>#N/A</v>
      </c>
      <c r="K22" s="3">
        <v>10.100317779848</v>
      </c>
      <c r="L22" s="3">
        <v>10.8423598076542</v>
      </c>
      <c r="M22" s="3">
        <v>14.8822465419192</v>
      </c>
      <c r="N22" s="3">
        <v>4.3378729823957602</v>
      </c>
      <c r="O22" s="3">
        <v>17.032046377648101</v>
      </c>
      <c r="P22" s="3">
        <v>9.4600885266504999</v>
      </c>
      <c r="Q22" s="3">
        <v>11.8680489698312</v>
      </c>
      <c r="R22" s="3">
        <v>13.7473134247599</v>
      </c>
      <c r="S22" s="3">
        <v>9.5704809682203393</v>
      </c>
      <c r="T22" s="3">
        <v>10.643463310082</v>
      </c>
      <c r="U22" s="3">
        <v>14.475921037581299</v>
      </c>
      <c r="V22" s="3">
        <v>12.3576370942206</v>
      </c>
    </row>
    <row r="23" spans="1:22" x14ac:dyDescent="0.35">
      <c r="A23" s="2">
        <v>42352</v>
      </c>
      <c r="B23" s="3" t="e">
        <v>#N/A</v>
      </c>
      <c r="C23" s="3">
        <v>12.272958117190701</v>
      </c>
      <c r="D23" s="3">
        <v>13.6326644838964</v>
      </c>
      <c r="E23" s="3">
        <v>15.900469214627799</v>
      </c>
      <c r="F23" s="3">
        <v>11.236108852501699</v>
      </c>
      <c r="G23" s="3">
        <v>7.3149511277573396</v>
      </c>
      <c r="H23" s="3">
        <v>15.0798224185802</v>
      </c>
      <c r="I23" s="3">
        <v>11.4023625571973</v>
      </c>
      <c r="J23" s="3" t="e">
        <v>#N/A</v>
      </c>
      <c r="K23" s="3">
        <v>9.8139954244126208</v>
      </c>
      <c r="L23" s="3">
        <v>10.8215933210521</v>
      </c>
      <c r="M23" s="3">
        <v>13.6617836854572</v>
      </c>
      <c r="N23" s="3">
        <v>3.8017429548233199</v>
      </c>
      <c r="O23" s="3">
        <v>16.8084900446704</v>
      </c>
      <c r="P23" s="3">
        <v>8.9997594927461595</v>
      </c>
      <c r="Q23" s="3">
        <v>10.6491207693453</v>
      </c>
      <c r="R23" s="3">
        <v>12.352241121395901</v>
      </c>
      <c r="S23" s="3">
        <v>7.9103714375325902</v>
      </c>
      <c r="T23" s="3">
        <v>9.5207293597349594</v>
      </c>
      <c r="U23" s="3">
        <v>11.9316714891067</v>
      </c>
      <c r="V23" s="3">
        <v>12.282333955637901</v>
      </c>
    </row>
    <row r="24" spans="1:22" x14ac:dyDescent="0.35">
      <c r="A24" s="2">
        <v>42383</v>
      </c>
      <c r="B24" s="3" t="e">
        <v>#N/A</v>
      </c>
      <c r="C24" s="3">
        <v>11.8084518074001</v>
      </c>
      <c r="D24" s="3">
        <v>14.3376142730701</v>
      </c>
      <c r="E24" s="3">
        <v>14.789461727570201</v>
      </c>
      <c r="F24" s="3">
        <v>12.2879520581184</v>
      </c>
      <c r="G24" s="3">
        <v>11.137106794453301</v>
      </c>
      <c r="H24" s="3">
        <v>15.0082127181884</v>
      </c>
      <c r="I24" s="3">
        <v>11.012105956466799</v>
      </c>
      <c r="J24" s="3">
        <v>16.4168232592063</v>
      </c>
      <c r="K24" s="3">
        <v>9.8595623350550596</v>
      </c>
      <c r="L24" s="3">
        <v>9.7025759472472295</v>
      </c>
      <c r="M24" s="3">
        <v>13.203109871170801</v>
      </c>
      <c r="N24" s="3">
        <v>9.3080572460781301</v>
      </c>
      <c r="O24" s="3">
        <v>16.537887427175502</v>
      </c>
      <c r="P24" s="3">
        <v>9.1378066892609393</v>
      </c>
      <c r="Q24" s="3">
        <v>10.213276851192999</v>
      </c>
      <c r="R24" s="3">
        <v>12.5613720090613</v>
      </c>
      <c r="S24" s="3">
        <v>8.0918346592847303</v>
      </c>
      <c r="T24" s="3">
        <v>10.5843888959851</v>
      </c>
      <c r="U24" s="3" t="e">
        <v>#N/A</v>
      </c>
      <c r="V24" s="3">
        <v>11.0212951889068</v>
      </c>
    </row>
    <row r="25" spans="1:22" x14ac:dyDescent="0.35">
      <c r="A25" s="2">
        <v>42412</v>
      </c>
      <c r="B25" s="3" t="e">
        <v>#N/A</v>
      </c>
      <c r="C25" s="3">
        <v>12.062936192335</v>
      </c>
      <c r="D25" s="3">
        <v>14.9115120887027</v>
      </c>
      <c r="E25" s="3">
        <v>15.350729219901901</v>
      </c>
      <c r="F25" s="3">
        <v>12.428345800305401</v>
      </c>
      <c r="G25" s="3">
        <v>13.7536641994313</v>
      </c>
      <c r="H25" s="3">
        <v>15.220814795275601</v>
      </c>
      <c r="I25" s="3">
        <v>11.772377800027799</v>
      </c>
      <c r="J25" s="3">
        <v>16.987160393149299</v>
      </c>
      <c r="K25" s="3">
        <v>9.9019315518643491</v>
      </c>
      <c r="L25" s="3">
        <v>10.156228593898501</v>
      </c>
      <c r="M25" s="3">
        <v>13.7753518739223</v>
      </c>
      <c r="N25" s="3">
        <v>7.8732771751344899</v>
      </c>
      <c r="O25" s="3">
        <v>16.058990335475102</v>
      </c>
      <c r="P25" s="3">
        <v>8.4468733717020097</v>
      </c>
      <c r="Q25" s="3">
        <v>11.017689304522399</v>
      </c>
      <c r="R25" s="3">
        <v>13.084110308527601</v>
      </c>
      <c r="S25" s="3">
        <v>8.0307630757781592</v>
      </c>
      <c r="T25" s="3">
        <v>10.478078077823399</v>
      </c>
      <c r="U25" s="3">
        <v>14.1112055803979</v>
      </c>
      <c r="V25" s="3">
        <v>11.0804193027128</v>
      </c>
    </row>
    <row r="26" spans="1:22" x14ac:dyDescent="0.35">
      <c r="A26" s="2">
        <v>42443</v>
      </c>
      <c r="B26" s="3" t="e">
        <v>#N/A</v>
      </c>
      <c r="C26" s="3">
        <v>12.759874135666401</v>
      </c>
      <c r="D26" s="3">
        <v>15.364034049559001</v>
      </c>
      <c r="E26" s="3">
        <v>16.227508556143199</v>
      </c>
      <c r="F26" s="3">
        <v>13.3651513264162</v>
      </c>
      <c r="G26" s="3">
        <v>14.797221280932501</v>
      </c>
      <c r="H26" s="3">
        <v>15.945543018861001</v>
      </c>
      <c r="I26" s="3">
        <v>12.7446279366147</v>
      </c>
      <c r="J26" s="3">
        <v>18.067635057244999</v>
      </c>
      <c r="K26" s="3">
        <v>10.504467697797701</v>
      </c>
      <c r="L26" s="3">
        <v>12.594319633271899</v>
      </c>
      <c r="M26" s="3">
        <v>14.461018834608801</v>
      </c>
      <c r="N26" s="3">
        <v>8.8479316168647095</v>
      </c>
      <c r="O26" s="3">
        <v>17.092637440821399</v>
      </c>
      <c r="P26" s="3">
        <v>9.7517245892796307</v>
      </c>
      <c r="Q26" s="3">
        <v>12.1294260906913</v>
      </c>
      <c r="R26" s="3">
        <v>14.578250205345601</v>
      </c>
      <c r="S26" s="3">
        <v>8.9621716595452501</v>
      </c>
      <c r="T26" s="3">
        <v>12.490682522421499</v>
      </c>
      <c r="U26" s="3">
        <v>15.3346534941361</v>
      </c>
      <c r="V26" s="3">
        <v>12.743866488436399</v>
      </c>
    </row>
    <row r="27" spans="1:22" x14ac:dyDescent="0.35">
      <c r="A27" s="2">
        <v>42474</v>
      </c>
      <c r="B27" s="3" t="e">
        <v>#N/A</v>
      </c>
      <c r="C27" s="3">
        <v>13.334185329096499</v>
      </c>
      <c r="D27" s="3">
        <v>14.8748309800405</v>
      </c>
      <c r="E27" s="3">
        <v>17.103495715568201</v>
      </c>
      <c r="F27" s="3">
        <v>13.3417937856644</v>
      </c>
      <c r="G27" s="3">
        <v>15.165647249898701</v>
      </c>
      <c r="H27" s="3">
        <v>16.2352024716686</v>
      </c>
      <c r="I27" s="3">
        <v>12.7706981677599</v>
      </c>
      <c r="J27" s="3">
        <v>19.520398556418499</v>
      </c>
      <c r="K27" s="3">
        <v>10.691675085635399</v>
      </c>
      <c r="L27" s="3">
        <v>13.827276507799599</v>
      </c>
      <c r="M27" s="3">
        <v>15.223100922908101</v>
      </c>
      <c r="N27" s="3">
        <v>8.4974619713346193</v>
      </c>
      <c r="O27" s="3">
        <v>17.4145323043427</v>
      </c>
      <c r="P27" s="3">
        <v>10.464866914385601</v>
      </c>
      <c r="Q27" s="3">
        <v>12.1120279958638</v>
      </c>
      <c r="R27" s="3">
        <v>14.2748633486071</v>
      </c>
      <c r="S27" s="3">
        <v>9.3810379387221392</v>
      </c>
      <c r="T27" s="3">
        <v>13.348623799096501</v>
      </c>
      <c r="U27" s="3">
        <v>12.7941790153219</v>
      </c>
      <c r="V27" s="3">
        <v>12.963119952769199</v>
      </c>
    </row>
    <row r="28" spans="1:22" x14ac:dyDescent="0.35">
      <c r="A28" s="2">
        <v>42503</v>
      </c>
      <c r="B28" s="3" t="e">
        <v>#N/A</v>
      </c>
      <c r="C28" s="3">
        <v>13.6926017592842</v>
      </c>
      <c r="D28" s="3">
        <v>14.365931809109799</v>
      </c>
      <c r="E28" s="3">
        <v>16.352990917448199</v>
      </c>
      <c r="F28" s="3">
        <v>12.007746890523</v>
      </c>
      <c r="G28" s="3">
        <v>15.2030761444689</v>
      </c>
      <c r="H28" s="3">
        <v>15.348225545354801</v>
      </c>
      <c r="I28" s="3">
        <v>11.9488002579255</v>
      </c>
      <c r="J28" s="3">
        <v>19.560632323582901</v>
      </c>
      <c r="K28" s="3">
        <v>9.8865280414018599</v>
      </c>
      <c r="L28" s="3">
        <v>12.734172159177101</v>
      </c>
      <c r="M28" s="3">
        <v>14.1017462196182</v>
      </c>
      <c r="N28" s="3">
        <v>10.6336572759388</v>
      </c>
      <c r="O28" s="3">
        <v>17.3056538054798</v>
      </c>
      <c r="P28" s="3">
        <v>9.46744278450773</v>
      </c>
      <c r="Q28" s="3">
        <v>11.7673603000057</v>
      </c>
      <c r="R28" s="3">
        <v>14.2246519648729</v>
      </c>
      <c r="S28" s="3">
        <v>8.5051324798118806</v>
      </c>
      <c r="T28" s="3">
        <v>12.749585009602001</v>
      </c>
      <c r="U28" s="3">
        <v>12.5593920696413</v>
      </c>
      <c r="V28" s="3">
        <v>13.552743188391499</v>
      </c>
    </row>
    <row r="29" spans="1:22" x14ac:dyDescent="0.35">
      <c r="A29" s="2">
        <v>42535</v>
      </c>
      <c r="B29" s="3" t="e">
        <v>#N/A</v>
      </c>
      <c r="C29" s="3">
        <v>13.5174835509712</v>
      </c>
      <c r="D29" s="3">
        <v>14.7668670337763</v>
      </c>
      <c r="E29" s="3">
        <v>16.7983488803564</v>
      </c>
      <c r="F29" s="3">
        <v>11.598328089824699</v>
      </c>
      <c r="G29" s="3">
        <v>13.915112449897199</v>
      </c>
      <c r="H29" s="3">
        <v>15.983345900917801</v>
      </c>
      <c r="I29" s="3">
        <v>12.9611100823863</v>
      </c>
      <c r="J29" s="3">
        <v>18.104085085231201</v>
      </c>
      <c r="K29" s="3">
        <v>9.9348899207208294</v>
      </c>
      <c r="L29" s="3">
        <v>11.8777949454709</v>
      </c>
      <c r="M29" s="3">
        <v>14.316023382009799</v>
      </c>
      <c r="N29" s="3">
        <v>9.2094060744482302</v>
      </c>
      <c r="O29" s="3">
        <v>17.4359125183157</v>
      </c>
      <c r="P29" s="3">
        <v>10.6246486657292</v>
      </c>
      <c r="Q29" s="3">
        <v>11.6686796947348</v>
      </c>
      <c r="R29" s="3">
        <v>14.6220701246242</v>
      </c>
      <c r="S29" s="3">
        <v>8.2088115391942509</v>
      </c>
      <c r="T29" s="3">
        <v>12.333940422047</v>
      </c>
      <c r="U29" s="3">
        <v>12.4244015448306</v>
      </c>
      <c r="V29" s="3">
        <v>13.7830327076509</v>
      </c>
    </row>
    <row r="30" spans="1:22" x14ac:dyDescent="0.35">
      <c r="A30" s="2">
        <v>42565</v>
      </c>
      <c r="B30" s="3">
        <v>13.9014321007891</v>
      </c>
      <c r="C30" s="3">
        <v>15.0975955772491</v>
      </c>
      <c r="D30" s="3">
        <v>15.868511493263901</v>
      </c>
      <c r="E30" s="3">
        <v>17.846058457669798</v>
      </c>
      <c r="F30" s="3">
        <v>11.3516208332628</v>
      </c>
      <c r="G30" s="3">
        <v>14.5686505110911</v>
      </c>
      <c r="H30" s="3">
        <v>16.3596849946703</v>
      </c>
      <c r="I30" s="3">
        <v>13.3830430409336</v>
      </c>
      <c r="J30" s="3">
        <v>18.449106927475501</v>
      </c>
      <c r="K30" s="3">
        <v>10.092635710623901</v>
      </c>
      <c r="L30" s="3">
        <v>13.525159684143</v>
      </c>
      <c r="M30" s="3">
        <v>15.136690364641099</v>
      </c>
      <c r="N30" s="3">
        <v>9.0087815970609295</v>
      </c>
      <c r="O30" s="3">
        <v>18.163730319219599</v>
      </c>
      <c r="P30" s="3">
        <v>11.3688965404897</v>
      </c>
      <c r="Q30" s="3">
        <v>12.4214674431982</v>
      </c>
      <c r="R30" s="3">
        <v>15.167732428641701</v>
      </c>
      <c r="S30" s="3">
        <v>8.8879264393075808</v>
      </c>
      <c r="T30" s="3">
        <v>12.958094172658299</v>
      </c>
      <c r="U30" s="3">
        <v>12.5526304438857</v>
      </c>
      <c r="V30" s="3">
        <v>13.620424441388099</v>
      </c>
    </row>
    <row r="31" spans="1:22" x14ac:dyDescent="0.35">
      <c r="A31" s="2">
        <v>42594</v>
      </c>
      <c r="B31" s="3">
        <v>13.8155389417599</v>
      </c>
      <c r="C31" s="3">
        <v>15.673098388706</v>
      </c>
      <c r="D31" s="3">
        <v>16.732034748866798</v>
      </c>
      <c r="E31" s="3">
        <v>18.271550466930002</v>
      </c>
      <c r="F31" s="3">
        <v>12.482071277970601</v>
      </c>
      <c r="G31" s="3">
        <v>14.5877483216097</v>
      </c>
      <c r="H31" s="3">
        <v>16.6728891428201</v>
      </c>
      <c r="I31" s="3">
        <v>13.8508979234254</v>
      </c>
      <c r="J31" s="3">
        <v>18.9663880056276</v>
      </c>
      <c r="K31" s="3">
        <v>10.088075787053301</v>
      </c>
      <c r="L31" s="3">
        <v>14.0662669669039</v>
      </c>
      <c r="M31" s="3">
        <v>15.9158521618662</v>
      </c>
      <c r="N31" s="3">
        <v>8.7746830510558098</v>
      </c>
      <c r="O31" s="3">
        <v>18.2893483938436</v>
      </c>
      <c r="P31" s="3">
        <v>12.071077939576201</v>
      </c>
      <c r="Q31" s="3">
        <v>13.0946907970708</v>
      </c>
      <c r="R31" s="3">
        <v>15.531813993202499</v>
      </c>
      <c r="S31" s="3">
        <v>8.4597538410836197</v>
      </c>
      <c r="T31" s="3">
        <v>12.5738411535601</v>
      </c>
      <c r="U31" s="3">
        <v>11.7371413078711</v>
      </c>
      <c r="V31" s="3">
        <v>12.934003703075099</v>
      </c>
    </row>
    <row r="32" spans="1:22" x14ac:dyDescent="0.35">
      <c r="A32" s="2">
        <v>42627</v>
      </c>
      <c r="B32" s="3">
        <v>13.5710694888798</v>
      </c>
      <c r="C32" s="3">
        <v>15.28805844006</v>
      </c>
      <c r="D32" s="3">
        <v>15.5454985643686</v>
      </c>
      <c r="E32" s="3">
        <v>16.902201342933601</v>
      </c>
      <c r="F32" s="3">
        <v>11.607408623417999</v>
      </c>
      <c r="G32" s="3">
        <v>13.661665992311301</v>
      </c>
      <c r="H32" s="3">
        <v>16.6936984076046</v>
      </c>
      <c r="I32" s="3">
        <v>13.1930918311217</v>
      </c>
      <c r="J32" s="3">
        <v>17.376087498273201</v>
      </c>
      <c r="K32" s="3">
        <v>9.9356136057471591</v>
      </c>
      <c r="L32" s="3">
        <v>13.557361776209699</v>
      </c>
      <c r="M32" s="3">
        <v>14.9969691397401</v>
      </c>
      <c r="N32" s="3">
        <v>8.2419825565313296</v>
      </c>
      <c r="O32" s="3">
        <v>17.878096131769802</v>
      </c>
      <c r="P32" s="3">
        <v>12.235809635252201</v>
      </c>
      <c r="Q32" s="3">
        <v>12.8755185509239</v>
      </c>
      <c r="R32" s="3">
        <v>14.327583039965299</v>
      </c>
      <c r="S32" s="3">
        <v>8.3804205938428193</v>
      </c>
      <c r="T32" s="3">
        <v>12.1992984073523</v>
      </c>
      <c r="U32" s="3">
        <v>11.3918032793644</v>
      </c>
      <c r="V32" s="3">
        <v>12.5231774160047</v>
      </c>
    </row>
    <row r="33" spans="1:22" x14ac:dyDescent="0.35">
      <c r="A33" s="2">
        <v>42657</v>
      </c>
      <c r="B33" s="3">
        <v>13.6998862939201</v>
      </c>
      <c r="C33" s="3">
        <v>16.037005420797399</v>
      </c>
      <c r="D33" s="3">
        <v>16.465111002517599</v>
      </c>
      <c r="E33" s="3">
        <v>16.384679034158001</v>
      </c>
      <c r="F33" s="3">
        <v>11.4600371958011</v>
      </c>
      <c r="G33" s="3">
        <v>12.0845557197738</v>
      </c>
      <c r="H33" s="3">
        <v>16.717524493239299</v>
      </c>
      <c r="I33" s="3">
        <v>13.5312770561344</v>
      </c>
      <c r="J33" s="3">
        <v>17.940776614036299</v>
      </c>
      <c r="K33" s="3">
        <v>9.9446434414283598</v>
      </c>
      <c r="L33" s="3">
        <v>14.3328927008601</v>
      </c>
      <c r="M33" s="3">
        <v>14.4267918254388</v>
      </c>
      <c r="N33" s="3">
        <v>8.9856751836678797</v>
      </c>
      <c r="O33" s="3">
        <v>17.539709006433799</v>
      </c>
      <c r="P33" s="3">
        <v>12.1936352815595</v>
      </c>
      <c r="Q33" s="3">
        <v>12.7817233117288</v>
      </c>
      <c r="R33" s="3">
        <v>14.4756778304191</v>
      </c>
      <c r="S33" s="3">
        <v>8.2727521337480496</v>
      </c>
      <c r="T33" s="3">
        <v>12.1856404453872</v>
      </c>
      <c r="U33" s="3">
        <v>13.4160878008826</v>
      </c>
      <c r="V33" s="3">
        <v>11.745580273824499</v>
      </c>
    </row>
    <row r="34" spans="1:22" x14ac:dyDescent="0.35">
      <c r="A34" s="2">
        <v>42688</v>
      </c>
      <c r="B34" s="3">
        <v>14.0863150465823</v>
      </c>
      <c r="C34" s="3">
        <v>15.861596149617601</v>
      </c>
      <c r="D34" s="3">
        <v>14.774550620618699</v>
      </c>
      <c r="E34" s="3">
        <v>15.3195532643685</v>
      </c>
      <c r="F34" s="3">
        <v>11.391554757408899</v>
      </c>
      <c r="G34" s="3">
        <v>11.670316913039301</v>
      </c>
      <c r="H34" s="3">
        <v>16.1276324480115</v>
      </c>
      <c r="I34" s="3">
        <v>12.8596448586778</v>
      </c>
      <c r="J34" s="3">
        <v>16.6902879830985</v>
      </c>
      <c r="K34" s="3">
        <v>9.5858019698575099</v>
      </c>
      <c r="L34" s="3">
        <v>13.504473464315801</v>
      </c>
      <c r="M34" s="3">
        <v>13.5450076559521</v>
      </c>
      <c r="N34" s="3">
        <v>8.5284592737932297</v>
      </c>
      <c r="O34" s="3">
        <v>16.5015353081847</v>
      </c>
      <c r="P34" s="3">
        <v>11.4951445440845</v>
      </c>
      <c r="Q34" s="3">
        <v>12.216940085401699</v>
      </c>
      <c r="R34" s="3">
        <v>14.335699034120999</v>
      </c>
      <c r="S34" s="3">
        <v>7.5727017026289802</v>
      </c>
      <c r="T34" s="3">
        <v>11.0988773094466</v>
      </c>
      <c r="U34" s="3">
        <v>12.5211489955855</v>
      </c>
      <c r="V34" s="3">
        <v>13.407839577204999</v>
      </c>
    </row>
    <row r="35" spans="1:22" x14ac:dyDescent="0.35">
      <c r="A35" s="2">
        <v>42718</v>
      </c>
      <c r="B35" s="3">
        <v>13.593428160875201</v>
      </c>
      <c r="C35" s="3">
        <v>15.840353171696</v>
      </c>
      <c r="D35" s="3">
        <v>15.075832514563499</v>
      </c>
      <c r="E35" s="3">
        <v>15.5526084081033</v>
      </c>
      <c r="F35" s="3">
        <v>12.0545463779751</v>
      </c>
      <c r="G35" s="3">
        <v>11.40426921785</v>
      </c>
      <c r="H35" s="3">
        <v>16.4862844729907</v>
      </c>
      <c r="I35" s="3">
        <v>13.1979501843739</v>
      </c>
      <c r="J35" s="3">
        <v>16.6020833787986</v>
      </c>
      <c r="K35" s="3">
        <v>9.9374526611519407</v>
      </c>
      <c r="L35" s="3">
        <v>12.388447799289001</v>
      </c>
      <c r="M35" s="3">
        <v>14.404824313013</v>
      </c>
      <c r="N35" s="3">
        <v>9.3581546160667308</v>
      </c>
      <c r="O35" s="3">
        <v>16.390584568234399</v>
      </c>
      <c r="P35" s="3">
        <v>11.6191601920255</v>
      </c>
      <c r="Q35" s="3">
        <v>13.111101322807</v>
      </c>
      <c r="R35" s="3">
        <v>14.734427845026399</v>
      </c>
      <c r="S35" s="3">
        <v>7.6311798029170701</v>
      </c>
      <c r="T35" s="3">
        <v>11.749115241173399</v>
      </c>
      <c r="U35" s="3">
        <v>12.394484716929201</v>
      </c>
      <c r="V35" s="3">
        <v>14.2038070611578</v>
      </c>
    </row>
    <row r="36" spans="1:22" x14ac:dyDescent="0.35">
      <c r="A36" s="2">
        <v>42748</v>
      </c>
      <c r="B36" s="3">
        <v>13.101566832829601</v>
      </c>
      <c r="C36" s="3">
        <v>15.6546372891342</v>
      </c>
      <c r="D36" s="3">
        <v>15.1844776012703</v>
      </c>
      <c r="E36" s="3">
        <v>16.559155313120598</v>
      </c>
      <c r="F36" s="3">
        <v>12.2149840602551</v>
      </c>
      <c r="G36" s="3">
        <v>12.1474103665228</v>
      </c>
      <c r="H36" s="3">
        <v>16.618553213094899</v>
      </c>
      <c r="I36" s="3">
        <v>13.0621142334784</v>
      </c>
      <c r="J36" s="3">
        <v>16.129952291640599</v>
      </c>
      <c r="K36" s="3">
        <v>9.8082610272811603</v>
      </c>
      <c r="L36" s="3">
        <v>13.2218415302388</v>
      </c>
      <c r="M36" s="3">
        <v>15.147364458629401</v>
      </c>
      <c r="N36" s="3">
        <v>9.3399956560945601</v>
      </c>
      <c r="O36" s="3">
        <v>16.648501741874099</v>
      </c>
      <c r="P36" s="3">
        <v>11.7854980632747</v>
      </c>
      <c r="Q36" s="3">
        <v>13.615765448004099</v>
      </c>
      <c r="R36" s="3">
        <v>15.1765332454794</v>
      </c>
      <c r="S36" s="3">
        <v>7.9871716307443004</v>
      </c>
      <c r="T36" s="3">
        <v>12.295316874165399</v>
      </c>
      <c r="U36" s="3">
        <v>12.6578748045529</v>
      </c>
      <c r="V36" s="3">
        <v>14.255920647957501</v>
      </c>
    </row>
    <row r="37" spans="1:22" x14ac:dyDescent="0.35">
      <c r="A37" s="2">
        <v>42780</v>
      </c>
      <c r="B37" s="3">
        <v>13.1334028867428</v>
      </c>
      <c r="C37" s="3">
        <v>16.014435291489999</v>
      </c>
      <c r="D37" s="3">
        <v>15.3151217209455</v>
      </c>
      <c r="E37" s="3">
        <v>16.487941343642401</v>
      </c>
      <c r="F37" s="3">
        <v>12.913227451883399</v>
      </c>
      <c r="G37" s="3">
        <v>13.5752773219112</v>
      </c>
      <c r="H37" s="3">
        <v>16.782500029977498</v>
      </c>
      <c r="I37" s="3">
        <v>13.120295082990699</v>
      </c>
      <c r="J37" s="3">
        <v>16.529857618337701</v>
      </c>
      <c r="K37" s="3">
        <v>9.4093566820158294</v>
      </c>
      <c r="L37" s="3">
        <v>13.5198177943192</v>
      </c>
      <c r="M37" s="3">
        <v>15.1071575791228</v>
      </c>
      <c r="N37" s="3">
        <v>8.9003626606017896</v>
      </c>
      <c r="O37" s="3">
        <v>17.655215656146598</v>
      </c>
      <c r="P37" s="3">
        <v>12.286387332062301</v>
      </c>
      <c r="Q37" s="3">
        <v>13.264360276632299</v>
      </c>
      <c r="R37" s="3">
        <v>15.0383489923765</v>
      </c>
      <c r="S37" s="3">
        <v>8.5715234553190793</v>
      </c>
      <c r="T37" s="3">
        <v>12.297128735889601</v>
      </c>
      <c r="U37" s="3">
        <v>13.278973186578501</v>
      </c>
      <c r="V37" s="3">
        <v>14.312687630770601</v>
      </c>
    </row>
    <row r="38" spans="1:22" x14ac:dyDescent="0.35">
      <c r="A38" s="2">
        <v>42808</v>
      </c>
      <c r="B38" s="3">
        <v>13.2583864701454</v>
      </c>
      <c r="C38" s="3">
        <v>16.0543059696619</v>
      </c>
      <c r="D38" s="3">
        <v>15.038981179788999</v>
      </c>
      <c r="E38" s="3">
        <v>16.825045899890199</v>
      </c>
      <c r="F38" s="3">
        <v>12.627079903346999</v>
      </c>
      <c r="G38" s="3">
        <v>12.7962456461354</v>
      </c>
      <c r="H38" s="3">
        <v>16.7762279478106</v>
      </c>
      <c r="I38" s="3">
        <v>13.0404631281402</v>
      </c>
      <c r="J38" s="3">
        <v>16.3686748028274</v>
      </c>
      <c r="K38" s="3">
        <v>9.6752769862116299</v>
      </c>
      <c r="L38" s="3">
        <v>12.857756129697099</v>
      </c>
      <c r="M38" s="3">
        <v>15.767043025887499</v>
      </c>
      <c r="N38" s="3">
        <v>9.1681024842730103</v>
      </c>
      <c r="O38" s="3">
        <v>17.842100293231301</v>
      </c>
      <c r="P38" s="3">
        <v>12.431033179278099</v>
      </c>
      <c r="Q38" s="3">
        <v>12.6895658930347</v>
      </c>
      <c r="R38" s="3">
        <v>14.7380333779622</v>
      </c>
      <c r="S38" s="3">
        <v>8.4301090864494608</v>
      </c>
      <c r="T38" s="3">
        <v>11.920387735051399</v>
      </c>
      <c r="U38" s="3">
        <v>12.819262671648399</v>
      </c>
      <c r="V38" s="3">
        <v>13.7929354672484</v>
      </c>
    </row>
    <row r="39" spans="1:22" x14ac:dyDescent="0.35">
      <c r="A39" s="2">
        <v>42838</v>
      </c>
      <c r="B39" s="3">
        <v>13.5871661078621</v>
      </c>
      <c r="C39" s="3">
        <v>17.225020680323698</v>
      </c>
      <c r="D39" s="3">
        <v>15.422068277562101</v>
      </c>
      <c r="E39" s="3">
        <v>17.559693908223799</v>
      </c>
      <c r="F39" s="3">
        <v>12.325962166243199</v>
      </c>
      <c r="G39" s="3">
        <v>12.073042928206601</v>
      </c>
      <c r="H39" s="3">
        <v>16.792788323415198</v>
      </c>
      <c r="I39" s="3">
        <v>13.142220004952099</v>
      </c>
      <c r="J39" s="3">
        <v>16.808367014744501</v>
      </c>
      <c r="K39" s="3">
        <v>9.2316440866315794</v>
      </c>
      <c r="L39" s="3">
        <v>12.2694407354695</v>
      </c>
      <c r="M39" s="3">
        <v>16.1202509183228</v>
      </c>
      <c r="N39" s="3">
        <v>10.806121675375801</v>
      </c>
      <c r="O39" s="3">
        <v>17.967685612951598</v>
      </c>
      <c r="P39" s="3">
        <v>12.114342945384699</v>
      </c>
      <c r="Q39" s="3">
        <v>13.102049628888601</v>
      </c>
      <c r="R39" s="3">
        <v>15.097098859463401</v>
      </c>
      <c r="S39" s="3">
        <v>8.3554104003393004</v>
      </c>
      <c r="T39" s="3">
        <v>12.092582297185499</v>
      </c>
      <c r="U39" s="3">
        <v>14.1941343229574</v>
      </c>
      <c r="V39" s="3">
        <v>13.938701092206299</v>
      </c>
    </row>
    <row r="40" spans="1:22" x14ac:dyDescent="0.35">
      <c r="A40" s="2">
        <v>42867</v>
      </c>
      <c r="B40" s="3">
        <v>13.1809635461511</v>
      </c>
      <c r="C40" s="3">
        <v>17.505816305404402</v>
      </c>
      <c r="D40" s="3">
        <v>15.7103478345577</v>
      </c>
      <c r="E40" s="3">
        <v>17.619269602866201</v>
      </c>
      <c r="F40" s="3">
        <v>12.680314917200199</v>
      </c>
      <c r="G40" s="3">
        <v>12.0069001331464</v>
      </c>
      <c r="H40" s="3">
        <v>17.0968834384894</v>
      </c>
      <c r="I40" s="3">
        <v>13.2952242478526</v>
      </c>
      <c r="J40" s="3">
        <v>16.654663809965299</v>
      </c>
      <c r="K40" s="3">
        <v>9.4207717616637208</v>
      </c>
      <c r="L40" s="3">
        <v>13.2026466797005</v>
      </c>
      <c r="M40" s="3">
        <v>16.243757567365801</v>
      </c>
      <c r="N40" s="3">
        <v>13.8288034554469</v>
      </c>
      <c r="O40" s="3">
        <v>18.288838882115101</v>
      </c>
      <c r="P40" s="3">
        <v>12.8514905729206</v>
      </c>
      <c r="Q40" s="3">
        <v>13.0903639335419</v>
      </c>
      <c r="R40" s="3">
        <v>14.5166658388732</v>
      </c>
      <c r="S40" s="3">
        <v>8.5862864680525703</v>
      </c>
      <c r="T40" s="3">
        <v>12.0191486900597</v>
      </c>
      <c r="U40" s="3">
        <v>14.986401336474801</v>
      </c>
      <c r="V40" s="3">
        <v>13.3456157017549</v>
      </c>
    </row>
    <row r="41" spans="1:22" x14ac:dyDescent="0.35">
      <c r="A41" s="2">
        <v>42900</v>
      </c>
      <c r="B41" s="3">
        <v>13.8782084919178</v>
      </c>
      <c r="C41" s="3">
        <v>17.008142787380301</v>
      </c>
      <c r="D41" s="3">
        <v>15.790141474407999</v>
      </c>
      <c r="E41" s="3">
        <v>17.782604433485901</v>
      </c>
      <c r="F41" s="3">
        <v>12.3960772469846</v>
      </c>
      <c r="G41" s="3">
        <v>11.882286963668401</v>
      </c>
      <c r="H41" s="3">
        <v>16.7864324750416</v>
      </c>
      <c r="I41" s="3">
        <v>13.4391883623782</v>
      </c>
      <c r="J41" s="3">
        <v>16.579569458829098</v>
      </c>
      <c r="K41" s="3">
        <v>9.5732157562115994</v>
      </c>
      <c r="L41" s="3">
        <v>11.8248781277003</v>
      </c>
      <c r="M41" s="3">
        <v>15.0064154934923</v>
      </c>
      <c r="N41" s="3">
        <v>13.580825176161399</v>
      </c>
      <c r="O41" s="3">
        <v>18.187728007367099</v>
      </c>
      <c r="P41" s="3">
        <v>12.968788483414301</v>
      </c>
      <c r="Q41" s="3">
        <v>12.190584295517001</v>
      </c>
      <c r="R41" s="3">
        <v>14.776693289842999</v>
      </c>
      <c r="S41" s="3">
        <v>8.6767013482512798</v>
      </c>
      <c r="T41" s="3">
        <v>11.263065762758799</v>
      </c>
      <c r="U41" s="3">
        <v>14.5184518543381</v>
      </c>
      <c r="V41" s="3">
        <v>13.713854562201</v>
      </c>
    </row>
    <row r="42" spans="1:22" x14ac:dyDescent="0.35">
      <c r="A42" s="2">
        <v>42930</v>
      </c>
      <c r="B42" s="3">
        <v>14.207740659691201</v>
      </c>
      <c r="C42" s="3">
        <v>17.613495712141098</v>
      </c>
      <c r="D42" s="3">
        <v>15.7517049081662</v>
      </c>
      <c r="E42" s="3">
        <v>16.795605535436199</v>
      </c>
      <c r="F42" s="3">
        <v>12.665213164705399</v>
      </c>
      <c r="G42" s="3">
        <v>12.257039221344099</v>
      </c>
      <c r="H42" s="3">
        <v>16.322608806530098</v>
      </c>
      <c r="I42" s="3">
        <v>14.036014393538</v>
      </c>
      <c r="J42" s="3">
        <v>17.118816847952299</v>
      </c>
      <c r="K42" s="3">
        <v>9.5839025157922499</v>
      </c>
      <c r="L42" s="3">
        <v>12.385540681933</v>
      </c>
      <c r="M42" s="3">
        <v>15.520835464338401</v>
      </c>
      <c r="N42" s="3">
        <v>13.1750608389954</v>
      </c>
      <c r="O42" s="3">
        <v>18.633146962115401</v>
      </c>
      <c r="P42" s="3">
        <v>13.296308132682</v>
      </c>
      <c r="Q42" s="3">
        <v>12.324358951069399</v>
      </c>
      <c r="R42" s="3">
        <v>14.653939718427001</v>
      </c>
      <c r="S42" s="3">
        <v>8.8704192672439</v>
      </c>
      <c r="T42" s="3">
        <v>11.5337854302006</v>
      </c>
      <c r="U42" s="3">
        <v>15.1635812408077</v>
      </c>
      <c r="V42" s="3">
        <v>14.653639753858601</v>
      </c>
    </row>
    <row r="43" spans="1:22" x14ac:dyDescent="0.35">
      <c r="A43" s="2">
        <v>42961</v>
      </c>
      <c r="B43" s="3">
        <v>13.8376461187831</v>
      </c>
      <c r="C43" s="3">
        <v>17.6589487725781</v>
      </c>
      <c r="D43" s="3">
        <v>15.5656114430299</v>
      </c>
      <c r="E43" s="3">
        <v>16.4806795486437</v>
      </c>
      <c r="F43" s="3">
        <v>12.589302584476901</v>
      </c>
      <c r="G43" s="3">
        <v>12.739820496284</v>
      </c>
      <c r="H43" s="3">
        <v>16.3280106359774</v>
      </c>
      <c r="I43" s="3">
        <v>13.755809994833999</v>
      </c>
      <c r="J43" s="3">
        <v>17.202974312965502</v>
      </c>
      <c r="K43" s="3">
        <v>9.0407200901903995</v>
      </c>
      <c r="L43" s="3">
        <v>12.9930793740435</v>
      </c>
      <c r="M43" s="3">
        <v>15.7340710630133</v>
      </c>
      <c r="N43" s="3">
        <v>12.546104986446601</v>
      </c>
      <c r="O43" s="3">
        <v>18.587247484818199</v>
      </c>
      <c r="P43" s="3">
        <v>13.434596347582801</v>
      </c>
      <c r="Q43" s="3">
        <v>12.2314464583441</v>
      </c>
      <c r="R43" s="3">
        <v>14.610917206148001</v>
      </c>
      <c r="S43" s="3">
        <v>8.7489979207499804</v>
      </c>
      <c r="T43" s="3">
        <v>11.585721526895</v>
      </c>
      <c r="U43" s="3">
        <v>15.9524702370007</v>
      </c>
      <c r="V43" s="3">
        <v>14.042159643220399</v>
      </c>
    </row>
    <row r="44" spans="1:22" x14ac:dyDescent="0.35">
      <c r="A44" s="2">
        <v>42992</v>
      </c>
      <c r="B44" s="3">
        <v>14.373433378839</v>
      </c>
      <c r="C44" s="3">
        <v>18.788383798973701</v>
      </c>
      <c r="D44" s="3">
        <v>15.3557593789431</v>
      </c>
      <c r="E44" s="3">
        <v>17.016741533194999</v>
      </c>
      <c r="F44" s="3">
        <v>12.497782690044501</v>
      </c>
      <c r="G44" s="3">
        <v>13.0562473496064</v>
      </c>
      <c r="H44" s="3">
        <v>16.462756894493801</v>
      </c>
      <c r="I44" s="3">
        <v>13.7908939317063</v>
      </c>
      <c r="J44" s="3">
        <v>16.841341936110901</v>
      </c>
      <c r="K44" s="3">
        <v>9.1549188361458391</v>
      </c>
      <c r="L44" s="3">
        <v>13.9199337910055</v>
      </c>
      <c r="M44" s="3">
        <v>15.330665029609101</v>
      </c>
      <c r="N44" s="3">
        <v>10.9968435958071</v>
      </c>
      <c r="O44" s="3">
        <v>18.9594386032357</v>
      </c>
      <c r="P44" s="3">
        <v>13.528725572126699</v>
      </c>
      <c r="Q44" s="3">
        <v>11.0265503262377</v>
      </c>
      <c r="R44" s="3">
        <v>15.431502951790399</v>
      </c>
      <c r="S44" s="3">
        <v>8.4799762943196093</v>
      </c>
      <c r="T44" s="3">
        <v>11.233240624425299</v>
      </c>
      <c r="U44" s="3">
        <v>16.158744425776501</v>
      </c>
      <c r="V44" s="3">
        <v>14.022269183586699</v>
      </c>
    </row>
    <row r="45" spans="1:22" x14ac:dyDescent="0.35">
      <c r="A45" s="2">
        <v>43021</v>
      </c>
      <c r="B45" s="3">
        <v>14.3967849634874</v>
      </c>
      <c r="C45" s="3">
        <v>15.484159805653499</v>
      </c>
      <c r="D45" s="3">
        <v>15.6869905250316</v>
      </c>
      <c r="E45" s="3">
        <v>17.831861571302898</v>
      </c>
      <c r="F45" s="3">
        <v>12.4089501610752</v>
      </c>
      <c r="G45" s="3">
        <v>13.253149676716999</v>
      </c>
      <c r="H45" s="3">
        <v>16.1016130738032</v>
      </c>
      <c r="I45" s="3">
        <v>13.730390447732599</v>
      </c>
      <c r="J45" s="3">
        <v>16.3806985132717</v>
      </c>
      <c r="K45" s="3">
        <v>9.4262245741873905</v>
      </c>
      <c r="L45" s="3">
        <v>14.172577756163401</v>
      </c>
      <c r="M45" s="3">
        <v>15.7000025806314</v>
      </c>
      <c r="N45" s="3">
        <v>12.0225616718787</v>
      </c>
      <c r="O45" s="3">
        <v>18.681552832043</v>
      </c>
      <c r="P45" s="3">
        <v>13.794586333790001</v>
      </c>
      <c r="Q45" s="3">
        <v>10.868409802465299</v>
      </c>
      <c r="R45" s="3">
        <v>15.768206061853</v>
      </c>
      <c r="S45" s="3">
        <v>8.1862261542656096</v>
      </c>
      <c r="T45" s="3">
        <v>11.4091927644071</v>
      </c>
      <c r="U45" s="3">
        <v>16.235487478670301</v>
      </c>
      <c r="V45" s="3">
        <v>13.0298230352202</v>
      </c>
    </row>
    <row r="46" spans="1:22" x14ac:dyDescent="0.35">
      <c r="A46" s="2">
        <v>43053</v>
      </c>
      <c r="B46" s="3">
        <v>14.742782794653699</v>
      </c>
      <c r="C46" s="3">
        <v>14.2432857694728</v>
      </c>
      <c r="D46" s="3">
        <v>15.222962681143301</v>
      </c>
      <c r="E46" s="3">
        <v>17.5956096671284</v>
      </c>
      <c r="F46" s="3">
        <v>11.868228342277099</v>
      </c>
      <c r="G46" s="3">
        <v>12.857782022885599</v>
      </c>
      <c r="H46" s="3">
        <v>15.7291926627161</v>
      </c>
      <c r="I46" s="3">
        <v>13.739369871055899</v>
      </c>
      <c r="J46" s="3">
        <v>15.6623523948327</v>
      </c>
      <c r="K46" s="3">
        <v>9.3653795319779292</v>
      </c>
      <c r="L46" s="3">
        <v>12.7419014040828</v>
      </c>
      <c r="M46" s="3">
        <v>15.436545394982099</v>
      </c>
      <c r="N46" s="3">
        <v>11.5112167570446</v>
      </c>
      <c r="O46" s="3">
        <v>18.6072344496976</v>
      </c>
      <c r="P46" s="3">
        <v>13.870079472682299</v>
      </c>
      <c r="Q46" s="3">
        <v>10.8668952345098</v>
      </c>
      <c r="R46" s="3">
        <v>15.606780712736599</v>
      </c>
      <c r="S46" s="3">
        <v>8.2952415581060404</v>
      </c>
      <c r="T46" s="3">
        <v>10.9181188199668</v>
      </c>
      <c r="U46" s="3">
        <v>16.000747766397499</v>
      </c>
      <c r="V46" s="3">
        <v>13.1119188664613</v>
      </c>
    </row>
    <row r="47" spans="1:22" x14ac:dyDescent="0.35">
      <c r="A47" s="2">
        <v>43083</v>
      </c>
      <c r="B47" s="3">
        <v>13.9189624874959</v>
      </c>
      <c r="C47" s="3">
        <v>13.053310484808501</v>
      </c>
      <c r="D47" s="3">
        <v>15.4237344934217</v>
      </c>
      <c r="E47" s="3">
        <v>17.396999541763201</v>
      </c>
      <c r="F47" s="3">
        <v>11.7657637721101</v>
      </c>
      <c r="G47" s="3">
        <v>11.923873158356299</v>
      </c>
      <c r="H47" s="3">
        <v>16.1407962506219</v>
      </c>
      <c r="I47" s="3">
        <v>13.213050548675</v>
      </c>
      <c r="J47" s="3">
        <v>15.7092116117517</v>
      </c>
      <c r="K47" s="3">
        <v>9.1017156250120799</v>
      </c>
      <c r="L47" s="3">
        <v>12.896635088338201</v>
      </c>
      <c r="M47" s="3">
        <v>14.315813567977701</v>
      </c>
      <c r="N47" s="3">
        <v>13.876378160215999</v>
      </c>
      <c r="O47" s="3">
        <v>18.5848409716987</v>
      </c>
      <c r="P47" s="3">
        <v>13.3176783141996</v>
      </c>
      <c r="Q47" s="3">
        <v>11.470918345705201</v>
      </c>
      <c r="R47" s="3">
        <v>15.593048015849901</v>
      </c>
      <c r="S47" s="3">
        <v>7.9675674516134496</v>
      </c>
      <c r="T47" s="3">
        <v>10.705835651063101</v>
      </c>
      <c r="U47" s="3">
        <v>18.165668142341701</v>
      </c>
      <c r="V47" s="3">
        <v>13.0893717556129</v>
      </c>
    </row>
    <row r="48" spans="1:22" x14ac:dyDescent="0.35">
      <c r="A48" s="2">
        <v>43112</v>
      </c>
      <c r="B48" s="3">
        <v>14.3154383415176</v>
      </c>
      <c r="C48" s="3">
        <v>14.4438371248916</v>
      </c>
      <c r="D48" s="3">
        <v>15.8212163966398</v>
      </c>
      <c r="E48" s="3">
        <v>18.006621373991099</v>
      </c>
      <c r="F48" s="3">
        <v>12.366100433919501</v>
      </c>
      <c r="G48" s="3">
        <v>14.0259735028596</v>
      </c>
      <c r="H48" s="3">
        <v>16.673515218119999</v>
      </c>
      <c r="I48" s="3">
        <v>13.5014906331762</v>
      </c>
      <c r="J48" s="3">
        <v>15.836438254789099</v>
      </c>
      <c r="K48" s="3">
        <v>9.2793928298706394</v>
      </c>
      <c r="L48" s="3">
        <v>13.704095262873899</v>
      </c>
      <c r="M48" s="3">
        <v>14.906547808853899</v>
      </c>
      <c r="N48" s="3">
        <v>14.407532857066901</v>
      </c>
      <c r="O48" s="3">
        <v>19.232751269771001</v>
      </c>
      <c r="P48" s="3">
        <v>14.0817043218966</v>
      </c>
      <c r="Q48" s="3">
        <v>12.278690914335799</v>
      </c>
      <c r="R48" s="3">
        <v>16.348005843050199</v>
      </c>
      <c r="S48" s="3">
        <v>8.10137757945758</v>
      </c>
      <c r="T48" s="3">
        <v>11.467548161998501</v>
      </c>
      <c r="U48" s="3">
        <v>20.5067517453401</v>
      </c>
      <c r="V48" s="3">
        <v>13.582097447418199</v>
      </c>
    </row>
    <row r="49" spans="1:22" x14ac:dyDescent="0.35">
      <c r="A49" s="2">
        <v>43145</v>
      </c>
      <c r="B49" s="3">
        <v>13.1288746542354</v>
      </c>
      <c r="C49" s="3">
        <v>14.0570885469094</v>
      </c>
      <c r="D49" s="3">
        <v>15.603640522134</v>
      </c>
      <c r="E49" s="3">
        <v>17.245052858367501</v>
      </c>
      <c r="F49" s="3">
        <v>11.8507290514125</v>
      </c>
      <c r="G49" s="3">
        <v>13.365528413571599</v>
      </c>
      <c r="H49" s="3">
        <v>16.634514612176101</v>
      </c>
      <c r="I49" s="3">
        <v>12.9833888116205</v>
      </c>
      <c r="J49" s="3">
        <v>15.5741452926348</v>
      </c>
      <c r="K49" s="3">
        <v>8.9789027327383106</v>
      </c>
      <c r="L49" s="3">
        <v>13.6005747563381</v>
      </c>
      <c r="M49" s="3">
        <v>14.7472975092669</v>
      </c>
      <c r="N49" s="3">
        <v>13.9542414347827</v>
      </c>
      <c r="O49" s="3">
        <v>18.543758830881799</v>
      </c>
      <c r="P49" s="3">
        <v>13.1956825911653</v>
      </c>
      <c r="Q49" s="3">
        <v>11.698129709343</v>
      </c>
      <c r="R49" s="3">
        <v>15.9331866967478</v>
      </c>
      <c r="S49" s="3">
        <v>7.8719333959568196</v>
      </c>
      <c r="T49" s="3">
        <v>11.2528961297047</v>
      </c>
      <c r="U49" s="3">
        <v>19.6740510387691</v>
      </c>
      <c r="V49" s="3">
        <v>13.5203458843084</v>
      </c>
    </row>
    <row r="50" spans="1:22" x14ac:dyDescent="0.35">
      <c r="A50" s="2">
        <v>43173</v>
      </c>
      <c r="B50" s="3">
        <v>13.3156915830385</v>
      </c>
      <c r="C50" s="3">
        <v>14.093503407719201</v>
      </c>
      <c r="D50" s="3">
        <v>14.889477534477299</v>
      </c>
      <c r="E50" s="3">
        <v>16.9348354970993</v>
      </c>
      <c r="F50" s="3">
        <v>11.350647523203801</v>
      </c>
      <c r="G50" s="3">
        <v>13.550126140545901</v>
      </c>
      <c r="H50" s="3">
        <v>16.427919741087901</v>
      </c>
      <c r="I50" s="3">
        <v>13.737994181274701</v>
      </c>
      <c r="J50" s="3">
        <v>15.5132947546591</v>
      </c>
      <c r="K50" s="3">
        <v>9.1550987241353106</v>
      </c>
      <c r="L50" s="3">
        <v>13.129420354742299</v>
      </c>
      <c r="M50" s="3">
        <v>15.345343671202601</v>
      </c>
      <c r="N50" s="3">
        <v>14.1340517165967</v>
      </c>
      <c r="O50" s="3">
        <v>18.303543572235998</v>
      </c>
      <c r="P50" s="3">
        <v>13.5080446483444</v>
      </c>
      <c r="Q50" s="3">
        <v>11.2029011366722</v>
      </c>
      <c r="R50" s="3">
        <v>15.681736377662901</v>
      </c>
      <c r="S50" s="3">
        <v>7.9933109359658401</v>
      </c>
      <c r="T50" s="3">
        <v>10.9224278480793</v>
      </c>
      <c r="U50" s="3">
        <v>20.887964654208599</v>
      </c>
      <c r="V50" s="3">
        <v>14.470329319330601</v>
      </c>
    </row>
    <row r="51" spans="1:22" x14ac:dyDescent="0.35">
      <c r="A51" s="2">
        <v>43203</v>
      </c>
      <c r="B51" s="3">
        <v>12.6450107933283</v>
      </c>
      <c r="C51" s="3">
        <v>13.800514777778799</v>
      </c>
      <c r="D51" s="3">
        <v>14.7252149739515</v>
      </c>
      <c r="E51" s="3">
        <v>15.932128729617601</v>
      </c>
      <c r="F51" s="3">
        <v>11.503878805270499</v>
      </c>
      <c r="G51" s="3">
        <v>13.841808962864899</v>
      </c>
      <c r="H51" s="3">
        <v>16.485774767984001</v>
      </c>
      <c r="I51" s="3">
        <v>13.5358415935788</v>
      </c>
      <c r="J51" s="3">
        <v>15.755350483777599</v>
      </c>
      <c r="K51" s="3">
        <v>8.9585153612786304</v>
      </c>
      <c r="L51" s="3">
        <v>12.6630908294575</v>
      </c>
      <c r="M51" s="3">
        <v>15.058903847200201</v>
      </c>
      <c r="N51" s="3">
        <v>14.043483868045101</v>
      </c>
      <c r="O51" s="3">
        <v>18.3025108121793</v>
      </c>
      <c r="P51" s="3">
        <v>12.496386963986099</v>
      </c>
      <c r="Q51" s="3">
        <v>11.3673432590023</v>
      </c>
      <c r="R51" s="3">
        <v>15.136008463705799</v>
      </c>
      <c r="S51" s="3">
        <v>7.2873162306463799</v>
      </c>
      <c r="T51" s="3">
        <v>11.3929676352834</v>
      </c>
      <c r="U51" s="3">
        <v>21.431643947902</v>
      </c>
      <c r="V51" s="3">
        <v>14.510390178499501</v>
      </c>
    </row>
    <row r="52" spans="1:22" x14ac:dyDescent="0.35">
      <c r="A52" s="2">
        <v>43234</v>
      </c>
      <c r="B52" s="3">
        <v>12.0221073315982</v>
      </c>
      <c r="C52" s="3">
        <v>13.3284595295084</v>
      </c>
      <c r="D52" s="3">
        <v>13.703566495451501</v>
      </c>
      <c r="E52" s="3">
        <v>16.107398535287999</v>
      </c>
      <c r="F52" s="3">
        <v>11.5220620326507</v>
      </c>
      <c r="G52" s="3">
        <v>13.5813185444245</v>
      </c>
      <c r="H52" s="3">
        <v>16.2506766210725</v>
      </c>
      <c r="I52" s="3">
        <v>13.6444624893095</v>
      </c>
      <c r="J52" s="3">
        <v>14.851112890278401</v>
      </c>
      <c r="K52" s="3">
        <v>8.8624560581792799</v>
      </c>
      <c r="L52" s="3">
        <v>12.4113877139295</v>
      </c>
      <c r="M52" s="3">
        <v>15.3050950159639</v>
      </c>
      <c r="N52" s="3">
        <v>14.3811715165458</v>
      </c>
      <c r="O52" s="3">
        <v>18.449818782348299</v>
      </c>
      <c r="P52" s="3">
        <v>12.8213252505799</v>
      </c>
      <c r="Q52" s="3">
        <v>11.276417995783</v>
      </c>
      <c r="R52" s="3">
        <v>15.1626170438259</v>
      </c>
      <c r="S52" s="3">
        <v>6.7666272189814798</v>
      </c>
      <c r="T52" s="3">
        <v>10.585507813804201</v>
      </c>
      <c r="U52" s="3">
        <v>20.703865896019099</v>
      </c>
      <c r="V52" s="3">
        <v>14.8219008267238</v>
      </c>
    </row>
    <row r="53" spans="1:22" x14ac:dyDescent="0.35">
      <c r="A53" s="2">
        <v>43265</v>
      </c>
      <c r="B53" s="3">
        <v>11.708633265346</v>
      </c>
      <c r="C53" s="3">
        <v>12.305232769299501</v>
      </c>
      <c r="D53" s="3">
        <v>13.4250573404117</v>
      </c>
      <c r="E53" s="3">
        <v>15.7559044256809</v>
      </c>
      <c r="F53" s="3">
        <v>10.8848309677791</v>
      </c>
      <c r="G53" s="3">
        <v>14.076742649003601</v>
      </c>
      <c r="H53" s="3">
        <v>16.0601967771665</v>
      </c>
      <c r="I53" s="3">
        <v>13.525022944723201</v>
      </c>
      <c r="J53" s="3">
        <v>14.833607017122601</v>
      </c>
      <c r="K53" s="3">
        <v>8.79003337352035</v>
      </c>
      <c r="L53" s="3">
        <v>10.507697604165401</v>
      </c>
      <c r="M53" s="3">
        <v>14.576893510694999</v>
      </c>
      <c r="N53" s="3">
        <v>14.7692613819955</v>
      </c>
      <c r="O53" s="3">
        <v>18.7400312593258</v>
      </c>
      <c r="P53" s="3">
        <v>12.605020315229901</v>
      </c>
      <c r="Q53" s="3">
        <v>11.3881863017569</v>
      </c>
      <c r="R53" s="3">
        <v>14.891005176042</v>
      </c>
      <c r="S53" s="3">
        <v>6.2462452682601199</v>
      </c>
      <c r="T53" s="3">
        <v>11.207978544469499</v>
      </c>
      <c r="U53" s="3">
        <v>19.704448736012999</v>
      </c>
      <c r="V53" s="3">
        <v>15.1150028311187</v>
      </c>
    </row>
    <row r="54" spans="1:22" x14ac:dyDescent="0.35">
      <c r="A54" s="2">
        <v>43294</v>
      </c>
      <c r="B54" s="3">
        <v>10.6844318908971</v>
      </c>
      <c r="C54" s="3">
        <v>11.624981249842801</v>
      </c>
      <c r="D54" s="3">
        <v>12.962665796913299</v>
      </c>
      <c r="E54" s="3">
        <v>15.0927890730956</v>
      </c>
      <c r="F54" s="3">
        <v>10.455807350579001</v>
      </c>
      <c r="G54" s="3">
        <v>13.1586006554334</v>
      </c>
      <c r="H54" s="3">
        <v>15.675836447382499</v>
      </c>
      <c r="I54" s="3">
        <v>13.3076320274564</v>
      </c>
      <c r="J54" s="3">
        <v>15.296267377805499</v>
      </c>
      <c r="K54" s="3">
        <v>8.3936599493775397</v>
      </c>
      <c r="L54" s="3">
        <v>10.945998517086799</v>
      </c>
      <c r="M54" s="3">
        <v>13.8747986661635</v>
      </c>
      <c r="N54" s="3">
        <v>14.7195261717513</v>
      </c>
      <c r="O54" s="3">
        <v>18.744785854853902</v>
      </c>
      <c r="P54" s="3">
        <v>11.8543917087891</v>
      </c>
      <c r="Q54" s="3">
        <v>11.4044289935257</v>
      </c>
      <c r="R54" s="3">
        <v>14.233605067535599</v>
      </c>
      <c r="S54" s="3">
        <v>5.8444401985032002</v>
      </c>
      <c r="T54" s="3">
        <v>11.0060999648248</v>
      </c>
      <c r="U54" s="3">
        <v>16.625704951744002</v>
      </c>
      <c r="V54" s="3">
        <v>14.9577723905791</v>
      </c>
    </row>
    <row r="55" spans="1:22" x14ac:dyDescent="0.35">
      <c r="A55" s="2">
        <v>43326</v>
      </c>
      <c r="B55" s="3">
        <v>10.129615476828301</v>
      </c>
      <c r="C55" s="3">
        <v>11.6662752415903</v>
      </c>
      <c r="D55" s="3">
        <v>13.1319107620388</v>
      </c>
      <c r="E55" s="3">
        <v>15.2910441281718</v>
      </c>
      <c r="F55" s="3">
        <v>10.921298992983999</v>
      </c>
      <c r="G55" s="3">
        <v>13.834699214682001</v>
      </c>
      <c r="H55" s="3">
        <v>16.321480375086999</v>
      </c>
      <c r="I55" s="3">
        <v>13.351613895278</v>
      </c>
      <c r="J55" s="3">
        <v>15.1739952528294</v>
      </c>
      <c r="K55" s="3">
        <v>8.1559518026858608</v>
      </c>
      <c r="L55" s="3">
        <v>11.0674755689836</v>
      </c>
      <c r="M55" s="3">
        <v>13.5641266441526</v>
      </c>
      <c r="N55" s="3">
        <v>14.5399235671052</v>
      </c>
      <c r="O55" s="3">
        <v>19.6187200945249</v>
      </c>
      <c r="P55" s="3">
        <v>11.2946388545486</v>
      </c>
      <c r="Q55" s="3">
        <v>12.1457184986182</v>
      </c>
      <c r="R55" s="3">
        <v>14.571154554657401</v>
      </c>
      <c r="S55" s="3">
        <v>5.9931210744594399</v>
      </c>
      <c r="T55" s="3">
        <v>10.95243654706</v>
      </c>
      <c r="U55" s="3">
        <v>18.0008106381222</v>
      </c>
      <c r="V55" s="3">
        <v>13.9283568435551</v>
      </c>
    </row>
    <row r="56" spans="1:22" x14ac:dyDescent="0.35">
      <c r="A56" s="2">
        <v>43357</v>
      </c>
      <c r="B56" s="3">
        <v>9.9869101424674298</v>
      </c>
      <c r="C56" s="3">
        <v>11.9311911662644</v>
      </c>
      <c r="D56" s="3">
        <v>13.3917330266913</v>
      </c>
      <c r="E56" s="3">
        <v>14.2713016890544</v>
      </c>
      <c r="F56" s="3">
        <v>10.588729484546899</v>
      </c>
      <c r="G56" s="3">
        <v>12.6086455948526</v>
      </c>
      <c r="H56" s="3">
        <v>16.496032489287501</v>
      </c>
      <c r="I56" s="3">
        <v>13.1246004015343</v>
      </c>
      <c r="J56" s="3">
        <v>15.1784482987076</v>
      </c>
      <c r="K56" s="3">
        <v>8.2958398213027493</v>
      </c>
      <c r="L56" s="3">
        <v>10.357565931362499</v>
      </c>
      <c r="M56" s="3">
        <v>13.1105881583741</v>
      </c>
      <c r="N56" s="3">
        <v>14.3268449550587</v>
      </c>
      <c r="O56" s="3">
        <v>19.678814599879299</v>
      </c>
      <c r="P56" s="3">
        <v>10.953937826498599</v>
      </c>
      <c r="Q56" s="3">
        <v>12.813336324790001</v>
      </c>
      <c r="R56" s="3">
        <v>14.801812482344999</v>
      </c>
      <c r="S56" s="3">
        <v>5.9977284118748999</v>
      </c>
      <c r="T56" s="3">
        <v>12.1380207453625</v>
      </c>
      <c r="U56" s="3">
        <v>17.7405189840037</v>
      </c>
      <c r="V56" s="3">
        <v>13.369150455322499</v>
      </c>
    </row>
    <row r="57" spans="1:22" x14ac:dyDescent="0.35">
      <c r="A57" s="2">
        <v>43385</v>
      </c>
      <c r="B57" s="3">
        <v>9.7176025797586991</v>
      </c>
      <c r="C57" s="3">
        <v>15.151156230704199</v>
      </c>
      <c r="D57" s="3">
        <v>13.101389144432799</v>
      </c>
      <c r="E57" s="3">
        <v>13.585816512062401</v>
      </c>
      <c r="F57" s="3">
        <v>10.390417894970099</v>
      </c>
      <c r="G57" s="3">
        <v>13.1218107139205</v>
      </c>
      <c r="H57" s="3">
        <v>15.7478921118083</v>
      </c>
      <c r="I57" s="3">
        <v>12.168058462982801</v>
      </c>
      <c r="J57" s="3">
        <v>14.372878446336401</v>
      </c>
      <c r="K57" s="3">
        <v>7.87328831054832</v>
      </c>
      <c r="L57" s="3">
        <v>10.730826398120699</v>
      </c>
      <c r="M57" s="3">
        <v>12.349881143335001</v>
      </c>
      <c r="N57" s="3">
        <v>12.539560699370799</v>
      </c>
      <c r="O57" s="3">
        <v>17.463673022342199</v>
      </c>
      <c r="P57" s="3">
        <v>10.250790365140499</v>
      </c>
      <c r="Q57" s="3">
        <v>12.3996687355839</v>
      </c>
      <c r="R57" s="3">
        <v>14.477720930413</v>
      </c>
      <c r="S57" s="3">
        <v>6.0536967295101398</v>
      </c>
      <c r="T57" s="3">
        <v>11.625590058547999</v>
      </c>
      <c r="U57" s="3">
        <v>15.427616638078799</v>
      </c>
      <c r="V57" s="3">
        <v>13.3605856105179</v>
      </c>
    </row>
    <row r="58" spans="1:22" x14ac:dyDescent="0.35">
      <c r="A58" s="2">
        <v>43418</v>
      </c>
      <c r="B58" s="3">
        <v>9.8429329090277307</v>
      </c>
      <c r="C58" s="3">
        <v>14.912839061730001</v>
      </c>
      <c r="D58" s="3">
        <v>13.269974494495299</v>
      </c>
      <c r="E58" s="3">
        <v>13.287365480115101</v>
      </c>
      <c r="F58" s="3">
        <v>10.5256436453848</v>
      </c>
      <c r="G58" s="3">
        <v>13.0207339515557</v>
      </c>
      <c r="H58" s="3">
        <v>15.557875325738699</v>
      </c>
      <c r="I58" s="3">
        <v>12.3758081572441</v>
      </c>
      <c r="J58" s="3">
        <v>12.6605024775505</v>
      </c>
      <c r="K58" s="3">
        <v>7.8341616916252503</v>
      </c>
      <c r="L58" s="3">
        <v>11.302657008722999</v>
      </c>
      <c r="M58" s="3">
        <v>12.1114295262136</v>
      </c>
      <c r="N58" s="3">
        <v>12.0023108011644</v>
      </c>
      <c r="O58" s="3">
        <v>17.877020767383101</v>
      </c>
      <c r="P58" s="3">
        <v>10.297298023132999</v>
      </c>
      <c r="Q58" s="3">
        <v>12.677588869975899</v>
      </c>
      <c r="R58" s="3">
        <v>14.174363665262099</v>
      </c>
      <c r="S58" s="3">
        <v>5.7351570446588296</v>
      </c>
      <c r="T58" s="3">
        <v>11.9222156905145</v>
      </c>
      <c r="U58" s="3">
        <v>15.201278607118301</v>
      </c>
      <c r="V58" s="3">
        <v>13.490510838127699</v>
      </c>
    </row>
    <row r="59" spans="1:22" x14ac:dyDescent="0.35">
      <c r="A59" s="2">
        <v>43448</v>
      </c>
      <c r="B59" s="3">
        <v>9.9202915846700304</v>
      </c>
      <c r="C59" s="3">
        <v>14.7944617357012</v>
      </c>
      <c r="D59" s="3">
        <v>14.123645539363601</v>
      </c>
      <c r="E59" s="3">
        <v>14.9128398614679</v>
      </c>
      <c r="F59" s="3">
        <v>10.7828833182423</v>
      </c>
      <c r="G59" s="3">
        <v>13.135596356772</v>
      </c>
      <c r="H59" s="3">
        <v>15.7682558878198</v>
      </c>
      <c r="I59" s="3">
        <v>12.4108359811221</v>
      </c>
      <c r="J59" s="3">
        <v>12.4013279465262</v>
      </c>
      <c r="K59" s="3">
        <v>8.2147494028292005</v>
      </c>
      <c r="L59" s="3">
        <v>11.519174074661199</v>
      </c>
      <c r="M59" s="3">
        <v>12.378624267900999</v>
      </c>
      <c r="N59" s="3">
        <v>12.242081530288599</v>
      </c>
      <c r="O59" s="3">
        <v>18.062169651858198</v>
      </c>
      <c r="P59" s="3">
        <v>10.5638183611365</v>
      </c>
      <c r="Q59" s="3">
        <v>13.065136985986401</v>
      </c>
      <c r="R59" s="3">
        <v>13.861585912579001</v>
      </c>
      <c r="S59" s="3">
        <v>5.9019486398706</v>
      </c>
      <c r="T59" s="3">
        <v>11.177416969773899</v>
      </c>
      <c r="U59" s="3">
        <v>15.862057668094099</v>
      </c>
      <c r="V59" s="3">
        <v>14.4799829630745</v>
      </c>
    </row>
    <row r="60" spans="1:22" x14ac:dyDescent="0.35">
      <c r="A60" s="2">
        <v>43479</v>
      </c>
      <c r="B60" s="3">
        <v>9.6322933409566698</v>
      </c>
      <c r="C60" s="3">
        <v>15.476012946829</v>
      </c>
      <c r="D60" s="3">
        <v>14.423244459506</v>
      </c>
      <c r="E60" s="3">
        <v>15.8330629462007</v>
      </c>
      <c r="F60" s="3">
        <v>10.711419745075199</v>
      </c>
      <c r="G60" s="3">
        <v>13.853128936484801</v>
      </c>
      <c r="H60" s="3">
        <v>16.034626762118702</v>
      </c>
      <c r="I60" s="3">
        <v>12.751986573444899</v>
      </c>
      <c r="J60" s="3">
        <v>13.0546838075126</v>
      </c>
      <c r="K60" s="3">
        <v>8.7823172699276206</v>
      </c>
      <c r="L60" s="3">
        <v>12.755275197541801</v>
      </c>
      <c r="M60" s="3">
        <v>12.945133076309499</v>
      </c>
      <c r="N60" s="3">
        <v>11.352731298117201</v>
      </c>
      <c r="O60" s="3">
        <v>17.6943850013858</v>
      </c>
      <c r="P60" s="3">
        <v>10.305917426258</v>
      </c>
      <c r="Q60" s="3">
        <v>13.339650453834301</v>
      </c>
      <c r="R60" s="3">
        <v>13.7672619859127</v>
      </c>
      <c r="S60" s="3">
        <v>6.08548836673656</v>
      </c>
      <c r="T60" s="3">
        <v>10.958641788624901</v>
      </c>
      <c r="U60" s="3">
        <v>14.8847199996956</v>
      </c>
      <c r="V60" s="3">
        <v>15.3181856975354</v>
      </c>
    </row>
    <row r="61" spans="1:22" x14ac:dyDescent="0.35">
      <c r="A61" s="2">
        <v>43510</v>
      </c>
      <c r="B61" s="3">
        <v>10.6574241406899</v>
      </c>
      <c r="C61" s="3">
        <v>15.656991429417101</v>
      </c>
      <c r="D61" s="3">
        <v>14.306853018457801</v>
      </c>
      <c r="E61" s="3">
        <v>15.4658648022709</v>
      </c>
      <c r="F61" s="3">
        <v>10.623288809872699</v>
      </c>
      <c r="G61" s="3">
        <v>15.679559804899901</v>
      </c>
      <c r="H61" s="3">
        <v>16.2468732765008</v>
      </c>
      <c r="I61" s="3">
        <v>13.787743037549999</v>
      </c>
      <c r="J61" s="3">
        <v>12.819626167089501</v>
      </c>
      <c r="K61" s="3">
        <v>10.3373207934072</v>
      </c>
      <c r="L61" s="3">
        <v>12.925395622896101</v>
      </c>
      <c r="M61" s="3">
        <v>12.8158780495807</v>
      </c>
      <c r="N61" s="3">
        <v>11.781523063428301</v>
      </c>
      <c r="O61" s="3">
        <v>18.044974679184701</v>
      </c>
      <c r="P61" s="3">
        <v>11.3183815482332</v>
      </c>
      <c r="Q61" s="3">
        <v>12.396901174417399</v>
      </c>
      <c r="R61" s="3">
        <v>14.679659884845099</v>
      </c>
      <c r="S61" s="3">
        <v>7.0374150048471398</v>
      </c>
      <c r="T61" s="3">
        <v>10.8400496002737</v>
      </c>
      <c r="U61" s="3">
        <v>16.248629498830802</v>
      </c>
      <c r="V61" s="3">
        <v>16.2202601776949</v>
      </c>
    </row>
    <row r="62" spans="1:22" x14ac:dyDescent="0.35">
      <c r="A62" s="2">
        <v>43538</v>
      </c>
      <c r="B62" s="3">
        <v>11.284875788529</v>
      </c>
      <c r="C62" s="3">
        <v>15.3294732366651</v>
      </c>
      <c r="D62" s="3">
        <v>14.3756350758291</v>
      </c>
      <c r="E62" s="3">
        <v>15.0201519707557</v>
      </c>
      <c r="F62" s="3">
        <v>11.0764542506371</v>
      </c>
      <c r="G62" s="3">
        <v>15.5185014795609</v>
      </c>
      <c r="H62" s="3">
        <v>16.365827500810902</v>
      </c>
      <c r="I62" s="3">
        <v>14.3097921743854</v>
      </c>
      <c r="J62" s="3">
        <v>12.547202567572199</v>
      </c>
      <c r="K62" s="3">
        <v>10.332665868457299</v>
      </c>
      <c r="L62" s="3">
        <v>12.559242964595301</v>
      </c>
      <c r="M62" s="3">
        <v>12.7958819826053</v>
      </c>
      <c r="N62" s="3">
        <v>13.026506289190101</v>
      </c>
      <c r="O62" s="3">
        <v>18.8712694158632</v>
      </c>
      <c r="P62" s="3">
        <v>11.610744974062801</v>
      </c>
      <c r="Q62" s="3">
        <v>12.400028201832701</v>
      </c>
      <c r="R62" s="3">
        <v>14.8337454016372</v>
      </c>
      <c r="S62" s="3">
        <v>7.2371434235278302</v>
      </c>
      <c r="T62" s="3">
        <v>11.7441999069578</v>
      </c>
      <c r="U62" s="3">
        <v>17.532258861971599</v>
      </c>
      <c r="V62" s="3">
        <v>16.194965564378599</v>
      </c>
    </row>
    <row r="63" spans="1:22" x14ac:dyDescent="0.35">
      <c r="A63" s="2">
        <v>43567</v>
      </c>
      <c r="B63" s="3">
        <v>12.0600578165841</v>
      </c>
      <c r="C63" s="3">
        <v>15.013379059150299</v>
      </c>
      <c r="D63" s="3">
        <v>13.989930750688</v>
      </c>
      <c r="E63" s="3">
        <v>15.253394382736801</v>
      </c>
      <c r="F63" s="3">
        <v>11.2083895964508</v>
      </c>
      <c r="G63" s="3">
        <v>15.343752470848001</v>
      </c>
      <c r="H63" s="3">
        <v>15.9934924552299</v>
      </c>
      <c r="I63" s="3">
        <v>14.9545667728688</v>
      </c>
      <c r="J63" s="3">
        <v>13.4555432612126</v>
      </c>
      <c r="K63" s="3">
        <v>11.2866219433089</v>
      </c>
      <c r="L63" s="3">
        <v>11.372303887031499</v>
      </c>
      <c r="M63" s="3">
        <v>13.512956104086101</v>
      </c>
      <c r="N63" s="3">
        <v>13.924326329270301</v>
      </c>
      <c r="O63" s="3">
        <v>18.976449376888901</v>
      </c>
      <c r="P63" s="3">
        <v>12.2745204865546</v>
      </c>
      <c r="Q63" s="3">
        <v>12.885770427556301</v>
      </c>
      <c r="R63" s="3">
        <v>14.979078080621701</v>
      </c>
      <c r="S63" s="3">
        <v>6.5169295507677001</v>
      </c>
      <c r="T63" s="3">
        <v>11.783168642632701</v>
      </c>
      <c r="U63" s="3">
        <v>18.076528591812501</v>
      </c>
      <c r="V63" s="3">
        <v>17.0895365723709</v>
      </c>
    </row>
    <row r="64" spans="1:22" x14ac:dyDescent="0.35">
      <c r="A64" s="2">
        <v>43599</v>
      </c>
      <c r="B64" s="3">
        <v>10.961203180370999</v>
      </c>
      <c r="C64" s="3">
        <v>14.341747454317201</v>
      </c>
      <c r="D64" s="3">
        <v>13.1855440248061</v>
      </c>
      <c r="E64" s="3">
        <v>14.9113788388452</v>
      </c>
      <c r="F64" s="3">
        <v>10.1607747919885</v>
      </c>
      <c r="G64" s="3">
        <v>13.280878162788801</v>
      </c>
      <c r="H64" s="3">
        <v>15.595553104477901</v>
      </c>
      <c r="I64" s="3">
        <v>14.6046493609752</v>
      </c>
      <c r="J64" s="3">
        <v>13.0683691748181</v>
      </c>
      <c r="K64" s="3">
        <v>10.704545536385799</v>
      </c>
      <c r="L64" s="3">
        <v>11.3206786833212</v>
      </c>
      <c r="M64" s="3">
        <v>13.209376364922999</v>
      </c>
      <c r="N64" s="3">
        <v>12.688244793614899</v>
      </c>
      <c r="O64" s="3">
        <v>18.2441334955512</v>
      </c>
      <c r="P64" s="3">
        <v>11.388501320468301</v>
      </c>
      <c r="Q64" s="3">
        <v>12.2148774458388</v>
      </c>
      <c r="R64" s="3">
        <v>14.7420783353105</v>
      </c>
      <c r="S64" s="3">
        <v>5.9224340306607104</v>
      </c>
      <c r="T64" s="3">
        <v>11.0044379706959</v>
      </c>
      <c r="U64" s="3">
        <v>17.433547297218698</v>
      </c>
      <c r="V64" s="3">
        <v>15.646396333147599</v>
      </c>
    </row>
    <row r="65" spans="1:22" x14ac:dyDescent="0.35">
      <c r="A65" s="2">
        <v>43630</v>
      </c>
      <c r="B65" s="3">
        <v>11.3709647623996</v>
      </c>
      <c r="C65" s="3">
        <v>14.7030279658395</v>
      </c>
      <c r="D65" s="3">
        <v>13.753365589763099</v>
      </c>
      <c r="E65" s="3">
        <v>15.441583109457</v>
      </c>
      <c r="F65" s="3">
        <v>10.596852482115001</v>
      </c>
      <c r="G65" s="3">
        <v>13.2834591448977</v>
      </c>
      <c r="H65" s="3">
        <v>16.462879218088499</v>
      </c>
      <c r="I65" s="3">
        <v>14.5798311140779</v>
      </c>
      <c r="J65" s="3">
        <v>12.9231764536576</v>
      </c>
      <c r="K65" s="3">
        <v>10.897153885044601</v>
      </c>
      <c r="L65" s="3">
        <v>12.196880371390799</v>
      </c>
      <c r="M65" s="3">
        <v>13.142788068110599</v>
      </c>
      <c r="N65" s="3">
        <v>13.706079190153501</v>
      </c>
      <c r="O65" s="3">
        <v>19.0228886412261</v>
      </c>
      <c r="P65" s="3">
        <v>11.016498511392101</v>
      </c>
      <c r="Q65" s="3">
        <v>13.163902694753</v>
      </c>
      <c r="R65" s="3">
        <v>15.285601682911</v>
      </c>
      <c r="S65" s="3">
        <v>6.1244802198672899</v>
      </c>
      <c r="T65" s="3">
        <v>11.6283165745362</v>
      </c>
      <c r="U65" s="3">
        <v>16.865161862468099</v>
      </c>
      <c r="V65" s="3">
        <v>16.874874928628401</v>
      </c>
    </row>
    <row r="66" spans="1:22" x14ac:dyDescent="0.35">
      <c r="A66" s="2">
        <v>43658</v>
      </c>
      <c r="B66" s="3">
        <v>11.572233725250101</v>
      </c>
      <c r="C66" s="3">
        <v>14.9506446260338</v>
      </c>
      <c r="D66" s="3">
        <v>14.2305978360497</v>
      </c>
      <c r="E66" s="3">
        <v>15.619704646244999</v>
      </c>
      <c r="F66" s="3">
        <v>10.7980279139811</v>
      </c>
      <c r="G66" s="3">
        <v>13.8210840083633</v>
      </c>
      <c r="H66" s="3">
        <v>16.6415579654971</v>
      </c>
      <c r="I66" s="3">
        <v>15.034064580532601</v>
      </c>
      <c r="J66" s="3">
        <v>12.894043820952</v>
      </c>
      <c r="K66" s="3">
        <v>11.2296273231987</v>
      </c>
      <c r="L66" s="3">
        <v>12.6820325318999</v>
      </c>
      <c r="M66" s="3">
        <v>12.997689065827</v>
      </c>
      <c r="N66" s="3">
        <v>14.002146532080699</v>
      </c>
      <c r="O66" s="3">
        <v>18.416721990808998</v>
      </c>
      <c r="P66" s="3">
        <v>11.364979023751699</v>
      </c>
      <c r="Q66" s="3">
        <v>13.342512339605999</v>
      </c>
      <c r="R66" s="3">
        <v>15.815002021507199</v>
      </c>
      <c r="S66" s="3">
        <v>6.4657788777642002</v>
      </c>
      <c r="T66" s="3">
        <v>12.353214347937101</v>
      </c>
      <c r="U66" s="3">
        <v>16.274424102732699</v>
      </c>
      <c r="V66" s="3">
        <v>17.050620883452801</v>
      </c>
    </row>
    <row r="67" spans="1:22" x14ac:dyDescent="0.35">
      <c r="A67" s="2">
        <v>43691</v>
      </c>
      <c r="B67" s="3">
        <v>11.1533241301863</v>
      </c>
      <c r="C67" s="3">
        <v>13.6505896119311</v>
      </c>
      <c r="D67" s="3">
        <v>14.6649175702689</v>
      </c>
      <c r="E67" s="3">
        <v>14.6236117233244</v>
      </c>
      <c r="F67" s="3">
        <v>9.5511694141408796</v>
      </c>
      <c r="G67" s="3">
        <v>13.9249156551792</v>
      </c>
      <c r="H67" s="3">
        <v>16.009807159904302</v>
      </c>
      <c r="I67" s="3">
        <v>14.444738755344201</v>
      </c>
      <c r="J67" s="3">
        <v>11.940036899033601</v>
      </c>
      <c r="K67" s="3">
        <v>10.5508099285437</v>
      </c>
      <c r="L67" s="3">
        <v>12.533079113891899</v>
      </c>
      <c r="M67" s="3">
        <v>11.8179218651561</v>
      </c>
      <c r="N67" s="3">
        <v>12.2530020014573</v>
      </c>
      <c r="O67" s="3">
        <v>18.167902712828798</v>
      </c>
      <c r="P67" s="3">
        <v>10.673244760839699</v>
      </c>
      <c r="Q67" s="3">
        <v>12.258625737391901</v>
      </c>
      <c r="R67" s="3">
        <v>15.001415370466001</v>
      </c>
      <c r="S67" s="3">
        <v>6.6968560270598099</v>
      </c>
      <c r="T67" s="3">
        <v>12.2818126062737</v>
      </c>
      <c r="U67" s="3">
        <v>15.1606601176745</v>
      </c>
      <c r="V67" s="3">
        <v>16.639156787483099</v>
      </c>
    </row>
    <row r="68" spans="1:22" x14ac:dyDescent="0.35">
      <c r="A68" s="2">
        <v>43721</v>
      </c>
      <c r="B68" s="3">
        <v>12.071092957184099</v>
      </c>
      <c r="C68" s="3">
        <v>14.9818676151889</v>
      </c>
      <c r="D68" s="3">
        <v>14.7573099461508</v>
      </c>
      <c r="E68" s="3">
        <v>14.1608741957532</v>
      </c>
      <c r="F68" s="3">
        <v>10.0462205544773</v>
      </c>
      <c r="G68" s="3">
        <v>14.057185269261099</v>
      </c>
      <c r="H68" s="3">
        <v>16.1508689120787</v>
      </c>
      <c r="I68" s="3">
        <v>15.120151451021099</v>
      </c>
      <c r="J68" s="3">
        <v>13.4203648004817</v>
      </c>
      <c r="K68" s="3">
        <v>11.0241542016915</v>
      </c>
      <c r="L68" s="3">
        <v>12.8562103652608</v>
      </c>
      <c r="M68" s="3">
        <v>12.0893957045725</v>
      </c>
      <c r="N68" s="3">
        <v>13.792005963310601</v>
      </c>
      <c r="O68" s="3">
        <v>18.244179846856401</v>
      </c>
      <c r="P68" s="3">
        <v>11.6551444161778</v>
      </c>
      <c r="Q68" s="3">
        <v>13.4044387059296</v>
      </c>
      <c r="R68" s="3">
        <v>15.4993801460203</v>
      </c>
      <c r="S68" s="3">
        <v>6.7166243126758998</v>
      </c>
      <c r="T68" s="3">
        <v>12.979517302617401</v>
      </c>
      <c r="U68" s="3">
        <v>14.0918886601933</v>
      </c>
      <c r="V68" s="3">
        <v>16.6100529759285</v>
      </c>
    </row>
    <row r="69" spans="1:22" x14ac:dyDescent="0.35">
      <c r="A69" s="2">
        <v>43752</v>
      </c>
      <c r="B69" s="3">
        <v>11.863406232073901</v>
      </c>
      <c r="C69" s="3">
        <v>15.4529737759059</v>
      </c>
      <c r="D69" s="3">
        <v>14.2392748725063</v>
      </c>
      <c r="E69" s="3">
        <v>13.9227101233536</v>
      </c>
      <c r="F69" s="3">
        <v>9.7727496069330204</v>
      </c>
      <c r="G69" s="3">
        <v>13.723801441546</v>
      </c>
      <c r="H69" s="3">
        <v>15.7254047923679</v>
      </c>
      <c r="I69" s="3">
        <v>15.340366208712201</v>
      </c>
      <c r="J69" s="3">
        <v>13.590080531947899</v>
      </c>
      <c r="K69" s="3">
        <v>10.9861895080937</v>
      </c>
      <c r="L69" s="3">
        <v>12.9529393679046</v>
      </c>
      <c r="M69" s="3">
        <v>11.7824873183447</v>
      </c>
      <c r="N69" s="3">
        <v>12.1888198135705</v>
      </c>
      <c r="O69" s="3">
        <v>18.1130940408346</v>
      </c>
      <c r="P69" s="3">
        <v>11.1677656262629</v>
      </c>
      <c r="Q69" s="3">
        <v>13.6101059346204</v>
      </c>
      <c r="R69" s="3">
        <v>15.4115534263348</v>
      </c>
      <c r="S69" s="3">
        <v>6.0240327330388999</v>
      </c>
      <c r="T69" s="3">
        <v>13.3625607086096</v>
      </c>
      <c r="U69" s="3">
        <v>14.2216250549391</v>
      </c>
      <c r="V69" s="3">
        <v>16.032169630830602</v>
      </c>
    </row>
    <row r="70" spans="1:22" x14ac:dyDescent="0.35">
      <c r="A70" s="2">
        <v>43783</v>
      </c>
      <c r="B70" s="3">
        <v>11.579414990668999</v>
      </c>
      <c r="C70" s="3">
        <v>13.043383491055</v>
      </c>
      <c r="D70" s="3">
        <v>14.301454320232301</v>
      </c>
      <c r="E70" s="3">
        <v>13.9487892436842</v>
      </c>
      <c r="F70" s="3">
        <v>10.257236357007899</v>
      </c>
      <c r="G70" s="3">
        <v>13.6551573098</v>
      </c>
      <c r="H70" s="3">
        <v>16.041259825323898</v>
      </c>
      <c r="I70" s="3">
        <v>15.5259927186443</v>
      </c>
      <c r="J70" s="3">
        <v>13.619088161856</v>
      </c>
      <c r="K70" s="3">
        <v>11.4358148110065</v>
      </c>
      <c r="L70" s="3">
        <v>13.354748146639601</v>
      </c>
      <c r="M70" s="3">
        <v>11.875269249901701</v>
      </c>
      <c r="N70" s="3">
        <v>11.8265480444808</v>
      </c>
      <c r="O70" s="3">
        <v>19.118649339872999</v>
      </c>
      <c r="P70" s="3">
        <v>11.1544077132348</v>
      </c>
      <c r="Q70" s="3">
        <v>13.352090892647899</v>
      </c>
      <c r="R70" s="3">
        <v>15.7022353700587</v>
      </c>
      <c r="S70" s="3">
        <v>6.4869559279993796</v>
      </c>
      <c r="T70" s="3">
        <v>13.256327390848</v>
      </c>
      <c r="U70" s="3">
        <v>14.809993458996599</v>
      </c>
      <c r="V70" s="3">
        <v>16.585629302168801</v>
      </c>
    </row>
    <row r="71" spans="1:22" x14ac:dyDescent="0.35">
      <c r="A71" s="2">
        <v>43812</v>
      </c>
      <c r="B71" s="3">
        <v>12.426103236258401</v>
      </c>
      <c r="C71" s="3">
        <v>13.852620691943599</v>
      </c>
      <c r="D71" s="3">
        <v>14.849110500475</v>
      </c>
      <c r="E71" s="3">
        <v>14.2609109491827</v>
      </c>
      <c r="F71" s="3">
        <v>10.064507812263701</v>
      </c>
      <c r="G71" s="3">
        <v>14.1035287698929</v>
      </c>
      <c r="H71" s="3">
        <v>15.8483227923127</v>
      </c>
      <c r="I71" s="3">
        <v>15.809860940861</v>
      </c>
      <c r="J71" s="3">
        <v>14.001804782762299</v>
      </c>
      <c r="K71" s="3">
        <v>11.4091627664878</v>
      </c>
      <c r="L71" s="3">
        <v>13.887962847967399</v>
      </c>
      <c r="M71" s="3">
        <v>12.130712332593699</v>
      </c>
      <c r="N71" s="3">
        <v>11.3299002760061</v>
      </c>
      <c r="O71" s="3">
        <v>19.154094310902899</v>
      </c>
      <c r="P71" s="3">
        <v>11.9688459208433</v>
      </c>
      <c r="Q71" s="3">
        <v>13.4362877585066</v>
      </c>
      <c r="R71" s="3">
        <v>15.371714748190399</v>
      </c>
      <c r="S71" s="3">
        <v>6.6131565693459002</v>
      </c>
      <c r="T71" s="3">
        <v>13.956081929370701</v>
      </c>
      <c r="U71" s="3">
        <v>14.539649355927599</v>
      </c>
      <c r="V71" s="3">
        <v>16.112511790567101</v>
      </c>
    </row>
    <row r="72" spans="1:22" x14ac:dyDescent="0.35">
      <c r="A72" s="2">
        <v>43844</v>
      </c>
      <c r="B72" s="3">
        <v>13.0078594155092</v>
      </c>
      <c r="C72" s="3">
        <v>14.049569920220099</v>
      </c>
      <c r="D72" s="3">
        <v>15.6016720197651</v>
      </c>
      <c r="E72" s="3">
        <v>13.887023787693201</v>
      </c>
      <c r="F72" s="3">
        <v>10.5725853328866</v>
      </c>
      <c r="G72" s="3">
        <v>14.4969061473859</v>
      </c>
      <c r="H72" s="3">
        <v>15.893598411931301</v>
      </c>
      <c r="I72" s="3">
        <v>15.7215309429981</v>
      </c>
      <c r="J72" s="3">
        <v>14.1410135789042</v>
      </c>
      <c r="K72" s="3">
        <v>11.5761734010712</v>
      </c>
      <c r="L72" s="3">
        <v>14.621834503756199</v>
      </c>
      <c r="M72" s="3">
        <v>12.4009919768537</v>
      </c>
      <c r="N72" s="3">
        <v>11.2293025813426</v>
      </c>
      <c r="O72" s="3">
        <v>19.3414634440011</v>
      </c>
      <c r="P72" s="3">
        <v>12.614884327817901</v>
      </c>
      <c r="Q72" s="3">
        <v>14.100090953352</v>
      </c>
      <c r="R72" s="3">
        <v>15.5961374619291</v>
      </c>
      <c r="S72" s="3">
        <v>7.0106635018821901</v>
      </c>
      <c r="T72" s="3">
        <v>13.738225926526701</v>
      </c>
      <c r="U72" s="3">
        <v>13.8492520487954</v>
      </c>
      <c r="V72" s="3">
        <v>17.2707466849604</v>
      </c>
    </row>
    <row r="73" spans="1:22" x14ac:dyDescent="0.35">
      <c r="A73" s="2">
        <v>43875</v>
      </c>
      <c r="B73" s="3">
        <v>12.4759166736022</v>
      </c>
      <c r="C73" s="3">
        <v>13.165112554644599</v>
      </c>
      <c r="D73" s="3">
        <v>14.5343073132308</v>
      </c>
      <c r="E73" s="3">
        <v>13.065290204603199</v>
      </c>
      <c r="F73" s="3">
        <v>10.630918073669999</v>
      </c>
      <c r="G73" s="3">
        <v>14.390594213956</v>
      </c>
      <c r="H73" s="3">
        <v>15.540450592152499</v>
      </c>
      <c r="I73" s="3">
        <v>15.1845232276033</v>
      </c>
      <c r="J73" s="3">
        <v>14.443138036979899</v>
      </c>
      <c r="K73" s="3">
        <v>11.5438657709481</v>
      </c>
      <c r="L73" s="3">
        <v>14.064686070755799</v>
      </c>
      <c r="M73" s="3">
        <v>12.050130069138801</v>
      </c>
      <c r="N73" s="3">
        <v>11.12957209573</v>
      </c>
      <c r="O73" s="3">
        <v>19.321832528411299</v>
      </c>
      <c r="P73" s="3">
        <v>12.390146767514899</v>
      </c>
      <c r="Q73" s="3">
        <v>13.0419750104075</v>
      </c>
      <c r="R73" s="3">
        <v>15.3672089576686</v>
      </c>
      <c r="S73" s="3">
        <v>6.8706161807986499</v>
      </c>
      <c r="T73" s="3">
        <v>12.6993263600831</v>
      </c>
      <c r="U73" s="3">
        <v>13.4600852130247</v>
      </c>
      <c r="V73" s="3">
        <v>15.844684053529001</v>
      </c>
    </row>
    <row r="74" spans="1:22" x14ac:dyDescent="0.35">
      <c r="A74" s="2">
        <v>43903</v>
      </c>
      <c r="B74" s="3">
        <v>12.2662965731959</v>
      </c>
      <c r="C74" s="3">
        <v>10.5810572242137</v>
      </c>
      <c r="D74" s="3">
        <v>11.807958202047701</v>
      </c>
      <c r="E74" s="3">
        <v>10.4692126224157</v>
      </c>
      <c r="F74" s="3">
        <v>7.44262448653551</v>
      </c>
      <c r="G74" s="3">
        <v>11.292875864934301</v>
      </c>
      <c r="H74" s="3">
        <v>14.209872072937101</v>
      </c>
      <c r="I74" s="3">
        <v>13.223630798108401</v>
      </c>
      <c r="J74" s="3">
        <v>11.899494439860799</v>
      </c>
      <c r="K74" s="3">
        <v>9.17187418174945</v>
      </c>
      <c r="L74" s="3">
        <v>10.742262363371999</v>
      </c>
      <c r="M74" s="3">
        <v>8.7978974037101008</v>
      </c>
      <c r="N74" s="3">
        <v>6.5379206967947603</v>
      </c>
      <c r="O74" s="3">
        <v>15.7705384783875</v>
      </c>
      <c r="P74" s="3">
        <v>11.299441693362599</v>
      </c>
      <c r="Q74" s="3">
        <v>11.071007453371401</v>
      </c>
      <c r="R74" s="3">
        <v>12.109073944660601</v>
      </c>
      <c r="S74" s="3">
        <v>5.6899466744708702</v>
      </c>
      <c r="T74" s="3">
        <v>9.9134387649231499</v>
      </c>
      <c r="U74" s="3">
        <v>11.576166314513801</v>
      </c>
      <c r="V74" s="3">
        <v>13.614715011836999</v>
      </c>
    </row>
    <row r="75" spans="1:22" x14ac:dyDescent="0.35">
      <c r="A75" s="2">
        <v>43935</v>
      </c>
      <c r="B75" s="3">
        <v>12.363552571268601</v>
      </c>
      <c r="C75" s="3">
        <v>11.454306130013</v>
      </c>
      <c r="D75" s="3">
        <v>11.354257240824801</v>
      </c>
      <c r="E75" s="3">
        <v>11.2706375748007</v>
      </c>
      <c r="F75" s="3">
        <v>10.0875450727803</v>
      </c>
      <c r="G75" s="3">
        <v>11.471006725822599</v>
      </c>
      <c r="H75" s="3">
        <v>15.4100122616143</v>
      </c>
      <c r="I75" s="3">
        <v>14.506114403041201</v>
      </c>
      <c r="J75" s="3">
        <v>11.350277076849499</v>
      </c>
      <c r="K75" s="3">
        <v>10.467428097404101</v>
      </c>
      <c r="L75" s="3">
        <v>12.1220372866671</v>
      </c>
      <c r="M75" s="3">
        <v>9.7395888356565496</v>
      </c>
      <c r="N75" s="3">
        <v>7.9758721854789201</v>
      </c>
      <c r="O75" s="3">
        <v>15.7333471461004</v>
      </c>
      <c r="P75" s="3">
        <v>12.2053246837354</v>
      </c>
      <c r="Q75" s="3">
        <v>12.559070890989901</v>
      </c>
      <c r="R75" s="3">
        <v>15.1041011518217</v>
      </c>
      <c r="S75" s="3">
        <v>6.1060554392200901</v>
      </c>
      <c r="T75" s="3">
        <v>13.064877723299601</v>
      </c>
      <c r="U75" s="3">
        <v>13.5949219831517</v>
      </c>
      <c r="V75" s="3">
        <v>15.860707364666901</v>
      </c>
    </row>
    <row r="76" spans="1:22" x14ac:dyDescent="0.35">
      <c r="A76" s="2">
        <v>43965</v>
      </c>
      <c r="B76" s="3">
        <v>13.1557801436077</v>
      </c>
      <c r="C76" s="3">
        <v>12.008098203142801</v>
      </c>
      <c r="D76" s="3">
        <v>11.6960437992338</v>
      </c>
      <c r="E76" s="3">
        <v>12.966591635181899</v>
      </c>
      <c r="F76" s="3">
        <v>11.373960298103601</v>
      </c>
      <c r="G76" s="3">
        <v>14.1565475178668</v>
      </c>
      <c r="H76" s="3">
        <v>16.2091701623281</v>
      </c>
      <c r="I76" s="3">
        <v>15.118496039458799</v>
      </c>
      <c r="J76" s="3">
        <v>14.449508968619501</v>
      </c>
      <c r="K76" s="3">
        <v>11.4616617822909</v>
      </c>
      <c r="L76" s="3">
        <v>14.0953114296127</v>
      </c>
      <c r="M76" s="3">
        <v>10.201626266146899</v>
      </c>
      <c r="N76" s="3">
        <v>9.6791337332197198</v>
      </c>
      <c r="O76" s="3">
        <v>18.385737859432599</v>
      </c>
      <c r="P76" s="3">
        <v>12.5464538527775</v>
      </c>
      <c r="Q76" s="3">
        <v>13.4667562370431</v>
      </c>
      <c r="R76" s="3">
        <v>17.596909192095001</v>
      </c>
      <c r="S76" s="3">
        <v>6.9854115409695696</v>
      </c>
      <c r="T76" s="3">
        <v>15.090792085446999</v>
      </c>
      <c r="U76" s="3">
        <v>14.278838872606</v>
      </c>
      <c r="V76" s="3">
        <v>17.655566076178498</v>
      </c>
    </row>
    <row r="77" spans="1:22" x14ac:dyDescent="0.35">
      <c r="A77" s="2">
        <v>43994</v>
      </c>
      <c r="B77" s="3">
        <v>13.7048534242091</v>
      </c>
      <c r="C77" s="3">
        <v>14.135621121195401</v>
      </c>
      <c r="D77" s="3">
        <v>15.278069713095601</v>
      </c>
      <c r="E77" s="3">
        <v>16.080223977271199</v>
      </c>
      <c r="F77" s="3">
        <v>13.0904046535577</v>
      </c>
      <c r="G77" s="3">
        <v>17.8946370041667</v>
      </c>
      <c r="H77" s="3">
        <v>19.520467466051901</v>
      </c>
      <c r="I77" s="3">
        <v>16.100236392134502</v>
      </c>
      <c r="J77" s="3">
        <v>16.557802689066001</v>
      </c>
      <c r="K77" s="3">
        <v>12.6528041835065</v>
      </c>
      <c r="L77" s="3">
        <v>17.8168976609666</v>
      </c>
      <c r="M77" s="3">
        <v>11.248443981123099</v>
      </c>
      <c r="N77" s="3">
        <v>13.0525709776208</v>
      </c>
      <c r="O77" s="3">
        <v>21.058595580987902</v>
      </c>
      <c r="P77" s="3">
        <v>13.6257403054629</v>
      </c>
      <c r="Q77" s="3">
        <v>14.596936062958999</v>
      </c>
      <c r="R77" s="3">
        <v>19.502507819344402</v>
      </c>
      <c r="S77" s="3">
        <v>8.6984869968412397</v>
      </c>
      <c r="T77" s="3">
        <v>17.015771707683701</v>
      </c>
      <c r="U77" s="3">
        <v>15.4592798803578</v>
      </c>
      <c r="V77" s="3">
        <v>19.439259389755598</v>
      </c>
    </row>
    <row r="78" spans="1:22" x14ac:dyDescent="0.35">
      <c r="A78" s="2">
        <v>44026</v>
      </c>
      <c r="B78" s="3">
        <v>16.4948240512315</v>
      </c>
      <c r="C78" s="3">
        <v>15.580936773175001</v>
      </c>
      <c r="D78" s="3">
        <v>16.565989668695298</v>
      </c>
      <c r="E78" s="3">
        <v>15.4981722739179</v>
      </c>
      <c r="F78" s="3">
        <v>12.3051275785675</v>
      </c>
      <c r="G78" s="3">
        <v>19.7125865217103</v>
      </c>
      <c r="H78" s="3">
        <v>19.761157874162699</v>
      </c>
      <c r="I78" s="3">
        <v>17.035852689639299</v>
      </c>
      <c r="J78" s="3">
        <v>16.059954703377599</v>
      </c>
      <c r="K78" s="3">
        <v>12.6950670932134</v>
      </c>
      <c r="L78" s="3">
        <v>26.739279520132101</v>
      </c>
      <c r="M78" s="3">
        <v>11.7383850758173</v>
      </c>
      <c r="N78" s="3">
        <v>13.0788341739456</v>
      </c>
      <c r="O78" s="3">
        <v>22.960534059316899</v>
      </c>
      <c r="P78" s="3">
        <v>15.24408441101</v>
      </c>
      <c r="Q78" s="3">
        <v>15.0325636532608</v>
      </c>
      <c r="R78" s="3">
        <v>19.129260793334499</v>
      </c>
      <c r="S78" s="3">
        <v>8.7587862708844195</v>
      </c>
      <c r="T78" s="3">
        <v>16.391034502509299</v>
      </c>
      <c r="U78" s="3">
        <v>14.929991007430401</v>
      </c>
      <c r="V78" s="3">
        <v>19.647402638967499</v>
      </c>
    </row>
    <row r="79" spans="1:22" x14ac:dyDescent="0.35">
      <c r="A79" s="2">
        <v>44057</v>
      </c>
      <c r="B79" s="3">
        <v>15.8269651183919</v>
      </c>
      <c r="C79" s="3">
        <v>15.7431205461665</v>
      </c>
      <c r="D79" s="3">
        <v>16.975511726474799</v>
      </c>
      <c r="E79" s="3">
        <v>16.370128256068099</v>
      </c>
      <c r="F79" s="3">
        <v>12.7692332731077</v>
      </c>
      <c r="G79" s="3">
        <v>20.514485566872601</v>
      </c>
      <c r="H79" s="3">
        <v>18.754417136686499</v>
      </c>
      <c r="I79" s="3">
        <v>16.668251642863599</v>
      </c>
      <c r="J79" s="3">
        <v>17.707367292395801</v>
      </c>
      <c r="K79" s="3">
        <v>13.403393833873199</v>
      </c>
      <c r="L79" s="3">
        <v>25.020593236704201</v>
      </c>
      <c r="M79" s="3">
        <v>11.3862806143265</v>
      </c>
      <c r="N79" s="3">
        <v>12.255610951827601</v>
      </c>
      <c r="O79" s="3">
        <v>23.528921678615198</v>
      </c>
      <c r="P79" s="3">
        <v>14.784936897425601</v>
      </c>
      <c r="Q79" s="3">
        <v>15.3925124432864</v>
      </c>
      <c r="R79" s="3">
        <v>19.445850443169</v>
      </c>
      <c r="S79" s="3">
        <v>7.9002471845690199</v>
      </c>
      <c r="T79" s="3">
        <v>13.591328393468601</v>
      </c>
      <c r="U79" s="3">
        <v>14.747471536862999</v>
      </c>
      <c r="V79" s="3">
        <v>19.905976072700501</v>
      </c>
    </row>
    <row r="80" spans="1:22" x14ac:dyDescent="0.35">
      <c r="A80" s="2">
        <v>44088</v>
      </c>
      <c r="B80" s="3">
        <v>15.9660968335766</v>
      </c>
      <c r="C80" s="3">
        <v>14.459074945243501</v>
      </c>
      <c r="D80" s="3">
        <v>16.307225258086</v>
      </c>
      <c r="E80" s="3">
        <v>16.0360315865614</v>
      </c>
      <c r="F80" s="3">
        <v>11.924678356662</v>
      </c>
      <c r="G80" s="3">
        <v>21.3218829691629</v>
      </c>
      <c r="H80" s="3">
        <v>18.297836404799799</v>
      </c>
      <c r="I80" s="3">
        <v>15.7669552130527</v>
      </c>
      <c r="J80" s="3">
        <v>15.6401309028013</v>
      </c>
      <c r="K80" s="3">
        <v>12.9526966913013</v>
      </c>
      <c r="L80" s="3">
        <v>20.433312427896499</v>
      </c>
      <c r="M80" s="3">
        <v>11.0390480237033</v>
      </c>
      <c r="N80" s="3">
        <v>12.4530619074224</v>
      </c>
      <c r="O80" s="3">
        <v>23.1301969933828</v>
      </c>
      <c r="P80" s="3">
        <v>14.9928668567862</v>
      </c>
      <c r="Q80" s="3">
        <v>15.0545312186864</v>
      </c>
      <c r="R80" s="3">
        <v>18.518832901766</v>
      </c>
      <c r="S80" s="3">
        <v>7.9197855516741198</v>
      </c>
      <c r="T80" s="3">
        <v>13.2597258728731</v>
      </c>
      <c r="U80" s="3">
        <v>15.6234569590686</v>
      </c>
      <c r="V80" s="3">
        <v>21.660554988722399</v>
      </c>
    </row>
    <row r="81" spans="1:22" x14ac:dyDescent="0.35">
      <c r="A81" s="2">
        <v>44118</v>
      </c>
      <c r="B81" s="3">
        <v>16.3039700586877</v>
      </c>
      <c r="C81" s="3">
        <v>13.954042302437999</v>
      </c>
      <c r="D81" s="3">
        <v>16.026604407282999</v>
      </c>
      <c r="E81" s="3">
        <v>15.719177778190801</v>
      </c>
      <c r="F81" s="3">
        <v>11.661446461251799</v>
      </c>
      <c r="G81" s="3">
        <v>18.7274368896007</v>
      </c>
      <c r="H81" s="3">
        <v>17.535325697749901</v>
      </c>
      <c r="I81" s="3">
        <v>15.4110554117416</v>
      </c>
      <c r="J81" s="3">
        <v>15.0229708174494</v>
      </c>
      <c r="K81" s="3">
        <v>12.3374763640493</v>
      </c>
      <c r="L81" s="3">
        <v>16.819517601064</v>
      </c>
      <c r="M81" s="3">
        <v>10.507047223715601</v>
      </c>
      <c r="N81" s="3">
        <v>10.8550471658322</v>
      </c>
      <c r="O81" s="3">
        <v>23.244334969919599</v>
      </c>
      <c r="P81" s="3">
        <v>15.5270451250361</v>
      </c>
      <c r="Q81" s="3">
        <v>15.6273181359149</v>
      </c>
      <c r="R81" s="3">
        <v>18.290983883545898</v>
      </c>
      <c r="S81" s="3">
        <v>7.9448519062690899</v>
      </c>
      <c r="T81" s="3">
        <v>12.4606716971493</v>
      </c>
      <c r="U81" s="3">
        <v>15.6548499667747</v>
      </c>
      <c r="V81" s="3">
        <v>21.8400763346859</v>
      </c>
    </row>
    <row r="82" spans="1:22" x14ac:dyDescent="0.35">
      <c r="A82" s="2">
        <v>44148</v>
      </c>
      <c r="B82" s="3">
        <v>16.020695480885902</v>
      </c>
      <c r="C82" s="3">
        <v>14.734873090769099</v>
      </c>
      <c r="D82" s="3">
        <v>16.974856998239702</v>
      </c>
      <c r="E82" s="3">
        <v>17.805826943967698</v>
      </c>
      <c r="F82" s="3">
        <v>13.2762664603642</v>
      </c>
      <c r="G82" s="3">
        <v>17.567106320672298</v>
      </c>
      <c r="H82" s="3">
        <v>16.489297450029401</v>
      </c>
      <c r="I82" s="3">
        <v>15.090861547046901</v>
      </c>
      <c r="J82" s="3">
        <v>15.315277692893799</v>
      </c>
      <c r="K82" s="3">
        <v>12.341858270254701</v>
      </c>
      <c r="L82" s="3">
        <v>14.745989784268399</v>
      </c>
      <c r="M82" s="3">
        <v>10.530608295555</v>
      </c>
      <c r="N82" s="3">
        <v>10.1440530824782</v>
      </c>
      <c r="O82" s="3">
        <v>22.866874338936</v>
      </c>
      <c r="P82" s="3">
        <v>15.410383978832799</v>
      </c>
      <c r="Q82" s="3">
        <v>15.2421959037621</v>
      </c>
      <c r="R82" s="3">
        <v>18.532884655298002</v>
      </c>
      <c r="S82" s="3">
        <v>8.4152104893826607</v>
      </c>
      <c r="T82" s="3">
        <v>15.916452230888501</v>
      </c>
      <c r="U82" s="3">
        <v>15.3081404403259</v>
      </c>
      <c r="V82" s="3">
        <v>20.913922094825502</v>
      </c>
    </row>
    <row r="83" spans="1:22" x14ac:dyDescent="0.35">
      <c r="A83" s="2">
        <v>44179</v>
      </c>
      <c r="B83" s="3">
        <v>16.364657491295901</v>
      </c>
      <c r="C83" s="3">
        <v>13.7028226268233</v>
      </c>
      <c r="D83" s="3">
        <v>18.2076027055924</v>
      </c>
      <c r="E83" s="3">
        <v>17.1283357264237</v>
      </c>
      <c r="F83" s="3">
        <v>13.570466638584101</v>
      </c>
      <c r="G83" s="3">
        <v>15.544130487188401</v>
      </c>
      <c r="H83" s="3">
        <v>15.6061642212607</v>
      </c>
      <c r="I83" s="3">
        <v>15.596579343573101</v>
      </c>
      <c r="J83" s="3">
        <v>15.3068134396635</v>
      </c>
      <c r="K83" s="3">
        <v>13.3125600016002</v>
      </c>
      <c r="L83" s="3">
        <v>13.367476530182101</v>
      </c>
      <c r="M83" s="3">
        <v>9.8874708559459794</v>
      </c>
      <c r="N83" s="3">
        <v>11.9653299342572</v>
      </c>
      <c r="O83" s="3">
        <v>24.060402296345</v>
      </c>
      <c r="P83" s="3">
        <v>15.0541244503434</v>
      </c>
      <c r="Q83" s="3">
        <v>14.552819520542</v>
      </c>
      <c r="R83" s="3">
        <v>19.425408786241</v>
      </c>
      <c r="S83" s="3">
        <v>8.0615005157586594</v>
      </c>
      <c r="T83" s="3">
        <v>15.6626590323811</v>
      </c>
      <c r="U83" s="3">
        <v>15.943351427682799</v>
      </c>
      <c r="V83" s="3">
        <v>19.5308154616888</v>
      </c>
    </row>
    <row r="84" spans="1:22" x14ac:dyDescent="0.35">
      <c r="A84" s="2">
        <v>44210</v>
      </c>
      <c r="B84" s="3">
        <v>18.031078133073699</v>
      </c>
      <c r="C84" s="3">
        <v>15.067767014043399</v>
      </c>
      <c r="D84" s="3">
        <v>18.4100218422411</v>
      </c>
      <c r="E84" s="3">
        <v>16.758263529813199</v>
      </c>
      <c r="F84" s="3">
        <v>14.0385617714524</v>
      </c>
      <c r="G84" s="3">
        <v>14.626539143201001</v>
      </c>
      <c r="H84" s="3">
        <v>14.8841882029154</v>
      </c>
      <c r="I84" s="3">
        <v>16.762993568540701</v>
      </c>
      <c r="J84" s="3">
        <v>15.308181378247101</v>
      </c>
      <c r="K84" s="3">
        <v>14.7529150341842</v>
      </c>
      <c r="L84" s="3">
        <v>12.4494756867871</v>
      </c>
      <c r="M84" s="3">
        <v>9.8889832690627593</v>
      </c>
      <c r="N84" s="3">
        <v>11.370296517736101</v>
      </c>
      <c r="O84" s="3">
        <v>24.7064018241675</v>
      </c>
      <c r="P84" s="3">
        <v>16.790518419908</v>
      </c>
      <c r="Q84" s="3">
        <v>14.541081925321199</v>
      </c>
      <c r="R84" s="3">
        <v>20.315791545718699</v>
      </c>
      <c r="S84" s="3">
        <v>8.21979939307138</v>
      </c>
      <c r="T84" s="3">
        <v>15.6984439552648</v>
      </c>
      <c r="U84" s="3">
        <v>17.417434885261301</v>
      </c>
      <c r="V84" s="3">
        <v>19.199132430417901</v>
      </c>
    </row>
    <row r="85" spans="1:22" x14ac:dyDescent="0.35">
      <c r="A85" s="2">
        <v>44239</v>
      </c>
      <c r="B85" s="3">
        <v>19.032839856711899</v>
      </c>
      <c r="C85" s="3">
        <v>14.650860757256201</v>
      </c>
      <c r="D85" s="3">
        <v>17.440272939157701</v>
      </c>
      <c r="E85" s="3">
        <v>16.1075190164301</v>
      </c>
      <c r="F85" s="3">
        <v>11.0747359103528</v>
      </c>
      <c r="G85" s="3">
        <v>15.284789142488</v>
      </c>
      <c r="H85" s="3">
        <v>14.375587305282201</v>
      </c>
      <c r="I85" s="3">
        <v>15.8259915801952</v>
      </c>
      <c r="J85" s="3">
        <v>14.3740362919667</v>
      </c>
      <c r="K85" s="3">
        <v>13.897964610173</v>
      </c>
      <c r="L85" s="3">
        <v>11.0413116347663</v>
      </c>
      <c r="M85" s="3">
        <v>10.531184063611301</v>
      </c>
      <c r="N85" s="3">
        <v>11.3856133428714</v>
      </c>
      <c r="O85" s="3">
        <v>23.836677964073601</v>
      </c>
      <c r="P85" s="3">
        <v>18.730788153117398</v>
      </c>
      <c r="Q85" s="3">
        <v>13.8511881242193</v>
      </c>
      <c r="R85" s="3">
        <v>19.407888611574599</v>
      </c>
      <c r="S85" s="3">
        <v>7.7098818522110797</v>
      </c>
      <c r="T85" s="3">
        <v>15.6167945754247</v>
      </c>
      <c r="U85" s="3">
        <v>16.5387590525891</v>
      </c>
      <c r="V85" s="3">
        <v>18.783982753516899</v>
      </c>
    </row>
    <row r="86" spans="1:22" x14ac:dyDescent="0.35">
      <c r="A86" s="2">
        <v>44267</v>
      </c>
      <c r="B86" s="3">
        <v>16.460420000636098</v>
      </c>
      <c r="C86" s="3">
        <v>15.0858873669451</v>
      </c>
      <c r="D86" s="3">
        <v>16.982796218658098</v>
      </c>
      <c r="E86" s="3">
        <v>15.495648136307301</v>
      </c>
      <c r="F86" s="3">
        <v>11.816754908656</v>
      </c>
      <c r="G86" s="3">
        <v>14.704584340939601</v>
      </c>
      <c r="H86" s="3">
        <v>14.3657069665609</v>
      </c>
      <c r="I86" s="3">
        <v>15.522242874499099</v>
      </c>
      <c r="J86" s="3">
        <v>14.9580901525356</v>
      </c>
      <c r="K86" s="3">
        <v>13.418305643978</v>
      </c>
      <c r="L86" s="3">
        <v>9.7506410461787496</v>
      </c>
      <c r="M86" s="3">
        <v>10.367270988422201</v>
      </c>
      <c r="N86" s="3">
        <v>12.267812859118401</v>
      </c>
      <c r="O86" s="3">
        <v>23.555378353650699</v>
      </c>
      <c r="P86" s="3">
        <v>16.706835874048402</v>
      </c>
      <c r="Q86" s="3">
        <v>13.387022445644201</v>
      </c>
      <c r="R86" s="3">
        <v>19.643191094520699</v>
      </c>
      <c r="S86" s="3">
        <v>7.5468822961145703</v>
      </c>
      <c r="T86" s="3">
        <v>14.8434495336792</v>
      </c>
      <c r="U86" s="3">
        <v>16.933261039880598</v>
      </c>
      <c r="V86" s="3">
        <v>19.0098652687882</v>
      </c>
    </row>
    <row r="87" spans="1:22" x14ac:dyDescent="0.35">
      <c r="A87" s="2">
        <v>44300</v>
      </c>
      <c r="B87" s="3">
        <v>15.845330629286799</v>
      </c>
      <c r="C87" s="3">
        <v>13.9338252750059</v>
      </c>
      <c r="D87" s="3">
        <v>16.1522063411944</v>
      </c>
      <c r="E87" s="3">
        <v>14.841803264240699</v>
      </c>
      <c r="F87" s="3">
        <v>12.044018590034</v>
      </c>
      <c r="G87" s="3">
        <v>11.949556208325401</v>
      </c>
      <c r="H87" s="3">
        <v>14.2335461740063</v>
      </c>
      <c r="I87" s="3">
        <v>15.0670173228658</v>
      </c>
      <c r="J87" s="3">
        <v>15.122961680346</v>
      </c>
      <c r="K87" s="3">
        <v>13.162154005596101</v>
      </c>
      <c r="L87" s="3">
        <v>9.2158874979149399</v>
      </c>
      <c r="M87" s="3">
        <v>9.8787668034306808</v>
      </c>
      <c r="N87" s="3">
        <v>12.242953770319501</v>
      </c>
      <c r="O87" s="3">
        <v>22.271032326592199</v>
      </c>
      <c r="P87" s="3">
        <v>16.010139581057299</v>
      </c>
      <c r="Q87" s="3">
        <v>13.9290504118991</v>
      </c>
      <c r="R87" s="3">
        <v>18.727689243359801</v>
      </c>
      <c r="S87" s="3">
        <v>6.6043635123847002</v>
      </c>
      <c r="T87" s="3">
        <v>14.0001350824177</v>
      </c>
      <c r="U87" s="3">
        <v>17.076023916967401</v>
      </c>
      <c r="V87" s="3">
        <v>18.930906410569101</v>
      </c>
    </row>
    <row r="88" spans="1:22" x14ac:dyDescent="0.35">
      <c r="A88" s="2">
        <v>44330</v>
      </c>
      <c r="B88" s="3">
        <v>16.072072808157099</v>
      </c>
      <c r="C88" s="3">
        <v>12.561759215824701</v>
      </c>
      <c r="D88" s="3">
        <v>15.636522610887299</v>
      </c>
      <c r="E88" s="3">
        <v>14.3619900302325</v>
      </c>
      <c r="F88" s="3">
        <v>12.6343511448916</v>
      </c>
      <c r="G88" s="3">
        <v>11.9925800341375</v>
      </c>
      <c r="H88" s="3">
        <v>13.985072669524699</v>
      </c>
      <c r="I88" s="3">
        <v>12.9807693418471</v>
      </c>
      <c r="J88" s="3">
        <v>14.8050694433243</v>
      </c>
      <c r="K88" s="3">
        <v>11.088681644816999</v>
      </c>
      <c r="L88" s="3">
        <v>8.9526223767941602</v>
      </c>
      <c r="M88" s="3">
        <v>9.4472764117831396</v>
      </c>
      <c r="N88" s="3">
        <v>7.0593438762587102</v>
      </c>
      <c r="O88" s="3">
        <v>22.089585062293299</v>
      </c>
      <c r="P88" s="3">
        <v>15.013838434454099</v>
      </c>
      <c r="Q88" s="3">
        <v>14.0063343074385</v>
      </c>
      <c r="R88" s="3">
        <v>18.037188526724702</v>
      </c>
      <c r="S88" s="3">
        <v>6.4997247842340897</v>
      </c>
      <c r="T88" s="3">
        <v>13.745172897204201</v>
      </c>
      <c r="U88" s="3">
        <v>16.260612581324299</v>
      </c>
      <c r="V88" s="3">
        <v>19.083581567823401</v>
      </c>
    </row>
    <row r="89" spans="1:22" x14ac:dyDescent="0.35">
      <c r="A89" s="2">
        <v>44361</v>
      </c>
      <c r="B89" s="3">
        <v>16.6991177979978</v>
      </c>
      <c r="C89" s="3">
        <v>11.5810817501096</v>
      </c>
      <c r="D89" s="3">
        <v>15.8078668994187</v>
      </c>
      <c r="E89" s="3">
        <v>16.548271810187401</v>
      </c>
      <c r="F89" s="3">
        <v>12.7883034908713</v>
      </c>
      <c r="G89" s="3">
        <v>9.32137313454351</v>
      </c>
      <c r="H89" s="3">
        <v>14.0221248017078</v>
      </c>
      <c r="I89" s="3">
        <v>13.864956912578</v>
      </c>
      <c r="J89" s="3">
        <v>15.3324984934656</v>
      </c>
      <c r="K89" s="3">
        <v>11.2770351093621</v>
      </c>
      <c r="L89" s="3">
        <v>9.52712051107431</v>
      </c>
      <c r="M89" s="3">
        <v>9.8009579435633203</v>
      </c>
      <c r="N89" s="3">
        <v>13.3712083471671</v>
      </c>
      <c r="O89" s="3">
        <v>23.540059072768301</v>
      </c>
      <c r="P89" s="3">
        <v>15.971342077591</v>
      </c>
      <c r="Q89" s="3">
        <v>13.5878574769125</v>
      </c>
      <c r="R89" s="3">
        <v>18.1146349506663</v>
      </c>
      <c r="S89" s="3">
        <v>6.3479490012041202</v>
      </c>
      <c r="T89" s="3">
        <v>15.273072188790501</v>
      </c>
      <c r="U89" s="3">
        <v>17.854738098605601</v>
      </c>
      <c r="V89" s="3">
        <v>19.5496152941258</v>
      </c>
    </row>
    <row r="90" spans="1:22" x14ac:dyDescent="0.35">
      <c r="A90" s="2">
        <v>44391</v>
      </c>
      <c r="B90" s="3">
        <v>16.1248189339363</v>
      </c>
      <c r="C90" s="3">
        <v>10.5314257022675</v>
      </c>
      <c r="D90" s="3">
        <v>14.4137077497939</v>
      </c>
      <c r="E90" s="3">
        <v>15.9096619021814</v>
      </c>
      <c r="F90" s="3">
        <v>12.098431455479099</v>
      </c>
      <c r="G90" s="3">
        <v>9.3959115370580104</v>
      </c>
      <c r="H90" s="3">
        <v>13.4039356294053</v>
      </c>
      <c r="I90" s="3">
        <v>13.900658461816301</v>
      </c>
      <c r="J90" s="3">
        <v>14.4155899105908</v>
      </c>
      <c r="K90" s="3">
        <v>11.028724061293801</v>
      </c>
      <c r="L90" s="3">
        <v>8.9137233157469495</v>
      </c>
      <c r="M90" s="3">
        <v>9.4420929123349406</v>
      </c>
      <c r="N90" s="3">
        <v>11.720621968767899</v>
      </c>
      <c r="O90" s="3">
        <v>23.1157913038064</v>
      </c>
      <c r="P90" s="3">
        <v>15.1969557804935</v>
      </c>
      <c r="Q90" s="3">
        <v>13.1336983063226</v>
      </c>
      <c r="R90" s="3">
        <v>17.085986811344299</v>
      </c>
      <c r="S90" s="3">
        <v>5.7889896954211899</v>
      </c>
      <c r="T90" s="3">
        <v>14.3360228373718</v>
      </c>
      <c r="U90" s="3">
        <v>16.502876091652801</v>
      </c>
      <c r="V90" s="3">
        <v>18.963638023067599</v>
      </c>
    </row>
    <row r="91" spans="1:22" x14ac:dyDescent="0.35">
      <c r="A91" s="2">
        <v>44421</v>
      </c>
      <c r="B91" s="3">
        <v>15.5792880928241</v>
      </c>
      <c r="C91" s="3">
        <v>10.2841946169635</v>
      </c>
      <c r="D91" s="3">
        <v>14.924629714375801</v>
      </c>
      <c r="E91" s="3">
        <v>14.5810409815286</v>
      </c>
      <c r="F91" s="3">
        <v>12.0498167519721</v>
      </c>
      <c r="G91" s="3">
        <v>8.5197419801992993</v>
      </c>
      <c r="H91" s="3">
        <v>13.4598244123175</v>
      </c>
      <c r="I91" s="3">
        <v>12.912948152275201</v>
      </c>
      <c r="J91" s="3">
        <v>14.4253206567086</v>
      </c>
      <c r="K91" s="3">
        <v>10.331064247183299</v>
      </c>
      <c r="L91" s="3">
        <v>8.1158894071737198</v>
      </c>
      <c r="M91" s="3">
        <v>9.5286323440312692</v>
      </c>
      <c r="N91" s="3">
        <v>11.010853763057501</v>
      </c>
      <c r="O91" s="3">
        <v>23.6350373475148</v>
      </c>
      <c r="P91" s="3">
        <v>13.9535014769017</v>
      </c>
      <c r="Q91" s="3">
        <v>13.329915036937001</v>
      </c>
      <c r="R91" s="3">
        <v>16.575546494681799</v>
      </c>
      <c r="S91" s="3">
        <v>5.7716636796357204</v>
      </c>
      <c r="T91" s="3">
        <v>14.2910590535009</v>
      </c>
      <c r="U91" s="3">
        <v>16.681881363955899</v>
      </c>
      <c r="V91" s="3">
        <v>19.239220884748701</v>
      </c>
    </row>
    <row r="92" spans="1:22" x14ac:dyDescent="0.35">
      <c r="A92" s="2">
        <v>44453</v>
      </c>
      <c r="B92" s="3">
        <v>15.5610434133625</v>
      </c>
      <c r="C92" s="3">
        <v>10.1944819484766</v>
      </c>
      <c r="D92" s="3">
        <v>15.0830703472226</v>
      </c>
      <c r="E92" s="3">
        <v>15.9584470816754</v>
      </c>
      <c r="F92" s="3">
        <v>11.7415027374118</v>
      </c>
      <c r="G92" s="3">
        <v>8.9737996128925808</v>
      </c>
      <c r="H92" s="3">
        <v>13.868855117134</v>
      </c>
      <c r="I92" s="3">
        <v>13.242349599686101</v>
      </c>
      <c r="J92" s="3">
        <v>14.1848766682914</v>
      </c>
      <c r="K92" s="3">
        <v>10.3379094942309</v>
      </c>
      <c r="L92" s="3">
        <v>7.7409887279411702</v>
      </c>
      <c r="M92" s="3">
        <v>9.0123554240846602</v>
      </c>
      <c r="N92" s="3">
        <v>10.568294540163301</v>
      </c>
      <c r="O92" s="3">
        <v>24.644466430646901</v>
      </c>
      <c r="P92" s="3">
        <v>13.6687388453258</v>
      </c>
      <c r="Q92" s="3">
        <v>13.250147485779999</v>
      </c>
      <c r="R92" s="3">
        <v>17.538398303064799</v>
      </c>
      <c r="S92" s="3">
        <v>5.4958259364248896</v>
      </c>
      <c r="T92" s="3">
        <v>14.299157735071701</v>
      </c>
      <c r="U92" s="3">
        <v>16.1397595529386</v>
      </c>
      <c r="V92" s="3">
        <v>18.9747539980543</v>
      </c>
    </row>
    <row r="93" spans="1:22" x14ac:dyDescent="0.35">
      <c r="A93" s="2">
        <v>44483</v>
      </c>
      <c r="B93" s="3">
        <v>15.345029168755101</v>
      </c>
      <c r="C93" s="3">
        <v>9.1203446331956801</v>
      </c>
      <c r="D93" s="3">
        <v>15.9353816863071</v>
      </c>
      <c r="E93" s="3">
        <v>16.631501464209901</v>
      </c>
      <c r="F93" s="3">
        <v>12.233050701336101</v>
      </c>
      <c r="G93" s="3">
        <v>9.7562156205978692</v>
      </c>
      <c r="H93" s="3">
        <v>14.6039859411616</v>
      </c>
      <c r="I93" s="3">
        <v>12.371382646554</v>
      </c>
      <c r="J93" s="3">
        <v>13.9152673384532</v>
      </c>
      <c r="K93" s="3">
        <v>9.9022554247012504</v>
      </c>
      <c r="L93" s="3">
        <v>7.9064382724060502</v>
      </c>
      <c r="M93" s="3">
        <v>9.5145382419346394</v>
      </c>
      <c r="N93" s="3">
        <v>10.4432837588326</v>
      </c>
      <c r="O93" s="3">
        <v>24.946975943161402</v>
      </c>
      <c r="P93" s="3">
        <v>13.4496818681889</v>
      </c>
      <c r="Q93" s="3">
        <v>13.4405003840206</v>
      </c>
      <c r="R93" s="3">
        <v>17.427994984174799</v>
      </c>
      <c r="S93" s="3">
        <v>5.3236377610867001</v>
      </c>
      <c r="T93" s="3">
        <v>14.6736589878151</v>
      </c>
      <c r="U93" s="3">
        <v>16.1435838832803</v>
      </c>
      <c r="V93" s="3">
        <v>19.297679264609499</v>
      </c>
    </row>
    <row r="94" spans="1:22" x14ac:dyDescent="0.35">
      <c r="A94" s="2">
        <v>44512</v>
      </c>
      <c r="B94" s="3">
        <v>15.272505382155</v>
      </c>
      <c r="C94" s="3">
        <v>9.8513666398991795</v>
      </c>
      <c r="D94" s="3">
        <v>15.2249570404139</v>
      </c>
      <c r="E94" s="3">
        <v>16.6705108768755</v>
      </c>
      <c r="F94" s="3">
        <v>11.8187774958507</v>
      </c>
      <c r="G94" s="3">
        <v>10.104794414181301</v>
      </c>
      <c r="H94" s="3">
        <v>14.309424294229499</v>
      </c>
      <c r="I94" s="3">
        <v>13.1854162207473</v>
      </c>
      <c r="J94" s="3">
        <v>13.652248900157099</v>
      </c>
      <c r="K94" s="3">
        <v>9.9940689037373893</v>
      </c>
      <c r="L94" s="3">
        <v>7.4974942517711796</v>
      </c>
      <c r="M94" s="3">
        <v>9.6026796888292694</v>
      </c>
      <c r="N94" s="3">
        <v>11.069902310691001</v>
      </c>
      <c r="O94" s="3">
        <v>24.254714286600802</v>
      </c>
      <c r="P94" s="3">
        <v>13.4851095252489</v>
      </c>
      <c r="Q94" s="3">
        <v>13.639150780664499</v>
      </c>
      <c r="R94" s="3">
        <v>17.473126745552999</v>
      </c>
      <c r="S94" s="3">
        <v>5.8500699441808903</v>
      </c>
      <c r="T94" s="3">
        <v>15.6212357795924</v>
      </c>
      <c r="U94" s="3">
        <v>16.118591885226898</v>
      </c>
      <c r="V94" s="3">
        <v>19.001244056856301</v>
      </c>
    </row>
    <row r="95" spans="1:22" x14ac:dyDescent="0.35">
      <c r="A95" s="2">
        <v>44544</v>
      </c>
      <c r="B95" s="3">
        <v>15.75984411434</v>
      </c>
      <c r="C95" s="3">
        <v>9.0659151301738508</v>
      </c>
      <c r="D95" s="3">
        <v>14.662088647560299</v>
      </c>
      <c r="E95" s="3">
        <v>15.568364515820999</v>
      </c>
      <c r="F95" s="3">
        <v>10.1533887339478</v>
      </c>
      <c r="G95" s="3">
        <v>9.6499199692327498</v>
      </c>
      <c r="H95" s="3">
        <v>14.862450490193501</v>
      </c>
      <c r="I95" s="3">
        <v>13.2684103650405</v>
      </c>
      <c r="J95" s="3">
        <v>13.378609817110799</v>
      </c>
      <c r="K95" s="3">
        <v>10.261062413528</v>
      </c>
      <c r="L95" s="3">
        <v>7.8716347958945301</v>
      </c>
      <c r="M95" s="3">
        <v>9.5114859135547007</v>
      </c>
      <c r="N95" s="3">
        <v>9.6164784931727105</v>
      </c>
      <c r="O95" s="3">
        <v>23.2775266913435</v>
      </c>
      <c r="P95" s="3">
        <v>12.6551963286934</v>
      </c>
      <c r="Q95" s="3">
        <v>13.223674502046199</v>
      </c>
      <c r="R95" s="3">
        <v>17.000686455847799</v>
      </c>
      <c r="S95" s="3">
        <v>7.03654620563678</v>
      </c>
      <c r="T95" s="3">
        <v>16.635381015210498</v>
      </c>
      <c r="U95" s="3">
        <v>16.725507983682</v>
      </c>
      <c r="V95" s="3">
        <v>17.270118040550599</v>
      </c>
    </row>
    <row r="96" spans="1:22" x14ac:dyDescent="0.35">
      <c r="A96" s="2">
        <v>44575</v>
      </c>
      <c r="B96" s="3">
        <v>14.505732305064001</v>
      </c>
      <c r="C96" s="3">
        <v>9.7254191285498699</v>
      </c>
      <c r="D96" s="3">
        <v>14.8784904749161</v>
      </c>
      <c r="E96" s="3">
        <v>15.3006342360258</v>
      </c>
      <c r="F96" s="3">
        <v>11.046801101079501</v>
      </c>
      <c r="G96" s="3">
        <v>11.3799514595765</v>
      </c>
      <c r="H96" s="3">
        <v>15.6034591255761</v>
      </c>
      <c r="I96" s="3">
        <v>13.443095085864</v>
      </c>
      <c r="J96" s="3">
        <v>14.0002531489385</v>
      </c>
      <c r="K96" s="3">
        <v>9.9047699997975496</v>
      </c>
      <c r="L96" s="3">
        <v>7.8552595485061198</v>
      </c>
      <c r="M96" s="3">
        <v>9.9504077316189701</v>
      </c>
      <c r="N96" s="3">
        <v>10.182049945153</v>
      </c>
      <c r="O96" s="3">
        <v>24.009699415811902</v>
      </c>
      <c r="P96" s="3">
        <v>12.606899079586601</v>
      </c>
      <c r="Q96" s="3">
        <v>13.6509780359312</v>
      </c>
      <c r="R96" s="3">
        <v>17.437273186925399</v>
      </c>
      <c r="S96" s="3">
        <v>5.9972707076118104</v>
      </c>
      <c r="T96" s="3">
        <v>15.442393590612999</v>
      </c>
      <c r="U96" s="3">
        <v>15.6168745295791</v>
      </c>
      <c r="V96" s="3">
        <v>18.938656426394498</v>
      </c>
    </row>
    <row r="97" spans="1:22" x14ac:dyDescent="0.35">
      <c r="A97" s="2">
        <v>44606</v>
      </c>
      <c r="B97" s="3">
        <v>13.646518735703999</v>
      </c>
      <c r="C97" s="3">
        <v>10.119355700646899</v>
      </c>
      <c r="D97" s="3">
        <v>15.039327531644901</v>
      </c>
      <c r="E97" s="3">
        <v>15.219680153238899</v>
      </c>
      <c r="F97" s="3">
        <v>9.8951242178796104</v>
      </c>
      <c r="G97" s="3">
        <v>10.9193881943013</v>
      </c>
      <c r="H97" s="3">
        <v>15.656995245562999</v>
      </c>
      <c r="I97" s="3">
        <v>12.726385193329399</v>
      </c>
      <c r="J97" s="3">
        <v>13.483219914713199</v>
      </c>
      <c r="K97" s="3">
        <v>9.2579277666405702</v>
      </c>
      <c r="L97" s="3">
        <v>8.1473397109286996</v>
      </c>
      <c r="M97" s="3">
        <v>10.0296184366827</v>
      </c>
      <c r="N97" s="3">
        <v>10.1874264063638</v>
      </c>
      <c r="O97" s="3">
        <v>21.597803856870001</v>
      </c>
      <c r="P97" s="3">
        <v>12.167333734909301</v>
      </c>
      <c r="Q97" s="3">
        <v>13.652512060104099</v>
      </c>
      <c r="R97" s="3">
        <v>17.222493727959399</v>
      </c>
      <c r="S97" s="3">
        <v>4.7471612184050302</v>
      </c>
      <c r="T97" s="3">
        <v>15.9584815137096</v>
      </c>
      <c r="U97" s="3">
        <v>14.696804047980301</v>
      </c>
      <c r="V97" s="3">
        <v>18.789416480612498</v>
      </c>
    </row>
    <row r="98" spans="1:22" x14ac:dyDescent="0.35">
      <c r="A98" s="2">
        <v>44634</v>
      </c>
      <c r="B98" s="3">
        <v>12.602274662818701</v>
      </c>
      <c r="C98" s="3">
        <v>9.1897610310114999</v>
      </c>
      <c r="D98" s="3">
        <v>14.8898818970842</v>
      </c>
      <c r="E98" s="3">
        <v>13.843215212511399</v>
      </c>
      <c r="F98" s="3">
        <v>9.0081290145201098</v>
      </c>
      <c r="G98" s="3">
        <v>11.251566987310101</v>
      </c>
      <c r="H98" s="3">
        <v>15.108755491893801</v>
      </c>
      <c r="I98" s="3">
        <v>12.2081092717748</v>
      </c>
      <c r="J98" s="3">
        <v>13.494050367102799</v>
      </c>
      <c r="K98" s="3">
        <v>9.1246260085003303</v>
      </c>
      <c r="L98" s="3">
        <v>7.4828099827501298</v>
      </c>
      <c r="M98" s="3">
        <v>9.6637535895364799</v>
      </c>
      <c r="N98" s="3">
        <v>9.1020912124568607</v>
      </c>
      <c r="O98" s="3">
        <v>21.411511525385301</v>
      </c>
      <c r="P98" s="3">
        <v>9.1675300438096397</v>
      </c>
      <c r="Q98" s="3">
        <v>14.2463734147004</v>
      </c>
      <c r="R98" s="3">
        <v>16.873393251315498</v>
      </c>
      <c r="S98" s="3">
        <v>4.6713276760773201</v>
      </c>
      <c r="T98" s="3">
        <v>16.175402507151201</v>
      </c>
      <c r="U98" s="3">
        <v>13.862857586032</v>
      </c>
      <c r="V98" s="3">
        <v>18.879832043590799</v>
      </c>
    </row>
    <row r="99" spans="1:22" x14ac:dyDescent="0.35">
      <c r="A99" s="2">
        <v>44665</v>
      </c>
      <c r="B99" s="3">
        <v>12.6374806310039</v>
      </c>
      <c r="C99" s="3">
        <v>9.3422523149949708</v>
      </c>
      <c r="D99" s="3">
        <v>14.4594301665455</v>
      </c>
      <c r="E99" s="3">
        <v>14.1742684462511</v>
      </c>
      <c r="F99" s="3">
        <v>8.6926705881250896</v>
      </c>
      <c r="G99" s="3">
        <v>10.087973359124</v>
      </c>
      <c r="H99" s="3">
        <v>15.139023543300899</v>
      </c>
      <c r="I99" s="3">
        <v>11.930306452810299</v>
      </c>
      <c r="J99" s="3">
        <v>13.825977320748599</v>
      </c>
      <c r="K99" s="3">
        <v>9.1556486751275408</v>
      </c>
      <c r="L99" s="3">
        <v>7.4065689749395798</v>
      </c>
      <c r="M99" s="3">
        <v>9.40007264055272</v>
      </c>
      <c r="N99" s="3">
        <v>10.313283930118899</v>
      </c>
      <c r="O99" s="3">
        <v>22.183256760902399</v>
      </c>
      <c r="P99" s="3">
        <v>10.595414261736799</v>
      </c>
      <c r="Q99" s="3">
        <v>14.2789235779855</v>
      </c>
      <c r="R99" s="3">
        <v>16.704104771794601</v>
      </c>
      <c r="S99" s="3">
        <v>5.3137494266796503</v>
      </c>
      <c r="T99" s="3">
        <v>16.529442658709499</v>
      </c>
      <c r="U99" s="3">
        <v>14.092752507443601</v>
      </c>
      <c r="V99" s="3">
        <v>19.5158598890288</v>
      </c>
    </row>
    <row r="100" spans="1:22" x14ac:dyDescent="0.35">
      <c r="A100" s="2">
        <v>44694</v>
      </c>
      <c r="B100" s="3">
        <v>12.4813258299386</v>
      </c>
      <c r="C100" s="3">
        <v>8.5827290994581293</v>
      </c>
      <c r="D100" s="3">
        <v>13.224006271271399</v>
      </c>
      <c r="E100" s="3">
        <v>12.648469947667699</v>
      </c>
      <c r="F100" s="3">
        <v>6.8814049160675799</v>
      </c>
      <c r="G100" s="3">
        <v>7.8402253857512196</v>
      </c>
      <c r="H100" s="3">
        <v>14.436744681095799</v>
      </c>
      <c r="I100" s="3">
        <v>11.1326637480133</v>
      </c>
      <c r="J100" s="3">
        <v>12.382150350210701</v>
      </c>
      <c r="K100" s="3">
        <v>8.8094982816372092</v>
      </c>
      <c r="L100" s="3">
        <v>6.55155233964829</v>
      </c>
      <c r="M100" s="3">
        <v>8.8537082285422208</v>
      </c>
      <c r="N100" s="3">
        <v>9.0731886421199999</v>
      </c>
      <c r="O100" s="3">
        <v>19.845909856830399</v>
      </c>
      <c r="P100" s="3">
        <v>10.325136166760799</v>
      </c>
      <c r="Q100" s="3">
        <v>13.303569585987001</v>
      </c>
      <c r="R100" s="3">
        <v>15.733736478464699</v>
      </c>
      <c r="S100" s="3">
        <v>4.5005524646089903</v>
      </c>
      <c r="T100" s="3">
        <v>14.5428569270097</v>
      </c>
      <c r="U100" s="3">
        <v>11.881773387879299</v>
      </c>
      <c r="V100" s="3">
        <v>17.596685890567201</v>
      </c>
    </row>
    <row r="101" spans="1:22" x14ac:dyDescent="0.35">
      <c r="A101" s="2">
        <v>44726</v>
      </c>
      <c r="B101" s="3">
        <v>13.059775925044701</v>
      </c>
      <c r="C101" s="3">
        <v>6.7227311221330099</v>
      </c>
      <c r="D101" s="3">
        <v>12.8655445885655</v>
      </c>
      <c r="E101" s="3">
        <v>13.084286727486599</v>
      </c>
      <c r="F101" s="3">
        <v>6.5743775199548997</v>
      </c>
      <c r="G101" s="3">
        <v>7.6346426288989901</v>
      </c>
      <c r="H101" s="3">
        <v>13.829605808348701</v>
      </c>
      <c r="I101" s="3">
        <v>11.231746125906399</v>
      </c>
      <c r="J101" s="3">
        <v>11.653343597293301</v>
      </c>
      <c r="K101" s="3">
        <v>8.3828153887565193</v>
      </c>
      <c r="L101" s="3">
        <v>6.1597255323779896</v>
      </c>
      <c r="M101" s="3">
        <v>8.2607438852321593</v>
      </c>
      <c r="N101" s="3">
        <v>8.4330277628830093</v>
      </c>
      <c r="O101" s="3">
        <v>19.9159361786194</v>
      </c>
      <c r="P101" s="3">
        <v>11.5205388488914</v>
      </c>
      <c r="Q101" s="3">
        <v>12.269849228911999</v>
      </c>
      <c r="R101" s="3">
        <v>15.5482265645522</v>
      </c>
      <c r="S101" s="3">
        <v>4.9422514799737201</v>
      </c>
      <c r="T101" s="3">
        <v>13.7377282524872</v>
      </c>
      <c r="U101" s="3">
        <v>12.2861989410248</v>
      </c>
      <c r="V101" s="3">
        <v>16.254462600221899</v>
      </c>
    </row>
    <row r="102" spans="1:22" x14ac:dyDescent="0.35">
      <c r="A102" s="2">
        <v>44756</v>
      </c>
      <c r="B102" s="3">
        <v>13.245397279149801</v>
      </c>
      <c r="C102" s="3">
        <v>6.2723909524068402</v>
      </c>
      <c r="D102" s="3">
        <v>12.0836403949101</v>
      </c>
      <c r="E102" s="3">
        <v>12.60905959291</v>
      </c>
      <c r="F102" s="3">
        <v>5.8687175739017503</v>
      </c>
      <c r="G102" s="3">
        <v>6.7149684821167304</v>
      </c>
      <c r="H102" s="3">
        <v>13.235969387347501</v>
      </c>
      <c r="I102" s="3">
        <v>10.076642608179201</v>
      </c>
      <c r="J102" s="3">
        <v>11.3475918913296</v>
      </c>
      <c r="K102" s="3">
        <v>8.2079820711360991</v>
      </c>
      <c r="L102" s="3">
        <v>5.8106367656659401</v>
      </c>
      <c r="M102" s="3">
        <v>8.3574922871074406</v>
      </c>
      <c r="N102" s="3">
        <v>7.6770763820425802</v>
      </c>
      <c r="O102" s="3">
        <v>20.223802902352801</v>
      </c>
      <c r="P102" s="3">
        <v>11.39549264283</v>
      </c>
      <c r="Q102" s="3">
        <v>11.9776288866104</v>
      </c>
      <c r="R102" s="3">
        <v>14.9049295982127</v>
      </c>
      <c r="S102" s="3">
        <v>4.3121409578619199</v>
      </c>
      <c r="T102" s="3">
        <v>12.7056964638906</v>
      </c>
      <c r="U102" s="3">
        <v>10.864340670731499</v>
      </c>
      <c r="V102" s="3">
        <v>15.2918792061311</v>
      </c>
    </row>
    <row r="103" spans="1:22" x14ac:dyDescent="0.35">
      <c r="A103" s="2">
        <v>44785</v>
      </c>
      <c r="B103" s="3">
        <v>12.8654553704426</v>
      </c>
      <c r="C103" s="3">
        <v>6.8289999717621299</v>
      </c>
      <c r="D103" s="3">
        <v>12.9252913661772</v>
      </c>
      <c r="E103" s="3">
        <v>13.095083123277901</v>
      </c>
      <c r="F103" s="3">
        <v>6.4217556472592401</v>
      </c>
      <c r="G103" s="3">
        <v>7.7929218052383504</v>
      </c>
      <c r="H103" s="3">
        <v>13.973621011078899</v>
      </c>
      <c r="I103" s="3">
        <v>11.124311493954099</v>
      </c>
      <c r="J103" s="3">
        <v>11.9574609628419</v>
      </c>
      <c r="K103" s="3">
        <v>8.8754790727566402</v>
      </c>
      <c r="L103" s="3">
        <v>6.4195953924843003</v>
      </c>
      <c r="M103" s="3">
        <v>9.1167800933679999</v>
      </c>
      <c r="N103" s="3">
        <v>8.2179157263921692</v>
      </c>
      <c r="O103" s="3">
        <v>22.6779828675507</v>
      </c>
      <c r="P103" s="3">
        <v>10.841113253906</v>
      </c>
      <c r="Q103" s="3">
        <v>13.9590183919693</v>
      </c>
      <c r="R103" s="3">
        <v>15.4607989020018</v>
      </c>
      <c r="S103" s="3">
        <v>4.6140010036365204</v>
      </c>
      <c r="T103" s="3">
        <v>13.684437556436301</v>
      </c>
      <c r="U103" s="3">
        <v>11.543558624727501</v>
      </c>
      <c r="V103" s="3">
        <v>16.556493245057499</v>
      </c>
    </row>
    <row r="104" spans="1:22" x14ac:dyDescent="0.35">
      <c r="A104" s="2">
        <v>44818</v>
      </c>
      <c r="B104" s="3">
        <v>12.4903505960361</v>
      </c>
      <c r="C104" s="3">
        <v>7.79805674688654</v>
      </c>
      <c r="D104" s="3">
        <v>13.181526763496</v>
      </c>
      <c r="E104" s="3">
        <v>12.724142287194899</v>
      </c>
      <c r="F104" s="3">
        <v>6.0827944276572703</v>
      </c>
      <c r="G104" s="3">
        <v>7.7574215793905799</v>
      </c>
      <c r="H104" s="3">
        <v>13.5132921319038</v>
      </c>
      <c r="I104" s="3">
        <v>10.889700587387299</v>
      </c>
      <c r="J104" s="3">
        <v>11.262169239196499</v>
      </c>
      <c r="K104" s="3">
        <v>8.6294370082499707</v>
      </c>
      <c r="L104" s="3">
        <v>6.4011809198103897</v>
      </c>
      <c r="M104" s="3">
        <v>8.3600677118877105</v>
      </c>
      <c r="N104" s="3">
        <v>6.8124094239042998</v>
      </c>
      <c r="O104" s="3">
        <v>22.830927820666499</v>
      </c>
      <c r="P104" s="3">
        <v>10.638504763688299</v>
      </c>
      <c r="Q104" s="3">
        <v>12.958062013672301</v>
      </c>
      <c r="R104" s="3">
        <v>15.6628538611062</v>
      </c>
      <c r="S104" s="3">
        <v>5.0938138561958297</v>
      </c>
      <c r="T104" s="3">
        <v>13.007466886982201</v>
      </c>
      <c r="U104" s="3">
        <v>11.0874367528764</v>
      </c>
      <c r="V104" s="3">
        <v>15.548617198545999</v>
      </c>
    </row>
    <row r="105" spans="1:22" x14ac:dyDescent="0.35">
      <c r="A105" s="2">
        <v>44848</v>
      </c>
      <c r="B105" s="3">
        <v>11.699518676571801</v>
      </c>
      <c r="C105" s="3">
        <v>6.9730982702006896</v>
      </c>
      <c r="D105" s="3">
        <v>12.252326210298801</v>
      </c>
      <c r="E105" s="3">
        <v>11.3822545151003</v>
      </c>
      <c r="F105" s="3">
        <v>6.39263237250844</v>
      </c>
      <c r="G105" s="3">
        <v>8.2576649439725802</v>
      </c>
      <c r="H105" s="3">
        <v>12.6303185599809</v>
      </c>
      <c r="I105" s="3">
        <v>10.317916397899101</v>
      </c>
      <c r="J105" s="3">
        <v>11.335381201179301</v>
      </c>
      <c r="K105" s="3">
        <v>8.7870688669717207</v>
      </c>
      <c r="L105" s="3">
        <v>6.7629291638058504</v>
      </c>
      <c r="M105" s="3">
        <v>7.9969485669961404</v>
      </c>
      <c r="N105" s="3">
        <v>6.7729380904678598</v>
      </c>
      <c r="O105" s="3">
        <v>21.390659263523698</v>
      </c>
      <c r="P105" s="3">
        <v>9.2747718557613794</v>
      </c>
      <c r="Q105" s="3">
        <v>12.5977385117108</v>
      </c>
      <c r="R105" s="3">
        <v>14.841400570087499</v>
      </c>
      <c r="S105" s="3">
        <v>4.8177926388392702</v>
      </c>
      <c r="T105" s="3">
        <v>12.323556945116399</v>
      </c>
      <c r="U105" s="3">
        <v>10.5561139949665</v>
      </c>
      <c r="V105" s="3">
        <v>14.8325959569038</v>
      </c>
    </row>
    <row r="106" spans="1:22" x14ac:dyDescent="0.35">
      <c r="A106" s="2">
        <v>44879</v>
      </c>
      <c r="B106" s="3">
        <v>11.7690496176066</v>
      </c>
      <c r="C106" s="3">
        <v>7.18487450566922</v>
      </c>
      <c r="D106" s="3">
        <v>12.6438422345104</v>
      </c>
      <c r="E106" s="3">
        <v>11.9511868556267</v>
      </c>
      <c r="F106" s="3">
        <v>7.5454979966939701</v>
      </c>
      <c r="G106" s="3">
        <v>9.8823586079357195</v>
      </c>
      <c r="H106" s="3">
        <v>13.2477337017704</v>
      </c>
      <c r="I106" s="3">
        <v>12.1282642058445</v>
      </c>
      <c r="J106" s="3">
        <v>12.7158269597256</v>
      </c>
      <c r="K106" s="3">
        <v>10.7532498401435</v>
      </c>
      <c r="L106" s="3">
        <v>6.9762399314235903</v>
      </c>
      <c r="M106" s="3">
        <v>9.0062265546405609</v>
      </c>
      <c r="N106" s="3">
        <v>6.9181094459950403</v>
      </c>
      <c r="O106" s="3">
        <v>22.611402477499599</v>
      </c>
      <c r="P106" s="3">
        <v>9.7449102302762203</v>
      </c>
      <c r="Q106" s="3">
        <v>13.0666664720545</v>
      </c>
      <c r="R106" s="3">
        <v>15.573560899892501</v>
      </c>
      <c r="S106" s="3">
        <v>5.68251883269925</v>
      </c>
      <c r="T106" s="3">
        <v>12.7829110198977</v>
      </c>
      <c r="U106" s="3">
        <v>9.7427619487900294</v>
      </c>
      <c r="V106" s="3">
        <v>14.837646980643999</v>
      </c>
    </row>
    <row r="107" spans="1:22" x14ac:dyDescent="0.35">
      <c r="A107" s="2">
        <v>44909</v>
      </c>
      <c r="B107" s="3">
        <v>12.120448118686101</v>
      </c>
      <c r="C107" s="3">
        <v>7.2652007667246901</v>
      </c>
      <c r="D107" s="3">
        <v>12.3854875079333</v>
      </c>
      <c r="E107" s="3">
        <v>12.5560645437746</v>
      </c>
      <c r="F107" s="3">
        <v>7.4176064753675002</v>
      </c>
      <c r="G107" s="3">
        <v>9.2871572760469405</v>
      </c>
      <c r="H107" s="3">
        <v>13.583461197125001</v>
      </c>
      <c r="I107" s="3">
        <v>12.9708729902535</v>
      </c>
      <c r="J107" s="3">
        <v>12.107675863084401</v>
      </c>
      <c r="K107" s="3">
        <v>10.9189154160544</v>
      </c>
      <c r="L107" s="3">
        <v>6.4947487649040498</v>
      </c>
      <c r="M107" s="3">
        <v>9.0227563478232202</v>
      </c>
      <c r="N107" s="3">
        <v>6.7305838712919801</v>
      </c>
      <c r="O107" s="3">
        <v>22.858607414546501</v>
      </c>
      <c r="P107" s="3">
        <v>10.903624984201301</v>
      </c>
      <c r="Q107" s="3">
        <v>11.5754202173304</v>
      </c>
      <c r="R107" s="3">
        <v>15.657984484326899</v>
      </c>
      <c r="S107" s="3">
        <v>5.8356269042329698</v>
      </c>
      <c r="T107" s="3">
        <v>11.793092949424899</v>
      </c>
      <c r="U107" s="3">
        <v>11.534839965076401</v>
      </c>
      <c r="V107" s="3">
        <v>14.0370459502867</v>
      </c>
    </row>
    <row r="108" spans="1:22" x14ac:dyDescent="0.35">
      <c r="A108" s="2">
        <v>44939</v>
      </c>
      <c r="B108" s="3">
        <v>12.362767321676801</v>
      </c>
      <c r="C108" s="3">
        <v>7.2850007469849301</v>
      </c>
      <c r="D108" s="3">
        <v>11.769842504164201</v>
      </c>
      <c r="E108" s="3">
        <v>13.249745450933601</v>
      </c>
      <c r="F108" s="3">
        <v>8.0156969839057606</v>
      </c>
      <c r="G108" s="3">
        <v>10.6193714890123</v>
      </c>
      <c r="H108" s="3">
        <v>13.5788488041119</v>
      </c>
      <c r="I108" s="3">
        <v>13.6581806039732</v>
      </c>
      <c r="J108" s="3">
        <v>12.8791840747966</v>
      </c>
      <c r="K108" s="3">
        <v>11.411986198806201</v>
      </c>
      <c r="L108" s="3">
        <v>7.0353670439257598</v>
      </c>
      <c r="M108" s="3">
        <v>9.70943016479454</v>
      </c>
      <c r="N108" s="3">
        <v>6.4784993167153901</v>
      </c>
      <c r="O108" s="3">
        <v>21.7052189288639</v>
      </c>
      <c r="P108" s="3">
        <v>11.7672765914997</v>
      </c>
      <c r="Q108" s="3">
        <v>11.442885976612301</v>
      </c>
      <c r="R108" s="3">
        <v>15.9831003256151</v>
      </c>
      <c r="S108" s="3">
        <v>5.4509171270466901</v>
      </c>
      <c r="T108" s="3">
        <v>12.0757185140267</v>
      </c>
      <c r="U108" s="3">
        <v>11.3345446608913</v>
      </c>
      <c r="V108" s="3">
        <v>14.9507929656253</v>
      </c>
    </row>
    <row r="109" spans="1:22" x14ac:dyDescent="0.35">
      <c r="A109" s="2">
        <v>44971</v>
      </c>
      <c r="B109" s="3">
        <v>12.520424629158001</v>
      </c>
      <c r="C109" s="3">
        <v>7.8630519482069801</v>
      </c>
      <c r="D109" s="3">
        <v>12.390792091840501</v>
      </c>
      <c r="E109" s="3">
        <v>12.7374941175087</v>
      </c>
      <c r="F109" s="3">
        <v>7.6385258154968003</v>
      </c>
      <c r="G109" s="3">
        <v>9.7171012504241006</v>
      </c>
      <c r="H109" s="3">
        <v>13.3965238423533</v>
      </c>
      <c r="I109" s="3">
        <v>14.4243135900428</v>
      </c>
      <c r="J109" s="3">
        <v>12.6084298585893</v>
      </c>
      <c r="K109" s="3">
        <v>12.7485018843962</v>
      </c>
      <c r="L109" s="3">
        <v>7.0278013702130098</v>
      </c>
      <c r="M109" s="3">
        <v>9.2416878351483795</v>
      </c>
      <c r="N109" s="3">
        <v>7.85100665147149</v>
      </c>
      <c r="O109" s="3">
        <v>20.957342184719302</v>
      </c>
      <c r="P109" s="3">
        <v>11.4004336356808</v>
      </c>
      <c r="Q109" s="3">
        <v>11.000102449686301</v>
      </c>
      <c r="R109" s="3">
        <v>15.869712173060901</v>
      </c>
      <c r="S109" s="3">
        <v>4.7132091324362104</v>
      </c>
      <c r="T109" s="3">
        <v>12.204799181740899</v>
      </c>
      <c r="U109" s="3">
        <v>11.1172543782058</v>
      </c>
      <c r="V109" s="3">
        <v>14.5692606381352</v>
      </c>
    </row>
    <row r="110" spans="1:22" x14ac:dyDescent="0.35">
      <c r="A110" s="2">
        <v>44999</v>
      </c>
      <c r="B110" s="3">
        <v>11.8795399009986</v>
      </c>
      <c r="C110" s="3">
        <v>7.7037507977425799</v>
      </c>
      <c r="D110" s="3">
        <v>11.476083102587999</v>
      </c>
      <c r="E110" s="3">
        <v>11.454229622173701</v>
      </c>
      <c r="F110" s="3">
        <v>6.99383332006167</v>
      </c>
      <c r="G110" s="3">
        <v>9.5819537127756806</v>
      </c>
      <c r="H110" s="3">
        <v>12.705848169267</v>
      </c>
      <c r="I110" s="3">
        <v>14.3887824646343</v>
      </c>
      <c r="J110" s="3">
        <v>12.4941781803045</v>
      </c>
      <c r="K110" s="3">
        <v>12.555214522673101</v>
      </c>
      <c r="L110" s="3">
        <v>6.5525670076023497</v>
      </c>
      <c r="M110" s="3">
        <v>8.6315786422247101</v>
      </c>
      <c r="N110" s="3">
        <v>7.4786667637882704</v>
      </c>
      <c r="O110" s="3">
        <v>19.736282772520099</v>
      </c>
      <c r="P110" s="3">
        <v>10.3436925972855</v>
      </c>
      <c r="Q110" s="3">
        <v>10.7134545114831</v>
      </c>
      <c r="R110" s="3">
        <v>14.9317395236914</v>
      </c>
      <c r="S110" s="3">
        <v>5.2809472151496601</v>
      </c>
      <c r="T110" s="3">
        <v>10.873806053051499</v>
      </c>
      <c r="U110" s="3">
        <v>12.3449079738603</v>
      </c>
      <c r="V110" s="3">
        <v>14.217905830278401</v>
      </c>
    </row>
    <row r="111" spans="1:22" x14ac:dyDescent="0.35">
      <c r="A111" s="2">
        <v>45030</v>
      </c>
      <c r="B111" s="3">
        <v>12.3414285387489</v>
      </c>
      <c r="C111" s="3">
        <v>7.6240128698540497</v>
      </c>
      <c r="D111" s="3">
        <v>12.184042190366</v>
      </c>
      <c r="E111" s="3">
        <v>11.430620099930399</v>
      </c>
      <c r="F111" s="3">
        <v>7.0583185617771296</v>
      </c>
      <c r="G111" s="3">
        <v>10.045124112874401</v>
      </c>
      <c r="H111" s="3">
        <v>13.192596737583299</v>
      </c>
      <c r="I111" s="3">
        <v>15.1244902528164</v>
      </c>
      <c r="J111" s="3">
        <v>12.6333837620398</v>
      </c>
      <c r="K111" s="3">
        <v>14.2228656963544</v>
      </c>
      <c r="L111" s="3">
        <v>6.8755688307728304</v>
      </c>
      <c r="M111" s="3">
        <v>9.1814932754094301</v>
      </c>
      <c r="N111" s="3">
        <v>7.2745620465042897</v>
      </c>
      <c r="O111" s="3">
        <v>20.332837019021198</v>
      </c>
      <c r="P111" s="3">
        <v>10.8796286965057</v>
      </c>
      <c r="Q111" s="3">
        <v>10.7719187919866</v>
      </c>
      <c r="R111" s="3">
        <v>15.786869448317001</v>
      </c>
      <c r="S111" s="3">
        <v>5.0706639173173</v>
      </c>
      <c r="T111" s="3">
        <v>11.2262817561204</v>
      </c>
      <c r="U111" s="3">
        <v>13.610554255164001</v>
      </c>
      <c r="V111" s="3">
        <v>16.0167216539786</v>
      </c>
    </row>
    <row r="112" spans="1:22" x14ac:dyDescent="0.35">
      <c r="A112" s="2">
        <v>45058</v>
      </c>
      <c r="B112" s="3">
        <v>11.9967307446083</v>
      </c>
      <c r="C112" s="3">
        <v>8.5455811188321995</v>
      </c>
      <c r="D112" s="3">
        <v>11.8809410218353</v>
      </c>
      <c r="E112" s="3">
        <v>11.2388593974824</v>
      </c>
      <c r="F112" s="3">
        <v>7.2682483115649399</v>
      </c>
      <c r="G112" s="3">
        <v>9.6867572313935497</v>
      </c>
      <c r="H112" s="3">
        <v>13.0799034060552</v>
      </c>
      <c r="I112" s="3">
        <v>15.220521764166699</v>
      </c>
      <c r="J112" s="3">
        <v>12.3507257184444</v>
      </c>
      <c r="K112" s="3">
        <v>12.96371607022</v>
      </c>
      <c r="L112" s="3">
        <v>7.0232883890294797</v>
      </c>
      <c r="M112" s="3">
        <v>8.91221042668389</v>
      </c>
      <c r="N112" s="3">
        <v>6.9445603647768896</v>
      </c>
      <c r="O112" s="3">
        <v>21.0171807963284</v>
      </c>
      <c r="P112" s="3">
        <v>10.337232497899899</v>
      </c>
      <c r="Q112" s="3">
        <v>11.511627267237101</v>
      </c>
      <c r="R112" s="3">
        <v>15.685355924002099</v>
      </c>
      <c r="S112" s="3">
        <v>4.6750743137814297</v>
      </c>
      <c r="T112" s="3">
        <v>11.185525977215001</v>
      </c>
      <c r="U112" s="3">
        <v>14.2955954785148</v>
      </c>
      <c r="V112" s="3">
        <v>16.6609582519919</v>
      </c>
    </row>
    <row r="113" spans="1:37" x14ac:dyDescent="0.35">
      <c r="A113" s="2">
        <v>45091</v>
      </c>
      <c r="B113" s="3">
        <v>11.920523384441999</v>
      </c>
      <c r="C113" s="3">
        <v>8.3628553344835499</v>
      </c>
      <c r="D113" s="3">
        <v>13.5596756300815</v>
      </c>
      <c r="E113" s="3">
        <v>10.130941536264499</v>
      </c>
      <c r="F113" s="3">
        <v>8.0346528326648006</v>
      </c>
      <c r="G113" s="3">
        <v>10.0032353634116</v>
      </c>
      <c r="H113" s="3">
        <v>13.289032493574499</v>
      </c>
      <c r="I113" s="3">
        <v>16.617954627445599</v>
      </c>
      <c r="J113" s="3">
        <v>12.1041332753147</v>
      </c>
      <c r="K113" s="3">
        <v>12.8669693646426</v>
      </c>
      <c r="L113" s="3">
        <v>7.8600450556350996</v>
      </c>
      <c r="M113" s="3">
        <v>9.2898085754147193</v>
      </c>
      <c r="N113" s="3">
        <v>7.8317843691991103</v>
      </c>
      <c r="O113" s="3">
        <v>21.579559079433</v>
      </c>
      <c r="P113" s="3">
        <v>10.489098034622</v>
      </c>
      <c r="Q113" s="3">
        <v>11.2432448665932</v>
      </c>
      <c r="R113" s="3">
        <v>15.8697547552855</v>
      </c>
      <c r="S113" s="3">
        <v>5.0446266072645898</v>
      </c>
      <c r="T113" s="3">
        <v>10.998015417541399</v>
      </c>
      <c r="U113" s="3">
        <v>14.032960583751899</v>
      </c>
      <c r="V113" s="3">
        <v>17.135510219340599</v>
      </c>
    </row>
    <row r="114" spans="1:37" x14ac:dyDescent="0.35">
      <c r="A114" s="2">
        <v>45121</v>
      </c>
      <c r="B114" s="3">
        <v>11.930574750962499</v>
      </c>
      <c r="C114" s="3">
        <v>9.1124126778903705</v>
      </c>
      <c r="D114" s="3">
        <v>13.565013997229499</v>
      </c>
      <c r="E114" s="3">
        <v>10.2989626036437</v>
      </c>
      <c r="F114" s="3">
        <v>7.7962644936823899</v>
      </c>
      <c r="G114" s="3">
        <v>10.3968544679387</v>
      </c>
      <c r="H114" s="3">
        <v>13.531030597013901</v>
      </c>
      <c r="I114" s="3">
        <v>16.673073540460901</v>
      </c>
      <c r="J114" s="3">
        <v>11.768214408814201</v>
      </c>
      <c r="K114" s="3">
        <v>12.1801577170156</v>
      </c>
      <c r="L114" s="3">
        <v>7.8480656506666397</v>
      </c>
      <c r="M114" s="3">
        <v>9.9254273400775599</v>
      </c>
      <c r="N114" s="3">
        <v>8.2036247613666404</v>
      </c>
      <c r="O114" s="3">
        <v>21.7161953911659</v>
      </c>
      <c r="P114" s="3">
        <v>10.5487076289107</v>
      </c>
      <c r="Q114" s="3">
        <v>11.1127683229307</v>
      </c>
      <c r="R114" s="3">
        <v>15.7044688013229</v>
      </c>
      <c r="S114" s="3">
        <v>5.8129020062946504</v>
      </c>
      <c r="T114" s="3">
        <v>11.4101083246531</v>
      </c>
      <c r="U114" s="3">
        <v>13.645356271541599</v>
      </c>
      <c r="V114" s="3">
        <v>17.527754200450499</v>
      </c>
    </row>
    <row r="115" spans="1:37" x14ac:dyDescent="0.35">
      <c r="A115" s="2">
        <v>45152</v>
      </c>
      <c r="B115" s="3">
        <v>11.893064647185399</v>
      </c>
      <c r="C115" s="3">
        <v>9.1656394228434692</v>
      </c>
      <c r="D115" s="3">
        <v>13.6451558247375</v>
      </c>
      <c r="E115" s="3">
        <v>9.7227851465921908</v>
      </c>
      <c r="F115" s="3">
        <v>8.2825786820306302</v>
      </c>
      <c r="G115" s="3">
        <v>10.685029516128299</v>
      </c>
      <c r="H115" s="3">
        <v>13.808875211230101</v>
      </c>
      <c r="I115" s="3">
        <v>15.865553528574999</v>
      </c>
      <c r="J115" s="3">
        <v>11.789024523301601</v>
      </c>
      <c r="K115" s="3">
        <v>11.362702894902901</v>
      </c>
      <c r="L115" s="3">
        <v>7.9335358471494297</v>
      </c>
      <c r="M115" s="3">
        <v>9.7497526493124997</v>
      </c>
      <c r="N115" s="3">
        <v>7.37014722647376</v>
      </c>
      <c r="O115" s="3">
        <v>20.832881798871401</v>
      </c>
      <c r="P115" s="3">
        <v>10.436372964653</v>
      </c>
      <c r="Q115" s="3">
        <v>11.5897322610684</v>
      </c>
      <c r="R115" s="3">
        <v>15.8392290414941</v>
      </c>
      <c r="S115" s="3">
        <v>6.4393189611537904</v>
      </c>
      <c r="T115" s="3">
        <v>11.409565976275401</v>
      </c>
      <c r="U115" s="3">
        <v>14.931222620212999</v>
      </c>
      <c r="V115" s="3">
        <v>17.266032790257199</v>
      </c>
    </row>
    <row r="116" spans="1:37" x14ac:dyDescent="0.35">
      <c r="A116" s="2">
        <v>45183</v>
      </c>
      <c r="B116" s="3">
        <v>11.8551377111921</v>
      </c>
      <c r="C116" s="3">
        <v>8.8745194466371906</v>
      </c>
      <c r="D116" s="3">
        <v>13.4480971715978</v>
      </c>
      <c r="E116" s="3">
        <v>9.7091552178684708</v>
      </c>
      <c r="F116" s="3">
        <v>8.1073187888642906</v>
      </c>
      <c r="G116" s="3">
        <v>10.1273284730554</v>
      </c>
      <c r="H116" s="3">
        <v>13.794251509951099</v>
      </c>
      <c r="I116" s="3">
        <v>15.820885415654301</v>
      </c>
      <c r="J116" s="3">
        <v>11.527213411390299</v>
      </c>
      <c r="K116" s="3">
        <v>11.2184103056923</v>
      </c>
      <c r="L116" s="3">
        <v>8.0287692566356306</v>
      </c>
      <c r="M116" s="3">
        <v>9.5784140580890398</v>
      </c>
      <c r="N116" s="3">
        <v>6.7769219344576097</v>
      </c>
      <c r="O116" s="3">
        <v>21.0318293849746</v>
      </c>
      <c r="P116" s="3">
        <v>10.195531244272599</v>
      </c>
      <c r="Q116" s="3">
        <v>10.9301598857136</v>
      </c>
      <c r="R116" s="3">
        <v>15.898790201052901</v>
      </c>
      <c r="S116" s="3">
        <v>6.3735077626064696</v>
      </c>
      <c r="T116" s="3">
        <v>10.997051545069001</v>
      </c>
      <c r="U116" s="3">
        <v>14.8071086846703</v>
      </c>
      <c r="V116" s="3">
        <v>16.444123255171199</v>
      </c>
    </row>
    <row r="117" spans="1:37" x14ac:dyDescent="0.35">
      <c r="A117" s="2">
        <v>45212</v>
      </c>
      <c r="B117" s="3">
        <v>11.496991591703599</v>
      </c>
      <c r="C117" s="3">
        <v>8.6702122557126309</v>
      </c>
      <c r="D117" s="3">
        <v>12.945168682317201</v>
      </c>
      <c r="E117" s="3">
        <v>9.9002297772183496</v>
      </c>
      <c r="F117" s="3">
        <v>8.0526624013193295</v>
      </c>
      <c r="G117" s="3">
        <v>9.4009567484666405</v>
      </c>
      <c r="H117" s="3">
        <v>13.6742496331034</v>
      </c>
      <c r="I117" s="3">
        <v>15.588444660796799</v>
      </c>
      <c r="J117" s="3">
        <v>11.028213313014801</v>
      </c>
      <c r="K117" s="3">
        <v>10.3639258484077</v>
      </c>
      <c r="L117" s="3">
        <v>7.5266667331312798</v>
      </c>
      <c r="M117" s="3">
        <v>9.5032112454033104</v>
      </c>
      <c r="N117" s="3">
        <v>6.4739260236303098</v>
      </c>
      <c r="O117" s="3">
        <v>20.6080517162533</v>
      </c>
      <c r="P117" s="3">
        <v>9.8991028744225495</v>
      </c>
      <c r="Q117" s="3">
        <v>10.6963850172472</v>
      </c>
      <c r="R117" s="3">
        <v>14.837781024558801</v>
      </c>
      <c r="S117" s="3">
        <v>6.0272487932842704</v>
      </c>
      <c r="T117" s="3">
        <v>10.2792989428252</v>
      </c>
      <c r="U117" s="3">
        <v>14.2766883403393</v>
      </c>
      <c r="V117" s="3">
        <v>15.5827042345949</v>
      </c>
    </row>
    <row r="118" spans="1:37" x14ac:dyDescent="0.35">
      <c r="A118" s="2">
        <v>45244</v>
      </c>
      <c r="B118" s="3">
        <v>11.6471995268325</v>
      </c>
      <c r="C118" s="3">
        <v>8.5322069935422995</v>
      </c>
      <c r="D118" s="3">
        <v>12.3756038900351</v>
      </c>
      <c r="E118" s="3">
        <v>9.4392159495212393</v>
      </c>
      <c r="F118" s="3">
        <v>8.4689335452898309</v>
      </c>
      <c r="G118" s="3">
        <v>9.7951421570645003</v>
      </c>
      <c r="H118" s="3">
        <v>13.5938179159399</v>
      </c>
      <c r="I118" s="3">
        <v>15.4129373877307</v>
      </c>
      <c r="J118" s="3">
        <v>11.886696496057599</v>
      </c>
      <c r="K118" s="3">
        <v>10.0645492611843</v>
      </c>
      <c r="L118" s="3">
        <v>7.8046035052783198</v>
      </c>
      <c r="M118" s="3">
        <v>9.6976655876935993</v>
      </c>
      <c r="N118" s="3">
        <v>6.7818720591821</v>
      </c>
      <c r="O118" s="3">
        <v>20.0274200906658</v>
      </c>
      <c r="P118" s="3">
        <v>9.7648953837550305</v>
      </c>
      <c r="Q118" s="3">
        <v>10.532338129299699</v>
      </c>
      <c r="R118" s="3">
        <v>14.317920153855701</v>
      </c>
      <c r="S118" s="3">
        <v>4.9091609625077703</v>
      </c>
      <c r="T118" s="3">
        <v>10.287316883675601</v>
      </c>
      <c r="U118" s="3">
        <v>13.961677607092801</v>
      </c>
      <c r="V118" s="3">
        <v>16.0217730010582</v>
      </c>
    </row>
    <row r="119" spans="1:37" x14ac:dyDescent="0.35">
      <c r="A119" s="2">
        <v>45274</v>
      </c>
      <c r="B119" s="3">
        <v>11.206956644540201</v>
      </c>
      <c r="C119" s="3">
        <v>8.1661637504094902</v>
      </c>
      <c r="D119" s="3">
        <v>12.6353436100555</v>
      </c>
      <c r="E119" s="3">
        <v>9.30956824200155</v>
      </c>
      <c r="F119" s="3">
        <v>9.01257391815105</v>
      </c>
      <c r="G119" s="3">
        <v>11.2827485014038</v>
      </c>
      <c r="H119" s="3">
        <v>13.6893741516327</v>
      </c>
      <c r="I119" s="3">
        <v>15.968045219084001</v>
      </c>
      <c r="J119" s="3">
        <v>12.9394201107978</v>
      </c>
      <c r="K119" s="3">
        <v>10.179609306572599</v>
      </c>
      <c r="L119" s="3">
        <v>7.8734572405869798</v>
      </c>
      <c r="M119" s="3">
        <v>9.9889648888310507</v>
      </c>
      <c r="N119" s="3">
        <v>6.6665296520305901</v>
      </c>
      <c r="O119" s="3">
        <v>21.6518252969631</v>
      </c>
      <c r="P119" s="3">
        <v>9.1592134321868492</v>
      </c>
      <c r="Q119" s="3">
        <v>10.295351445020501</v>
      </c>
      <c r="R119" s="3">
        <v>14.249013172164601</v>
      </c>
      <c r="S119" s="3">
        <v>4.84254370610482</v>
      </c>
      <c r="T119" s="3">
        <v>10.252360639269</v>
      </c>
      <c r="U119" s="3">
        <v>14.267243937723601</v>
      </c>
      <c r="V119" s="3">
        <v>17.232527255375501</v>
      </c>
    </row>
    <row r="120" spans="1:37" x14ac:dyDescent="0.35">
      <c r="A120" s="2">
        <v>45303</v>
      </c>
      <c r="B120" s="3">
        <v>10.8264310215857</v>
      </c>
      <c r="C120" s="3">
        <v>8.0682860174471802</v>
      </c>
      <c r="D120" s="3">
        <v>13.0150122847711</v>
      </c>
      <c r="E120" s="3">
        <v>9.5723736383976199</v>
      </c>
      <c r="F120" s="3">
        <v>8.2374212132340894</v>
      </c>
      <c r="G120" s="3">
        <v>11.4569459054213</v>
      </c>
      <c r="H120" s="3">
        <v>13.724318720545799</v>
      </c>
      <c r="I120" s="3">
        <v>15.7391597624043</v>
      </c>
      <c r="J120" s="3">
        <v>12.500726589673601</v>
      </c>
      <c r="K120" s="3">
        <v>9.8132040515661991</v>
      </c>
      <c r="L120" s="3">
        <v>7.7553712156049999</v>
      </c>
      <c r="M120" s="3">
        <v>9.5838497489376699</v>
      </c>
      <c r="N120" s="3">
        <v>6.8617556750213904</v>
      </c>
      <c r="O120" s="3">
        <v>22.193346737624701</v>
      </c>
      <c r="P120" s="3">
        <v>9.0002464149988999</v>
      </c>
      <c r="Q120" s="3">
        <v>10.8396274262509</v>
      </c>
      <c r="R120" s="3">
        <v>14.5431932343428</v>
      </c>
      <c r="S120" s="3">
        <v>4.9465867534002097</v>
      </c>
      <c r="T120" s="3">
        <v>10.8105515199557</v>
      </c>
      <c r="U120" s="3">
        <v>14.3244888160075</v>
      </c>
      <c r="V120" s="3">
        <v>18.469419208741598</v>
      </c>
    </row>
    <row r="121" spans="1:37" x14ac:dyDescent="0.35">
      <c r="A121" s="2">
        <v>45336</v>
      </c>
      <c r="B121" s="3">
        <v>11.0540394810326</v>
      </c>
      <c r="C121" s="3">
        <v>7.4672779207218198</v>
      </c>
      <c r="D121" s="3">
        <v>12.982978264242901</v>
      </c>
      <c r="E121" s="3">
        <v>9.8279659570789697</v>
      </c>
      <c r="F121" s="3">
        <v>8.9495834518210593</v>
      </c>
      <c r="G121" s="3">
        <v>11.480107772916901</v>
      </c>
      <c r="H121" s="3">
        <v>14.002009740928001</v>
      </c>
      <c r="I121" s="3">
        <v>16.0114767135594</v>
      </c>
      <c r="J121" s="3">
        <v>12.9934162627801</v>
      </c>
      <c r="K121" s="3">
        <v>10.4405677139739</v>
      </c>
      <c r="L121" s="3">
        <v>7.7945214589412304</v>
      </c>
      <c r="M121" s="3">
        <v>9.2989691478230707</v>
      </c>
      <c r="N121" s="3">
        <v>7.0514565696581304</v>
      </c>
      <c r="O121" s="3">
        <v>22.4022024282303</v>
      </c>
      <c r="P121" s="3">
        <v>8.8337552483666997</v>
      </c>
      <c r="Q121" s="3">
        <v>10.418140699963301</v>
      </c>
      <c r="R121" s="3">
        <v>14.291273940169701</v>
      </c>
      <c r="S121" s="3">
        <v>5.26660264311466</v>
      </c>
      <c r="T121" s="3">
        <v>10.1799740025535</v>
      </c>
      <c r="U121" s="3">
        <v>14.6497397064529</v>
      </c>
      <c r="V121" s="3">
        <v>18.7884894220701</v>
      </c>
    </row>
    <row r="122" spans="1:37" x14ac:dyDescent="0.35">
      <c r="A122" s="2">
        <v>45364</v>
      </c>
      <c r="B122" s="3">
        <v>11.7066303882655</v>
      </c>
      <c r="C122" s="3">
        <v>7.6586523857053104</v>
      </c>
      <c r="D122" s="3">
        <v>13.1860387719241</v>
      </c>
      <c r="E122" s="3">
        <v>9.9516833574204906</v>
      </c>
      <c r="F122" s="3">
        <v>9.3858471813119699</v>
      </c>
      <c r="G122" s="3">
        <v>12.262655690230099</v>
      </c>
      <c r="H122" s="3">
        <v>13.917218231581501</v>
      </c>
      <c r="I122" s="3">
        <v>17.402817622355201</v>
      </c>
      <c r="J122" s="3">
        <v>12.319028372255801</v>
      </c>
      <c r="K122" s="3">
        <v>10.553773532676299</v>
      </c>
      <c r="L122" s="3">
        <v>7.8006965457452697</v>
      </c>
      <c r="M122" s="3">
        <v>9.5597156627336908</v>
      </c>
      <c r="N122" s="3">
        <v>6.9623610746526898</v>
      </c>
      <c r="O122" s="3">
        <v>21.916728608904901</v>
      </c>
      <c r="P122" s="3">
        <v>9.4317974498861599</v>
      </c>
      <c r="Q122" s="3">
        <v>10.4825756242714</v>
      </c>
      <c r="R122" s="3">
        <v>14.478793496679501</v>
      </c>
      <c r="S122" s="3">
        <v>5.0670197074142598</v>
      </c>
      <c r="T122" s="3">
        <v>9.7200738317076301</v>
      </c>
      <c r="U122" s="3">
        <v>16.593747336516</v>
      </c>
      <c r="V122" s="3">
        <v>18.3819171834072</v>
      </c>
    </row>
    <row r="124" spans="1:37" x14ac:dyDescent="0.35">
      <c r="A124" s="2" t="s">
        <v>95</v>
      </c>
      <c r="B124" s="3" cm="1">
        <f t="array" ref="B124">MIN(_xlfn._xlws.FILTER(B1:B122, ISNUMBER(B1:B122)))</f>
        <v>9.6322933409566698</v>
      </c>
      <c r="C124" s="3" cm="1">
        <f t="array" ref="C124">MIN(_xlfn._xlws.FILTER(C1:C122, ISNUMBER(C1:C122)))</f>
        <v>6.2723909524068402</v>
      </c>
      <c r="D124" s="3" cm="1">
        <f t="array" ref="D124">MIN(_xlfn._xlws.FILTER(D1:D122, ISNUMBER(D1:D122)))</f>
        <v>11.354257240824801</v>
      </c>
      <c r="E124" s="3" cm="1">
        <f t="array" ref="E124">MIN(_xlfn._xlws.FILTER(E1:E122, ISNUMBER(E1:E122)))</f>
        <v>9.30956824200155</v>
      </c>
      <c r="F124" s="3" cm="1">
        <f t="array" ref="F124">MIN(_xlfn._xlws.FILTER(F1:F122, ISNUMBER(F1:F122)))</f>
        <v>5.8687175739017503</v>
      </c>
      <c r="G124" s="3" cm="1">
        <f t="array" ref="G124">MIN(_xlfn._xlws.FILTER(G1:G122, ISNUMBER(G1:G122)))</f>
        <v>6.7149684821167304</v>
      </c>
      <c r="H124" s="3" cm="1">
        <f t="array" ref="H124">MIN(_xlfn._xlws.FILTER(H1:H122, ISNUMBER(H1:H122)))</f>
        <v>12.6303185599809</v>
      </c>
      <c r="I124" s="3" cm="1">
        <f t="array" ref="I124">MIN(_xlfn._xlws.FILTER(I1:I122, ISNUMBER(I1:I122)))</f>
        <v>10.076642608179201</v>
      </c>
      <c r="J124" s="3" cm="1">
        <f t="array" ref="J124">MIN(_xlfn._xlws.FILTER(J1:J122, ISNUMBER(J1:J122)))</f>
        <v>11.028213313014801</v>
      </c>
      <c r="K124" s="3" cm="1">
        <f t="array" ref="K124">MIN(_xlfn._xlws.FILTER(K1:K122, ISNUMBER(K1:K122)))</f>
        <v>7.8341616916252503</v>
      </c>
      <c r="L124" s="3" cm="1">
        <f t="array" ref="L124">MIN(_xlfn._xlws.FILTER(L1:L122, ISNUMBER(L1:L122)))</f>
        <v>5.8106367656659401</v>
      </c>
      <c r="M124" s="3" cm="1">
        <f t="array" ref="M124">MIN(_xlfn._xlws.FILTER(M1:M122, ISNUMBER(M1:M122)))</f>
        <v>7.9969485669961404</v>
      </c>
      <c r="N124" s="3" cm="1">
        <f t="array" ref="N124">MIN(_xlfn._xlws.FILTER(N1:N122, ISNUMBER(N1:N122)))</f>
        <v>3.8017429548233199</v>
      </c>
      <c r="O124" s="3" cm="1">
        <f t="array" ref="O124">MIN(_xlfn._xlws.FILTER(O1:O122, ISNUMBER(O1:O122)))</f>
        <v>14.566977039567201</v>
      </c>
      <c r="P124" s="3" cm="1">
        <f t="array" ref="P124">MIN(_xlfn._xlws.FILTER(P1:P122, ISNUMBER(P1:P122)))</f>
        <v>8.0289676840293396</v>
      </c>
      <c r="Q124" s="3" cm="1">
        <f t="array" ref="Q124">MIN(_xlfn._xlws.FILTER(Q1:Q122, ISNUMBER(Q1:Q122)))</f>
        <v>10.213276851192999</v>
      </c>
      <c r="R124" s="3" cm="1">
        <f t="array" ref="R124">MIN(_xlfn._xlws.FILTER(R1:R122, ISNUMBER(R1:R122)))</f>
        <v>12.109073944660601</v>
      </c>
      <c r="S124" s="3" cm="1">
        <f t="array" ref="S124">MIN(_xlfn._xlws.FILTER(S1:S122, ISNUMBER(S1:S122)))</f>
        <v>4.3121409578619199</v>
      </c>
      <c r="T124" s="3" cm="1">
        <f t="array" ref="T124">MIN(_xlfn._xlws.FILTER(T1:T122, ISNUMBER(T1:T122)))</f>
        <v>9.5207293597349594</v>
      </c>
      <c r="U124" s="3" cm="1">
        <f t="array" ref="U124">MIN(_xlfn._xlws.FILTER(U1:U122, ISNUMBER(U1:U122)))</f>
        <v>9.7427619487900294</v>
      </c>
      <c r="V124" s="3" cm="1">
        <f t="array" ref="V124">MIN(_xlfn._xlws.FILTER(V1:V122, ISNUMBER(V1:V122)))</f>
        <v>11.0212951889068</v>
      </c>
    </row>
    <row r="125" spans="1:37" x14ac:dyDescent="0.35">
      <c r="A125" s="2" t="s">
        <v>96</v>
      </c>
      <c r="B125" s="3" cm="1">
        <f t="array" ref="B125">MAX(_xlfn._xlws.FILTER(B1:B122, ISNUMBER(B1:B122)))</f>
        <v>19.032839856711899</v>
      </c>
      <c r="C125" s="3" cm="1">
        <f t="array" ref="C125">MAX(_xlfn._xlws.FILTER(C1:C122, ISNUMBER(C1:C122)))</f>
        <v>18.788383798973701</v>
      </c>
      <c r="D125" s="3" cm="1">
        <f t="array" ref="D125">MAX(_xlfn._xlws.FILTER(D1:D122, ISNUMBER(D1:D122)))</f>
        <v>18.4100218422411</v>
      </c>
      <c r="E125" s="3" cm="1">
        <f t="array" ref="E125">MAX(_xlfn._xlws.FILTER(E1:E122, ISNUMBER(E1:E122)))</f>
        <v>18.5754802533659</v>
      </c>
      <c r="F125" s="3" cm="1">
        <f t="array" ref="F125">MAX(_xlfn._xlws.FILTER(F1:F122, ISNUMBER(F1:F122)))</f>
        <v>14.593288116932801</v>
      </c>
      <c r="G125" s="3" cm="1">
        <f t="array" ref="G125">MAX(_xlfn._xlws.FILTER(G1:G122, ISNUMBER(G1:G122)))</f>
        <v>21.3218829691629</v>
      </c>
      <c r="H125" s="3" cm="1">
        <f t="array" ref="H125">MAX(_xlfn._xlws.FILTER(H1:H122, ISNUMBER(H1:H122)))</f>
        <v>19.761157874162699</v>
      </c>
      <c r="I125" s="3" cm="1">
        <f t="array" ref="I125">MAX(_xlfn._xlws.FILTER(I1:I122, ISNUMBER(I1:I122)))</f>
        <v>17.402817622355201</v>
      </c>
      <c r="J125" s="3" cm="1">
        <f t="array" ref="J125">MAX(_xlfn._xlws.FILTER(J1:J122, ISNUMBER(J1:J122)))</f>
        <v>19.560632323582901</v>
      </c>
      <c r="K125" s="3" cm="1">
        <f t="array" ref="K125">MAX(_xlfn._xlws.FILTER(K1:K122, ISNUMBER(K1:K122)))</f>
        <v>14.7529150341842</v>
      </c>
      <c r="L125" s="3" cm="1">
        <f t="array" ref="L125">MAX(_xlfn._xlws.FILTER(L1:L122, ISNUMBER(L1:L122)))</f>
        <v>26.739279520132101</v>
      </c>
      <c r="M125" s="3" cm="1">
        <f t="array" ref="M125">MAX(_xlfn._xlws.FILTER(M1:M122, ISNUMBER(M1:M122)))</f>
        <v>17.5273582531545</v>
      </c>
      <c r="N125" s="3" cm="1">
        <f t="array" ref="N125">MAX(_xlfn._xlws.FILTER(N1:N122, ISNUMBER(N1:N122)))</f>
        <v>16.7995341855523</v>
      </c>
      <c r="O125" s="3" cm="1">
        <f t="array" ref="O125">MAX(_xlfn._xlws.FILTER(O1:O122, ISNUMBER(O1:O122)))</f>
        <v>24.946975943161402</v>
      </c>
      <c r="P125" s="3" cm="1">
        <f t="array" ref="P125">MAX(_xlfn._xlws.FILTER(P1:P122, ISNUMBER(P1:P122)))</f>
        <v>18.730788153117398</v>
      </c>
      <c r="Q125" s="3" cm="1">
        <f t="array" ref="Q125">MAX(_xlfn._xlws.FILTER(Q1:Q122, ISNUMBER(Q1:Q122)))</f>
        <v>15.9097690198561</v>
      </c>
      <c r="R125" s="3" cm="1">
        <f t="array" ref="R125">MAX(_xlfn._xlws.FILTER(R1:R122, ISNUMBER(R1:R122)))</f>
        <v>20.315791545718699</v>
      </c>
      <c r="S125" s="3" cm="1">
        <f t="array" ref="S125">MAX(_xlfn._xlws.FILTER(S1:S122, ISNUMBER(S1:S122)))</f>
        <v>10.7486029277988</v>
      </c>
      <c r="T125" s="3" cm="1">
        <f t="array" ref="T125">MAX(_xlfn._xlws.FILTER(T1:T122, ISNUMBER(T1:T122)))</f>
        <v>17.015771707683701</v>
      </c>
      <c r="U125" s="3" cm="1">
        <f t="array" ref="U125">MAX(_xlfn._xlws.FILTER(U1:U122, ISNUMBER(U1:U122)))</f>
        <v>21.431643947902</v>
      </c>
      <c r="V125" s="3" cm="1">
        <f t="array" ref="V125">MAX(_xlfn._xlws.FILTER(V1:V122, ISNUMBER(V1:V122)))</f>
        <v>21.8400763346859</v>
      </c>
    </row>
    <row r="127" spans="1:37" x14ac:dyDescent="0.35">
      <c r="A127" s="2" t="s">
        <v>97</v>
      </c>
      <c r="B127" s="9" cm="1">
        <f t="array" ref="B127">_xlfn.PERCENTRANK.EXC(_xlfn._xlws.FILTER(B1:B122, ISNUMBER(B1:B122)),B122)</f>
        <v>0.223</v>
      </c>
      <c r="C127" s="9" cm="1">
        <f t="array" ref="C127">_xlfn.PERCENTRANK.EXC(_xlfn._xlws.FILTER(C1:C122, ISNUMBER(C1:C122)),C122)</f>
        <v>8.1000000000000003E-2</v>
      </c>
      <c r="D127" s="9" cm="1">
        <f t="array" ref="D127">_xlfn.PERCENTRANK.EXC(_xlfn._xlws.FILTER(D1:D122, ISNUMBER(D1:D122)),D122)</f>
        <v>0.20399999999999999</v>
      </c>
      <c r="E127" s="9" cm="1">
        <f t="array" ref="E127">_xlfn.PERCENTRANK.EXC(_xlfn._xlws.FILTER(E1:E122, ISNUMBER(E1:E122)),E122)</f>
        <v>6.5000000000000002E-2</v>
      </c>
      <c r="F127" s="9" cm="1">
        <f t="array" ref="F127">_xlfn.PERCENTRANK.EXC(_xlfn._xlws.FILTER(F1:F122, ISNUMBER(F1:F122)),F122)</f>
        <v>0.21299999999999999</v>
      </c>
      <c r="G127" s="9" cm="1">
        <f t="array" ref="G127">_xlfn.PERCENTRANK.EXC(_xlfn._xlws.FILTER(G1:G122, ISNUMBER(G1:G122)),G122)</f>
        <v>0.48299999999999998</v>
      </c>
      <c r="H127" s="9" cm="1">
        <f t="array" ref="H127">_xlfn.PERCENTRANK.EXC(_xlfn._xlws.FILTER(H1:H122, ISNUMBER(H1:H122)),H122)</f>
        <v>0.188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0.16</v>
      </c>
      <c r="K127" s="9" cm="1">
        <f t="array" ref="K127">_xlfn.PERCENTRANK.EXC(_xlfn._xlws.FILTER(K1:K122, ISNUMBER(K1:K122)),K122)</f>
        <v>0.68799999999999994</v>
      </c>
      <c r="L127" s="9" cm="1">
        <f t="array" ref="L127">_xlfn.PERCENTRANK.EXC(_xlfn._xlws.FILTER(L1:L122, ISNUMBER(L1:L122)),L122)</f>
        <v>0.17199999999999999</v>
      </c>
      <c r="M127" s="9" cm="1">
        <f t="array" ref="M127">_xlfn.PERCENTRANK.EXC(_xlfn._xlws.FILTER(M1:M122, ISNUMBER(M1:M122)),M122)</f>
        <v>0.19600000000000001</v>
      </c>
      <c r="N127" s="9" cm="1">
        <f t="array" ref="N127">_xlfn.PERCENTRANK.EXC(_xlfn._xlws.FILTER(N1:N122, ISNUMBER(N1:N122)),N122)</f>
        <v>0.22900000000000001</v>
      </c>
      <c r="O127" s="9" cm="1">
        <f t="array" ref="O127">_xlfn.PERCENTRANK.EXC(_xlfn._xlws.FILTER(O1:O122, ISNUMBER(O1:O122)),O122)</f>
        <v>0.77800000000000002</v>
      </c>
      <c r="P127" s="9" cm="1">
        <f t="array" ref="P127">_xlfn.PERCENTRANK.EXC(_xlfn._xlws.FILTER(P1:P122, ISNUMBER(P1:P122)),P122)</f>
        <v>0.17199999999999999</v>
      </c>
      <c r="Q127" s="9" cm="1">
        <f t="array" ref="Q127">_xlfn.PERCENTRANK.EXC(_xlfn._xlws.FILTER(Q1:Q122, ISNUMBER(Q1:Q122)),Q122)</f>
        <v>3.3000000000000002E-2</v>
      </c>
      <c r="R127" s="9" cm="1">
        <f t="array" ref="R127">_xlfn.PERCENTRANK.EXC(_xlfn._xlws.FILTER(R1:R122, ISNUMBER(R1:R122)),R122)</f>
        <v>0.21299999999999999</v>
      </c>
      <c r="S127" s="9" cm="1">
        <f t="array" ref="S127">_xlfn.PERCENTRANK.EXC(_xlfn._xlws.FILTER(S1:S122, ISNUMBER(S1:S122)),S122)</f>
        <v>0.114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0.82599999999999996</v>
      </c>
      <c r="V127" s="9" cm="1">
        <f t="array" ref="V127">_xlfn.PERCENTRANK.EXC(_xlfn._xlws.FILTER(V1:V122, ISNUMBER(V1:V122)),V122)</f>
        <v>0.75700000000000001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41712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3.4141590794340901</v>
      </c>
      <c r="D2" s="3" cm="1">
        <f t="array" ref="D2:D122">_xll.FDS(D1,"FMA_DIV_YLD(NTMA,-10AY,0,AM,""PORTAGG"",""MEANR"")")</f>
        <v>2.4840267568606702</v>
      </c>
      <c r="E2" s="3" cm="1">
        <f t="array" ref="E2:E122">_xll.FDS(E1,"FMA_DIV_YLD(NTMA,-10AY,0,AM,""PORTAGG"",""MEANR"")")</f>
        <v>2.1813834570867101</v>
      </c>
      <c r="F2" s="3" cm="1">
        <f t="array" ref="F2:F122">_xll.FDS(F1,"FMA_DIV_YLD(NTMA,-10AY,0,AM,""PORTAGG"",""MEANR"")")</f>
        <v>4.1602309899462204</v>
      </c>
      <c r="G2" s="3" cm="1">
        <f t="array" ref="G2:G122">_xll.FDS(G1,"FMA_DIV_YLD(NTMA,-10AY,0,AM,""PORTAGG"",""MEANR"")")</f>
        <v>2.6608287107094699</v>
      </c>
      <c r="H2" s="3" cm="1">
        <f t="array" ref="H2:H122">_xll.FDS(H1,"FMA_DIV_YLD(NTMA,-10AY,0,AM,""PORTAGG"",""MEANR"")")</f>
        <v>3.1993406429776599</v>
      </c>
      <c r="I2" s="3" cm="1">
        <f t="array" ref="I2:I122">_xll.FDS(I1,"FMA_DIV_YLD(NTMA,-10AY,0,AM,""PORTAGG"",""MEANR"")")</f>
        <v>3.2846672694848098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1.3327384956013699</v>
      </c>
      <c r="L2" s="3" cm="1">
        <f t="array" ref="L2:L122">_xll.FDS(L1,"FMA_DIV_YLD(NTMA,-10AY,0,AM,""PORTAGG"",""MEANR"")")</f>
        <v>4.63068819986451</v>
      </c>
      <c r="M2" s="3" cm="1">
        <f t="array" ref="M2:M122">_xll.FDS(M1,"FMA_DIV_YLD(NTMA,-10AY,0,AM,""PORTAGG"",""MEANR"")")</f>
        <v>3.5219107054177998</v>
      </c>
      <c r="N2" s="3" cm="1">
        <f t="array" ref="N2:N122">_xll.FDS(N1,"FMA_DIV_YLD(NTMA,-10AY,0,AM,""PORTAGG"",""MEANR"")")</f>
        <v>2.2212433731580101</v>
      </c>
      <c r="O2" s="3" cm="1">
        <f t="array" ref="O2:O122">_xll.FDS(O1,"FMA_DIV_YLD(NTMA,-10AY,0,AM,""PORTAGG"",""MEANR"")")</f>
        <v>1.6683881356891599</v>
      </c>
      <c r="P2" s="3" cm="1">
        <f t="array" ref="P2:P122">_xll.FDS(P1,"FMA_DIV_YLD(NTMA,-10AY,0,AM,""PORTAGG"",""MEANR"")")</f>
        <v>3.9888300470866098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3.86663193018151</v>
      </c>
      <c r="S2" s="3" cm="1">
        <f t="array" ref="S2:S122">_xll.FDS(S1,"FMA_DIV_YLD(NTMA,-10AY,0,AM,""PORTAGG"",""MEANR"")")</f>
        <v>3.48962507105905</v>
      </c>
      <c r="T2" s="3" t="e" cm="1">
        <f t="array" ref="T2:T122">_xll.FDS(T1,"FMA_DIV_YLD(NTMA,-10AY,0,AM,""PORTAGG"",""MEANR"")")</f>
        <v>#N/A</v>
      </c>
      <c r="U2" s="3" t="e" cm="1">
        <f t="array" ref="U2:U122">_xll.FDS(U1,"FMA_DIV_YLD(NTMA,-10AY,0,AM,""PORTAGG"",""MEANR"")")</f>
        <v>#N/A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41743</v>
      </c>
      <c r="B3" s="3" t="e">
        <v>#N/A</v>
      </c>
      <c r="C3" s="3">
        <v>3.0277371085123899</v>
      </c>
      <c r="D3" s="3">
        <v>2.5156915128645498</v>
      </c>
      <c r="E3" s="3">
        <v>2.1324480507999799</v>
      </c>
      <c r="F3" s="3">
        <v>3.8371059387458999</v>
      </c>
      <c r="G3" s="3">
        <v>2.5896474798543601</v>
      </c>
      <c r="H3" s="3">
        <v>3.1237725921073398</v>
      </c>
      <c r="I3" s="3">
        <v>3.2533321354942402</v>
      </c>
      <c r="J3" s="3" t="e">
        <v>#N/A</v>
      </c>
      <c r="K3" s="3">
        <v>1.27683905590417</v>
      </c>
      <c r="L3" s="3">
        <v>4.1613531342072099</v>
      </c>
      <c r="M3" s="3">
        <v>3.4620539167309401</v>
      </c>
      <c r="N3" s="3">
        <v>2.5178541986392999</v>
      </c>
      <c r="O3" s="3">
        <v>1.61106047771105</v>
      </c>
      <c r="P3" s="3">
        <v>3.6761735043300598</v>
      </c>
      <c r="Q3" s="3" t="e">
        <v>#N/A</v>
      </c>
      <c r="R3" s="3">
        <v>3.81061573180506</v>
      </c>
      <c r="S3" s="3">
        <v>2.9339653186285499</v>
      </c>
      <c r="T3" s="3" t="e">
        <v>#N/A</v>
      </c>
      <c r="U3" s="3">
        <v>3.4653935622856902</v>
      </c>
      <c r="V3" s="3" t="e">
        <v>#N/A</v>
      </c>
    </row>
    <row r="4" spans="1:22" x14ac:dyDescent="0.35">
      <c r="A4" s="2">
        <v>41773</v>
      </c>
      <c r="B4" s="3" t="e">
        <v>#N/A</v>
      </c>
      <c r="C4" s="3">
        <v>3.0042718762460998</v>
      </c>
      <c r="D4" s="3">
        <v>2.4751282096617402</v>
      </c>
      <c r="E4" s="3">
        <v>2.0364397033074302</v>
      </c>
      <c r="F4" s="3">
        <v>3.9016568551837101</v>
      </c>
      <c r="G4" s="3">
        <v>2.4763326328214599</v>
      </c>
      <c r="H4" s="3">
        <v>3.1036165733417298</v>
      </c>
      <c r="I4" s="3">
        <v>3.2882657172457699</v>
      </c>
      <c r="J4" s="3" t="e">
        <v>#N/A</v>
      </c>
      <c r="K4" s="3">
        <v>1.25235303397216</v>
      </c>
      <c r="L4" s="3">
        <v>3.9872655269245199</v>
      </c>
      <c r="M4" s="3">
        <v>3.3521878364059998</v>
      </c>
      <c r="N4" s="3">
        <v>2.14897018205945</v>
      </c>
      <c r="O4" s="3">
        <v>1.6460498506435799</v>
      </c>
      <c r="P4" s="3">
        <v>3.7830370784355201</v>
      </c>
      <c r="Q4" s="3" t="e">
        <v>#N/A</v>
      </c>
      <c r="R4" s="3">
        <v>3.8016919068619299</v>
      </c>
      <c r="S4" s="3">
        <v>2.8011594860956102</v>
      </c>
      <c r="T4" s="3" t="e">
        <v>#N/A</v>
      </c>
      <c r="U4" s="3">
        <v>3.4890282994950002</v>
      </c>
      <c r="V4" s="3" t="e">
        <v>#N/A</v>
      </c>
    </row>
    <row r="5" spans="1:22" x14ac:dyDescent="0.35">
      <c r="A5" s="2">
        <v>41803</v>
      </c>
      <c r="B5" s="3" t="e">
        <v>#N/A</v>
      </c>
      <c r="C5" s="3">
        <v>3.0941105283308699</v>
      </c>
      <c r="D5" s="3">
        <v>2.5669022868844702</v>
      </c>
      <c r="E5" s="3">
        <v>2.1627627884614302</v>
      </c>
      <c r="F5" s="3">
        <v>3.94428689151616</v>
      </c>
      <c r="G5" s="3">
        <v>2.1932978797863498</v>
      </c>
      <c r="H5" s="3">
        <v>3.1187303918992799</v>
      </c>
      <c r="I5" s="3">
        <v>3.18828112433977</v>
      </c>
      <c r="J5" s="3" t="e">
        <v>#N/A</v>
      </c>
      <c r="K5" s="3">
        <v>1.2737579069118301</v>
      </c>
      <c r="L5" s="3">
        <v>3.9704245105887201</v>
      </c>
      <c r="M5" s="3">
        <v>3.2999220259430802</v>
      </c>
      <c r="N5" s="3">
        <v>1.8465032573854001</v>
      </c>
      <c r="O5" s="3">
        <v>1.5586582100552899</v>
      </c>
      <c r="P5" s="3">
        <v>3.64753670770342</v>
      </c>
      <c r="Q5" s="3">
        <v>3.94143974203303</v>
      </c>
      <c r="R5" s="3">
        <v>5.4361887426699997</v>
      </c>
      <c r="S5" s="3">
        <v>2.9476387841406702</v>
      </c>
      <c r="T5" s="3">
        <v>2.4252015806728799</v>
      </c>
      <c r="U5" s="3">
        <v>3.2904016605749402</v>
      </c>
      <c r="V5" s="3" t="e">
        <v>#N/A</v>
      </c>
    </row>
    <row r="6" spans="1:22" x14ac:dyDescent="0.35">
      <c r="A6" s="2">
        <v>41834</v>
      </c>
      <c r="B6" s="3" t="e">
        <v>#N/A</v>
      </c>
      <c r="C6" s="3">
        <v>3.0541281461007701</v>
      </c>
      <c r="D6" s="3">
        <v>2.5723425571523002</v>
      </c>
      <c r="E6" s="3">
        <v>2.0741078067629899</v>
      </c>
      <c r="F6" s="3">
        <v>4.17201262295682</v>
      </c>
      <c r="G6" s="3">
        <v>2.1940517623609201</v>
      </c>
      <c r="H6" s="3">
        <v>3.1386675979046101</v>
      </c>
      <c r="I6" s="3">
        <v>3.0649604582848502</v>
      </c>
      <c r="J6" s="3" t="e">
        <v>#N/A</v>
      </c>
      <c r="K6" s="3">
        <v>1.3060938349811899</v>
      </c>
      <c r="L6" s="3">
        <v>3.8169879904736099</v>
      </c>
      <c r="M6" s="3">
        <v>3.2742983315002299</v>
      </c>
      <c r="N6" s="3">
        <v>2.0334268745672901</v>
      </c>
      <c r="O6" s="3">
        <v>1.58866855889442</v>
      </c>
      <c r="P6" s="3">
        <v>3.6278078244419398</v>
      </c>
      <c r="Q6" s="3">
        <v>3.9910824109875498</v>
      </c>
      <c r="R6" s="3">
        <v>5.5097874565309803</v>
      </c>
      <c r="S6" s="3">
        <v>2.7908676793637701</v>
      </c>
      <c r="T6" s="3">
        <v>2.6250756809926501</v>
      </c>
      <c r="U6" s="3">
        <v>3.41805835218952</v>
      </c>
      <c r="V6" s="3" t="e">
        <v>#N/A</v>
      </c>
    </row>
    <row r="7" spans="1:22" x14ac:dyDescent="0.35">
      <c r="A7" s="2">
        <v>41865</v>
      </c>
      <c r="B7" s="3" t="e">
        <v>#N/A</v>
      </c>
      <c r="C7" s="3">
        <v>3.0471982105267701</v>
      </c>
      <c r="D7" s="3">
        <v>2.5066100636990898</v>
      </c>
      <c r="E7" s="3">
        <v>2.0342669317109401</v>
      </c>
      <c r="F7" s="3">
        <v>4.1362857426956099</v>
      </c>
      <c r="G7" s="3">
        <v>2.1626166963509501</v>
      </c>
      <c r="H7" s="3">
        <v>3.171249924544</v>
      </c>
      <c r="I7" s="3">
        <v>3.2553215490117098</v>
      </c>
      <c r="J7" s="3" t="e">
        <v>#N/A</v>
      </c>
      <c r="K7" s="3">
        <v>1.2720254967070299</v>
      </c>
      <c r="L7" s="3">
        <v>3.8930334238514299</v>
      </c>
      <c r="M7" s="3">
        <v>3.2594563172715301</v>
      </c>
      <c r="N7" s="3">
        <v>2.1142066025714001</v>
      </c>
      <c r="O7" s="3">
        <v>1.5878206462726001</v>
      </c>
      <c r="P7" s="3">
        <v>3.4847419128650001</v>
      </c>
      <c r="Q7" s="3">
        <v>3.9519804784308499</v>
      </c>
      <c r="R7" s="3">
        <v>3.4391567314113698</v>
      </c>
      <c r="S7" s="3">
        <v>3.1544371720985001</v>
      </c>
      <c r="T7" s="3">
        <v>2.5943398261583299</v>
      </c>
      <c r="U7" s="3">
        <v>3.4276608687385099</v>
      </c>
      <c r="V7" s="3" t="e">
        <v>#N/A</v>
      </c>
    </row>
    <row r="8" spans="1:22" x14ac:dyDescent="0.35">
      <c r="A8" s="2">
        <v>41894</v>
      </c>
      <c r="B8" s="3" t="e">
        <v>#N/A</v>
      </c>
      <c r="C8" s="3">
        <v>3.0702343498871301</v>
      </c>
      <c r="D8" s="3">
        <v>2.55204084830015</v>
      </c>
      <c r="E8" s="3">
        <v>1.95890486614023</v>
      </c>
      <c r="F8" s="3">
        <v>4.1562124907431297</v>
      </c>
      <c r="G8" s="3">
        <v>2.1495707137552702</v>
      </c>
      <c r="H8" s="3">
        <v>3.1838336721815499</v>
      </c>
      <c r="I8" s="3">
        <v>3.3218508514062601</v>
      </c>
      <c r="J8" s="3" t="e">
        <v>#N/A</v>
      </c>
      <c r="K8" s="3">
        <v>1.3089746657438399</v>
      </c>
      <c r="L8" s="3">
        <v>3.7748665658474998</v>
      </c>
      <c r="M8" s="3">
        <v>3.3085838877345801</v>
      </c>
      <c r="N8" s="3">
        <v>2.1178831508958802</v>
      </c>
      <c r="O8" s="3">
        <v>1.5437224613443801</v>
      </c>
      <c r="P8" s="3">
        <v>3.5225107982106301</v>
      </c>
      <c r="Q8" s="3">
        <v>3.9649373050045398</v>
      </c>
      <c r="R8" s="3">
        <v>3.3466771715289201</v>
      </c>
      <c r="S8" s="3">
        <v>3.1055176470594201</v>
      </c>
      <c r="T8" s="3">
        <v>2.5190121575942301</v>
      </c>
      <c r="U8" s="3">
        <v>2.9767391731549799</v>
      </c>
      <c r="V8" s="3" t="e">
        <v>#N/A</v>
      </c>
    </row>
    <row r="9" spans="1:22" x14ac:dyDescent="0.35">
      <c r="A9" s="2">
        <v>41926</v>
      </c>
      <c r="B9" s="3" t="e">
        <v>#N/A</v>
      </c>
      <c r="C9" s="3">
        <v>3.21952713319522</v>
      </c>
      <c r="D9" s="3">
        <v>2.6762419999251001</v>
      </c>
      <c r="E9" s="3">
        <v>2.3033876234725299</v>
      </c>
      <c r="F9" s="3">
        <v>4.1404642989722298</v>
      </c>
      <c r="G9" s="3">
        <v>2.3037487320146202</v>
      </c>
      <c r="H9" s="3">
        <v>3.3098323919352501</v>
      </c>
      <c r="I9" s="3">
        <v>3.5484074333964801</v>
      </c>
      <c r="J9" s="3" t="e">
        <v>#N/A</v>
      </c>
      <c r="K9" s="3">
        <v>1.44847206060988</v>
      </c>
      <c r="L9" s="3">
        <v>3.6020000800753702</v>
      </c>
      <c r="M9" s="3">
        <v>3.56394794200137</v>
      </c>
      <c r="N9" s="3">
        <v>2.5710121588388199</v>
      </c>
      <c r="O9" s="3">
        <v>1.6155438249566401</v>
      </c>
      <c r="P9" s="3">
        <v>3.8033890769460199</v>
      </c>
      <c r="Q9" s="3">
        <v>4.1028270316416497</v>
      </c>
      <c r="R9" s="3">
        <v>3.4545980208162499</v>
      </c>
      <c r="S9" s="3">
        <v>3.2082707014195599</v>
      </c>
      <c r="T9" s="3">
        <v>2.8074585904728999</v>
      </c>
      <c r="U9" s="3">
        <v>2.8810963647122398</v>
      </c>
      <c r="V9" s="3" t="e">
        <v>#N/A</v>
      </c>
    </row>
    <row r="10" spans="1:22" x14ac:dyDescent="0.35">
      <c r="A10" s="2">
        <v>41957</v>
      </c>
      <c r="B10" s="3" t="e">
        <v>#N/A</v>
      </c>
      <c r="C10" s="3">
        <v>2.9875264740352798</v>
      </c>
      <c r="D10" s="3">
        <v>2.5554513538142198</v>
      </c>
      <c r="E10" s="3">
        <v>2.15619108381836</v>
      </c>
      <c r="F10" s="3">
        <v>3.9896720010817601</v>
      </c>
      <c r="G10" s="3">
        <v>2.2778481089299101</v>
      </c>
      <c r="H10" s="3">
        <v>3.2545769066809398</v>
      </c>
      <c r="I10" s="3">
        <v>3.4382016187687401</v>
      </c>
      <c r="J10" s="3" t="e">
        <v>#N/A</v>
      </c>
      <c r="K10" s="3">
        <v>1.41431671786864</v>
      </c>
      <c r="L10" s="3">
        <v>3.9182979625018</v>
      </c>
      <c r="M10" s="3">
        <v>3.2677030702789001</v>
      </c>
      <c r="N10" s="3">
        <v>2.7602702848997498</v>
      </c>
      <c r="O10" s="3">
        <v>1.54308187711936</v>
      </c>
      <c r="P10" s="3">
        <v>3.6151344375327001</v>
      </c>
      <c r="Q10" s="3">
        <v>4.0401557385866704</v>
      </c>
      <c r="R10" s="3">
        <v>3.35136356308064</v>
      </c>
      <c r="S10" s="3">
        <v>2.9055685522744201</v>
      </c>
      <c r="T10" s="3">
        <v>2.8522193403060898</v>
      </c>
      <c r="U10" s="3">
        <v>2.9665829359182498</v>
      </c>
      <c r="V10" s="3" t="e">
        <v>#N/A</v>
      </c>
    </row>
    <row r="11" spans="1:22" x14ac:dyDescent="0.35">
      <c r="A11" s="2">
        <v>41985</v>
      </c>
      <c r="B11" s="3" t="e">
        <v>#N/A</v>
      </c>
      <c r="C11" s="3">
        <v>3.1762001452237598</v>
      </c>
      <c r="D11" s="3">
        <v>2.48510706264369</v>
      </c>
      <c r="E11" s="3">
        <v>2.1578469537328102</v>
      </c>
      <c r="F11" s="3">
        <v>3.97874476882942</v>
      </c>
      <c r="G11" s="3">
        <v>2.11131408431782</v>
      </c>
      <c r="H11" s="3">
        <v>3.3761825298150798</v>
      </c>
      <c r="I11" s="3">
        <v>3.45180064753866</v>
      </c>
      <c r="J11" s="3" t="e">
        <v>#N/A</v>
      </c>
      <c r="K11" s="3">
        <v>1.4096892928014799</v>
      </c>
      <c r="L11" s="3">
        <v>4.3764873676391902</v>
      </c>
      <c r="M11" s="3">
        <v>3.5291139041558699</v>
      </c>
      <c r="N11" s="3">
        <v>2.9177627367097099</v>
      </c>
      <c r="O11" s="3">
        <v>1.5961236507149501</v>
      </c>
      <c r="P11" s="3">
        <v>3.5222807696991101</v>
      </c>
      <c r="Q11" s="3">
        <v>4.6468393559861898</v>
      </c>
      <c r="R11" s="3">
        <v>3.4978584233191201</v>
      </c>
      <c r="S11" s="3">
        <v>2.79762152710423</v>
      </c>
      <c r="T11" s="3">
        <v>3.5409201085690598</v>
      </c>
      <c r="U11" s="3">
        <v>3.2032769336619</v>
      </c>
      <c r="V11" s="3" t="e">
        <v>#N/A</v>
      </c>
    </row>
    <row r="12" spans="1:22" x14ac:dyDescent="0.35">
      <c r="A12" s="2">
        <v>42018</v>
      </c>
      <c r="B12" s="3" t="e">
        <v>#N/A</v>
      </c>
      <c r="C12" s="3">
        <v>3.3513581295252699</v>
      </c>
      <c r="D12" s="3">
        <v>2.5286889629117102</v>
      </c>
      <c r="E12" s="3">
        <v>2.10445952096627</v>
      </c>
      <c r="F12" s="3">
        <v>3.9961948556880098</v>
      </c>
      <c r="G12" s="3">
        <v>2.2891326864847201</v>
      </c>
      <c r="H12" s="3">
        <v>3.3264832927561399</v>
      </c>
      <c r="I12" s="3">
        <v>3.5437541239965</v>
      </c>
      <c r="J12" s="3" t="e">
        <v>#N/A</v>
      </c>
      <c r="K12" s="3">
        <v>1.52147159695436</v>
      </c>
      <c r="L12" s="3">
        <v>4.2300415191347298</v>
      </c>
      <c r="M12" s="3">
        <v>3.3756768022068702</v>
      </c>
      <c r="N12" s="3">
        <v>3.5026293793000201</v>
      </c>
      <c r="O12" s="3">
        <v>1.5833709696843901</v>
      </c>
      <c r="P12" s="3">
        <v>3.2592376452290099</v>
      </c>
      <c r="Q12" s="3">
        <v>4.73839013742717</v>
      </c>
      <c r="R12" s="3">
        <v>3.42569752075946</v>
      </c>
      <c r="S12" s="3">
        <v>2.6833074810932098</v>
      </c>
      <c r="T12" s="3">
        <v>3.3739825600536002</v>
      </c>
      <c r="U12" s="3">
        <v>3.09444434959808</v>
      </c>
      <c r="V12" s="3" t="e">
        <v>#N/A</v>
      </c>
    </row>
    <row r="13" spans="1:22" x14ac:dyDescent="0.35">
      <c r="A13" s="2">
        <v>42048</v>
      </c>
      <c r="B13" s="3" t="e">
        <v>#N/A</v>
      </c>
      <c r="C13" s="3">
        <v>3.1355289446985299</v>
      </c>
      <c r="D13" s="3">
        <v>2.3375619308170799</v>
      </c>
      <c r="E13" s="3">
        <v>1.99080450942468</v>
      </c>
      <c r="F13" s="3">
        <v>3.8038050459490802</v>
      </c>
      <c r="G13" s="3">
        <v>2.1312091425677799</v>
      </c>
      <c r="H13" s="3">
        <v>3.2142374224852999</v>
      </c>
      <c r="I13" s="3">
        <v>3.4058408812642802</v>
      </c>
      <c r="J13" s="3" t="e">
        <v>#N/A</v>
      </c>
      <c r="K13" s="3">
        <v>1.5930283671579399</v>
      </c>
      <c r="L13" s="3">
        <v>4.0011005024919202</v>
      </c>
      <c r="M13" s="3">
        <v>3.1153254117126701</v>
      </c>
      <c r="N13" s="3">
        <v>3.1345753834749202</v>
      </c>
      <c r="O13" s="3">
        <v>1.47844129967979</v>
      </c>
      <c r="P13" s="3">
        <v>3.1164230436420701</v>
      </c>
      <c r="Q13" s="3">
        <v>4.1214588533182503</v>
      </c>
      <c r="R13" s="3">
        <v>3.13267861348521</v>
      </c>
      <c r="S13" s="3">
        <v>2.88133512198615</v>
      </c>
      <c r="T13" s="3">
        <v>3.4075770613348801</v>
      </c>
      <c r="U13" s="3">
        <v>2.9846273308542499</v>
      </c>
      <c r="V13" s="3" t="e">
        <v>#N/A</v>
      </c>
    </row>
    <row r="14" spans="1:22" x14ac:dyDescent="0.35">
      <c r="A14" s="2">
        <v>42076</v>
      </c>
      <c r="B14" s="3" t="e">
        <v>#N/A</v>
      </c>
      <c r="C14" s="3">
        <v>3.34323514720744</v>
      </c>
      <c r="D14" s="3">
        <v>2.3251962532741599</v>
      </c>
      <c r="E14" s="3">
        <v>1.92104392222499</v>
      </c>
      <c r="F14" s="3">
        <v>3.76547694046713</v>
      </c>
      <c r="G14" s="3">
        <v>2.3683687715679498</v>
      </c>
      <c r="H14" s="3">
        <v>3.23820423983963</v>
      </c>
      <c r="I14" s="3">
        <v>3.41999096112179</v>
      </c>
      <c r="J14" s="3" t="e">
        <v>#N/A</v>
      </c>
      <c r="K14" s="3">
        <v>1.57185310079036</v>
      </c>
      <c r="L14" s="3">
        <v>4.1735211298209398</v>
      </c>
      <c r="M14" s="3">
        <v>3.1186163941926699</v>
      </c>
      <c r="N14" s="3">
        <v>3.4476276463927098</v>
      </c>
      <c r="O14" s="3">
        <v>1.5073032662418699</v>
      </c>
      <c r="P14" s="3">
        <v>3.1808205593011198</v>
      </c>
      <c r="Q14" s="3">
        <v>4.3098903746258799</v>
      </c>
      <c r="R14" s="3">
        <v>3.3722864782483</v>
      </c>
      <c r="S14" s="3">
        <v>3.1849659795271799</v>
      </c>
      <c r="T14" s="3">
        <v>3.6624083444609501</v>
      </c>
      <c r="U14" s="3">
        <v>3.0326419758015799</v>
      </c>
      <c r="V14" s="3" t="e">
        <v>#N/A</v>
      </c>
    </row>
    <row r="15" spans="1:22" x14ac:dyDescent="0.35">
      <c r="A15" s="2">
        <v>42108</v>
      </c>
      <c r="B15" s="3" t="e">
        <v>#N/A</v>
      </c>
      <c r="C15" s="3">
        <v>3.14370575657358</v>
      </c>
      <c r="D15" s="3">
        <v>2.3125560482654999</v>
      </c>
      <c r="E15" s="3">
        <v>1.8686831120192899</v>
      </c>
      <c r="F15" s="3">
        <v>3.43371263522859</v>
      </c>
      <c r="G15" s="3">
        <v>2.2695567449474199</v>
      </c>
      <c r="H15" s="3">
        <v>3.14428485858648</v>
      </c>
      <c r="I15" s="3">
        <v>3.5476825719711602</v>
      </c>
      <c r="J15" s="3" t="e">
        <v>#N/A</v>
      </c>
      <c r="K15" s="3">
        <v>1.49928550887426</v>
      </c>
      <c r="L15" s="3">
        <v>3.64930804598889</v>
      </c>
      <c r="M15" s="3">
        <v>2.9721084816054302</v>
      </c>
      <c r="N15" s="3">
        <v>3.5083831555043399</v>
      </c>
      <c r="O15" s="3">
        <v>1.4935258451486799</v>
      </c>
      <c r="P15" s="3">
        <v>2.5624368626356002</v>
      </c>
      <c r="Q15" s="3">
        <v>4.6352440087221796</v>
      </c>
      <c r="R15" s="3">
        <v>3.3682561261765902</v>
      </c>
      <c r="S15" s="3">
        <v>2.93828915685752</v>
      </c>
      <c r="T15" s="3">
        <v>3.2769844532271999</v>
      </c>
      <c r="U15" s="3">
        <v>2.8289112560913501</v>
      </c>
      <c r="V15" s="3" t="e">
        <v>#N/A</v>
      </c>
    </row>
    <row r="16" spans="1:22" x14ac:dyDescent="0.35">
      <c r="A16" s="2">
        <v>42138</v>
      </c>
      <c r="B16" s="3" t="e">
        <v>#N/A</v>
      </c>
      <c r="C16" s="3">
        <v>3.20083139056154</v>
      </c>
      <c r="D16" s="3">
        <v>2.3390815648785401</v>
      </c>
      <c r="E16" s="3">
        <v>1.9274737203826899</v>
      </c>
      <c r="F16" s="3">
        <v>3.3292628544526299</v>
      </c>
      <c r="G16" s="3">
        <v>1.87244735658466</v>
      </c>
      <c r="H16" s="3">
        <v>3.1618252334538299</v>
      </c>
      <c r="I16" s="3">
        <v>3.6239429423875298</v>
      </c>
      <c r="J16" s="3" t="e">
        <v>#N/A</v>
      </c>
      <c r="K16" s="3">
        <v>1.56470057204472</v>
      </c>
      <c r="L16" s="3">
        <v>3.59239743016661</v>
      </c>
      <c r="M16" s="3">
        <v>3.1045891505976702</v>
      </c>
      <c r="N16" s="3">
        <v>3.1622804901272499</v>
      </c>
      <c r="O16" s="3">
        <v>1.6674945336881</v>
      </c>
      <c r="P16" s="3">
        <v>2.6086249406744701</v>
      </c>
      <c r="Q16" s="3">
        <v>4.4544420676245</v>
      </c>
      <c r="R16" s="3">
        <v>3.4416838556153002</v>
      </c>
      <c r="S16" s="3">
        <v>2.7607127378734799</v>
      </c>
      <c r="T16" s="3">
        <v>3.2185403835685702</v>
      </c>
      <c r="U16" s="3">
        <v>2.9377269705895799</v>
      </c>
      <c r="V16" s="3" t="e">
        <v>#N/A</v>
      </c>
    </row>
    <row r="17" spans="1:22" x14ac:dyDescent="0.35">
      <c r="A17" s="2">
        <v>42167</v>
      </c>
      <c r="B17" s="3" t="e">
        <v>#N/A</v>
      </c>
      <c r="C17" s="3">
        <v>3.3991696983353998</v>
      </c>
      <c r="D17" s="3">
        <v>2.51282427943528</v>
      </c>
      <c r="E17" s="3">
        <v>1.9942239454144901</v>
      </c>
      <c r="F17" s="3">
        <v>3.5547135924091902</v>
      </c>
      <c r="G17" s="3">
        <v>2.0318953826643602</v>
      </c>
      <c r="H17" s="3">
        <v>3.2389990845782899</v>
      </c>
      <c r="I17" s="3">
        <v>3.8441672042039001</v>
      </c>
      <c r="J17" s="3" t="e">
        <v>#N/A</v>
      </c>
      <c r="K17" s="3">
        <v>1.65914795788625</v>
      </c>
      <c r="L17" s="3">
        <v>3.8998296508807</v>
      </c>
      <c r="M17" s="3">
        <v>3.2504039235628999</v>
      </c>
      <c r="N17" s="3">
        <v>3.53782357795729</v>
      </c>
      <c r="O17" s="3">
        <v>1.7342492732863899</v>
      </c>
      <c r="P17" s="3">
        <v>2.6624280443986699</v>
      </c>
      <c r="Q17" s="3">
        <v>4.67417106619338</v>
      </c>
      <c r="R17" s="3">
        <v>3.4230646614889899</v>
      </c>
      <c r="S17" s="3">
        <v>3.06337034217976</v>
      </c>
      <c r="T17" s="3">
        <v>3.46100746433188</v>
      </c>
      <c r="U17" s="3">
        <v>2.75580839883111</v>
      </c>
      <c r="V17" s="3" t="e">
        <v>#N/A</v>
      </c>
    </row>
    <row r="18" spans="1:22" x14ac:dyDescent="0.35">
      <c r="A18" s="2">
        <v>42199</v>
      </c>
      <c r="B18" s="3" t="e">
        <v>#N/A</v>
      </c>
      <c r="C18" s="3">
        <v>3.5336467939905201</v>
      </c>
      <c r="D18" s="3">
        <v>2.4517440149860601</v>
      </c>
      <c r="E18" s="3">
        <v>1.9188750485652799</v>
      </c>
      <c r="F18" s="3">
        <v>3.6644056474447</v>
      </c>
      <c r="G18" s="3">
        <v>1.9566665904187499</v>
      </c>
      <c r="H18" s="3">
        <v>3.2781029614977601</v>
      </c>
      <c r="I18" s="3">
        <v>4.0196741727457503</v>
      </c>
      <c r="J18" s="3" t="e">
        <v>#N/A</v>
      </c>
      <c r="K18" s="3">
        <v>1.69927565531512</v>
      </c>
      <c r="L18" s="3">
        <v>3.8055629911909001</v>
      </c>
      <c r="M18" s="3">
        <v>3.18436739245357</v>
      </c>
      <c r="N18" s="3">
        <v>3.2775955787881799</v>
      </c>
      <c r="O18" s="3">
        <v>1.5654996368437899</v>
      </c>
      <c r="P18" s="3">
        <v>3.0867984213681798</v>
      </c>
      <c r="Q18" s="3">
        <v>4.6760590810832499</v>
      </c>
      <c r="R18" s="3">
        <v>3.4473736416385998</v>
      </c>
      <c r="S18" s="3">
        <v>2.97711128576741</v>
      </c>
      <c r="T18" s="3">
        <v>3.5537785487038702</v>
      </c>
      <c r="U18" s="3">
        <v>4.1083151320276601</v>
      </c>
      <c r="V18" s="3" t="e">
        <v>#N/A</v>
      </c>
    </row>
    <row r="19" spans="1:22" x14ac:dyDescent="0.35">
      <c r="A19" s="2">
        <v>42230</v>
      </c>
      <c r="B19" s="3" t="e">
        <v>#N/A</v>
      </c>
      <c r="C19" s="3">
        <v>3.58619314235141</v>
      </c>
      <c r="D19" s="3">
        <v>2.6214475260637302</v>
      </c>
      <c r="E19" s="3">
        <v>1.9630412867934699</v>
      </c>
      <c r="F19" s="3">
        <v>3.6589459354137199</v>
      </c>
      <c r="G19" s="3">
        <v>2.26568875047532</v>
      </c>
      <c r="H19" s="3">
        <v>3.53858475455946</v>
      </c>
      <c r="I19" s="3">
        <v>4.3004429758917304</v>
      </c>
      <c r="J19" s="3" t="e">
        <v>#N/A</v>
      </c>
      <c r="K19" s="3">
        <v>1.8003523626037901</v>
      </c>
      <c r="L19" s="3">
        <v>4.0698356034043401</v>
      </c>
      <c r="M19" s="3">
        <v>3.3341155175336099</v>
      </c>
      <c r="N19" s="3">
        <v>4.0522296799431503</v>
      </c>
      <c r="O19" s="3">
        <v>1.54615575220477</v>
      </c>
      <c r="P19" s="3">
        <v>3.1931029903733399</v>
      </c>
      <c r="Q19" s="3">
        <v>4.7325289333570399</v>
      </c>
      <c r="R19" s="3">
        <v>3.5852111449045099</v>
      </c>
      <c r="S19" s="3">
        <v>3.1829677780676202</v>
      </c>
      <c r="T19" s="3">
        <v>3.6253246503249401</v>
      </c>
      <c r="U19" s="3">
        <v>3.9206219191311602</v>
      </c>
      <c r="V19" s="3" t="e">
        <v>#N/A</v>
      </c>
    </row>
    <row r="20" spans="1:22" x14ac:dyDescent="0.35">
      <c r="A20" s="2">
        <v>42261</v>
      </c>
      <c r="B20" s="3" t="e">
        <v>#N/A</v>
      </c>
      <c r="C20" s="3">
        <v>3.6521278529727899</v>
      </c>
      <c r="D20" s="3">
        <v>2.7302658088248499</v>
      </c>
      <c r="E20" s="3">
        <v>2.0542210449990201</v>
      </c>
      <c r="F20" s="3">
        <v>3.6080670799129599</v>
      </c>
      <c r="G20" s="3">
        <v>2.5531297590272</v>
      </c>
      <c r="H20" s="3">
        <v>3.3975246551913201</v>
      </c>
      <c r="I20" s="3">
        <v>4.27293847034667</v>
      </c>
      <c r="J20" s="3" t="e">
        <v>#N/A</v>
      </c>
      <c r="K20" s="3">
        <v>1.84502872465796</v>
      </c>
      <c r="L20" s="3">
        <v>4.2946671942766903</v>
      </c>
      <c r="M20" s="3">
        <v>3.4432991151115102</v>
      </c>
      <c r="N20" s="3">
        <v>3.58505887513906</v>
      </c>
      <c r="O20" s="3">
        <v>1.6798730272415101</v>
      </c>
      <c r="P20" s="3">
        <v>3.48233673892023</v>
      </c>
      <c r="Q20" s="3">
        <v>4.9131205000357703</v>
      </c>
      <c r="R20" s="3">
        <v>3.6618155925501901</v>
      </c>
      <c r="S20" s="3">
        <v>3.5075032562368098</v>
      </c>
      <c r="T20" s="3">
        <v>4.1302759962314202</v>
      </c>
      <c r="U20" s="3">
        <v>3.6576847768119198</v>
      </c>
      <c r="V20" s="3" t="e">
        <v>#N/A</v>
      </c>
    </row>
    <row r="21" spans="1:22" x14ac:dyDescent="0.35">
      <c r="A21" s="2">
        <v>42291</v>
      </c>
      <c r="B21" s="3" t="e">
        <v>#N/A</v>
      </c>
      <c r="C21" s="3">
        <v>3.7256793161492401</v>
      </c>
      <c r="D21" s="3">
        <v>2.6539972303460302</v>
      </c>
      <c r="E21" s="3">
        <v>2.0344404212346499</v>
      </c>
      <c r="F21" s="3">
        <v>3.71096031707093</v>
      </c>
      <c r="G21" s="3">
        <v>2.3536703630982898</v>
      </c>
      <c r="H21" s="3">
        <v>3.2430474645040901</v>
      </c>
      <c r="I21" s="3">
        <v>4.1673661931330699</v>
      </c>
      <c r="J21" s="3" t="e">
        <v>#N/A</v>
      </c>
      <c r="K21" s="3">
        <v>1.7354706872624099</v>
      </c>
      <c r="L21" s="3">
        <v>4.0990601807777303</v>
      </c>
      <c r="M21" s="3">
        <v>3.2714363333421699</v>
      </c>
      <c r="N21" s="3">
        <v>3.0126047241468301</v>
      </c>
      <c r="O21" s="3">
        <v>1.66271082989992</v>
      </c>
      <c r="P21" s="3">
        <v>3.2578022301102698</v>
      </c>
      <c r="Q21" s="3">
        <v>4.8388991322581401</v>
      </c>
      <c r="R21" s="3">
        <v>3.6023807727739898</v>
      </c>
      <c r="S21" s="3">
        <v>3.1731669463827399</v>
      </c>
      <c r="T21" s="3">
        <v>3.8230596567115902</v>
      </c>
      <c r="U21" s="3">
        <v>3.10493106865172</v>
      </c>
      <c r="V21" s="3">
        <v>4.2571349914632899</v>
      </c>
    </row>
    <row r="22" spans="1:22" x14ac:dyDescent="0.35">
      <c r="A22" s="2">
        <v>42321</v>
      </c>
      <c r="B22" s="3" t="e">
        <v>#N/A</v>
      </c>
      <c r="C22" s="3">
        <v>3.75534399888243</v>
      </c>
      <c r="D22" s="3">
        <v>2.5992331407362799</v>
      </c>
      <c r="E22" s="3">
        <v>2.0611651160331599</v>
      </c>
      <c r="F22" s="3">
        <v>3.9616544824932101</v>
      </c>
      <c r="G22" s="3">
        <v>2.3514610814160299</v>
      </c>
      <c r="H22" s="3">
        <v>3.3317041708050099</v>
      </c>
      <c r="I22" s="3">
        <v>4.2065694230078199</v>
      </c>
      <c r="J22" s="3" t="e">
        <v>#N/A</v>
      </c>
      <c r="K22" s="3">
        <v>1.88532216255562</v>
      </c>
      <c r="L22" s="3">
        <v>4.0266840660844698</v>
      </c>
      <c r="M22" s="3">
        <v>3.4313868670799601</v>
      </c>
      <c r="N22" s="3">
        <v>3.24952868539919</v>
      </c>
      <c r="O22" s="3">
        <v>1.75245541621816</v>
      </c>
      <c r="P22" s="3">
        <v>3.2253256418462501</v>
      </c>
      <c r="Q22" s="3">
        <v>5.2034189391042398</v>
      </c>
      <c r="R22" s="3">
        <v>3.6443720919018099</v>
      </c>
      <c r="S22" s="3">
        <v>3.1254843456097201</v>
      </c>
      <c r="T22" s="3">
        <v>4.4093672473715699</v>
      </c>
      <c r="U22" s="3">
        <v>3.29670213310076</v>
      </c>
      <c r="V22" s="3">
        <v>4.6619054544179397</v>
      </c>
    </row>
    <row r="23" spans="1:22" x14ac:dyDescent="0.35">
      <c r="A23" s="2">
        <v>42352</v>
      </c>
      <c r="B23" s="3" t="e">
        <v>#N/A</v>
      </c>
      <c r="C23" s="3">
        <v>3.8775657753141499</v>
      </c>
      <c r="D23" s="3">
        <v>2.6460157966531401</v>
      </c>
      <c r="E23" s="3">
        <v>2.0008944273010298</v>
      </c>
      <c r="F23" s="3">
        <v>4.3510618649628396</v>
      </c>
      <c r="G23" s="3">
        <v>2.6793388090558099</v>
      </c>
      <c r="H23" s="3">
        <v>3.3563312332755499</v>
      </c>
      <c r="I23" s="3">
        <v>4.3511029020516503</v>
      </c>
      <c r="J23" s="3" t="e">
        <v>#N/A</v>
      </c>
      <c r="K23" s="3">
        <v>1.9567298571455001</v>
      </c>
      <c r="L23" s="3">
        <v>4.1006142685443203</v>
      </c>
      <c r="M23" s="3">
        <v>3.70640326744389</v>
      </c>
      <c r="N23" s="3">
        <v>3.0132612135166998</v>
      </c>
      <c r="O23" s="3">
        <v>1.7635161586138699</v>
      </c>
      <c r="P23" s="3">
        <v>3.3746472586961498</v>
      </c>
      <c r="Q23" s="3">
        <v>5.8286382707773496</v>
      </c>
      <c r="R23" s="3">
        <v>4.00210785885933</v>
      </c>
      <c r="S23" s="3">
        <v>3.75181498127772</v>
      </c>
      <c r="T23" s="3">
        <v>4.6271957889769704</v>
      </c>
      <c r="U23" s="3">
        <v>2.8010645747142102</v>
      </c>
      <c r="V23" s="3">
        <v>4.8167132584886296</v>
      </c>
    </row>
    <row r="24" spans="1:22" x14ac:dyDescent="0.35">
      <c r="A24" s="2">
        <v>42383</v>
      </c>
      <c r="B24" s="3" t="e">
        <v>#N/A</v>
      </c>
      <c r="C24" s="3">
        <v>3.9782109475179599</v>
      </c>
      <c r="D24" s="3">
        <v>2.52627791107383</v>
      </c>
      <c r="E24" s="3">
        <v>2.1322098794265898</v>
      </c>
      <c r="F24" s="3">
        <v>4.21832353537265</v>
      </c>
      <c r="G24" s="3">
        <v>2.7956348001480298</v>
      </c>
      <c r="H24" s="3">
        <v>3.35239109059316</v>
      </c>
      <c r="I24" s="3">
        <v>4.6530468070040003</v>
      </c>
      <c r="J24" s="3">
        <v>2.1800865168081001</v>
      </c>
      <c r="K24" s="3">
        <v>2.0354206682544</v>
      </c>
      <c r="L24" s="3">
        <v>4.7428294805177504</v>
      </c>
      <c r="M24" s="3">
        <v>3.7092196941909101</v>
      </c>
      <c r="N24" s="3">
        <v>2.7592567901473002</v>
      </c>
      <c r="O24" s="3">
        <v>1.76142421765654</v>
      </c>
      <c r="P24" s="3">
        <v>3.2064401734541699</v>
      </c>
      <c r="Q24" s="3">
        <v>6.0791227405237001</v>
      </c>
      <c r="R24" s="3">
        <v>3.8446113525364098</v>
      </c>
      <c r="S24" s="3">
        <v>3.6150652586927898</v>
      </c>
      <c r="T24" s="3">
        <v>4.7271050531476702</v>
      </c>
      <c r="U24" s="3" t="e">
        <v>#N/A</v>
      </c>
      <c r="V24" s="3">
        <v>5.2857405160725301</v>
      </c>
    </row>
    <row r="25" spans="1:22" x14ac:dyDescent="0.35">
      <c r="A25" s="2">
        <v>42412</v>
      </c>
      <c r="B25" s="3" t="e">
        <v>#N/A</v>
      </c>
      <c r="C25" s="3">
        <v>3.7450862457207199</v>
      </c>
      <c r="D25" s="3">
        <v>2.4273757805517402</v>
      </c>
      <c r="E25" s="3">
        <v>2.0437226178728598</v>
      </c>
      <c r="F25" s="3">
        <v>4.19524165241614</v>
      </c>
      <c r="G25" s="3">
        <v>2.48170153179296</v>
      </c>
      <c r="H25" s="3">
        <v>3.2580504998703801</v>
      </c>
      <c r="I25" s="3">
        <v>4.41052456070702</v>
      </c>
      <c r="J25" s="3">
        <v>2.1721650897087499</v>
      </c>
      <c r="K25" s="3">
        <v>2.03525749027914</v>
      </c>
      <c r="L25" s="3">
        <v>4.4550301617043297</v>
      </c>
      <c r="M25" s="3">
        <v>3.6357550384307298</v>
      </c>
      <c r="N25" s="3">
        <v>3.0562921593429602</v>
      </c>
      <c r="O25" s="3">
        <v>1.88295515939835</v>
      </c>
      <c r="P25" s="3">
        <v>3.4764448775789201</v>
      </c>
      <c r="Q25" s="3">
        <v>5.5867322537687398</v>
      </c>
      <c r="R25" s="3">
        <v>3.7305668861253101</v>
      </c>
      <c r="S25" s="3">
        <v>3.6519282462130702</v>
      </c>
      <c r="T25" s="3">
        <v>4.6510559568722103</v>
      </c>
      <c r="U25" s="3" t="e">
        <v>#N/A</v>
      </c>
      <c r="V25" s="3">
        <v>5.4021046204993901</v>
      </c>
    </row>
    <row r="26" spans="1:22" x14ac:dyDescent="0.35">
      <c r="A26" s="2">
        <v>42443</v>
      </c>
      <c r="B26" s="3" t="e">
        <v>#N/A</v>
      </c>
      <c r="C26" s="3">
        <v>3.4891172227220402</v>
      </c>
      <c r="D26" s="3">
        <v>2.34477758480987</v>
      </c>
      <c r="E26" s="3">
        <v>1.84976986311215</v>
      </c>
      <c r="F26" s="3">
        <v>3.8573388516013898</v>
      </c>
      <c r="G26" s="3">
        <v>2.1880026735993301</v>
      </c>
      <c r="H26" s="3">
        <v>3.11400786497647</v>
      </c>
      <c r="I26" s="3">
        <v>4.1305235219082697</v>
      </c>
      <c r="J26" s="3">
        <v>2.1122738548261402</v>
      </c>
      <c r="K26" s="3">
        <v>1.9203564877104999</v>
      </c>
      <c r="L26" s="3">
        <v>3.4211257769024699</v>
      </c>
      <c r="M26" s="3">
        <v>3.3583711212901899</v>
      </c>
      <c r="N26" s="3">
        <v>3.3218555647814001</v>
      </c>
      <c r="O26" s="3">
        <v>1.7517691852878201</v>
      </c>
      <c r="P26" s="3">
        <v>3.0622465110038699</v>
      </c>
      <c r="Q26" s="3">
        <v>4.2771040276818901</v>
      </c>
      <c r="R26" s="3">
        <v>3.3775182783719599</v>
      </c>
      <c r="S26" s="3">
        <v>3.1758997286513502</v>
      </c>
      <c r="T26" s="3">
        <v>3.92978859124455</v>
      </c>
      <c r="U26" s="3">
        <v>2.6466695077705999</v>
      </c>
      <c r="V26" s="3">
        <v>4.7145951666497403</v>
      </c>
    </row>
    <row r="27" spans="1:22" x14ac:dyDescent="0.35">
      <c r="A27" s="2">
        <v>42474</v>
      </c>
      <c r="B27" s="3" t="e">
        <v>#N/A</v>
      </c>
      <c r="C27" s="3">
        <v>3.4885997659924399</v>
      </c>
      <c r="D27" s="3">
        <v>2.4246432047522002</v>
      </c>
      <c r="E27" s="3">
        <v>1.7565256030905501</v>
      </c>
      <c r="F27" s="3">
        <v>3.6132938747341998</v>
      </c>
      <c r="G27" s="3">
        <v>2.02243114150646</v>
      </c>
      <c r="H27" s="3">
        <v>3.0434435188001898</v>
      </c>
      <c r="I27" s="3">
        <v>4.2415151738210204</v>
      </c>
      <c r="J27" s="3">
        <v>2.0478765112016601</v>
      </c>
      <c r="K27" s="3">
        <v>1.89601171826371</v>
      </c>
      <c r="L27" s="3">
        <v>3.1200587065001502</v>
      </c>
      <c r="M27" s="3">
        <v>3.1925460837592201</v>
      </c>
      <c r="N27" s="3">
        <v>3.5224828220311002</v>
      </c>
      <c r="O27" s="3">
        <v>1.7246244546248699</v>
      </c>
      <c r="P27" s="3">
        <v>2.81193665676069</v>
      </c>
      <c r="Q27" s="3">
        <v>4.2440651973912402</v>
      </c>
      <c r="R27" s="3">
        <v>3.4246529365588998</v>
      </c>
      <c r="S27" s="3">
        <v>3.13736113126977</v>
      </c>
      <c r="T27" s="3">
        <v>3.8515806484552702</v>
      </c>
      <c r="U27" s="3">
        <v>3.13068132083546</v>
      </c>
      <c r="V27" s="3">
        <v>4.5306588349779897</v>
      </c>
    </row>
    <row r="28" spans="1:22" x14ac:dyDescent="0.35">
      <c r="A28" s="2">
        <v>42503</v>
      </c>
      <c r="B28" s="3" t="e">
        <v>#N/A</v>
      </c>
      <c r="C28" s="3">
        <v>3.2445431351598901</v>
      </c>
      <c r="D28" s="3">
        <v>2.4517144480932802</v>
      </c>
      <c r="E28" s="3">
        <v>1.7517300098160999</v>
      </c>
      <c r="F28" s="3">
        <v>3.8786677492592601</v>
      </c>
      <c r="G28" s="3">
        <v>1.7120306384817301</v>
      </c>
      <c r="H28" s="3">
        <v>3.2306864891846701</v>
      </c>
      <c r="I28" s="3">
        <v>4.5855852525091496</v>
      </c>
      <c r="J28" s="3">
        <v>2.0876162704133501</v>
      </c>
      <c r="K28" s="3">
        <v>1.99365186829439</v>
      </c>
      <c r="L28" s="3">
        <v>3.3982389085901898</v>
      </c>
      <c r="M28" s="3">
        <v>3.4230467280218502</v>
      </c>
      <c r="N28" s="3">
        <v>2.3319558596646401</v>
      </c>
      <c r="O28" s="3">
        <v>1.7071964838446401</v>
      </c>
      <c r="P28" s="3">
        <v>3.0998098919260801</v>
      </c>
      <c r="Q28" s="3">
        <v>4.3284472774667702</v>
      </c>
      <c r="R28" s="3">
        <v>3.4317554735637499</v>
      </c>
      <c r="S28" s="3">
        <v>3.4572479960789702</v>
      </c>
      <c r="T28" s="3">
        <v>4.1427063343308097</v>
      </c>
      <c r="U28" s="3">
        <v>3.1774433079309299</v>
      </c>
      <c r="V28" s="3">
        <v>4.1641123527941497</v>
      </c>
    </row>
    <row r="29" spans="1:22" x14ac:dyDescent="0.35">
      <c r="A29" s="2">
        <v>42535</v>
      </c>
      <c r="B29" s="3" t="e">
        <v>#N/A</v>
      </c>
      <c r="C29" s="3">
        <v>3.26350391299674</v>
      </c>
      <c r="D29" s="3">
        <v>2.39904127362361</v>
      </c>
      <c r="E29" s="3">
        <v>1.7207360874934099</v>
      </c>
      <c r="F29" s="3">
        <v>3.89517255444217</v>
      </c>
      <c r="G29" s="3">
        <v>1.8581104449884001</v>
      </c>
      <c r="H29" s="3">
        <v>3.1015116736212098</v>
      </c>
      <c r="I29" s="3">
        <v>4.2253514983343301</v>
      </c>
      <c r="J29" s="3">
        <v>2.1632141038477402</v>
      </c>
      <c r="K29" s="3">
        <v>1.9763100321907201</v>
      </c>
      <c r="L29" s="3">
        <v>3.5180610439681899</v>
      </c>
      <c r="M29" s="3">
        <v>3.23981498609376</v>
      </c>
      <c r="N29" s="3">
        <v>2.6654514393652202</v>
      </c>
      <c r="O29" s="3">
        <v>1.62540443534734</v>
      </c>
      <c r="P29" s="3">
        <v>2.6641289735132498</v>
      </c>
      <c r="Q29" s="3">
        <v>4.2849981740194796</v>
      </c>
      <c r="R29" s="3">
        <v>3.3352478655517199</v>
      </c>
      <c r="S29" s="3">
        <v>3.6158602389880299</v>
      </c>
      <c r="T29" s="3">
        <v>4.0068061919466604</v>
      </c>
      <c r="U29" s="3">
        <v>3.79805832420901</v>
      </c>
      <c r="V29" s="3">
        <v>4.0723837663096303</v>
      </c>
    </row>
    <row r="30" spans="1:22" x14ac:dyDescent="0.35">
      <c r="A30" s="2">
        <v>42565</v>
      </c>
      <c r="B30" s="3">
        <v>2.1809422916473502</v>
      </c>
      <c r="C30" s="3">
        <v>2.9307473649981102</v>
      </c>
      <c r="D30" s="3">
        <v>2.2447765646899098</v>
      </c>
      <c r="E30" s="3">
        <v>1.6429720830747001</v>
      </c>
      <c r="F30" s="3">
        <v>3.7136160221773902</v>
      </c>
      <c r="G30" s="3">
        <v>1.8485046448195399</v>
      </c>
      <c r="H30" s="3">
        <v>3.0196763874055401</v>
      </c>
      <c r="I30" s="3">
        <v>4.1206811128474001</v>
      </c>
      <c r="J30" s="3">
        <v>2.07037160318268</v>
      </c>
      <c r="K30" s="3">
        <v>1.9346716312849399</v>
      </c>
      <c r="L30" s="3">
        <v>3.0159457087400301</v>
      </c>
      <c r="M30" s="3">
        <v>3.0228408085160399</v>
      </c>
      <c r="N30" s="3">
        <v>2.9280750802815398</v>
      </c>
      <c r="O30" s="3">
        <v>1.54499737809849</v>
      </c>
      <c r="P30" s="3">
        <v>2.4830858120992598</v>
      </c>
      <c r="Q30" s="3">
        <v>4.0617070052211401</v>
      </c>
      <c r="R30" s="3">
        <v>3.2086972245351202</v>
      </c>
      <c r="S30" s="3">
        <v>3.3386392520077002</v>
      </c>
      <c r="T30" s="3">
        <v>3.83330721145852</v>
      </c>
      <c r="U30" s="3">
        <v>3.0921196209676101</v>
      </c>
      <c r="V30" s="3">
        <v>4.1753504527793401</v>
      </c>
    </row>
    <row r="31" spans="1:22" x14ac:dyDescent="0.35">
      <c r="A31" s="2">
        <v>42594</v>
      </c>
      <c r="B31" s="3">
        <v>2.2162970153138701</v>
      </c>
      <c r="C31" s="3">
        <v>2.8659393781570599</v>
      </c>
      <c r="D31" s="3">
        <v>2.15819790513306</v>
      </c>
      <c r="E31" s="3">
        <v>1.6031382658053599</v>
      </c>
      <c r="F31" s="3">
        <v>3.45405512664964</v>
      </c>
      <c r="G31" s="3">
        <v>1.61608409564137</v>
      </c>
      <c r="H31" s="3">
        <v>2.9486201794279001</v>
      </c>
      <c r="I31" s="3">
        <v>3.9943700277935998</v>
      </c>
      <c r="J31" s="3">
        <v>2.0126991932106599</v>
      </c>
      <c r="K31" s="3">
        <v>1.89227041553592</v>
      </c>
      <c r="L31" s="3">
        <v>3.0218915358060201</v>
      </c>
      <c r="M31" s="3">
        <v>2.9281737672966499</v>
      </c>
      <c r="N31" s="3">
        <v>2.9327346664160698</v>
      </c>
      <c r="O31" s="3">
        <v>1.5318306665916701</v>
      </c>
      <c r="P31" s="3">
        <v>2.3433926082352801</v>
      </c>
      <c r="Q31" s="3">
        <v>3.80029362800013</v>
      </c>
      <c r="R31" s="3">
        <v>3.08936402581512</v>
      </c>
      <c r="S31" s="3">
        <v>3.4189740821601702</v>
      </c>
      <c r="T31" s="3">
        <v>3.77743177030132</v>
      </c>
      <c r="U31" s="3">
        <v>3.0766616170288299</v>
      </c>
      <c r="V31" s="3">
        <v>4.4511971767344303</v>
      </c>
    </row>
    <row r="32" spans="1:22" x14ac:dyDescent="0.35">
      <c r="A32" s="2">
        <v>42627</v>
      </c>
      <c r="B32" s="3">
        <v>2.2596678906260199</v>
      </c>
      <c r="C32" s="3">
        <v>3.10462610469741</v>
      </c>
      <c r="D32" s="3">
        <v>2.3056104709212999</v>
      </c>
      <c r="E32" s="3">
        <v>1.68153922497004</v>
      </c>
      <c r="F32" s="3">
        <v>3.6600798328149899</v>
      </c>
      <c r="G32" s="3">
        <v>1.5248796285362101</v>
      </c>
      <c r="H32" s="3">
        <v>2.9641746953324302</v>
      </c>
      <c r="I32" s="3">
        <v>4.1911908869719401</v>
      </c>
      <c r="J32" s="3">
        <v>2.13537425167844</v>
      </c>
      <c r="K32" s="3">
        <v>1.9255838928167099</v>
      </c>
      <c r="L32" s="3">
        <v>3.1540996543361599</v>
      </c>
      <c r="M32" s="3">
        <v>3.0889956811666499</v>
      </c>
      <c r="N32" s="3">
        <v>3.3752516813501501</v>
      </c>
      <c r="O32" s="3">
        <v>1.53291856125277</v>
      </c>
      <c r="P32" s="3">
        <v>2.2840230144751299</v>
      </c>
      <c r="Q32" s="3">
        <v>3.8954450336950601</v>
      </c>
      <c r="R32" s="3">
        <v>3.3525737740087398</v>
      </c>
      <c r="S32" s="3">
        <v>3.5359425069646901</v>
      </c>
      <c r="T32" s="3">
        <v>3.7365617613305999</v>
      </c>
      <c r="U32" s="3">
        <v>3.1896535984426002</v>
      </c>
      <c r="V32" s="3">
        <v>4.6264260170696403</v>
      </c>
    </row>
    <row r="33" spans="1:22" x14ac:dyDescent="0.35">
      <c r="A33" s="2">
        <v>42657</v>
      </c>
      <c r="B33" s="3">
        <v>2.27834006643354</v>
      </c>
      <c r="C33" s="3">
        <v>2.7613436590475202</v>
      </c>
      <c r="D33" s="3">
        <v>2.2455777944861</v>
      </c>
      <c r="E33" s="3">
        <v>1.6939668416768301</v>
      </c>
      <c r="F33" s="3">
        <v>3.4939321400545502</v>
      </c>
      <c r="G33" s="3">
        <v>1.5996724190349201</v>
      </c>
      <c r="H33" s="3">
        <v>2.9602322922425399</v>
      </c>
      <c r="I33" s="3">
        <v>4.0338976239919102</v>
      </c>
      <c r="J33" s="3">
        <v>2.0952959133129698</v>
      </c>
      <c r="K33" s="3">
        <v>1.92378523373096</v>
      </c>
      <c r="L33" s="3">
        <v>2.9623467265306398</v>
      </c>
      <c r="M33" s="3">
        <v>3.2693924331396098</v>
      </c>
      <c r="N33" s="3">
        <v>2.96667025522828</v>
      </c>
      <c r="O33" s="3">
        <v>1.55965357511255</v>
      </c>
      <c r="P33" s="3">
        <v>2.2839489668437798</v>
      </c>
      <c r="Q33" s="3">
        <v>3.97615697320165</v>
      </c>
      <c r="R33" s="3">
        <v>3.3328870028134698</v>
      </c>
      <c r="S33" s="3">
        <v>3.6300730681972802</v>
      </c>
      <c r="T33" s="3">
        <v>3.7066734051833601</v>
      </c>
      <c r="U33" s="3">
        <v>2.5863735008703399</v>
      </c>
      <c r="V33" s="3">
        <v>4.91240106495622</v>
      </c>
    </row>
    <row r="34" spans="1:22" x14ac:dyDescent="0.35">
      <c r="A34" s="2">
        <v>42688</v>
      </c>
      <c r="B34" s="3">
        <v>2.2227711404784598</v>
      </c>
      <c r="C34" s="3">
        <v>2.7642160259229001</v>
      </c>
      <c r="D34" s="3">
        <v>2.48377732661779</v>
      </c>
      <c r="E34" s="3">
        <v>1.80710848201868</v>
      </c>
      <c r="F34" s="3">
        <v>3.4822381161136899</v>
      </c>
      <c r="G34" s="3">
        <v>1.9062766821405499</v>
      </c>
      <c r="H34" s="3">
        <v>3.0673311530692899</v>
      </c>
      <c r="I34" s="3">
        <v>4.2456314407400599</v>
      </c>
      <c r="J34" s="3">
        <v>2.2891897475866001</v>
      </c>
      <c r="K34" s="3">
        <v>1.99935890495358</v>
      </c>
      <c r="L34" s="3">
        <v>3.19291994945229</v>
      </c>
      <c r="M34" s="3">
        <v>3.4710361214702599</v>
      </c>
      <c r="N34" s="3">
        <v>3.0635876318845598</v>
      </c>
      <c r="O34" s="3">
        <v>1.67546427184686</v>
      </c>
      <c r="P34" s="3">
        <v>2.4025239561092602</v>
      </c>
      <c r="Q34" s="3">
        <v>4.1498897870195002</v>
      </c>
      <c r="R34" s="3">
        <v>3.3406796692993601</v>
      </c>
      <c r="S34" s="3">
        <v>3.75689043793259</v>
      </c>
      <c r="T34" s="3">
        <v>3.9979633227472902</v>
      </c>
      <c r="U34" s="3">
        <v>2.7109847863395502</v>
      </c>
      <c r="V34" s="3">
        <v>4.2008646913524501</v>
      </c>
    </row>
    <row r="35" spans="1:22" x14ac:dyDescent="0.35">
      <c r="A35" s="2">
        <v>42718</v>
      </c>
      <c r="B35" s="3">
        <v>2.25616135035053</v>
      </c>
      <c r="C35" s="3">
        <v>2.8068934636207699</v>
      </c>
      <c r="D35" s="3">
        <v>2.4548025749402802</v>
      </c>
      <c r="E35" s="3">
        <v>1.7368706803332901</v>
      </c>
      <c r="F35" s="3">
        <v>3.1125819785715998</v>
      </c>
      <c r="G35" s="3">
        <v>2.1614618640261001</v>
      </c>
      <c r="H35" s="3">
        <v>3.0039265291346799</v>
      </c>
      <c r="I35" s="3">
        <v>4.1382859378234897</v>
      </c>
      <c r="J35" s="3">
        <v>2.32576393482951</v>
      </c>
      <c r="K35" s="3">
        <v>1.94521368203287</v>
      </c>
      <c r="L35" s="3">
        <v>3.5971249084706001</v>
      </c>
      <c r="M35" s="3">
        <v>3.2826143287320302</v>
      </c>
      <c r="N35" s="3">
        <v>2.82380844455531</v>
      </c>
      <c r="O35" s="3">
        <v>1.6717547994167199</v>
      </c>
      <c r="P35" s="3">
        <v>2.3660569624680599</v>
      </c>
      <c r="Q35" s="3">
        <v>3.9103557403346101</v>
      </c>
      <c r="R35" s="3">
        <v>3.2554928041689801</v>
      </c>
      <c r="S35" s="3">
        <v>3.8186146257015698</v>
      </c>
      <c r="T35" s="3">
        <v>4.0879683743328696</v>
      </c>
      <c r="U35" s="3">
        <v>2.9738171875000501</v>
      </c>
      <c r="V35" s="3">
        <v>3.8109582149939998</v>
      </c>
    </row>
    <row r="36" spans="1:22" x14ac:dyDescent="0.35">
      <c r="A36" s="2">
        <v>42748</v>
      </c>
      <c r="B36" s="3">
        <v>2.31455827056313</v>
      </c>
      <c r="C36" s="3">
        <v>2.93080782379569</v>
      </c>
      <c r="D36" s="3">
        <v>2.4481731919784702</v>
      </c>
      <c r="E36" s="3">
        <v>1.65894247901503</v>
      </c>
      <c r="F36" s="3">
        <v>2.8854178635247001</v>
      </c>
      <c r="G36" s="3">
        <v>2.1650369764027801</v>
      </c>
      <c r="H36" s="3">
        <v>3.0154404944045399</v>
      </c>
      <c r="I36" s="3">
        <v>4.1738725797711602</v>
      </c>
      <c r="J36" s="3">
        <v>2.3792106388680301</v>
      </c>
      <c r="K36" s="3">
        <v>1.94824295220032</v>
      </c>
      <c r="L36" s="3">
        <v>3.3745718223588601</v>
      </c>
      <c r="M36" s="3">
        <v>3.1422971419157499</v>
      </c>
      <c r="N36" s="3">
        <v>2.8994059522425601</v>
      </c>
      <c r="O36" s="3">
        <v>1.6559861041473301</v>
      </c>
      <c r="P36" s="3">
        <v>2.3355061875548602</v>
      </c>
      <c r="Q36" s="3">
        <v>3.7429454229111698</v>
      </c>
      <c r="R36" s="3">
        <v>3.1455104838656598</v>
      </c>
      <c r="S36" s="3">
        <v>3.68967970894305</v>
      </c>
      <c r="T36" s="3">
        <v>3.9558115514296301</v>
      </c>
      <c r="U36" s="3">
        <v>2.85474868195764</v>
      </c>
      <c r="V36" s="3">
        <v>3.8619665795369502</v>
      </c>
    </row>
    <row r="37" spans="1:22" x14ac:dyDescent="0.35">
      <c r="A37" s="2">
        <v>42780</v>
      </c>
      <c r="B37" s="3">
        <v>2.3126980469434</v>
      </c>
      <c r="C37" s="3">
        <v>2.76588884529927</v>
      </c>
      <c r="D37" s="3">
        <v>2.42652457716125</v>
      </c>
      <c r="E37" s="3">
        <v>1.65093889248938</v>
      </c>
      <c r="F37" s="3">
        <v>2.6087696642970699</v>
      </c>
      <c r="G37" s="3">
        <v>1.9567215789858201</v>
      </c>
      <c r="H37" s="3">
        <v>2.9619314215174901</v>
      </c>
      <c r="I37" s="3">
        <v>4.0825482348675202</v>
      </c>
      <c r="J37" s="3">
        <v>2.3605892150744401</v>
      </c>
      <c r="K37" s="3">
        <v>1.9416793929085501</v>
      </c>
      <c r="L37" s="3">
        <v>3.3202585185938198</v>
      </c>
      <c r="M37" s="3">
        <v>3.1603306642827498</v>
      </c>
      <c r="N37" s="3">
        <v>3.0562899356639002</v>
      </c>
      <c r="O37" s="3">
        <v>1.6046014366382</v>
      </c>
      <c r="P37" s="3">
        <v>2.25606318839385</v>
      </c>
      <c r="Q37" s="3">
        <v>3.7793240431817301</v>
      </c>
      <c r="R37" s="3">
        <v>3.1316366721300799</v>
      </c>
      <c r="S37" s="3">
        <v>3.5230025966026002</v>
      </c>
      <c r="T37" s="3">
        <v>4.0830634928556</v>
      </c>
      <c r="U37" s="3">
        <v>3.05652499858479</v>
      </c>
      <c r="V37" s="3">
        <v>3.7808579332262102</v>
      </c>
    </row>
    <row r="38" spans="1:22" x14ac:dyDescent="0.35">
      <c r="A38" s="2">
        <v>42808</v>
      </c>
      <c r="B38" s="3">
        <v>2.3082436092224898</v>
      </c>
      <c r="C38" s="3">
        <v>2.75290276218854</v>
      </c>
      <c r="D38" s="3">
        <v>2.4877418493300198</v>
      </c>
      <c r="E38" s="3">
        <v>1.6579171728925099</v>
      </c>
      <c r="F38" s="3">
        <v>2.4276767489340401</v>
      </c>
      <c r="G38" s="3">
        <v>2.2245954899702798</v>
      </c>
      <c r="H38" s="3">
        <v>2.9894553251592599</v>
      </c>
      <c r="I38" s="3">
        <v>4.1521221084603797</v>
      </c>
      <c r="J38" s="3">
        <v>2.4620010768718701</v>
      </c>
      <c r="K38" s="3">
        <v>1.88446976411712</v>
      </c>
      <c r="L38" s="3">
        <v>3.6016701687817601</v>
      </c>
      <c r="M38" s="3">
        <v>3.1897585302248102</v>
      </c>
      <c r="N38" s="3">
        <v>2.98568079672089</v>
      </c>
      <c r="O38" s="3">
        <v>1.5587585363920899</v>
      </c>
      <c r="P38" s="3">
        <v>2.23881502092829</v>
      </c>
      <c r="Q38" s="3">
        <v>3.94679629127313</v>
      </c>
      <c r="R38" s="3">
        <v>3.1948662368300802</v>
      </c>
      <c r="S38" s="3">
        <v>3.5584990778602199</v>
      </c>
      <c r="T38" s="3">
        <v>4.1251609158953704</v>
      </c>
      <c r="U38" s="3">
        <v>3.2251336441908798</v>
      </c>
      <c r="V38" s="3">
        <v>3.9724597471387399</v>
      </c>
    </row>
    <row r="39" spans="1:22" x14ac:dyDescent="0.35">
      <c r="A39" s="2">
        <v>42838</v>
      </c>
      <c r="B39" s="3">
        <v>2.23839695655606</v>
      </c>
      <c r="C39" s="3">
        <v>2.4258161601401498</v>
      </c>
      <c r="D39" s="3">
        <v>2.43414026709788</v>
      </c>
      <c r="E39" s="3">
        <v>1.5884096896683499</v>
      </c>
      <c r="F39" s="3">
        <v>2.53129545560504</v>
      </c>
      <c r="G39" s="3">
        <v>2.0699131681141298</v>
      </c>
      <c r="H39" s="3">
        <v>2.9926035042150501</v>
      </c>
      <c r="I39" s="3">
        <v>4.1155596358289301</v>
      </c>
      <c r="J39" s="3">
        <v>2.3916063038226798</v>
      </c>
      <c r="K39" s="3">
        <v>1.93029248743443</v>
      </c>
      <c r="L39" s="3">
        <v>3.75195816310868</v>
      </c>
      <c r="M39" s="3">
        <v>3.1032920129497299</v>
      </c>
      <c r="N39" s="3">
        <v>2.6163879157621599</v>
      </c>
      <c r="O39" s="3">
        <v>1.5666956553532501</v>
      </c>
      <c r="P39" s="3">
        <v>2.2903719553520001</v>
      </c>
      <c r="Q39" s="3">
        <v>3.8437668640960898</v>
      </c>
      <c r="R39" s="3">
        <v>3.1011646434193998</v>
      </c>
      <c r="S39" s="3">
        <v>3.6567843011117498</v>
      </c>
      <c r="T39" s="3">
        <v>4.0239923137482903</v>
      </c>
      <c r="U39" s="3">
        <v>2.6187144316171298</v>
      </c>
      <c r="V39" s="3">
        <v>3.9619949313345701</v>
      </c>
    </row>
    <row r="40" spans="1:22" x14ac:dyDescent="0.35">
      <c r="A40" s="2">
        <v>42867</v>
      </c>
      <c r="B40" s="3">
        <v>2.2684845836057699</v>
      </c>
      <c r="C40" s="3">
        <v>2.47331107811701</v>
      </c>
      <c r="D40" s="3">
        <v>2.4887438750384301</v>
      </c>
      <c r="E40" s="3">
        <v>1.55123049851669</v>
      </c>
      <c r="F40" s="3">
        <v>2.4483514398951498</v>
      </c>
      <c r="G40" s="3">
        <v>2.1352555270462998</v>
      </c>
      <c r="H40" s="3">
        <v>2.9381099839840501</v>
      </c>
      <c r="I40" s="3">
        <v>4.07283398201632</v>
      </c>
      <c r="J40" s="3">
        <v>2.4204023194083799</v>
      </c>
      <c r="K40" s="3">
        <v>1.82743434348034</v>
      </c>
      <c r="L40" s="3">
        <v>3.4742678377029899</v>
      </c>
      <c r="M40" s="3">
        <v>3.04664051568232</v>
      </c>
      <c r="N40" s="3">
        <v>2.5567552488069301</v>
      </c>
      <c r="O40" s="3">
        <v>1.55411992462682</v>
      </c>
      <c r="P40" s="3">
        <v>2.2208994014029702</v>
      </c>
      <c r="Q40" s="3">
        <v>3.8832777058389101</v>
      </c>
      <c r="R40" s="3">
        <v>3.2195386295072099</v>
      </c>
      <c r="S40" s="3">
        <v>3.68729271935752</v>
      </c>
      <c r="T40" s="3">
        <v>3.8680373142187698</v>
      </c>
      <c r="U40" s="3">
        <v>2.4764821061079401</v>
      </c>
      <c r="V40" s="3">
        <v>4.1036834157404902</v>
      </c>
    </row>
    <row r="41" spans="1:22" x14ac:dyDescent="0.35">
      <c r="A41" s="2">
        <v>42900</v>
      </c>
      <c r="B41" s="3">
        <v>2.1478500533634</v>
      </c>
      <c r="C41" s="3">
        <v>2.6211774242119299</v>
      </c>
      <c r="D41" s="3">
        <v>2.4998622862176898</v>
      </c>
      <c r="E41" s="3">
        <v>1.5445112397298499</v>
      </c>
      <c r="F41" s="3">
        <v>2.5034938645600202</v>
      </c>
      <c r="G41" s="3">
        <v>2.2787094941922899</v>
      </c>
      <c r="H41" s="3">
        <v>2.9854247795744899</v>
      </c>
      <c r="I41" s="3">
        <v>4.0836082805705596</v>
      </c>
      <c r="J41" s="3">
        <v>2.46599823646183</v>
      </c>
      <c r="K41" s="3">
        <v>1.7660133222221599</v>
      </c>
      <c r="L41" s="3">
        <v>3.6808771531237401</v>
      </c>
      <c r="M41" s="3">
        <v>3.3923724467443601</v>
      </c>
      <c r="N41" s="3">
        <v>2.7257019696748901</v>
      </c>
      <c r="O41" s="3">
        <v>1.60780577713089</v>
      </c>
      <c r="P41" s="3">
        <v>2.17587384102616</v>
      </c>
      <c r="Q41" s="3">
        <v>4.3443456199358401</v>
      </c>
      <c r="R41" s="3">
        <v>3.1966687737639998</v>
      </c>
      <c r="S41" s="3">
        <v>3.5813349834414598</v>
      </c>
      <c r="T41" s="3">
        <v>4.0454812170464098</v>
      </c>
      <c r="U41" s="3">
        <v>2.0144222565160002</v>
      </c>
      <c r="V41" s="3">
        <v>3.9677971099746498</v>
      </c>
    </row>
    <row r="42" spans="1:22" x14ac:dyDescent="0.35">
      <c r="A42" s="2">
        <v>42930</v>
      </c>
      <c r="B42" s="3">
        <v>2.13023081138495</v>
      </c>
      <c r="C42" s="3">
        <v>2.5875813611329899</v>
      </c>
      <c r="D42" s="3">
        <v>2.54000183225974</v>
      </c>
      <c r="E42" s="3">
        <v>1.5700552087167601</v>
      </c>
      <c r="F42" s="3">
        <v>2.4215046591663101</v>
      </c>
      <c r="G42" s="3">
        <v>2.2513380267872498</v>
      </c>
      <c r="H42" s="3">
        <v>3.0566171142271701</v>
      </c>
      <c r="I42" s="3">
        <v>3.9684929383427101</v>
      </c>
      <c r="J42" s="3">
        <v>2.3801519400787101</v>
      </c>
      <c r="K42" s="3">
        <v>1.74704104827227</v>
      </c>
      <c r="L42" s="3">
        <v>3.4986923672552002</v>
      </c>
      <c r="M42" s="3">
        <v>3.2405277366159901</v>
      </c>
      <c r="N42" s="3">
        <v>2.4162767154998499</v>
      </c>
      <c r="O42" s="3">
        <v>1.56499121677194</v>
      </c>
      <c r="P42" s="3">
        <v>2.1377037935357301</v>
      </c>
      <c r="Q42" s="3">
        <v>4.2058240946931296</v>
      </c>
      <c r="R42" s="3">
        <v>3.25066636014345</v>
      </c>
      <c r="S42" s="3">
        <v>3.51685947085946</v>
      </c>
      <c r="T42" s="3">
        <v>3.9539222481879199</v>
      </c>
      <c r="U42" s="3">
        <v>1.75496533499784</v>
      </c>
      <c r="V42" s="3">
        <v>3.6941348564316701</v>
      </c>
    </row>
    <row r="43" spans="1:22" x14ac:dyDescent="0.35">
      <c r="A43" s="2">
        <v>42961</v>
      </c>
      <c r="B43" s="3">
        <v>2.2088094239386402</v>
      </c>
      <c r="C43" s="3">
        <v>2.6181495775588002</v>
      </c>
      <c r="D43" s="3">
        <v>2.5592531993767502</v>
      </c>
      <c r="E43" s="3">
        <v>1.5677424514932199</v>
      </c>
      <c r="F43" s="3">
        <v>2.4028565946937901</v>
      </c>
      <c r="G43" s="3">
        <v>2.2853614894787602</v>
      </c>
      <c r="H43" s="3">
        <v>3.04281918194242</v>
      </c>
      <c r="I43" s="3">
        <v>4.0676894058766599</v>
      </c>
      <c r="J43" s="3">
        <v>2.3673583288128901</v>
      </c>
      <c r="K43" s="3">
        <v>1.8542798047909601</v>
      </c>
      <c r="L43" s="3">
        <v>3.3776308331633502</v>
      </c>
      <c r="M43" s="3">
        <v>3.1925856504735401</v>
      </c>
      <c r="N43" s="3">
        <v>2.57235747239553</v>
      </c>
      <c r="O43" s="3">
        <v>1.5598621626548399</v>
      </c>
      <c r="P43" s="3">
        <v>2.1581563337448402</v>
      </c>
      <c r="Q43" s="3">
        <v>4.2182291829658398</v>
      </c>
      <c r="R43" s="3">
        <v>3.2636332049495498</v>
      </c>
      <c r="S43" s="3">
        <v>3.6939840826991999</v>
      </c>
      <c r="T43" s="3">
        <v>3.9534369241583698</v>
      </c>
      <c r="U43" s="3">
        <v>1.756433583807</v>
      </c>
      <c r="V43" s="3">
        <v>3.8153067345896998</v>
      </c>
    </row>
    <row r="44" spans="1:22" x14ac:dyDescent="0.35">
      <c r="A44" s="2">
        <v>42992</v>
      </c>
      <c r="B44" s="3">
        <v>2.1415959889884402</v>
      </c>
      <c r="C44" s="3">
        <v>2.4698745851792401</v>
      </c>
      <c r="D44" s="3">
        <v>2.59318614094459</v>
      </c>
      <c r="E44" s="3">
        <v>1.5252436901477</v>
      </c>
      <c r="F44" s="3">
        <v>2.5905944990406802</v>
      </c>
      <c r="G44" s="3">
        <v>2.1412497204841401</v>
      </c>
      <c r="H44" s="3">
        <v>3.0123130235845199</v>
      </c>
      <c r="I44" s="3">
        <v>4.05367844740982</v>
      </c>
      <c r="J44" s="3">
        <v>2.4732366286549099</v>
      </c>
      <c r="K44" s="3">
        <v>1.8224411284509701</v>
      </c>
      <c r="L44" s="3">
        <v>3.1495512402910002</v>
      </c>
      <c r="M44" s="3">
        <v>3.30521216614033</v>
      </c>
      <c r="N44" s="3">
        <v>2.7251865432225402</v>
      </c>
      <c r="O44" s="3">
        <v>1.5152549965659301</v>
      </c>
      <c r="P44" s="3">
        <v>2.11415637350057</v>
      </c>
      <c r="Q44" s="3">
        <v>4.7120123071000499</v>
      </c>
      <c r="R44" s="3">
        <v>3.0262263930374802</v>
      </c>
      <c r="S44" s="3">
        <v>3.8902880087245002</v>
      </c>
      <c r="T44" s="3">
        <v>4.0866467412694298</v>
      </c>
      <c r="U44" s="3">
        <v>1.7246481356562</v>
      </c>
      <c r="V44" s="3">
        <v>4.2247409209600697</v>
      </c>
    </row>
    <row r="45" spans="1:22" x14ac:dyDescent="0.35">
      <c r="A45" s="2">
        <v>43021</v>
      </c>
      <c r="B45" s="3">
        <v>2.1404227051790401</v>
      </c>
      <c r="C45" s="3">
        <v>2.8685136964114002</v>
      </c>
      <c r="D45" s="3">
        <v>2.5468382409985302</v>
      </c>
      <c r="E45" s="3">
        <v>1.4364488007915299</v>
      </c>
      <c r="F45" s="3">
        <v>2.4560412810944601</v>
      </c>
      <c r="G45" s="3">
        <v>2.2090505878155802</v>
      </c>
      <c r="H45" s="3">
        <v>3.09464252681077</v>
      </c>
      <c r="I45" s="3">
        <v>4.0036157164345703</v>
      </c>
      <c r="J45" s="3">
        <v>2.47324139836795</v>
      </c>
      <c r="K45" s="3">
        <v>1.7282852484047999</v>
      </c>
      <c r="L45" s="3">
        <v>3.1185647501530802</v>
      </c>
      <c r="M45" s="3">
        <v>3.2149250836202099</v>
      </c>
      <c r="N45" s="3">
        <v>2.8070945750013401</v>
      </c>
      <c r="O45" s="3">
        <v>1.52580713078238</v>
      </c>
      <c r="P45" s="3">
        <v>2.0640783141783401</v>
      </c>
      <c r="Q45" s="3">
        <v>4.6612410388302203</v>
      </c>
      <c r="R45" s="3">
        <v>2.9776338884167299</v>
      </c>
      <c r="S45" s="3">
        <v>4.1498314336573001</v>
      </c>
      <c r="T45" s="3">
        <v>4.1669014791431804</v>
      </c>
      <c r="U45" s="3">
        <v>1.8675069105781401</v>
      </c>
      <c r="V45" s="3">
        <v>4.39793037652748</v>
      </c>
    </row>
    <row r="46" spans="1:22" x14ac:dyDescent="0.35">
      <c r="A46" s="2">
        <v>43053</v>
      </c>
      <c r="B46" s="3">
        <v>2.0769695150955099</v>
      </c>
      <c r="C46" s="3">
        <v>2.9619366474525402</v>
      </c>
      <c r="D46" s="3">
        <v>2.6383865760752201</v>
      </c>
      <c r="E46" s="3">
        <v>1.4764220196308699</v>
      </c>
      <c r="F46" s="3">
        <v>2.4380495986700299</v>
      </c>
      <c r="G46" s="3">
        <v>2.7111771141110301</v>
      </c>
      <c r="H46" s="3">
        <v>3.24495080758307</v>
      </c>
      <c r="I46" s="3">
        <v>4.0533751560979203</v>
      </c>
      <c r="J46" s="3">
        <v>2.56737275217308</v>
      </c>
      <c r="K46" s="3">
        <v>1.96860387096641</v>
      </c>
      <c r="L46" s="3">
        <v>3.5112099395787801</v>
      </c>
      <c r="M46" s="3">
        <v>3.2291231387703498</v>
      </c>
      <c r="N46" s="3">
        <v>3.1340186012842199</v>
      </c>
      <c r="O46" s="3">
        <v>1.5436556224904301</v>
      </c>
      <c r="P46" s="3">
        <v>2.02814381949957</v>
      </c>
      <c r="Q46" s="3">
        <v>4.6148718772980999</v>
      </c>
      <c r="R46" s="3">
        <v>3.0244824916401001</v>
      </c>
      <c r="S46" s="3">
        <v>4.1382797054011498</v>
      </c>
      <c r="T46" s="3">
        <v>4.3955860983108801</v>
      </c>
      <c r="U46" s="3">
        <v>2.03314087749518</v>
      </c>
      <c r="V46" s="3">
        <v>4.3329002807616899</v>
      </c>
    </row>
    <row r="47" spans="1:22" x14ac:dyDescent="0.35">
      <c r="A47" s="2">
        <v>43083</v>
      </c>
      <c r="B47" s="3">
        <v>2.1965893013985598</v>
      </c>
      <c r="C47" s="3">
        <v>3.2082517265434798</v>
      </c>
      <c r="D47" s="3">
        <v>2.5997684393933298</v>
      </c>
      <c r="E47" s="3">
        <v>1.55281945969447</v>
      </c>
      <c r="F47" s="3">
        <v>2.8197315466237201</v>
      </c>
      <c r="G47" s="3">
        <v>2.9504199034024601</v>
      </c>
      <c r="H47" s="3">
        <v>3.2277863188687901</v>
      </c>
      <c r="I47" s="3">
        <v>4.1850811732980402</v>
      </c>
      <c r="J47" s="3">
        <v>2.5242079926096301</v>
      </c>
      <c r="K47" s="3">
        <v>2.0514734088738198</v>
      </c>
      <c r="L47" s="3">
        <v>3.6348097406200099</v>
      </c>
      <c r="M47" s="3">
        <v>3.51797598888915</v>
      </c>
      <c r="N47" s="3">
        <v>2.70655641052157</v>
      </c>
      <c r="O47" s="3">
        <v>1.5439396002808401</v>
      </c>
      <c r="P47" s="3">
        <v>2.0927014691178298</v>
      </c>
      <c r="Q47" s="3">
        <v>4.4602827236725497</v>
      </c>
      <c r="R47" s="3">
        <v>3.0434675685334498</v>
      </c>
      <c r="S47" s="3">
        <v>4.2223621023684599</v>
      </c>
      <c r="T47" s="3">
        <v>4.5760734983020699</v>
      </c>
      <c r="U47" s="3">
        <v>1.8160174950394401</v>
      </c>
      <c r="V47" s="3">
        <v>4.3466760457676399</v>
      </c>
    </row>
    <row r="48" spans="1:22" x14ac:dyDescent="0.35">
      <c r="A48" s="2">
        <v>43112</v>
      </c>
      <c r="B48" s="3">
        <v>2.1120890605799798</v>
      </c>
      <c r="C48" s="3">
        <v>2.80589035597438</v>
      </c>
      <c r="D48" s="3">
        <v>2.51214813977289</v>
      </c>
      <c r="E48" s="3">
        <v>1.53550079769237</v>
      </c>
      <c r="F48" s="3">
        <v>2.76722423764499</v>
      </c>
      <c r="G48" s="3">
        <v>2.5946575472006699</v>
      </c>
      <c r="H48" s="3">
        <v>3.1081863646540402</v>
      </c>
      <c r="I48" s="3">
        <v>4.1380978877114298</v>
      </c>
      <c r="J48" s="3">
        <v>2.5006082998027699</v>
      </c>
      <c r="K48" s="3">
        <v>2.01784460328874</v>
      </c>
      <c r="L48" s="3">
        <v>3.3358513582382301</v>
      </c>
      <c r="M48" s="3">
        <v>3.3791591641218099</v>
      </c>
      <c r="N48" s="3">
        <v>2.4892084693442502</v>
      </c>
      <c r="O48" s="3">
        <v>1.4786918164823699</v>
      </c>
      <c r="P48" s="3">
        <v>1.9740853965646099</v>
      </c>
      <c r="Q48" s="3">
        <v>4.0198743642397696</v>
      </c>
      <c r="R48" s="3">
        <v>2.8941125356675799</v>
      </c>
      <c r="S48" s="3">
        <v>4.1130226391121898</v>
      </c>
      <c r="T48" s="3">
        <v>4.3153413270410299</v>
      </c>
      <c r="U48" s="3">
        <v>1.5675060628794799</v>
      </c>
      <c r="V48" s="3">
        <v>4.2904275663311502</v>
      </c>
    </row>
    <row r="49" spans="1:22" x14ac:dyDescent="0.35">
      <c r="A49" s="2">
        <v>43145</v>
      </c>
      <c r="B49" s="3">
        <v>2.3211053144105498</v>
      </c>
      <c r="C49" s="3">
        <v>3.0296262930757298</v>
      </c>
      <c r="D49" s="3">
        <v>2.46698623207253</v>
      </c>
      <c r="E49" s="3">
        <v>1.5534684586557701</v>
      </c>
      <c r="F49" s="3">
        <v>2.9496890630462498</v>
      </c>
      <c r="G49" s="3">
        <v>2.5252518330096798</v>
      </c>
      <c r="H49" s="3">
        <v>3.1333522789040402</v>
      </c>
      <c r="I49" s="3">
        <v>4.3076716605479399</v>
      </c>
      <c r="J49" s="3">
        <v>2.5947835576308802</v>
      </c>
      <c r="K49" s="3">
        <v>2.1458740962327298</v>
      </c>
      <c r="L49" s="3">
        <v>3.3936281614655401</v>
      </c>
      <c r="M49" s="3">
        <v>3.4048235639743201</v>
      </c>
      <c r="N49" s="3">
        <v>2.7401149987897302</v>
      </c>
      <c r="O49" s="3">
        <v>1.5530933710853001</v>
      </c>
      <c r="P49" s="3">
        <v>2.1187635723648901</v>
      </c>
      <c r="Q49" s="3">
        <v>4.5240025193674498</v>
      </c>
      <c r="R49" s="3">
        <v>2.9787057826830501</v>
      </c>
      <c r="S49" s="3">
        <v>4.2702201532930797</v>
      </c>
      <c r="T49" s="3">
        <v>4.3469983209686198</v>
      </c>
      <c r="U49" s="3">
        <v>1.8266235472843999</v>
      </c>
      <c r="V49" s="3">
        <v>4.2778799212932901</v>
      </c>
    </row>
    <row r="50" spans="1:22" x14ac:dyDescent="0.35">
      <c r="A50" s="2">
        <v>43173</v>
      </c>
      <c r="B50" s="3">
        <v>2.2841650634173898</v>
      </c>
      <c r="C50" s="3">
        <v>3.1853686563417498</v>
      </c>
      <c r="D50" s="3">
        <v>2.6110033550421599</v>
      </c>
      <c r="E50" s="3">
        <v>1.59073742189264</v>
      </c>
      <c r="F50" s="3">
        <v>2.9898693285601601</v>
      </c>
      <c r="G50" s="3">
        <v>2.19561403872006</v>
      </c>
      <c r="H50" s="3">
        <v>3.1917127718300402</v>
      </c>
      <c r="I50" s="3">
        <v>4.1299600078264103</v>
      </c>
      <c r="J50" s="3">
        <v>2.57310566735269</v>
      </c>
      <c r="K50" s="3">
        <v>2.1556574866292899</v>
      </c>
      <c r="L50" s="3">
        <v>3.40273936587672</v>
      </c>
      <c r="M50" s="3">
        <v>3.2140892983007099</v>
      </c>
      <c r="N50" s="3">
        <v>3.1036445534907999</v>
      </c>
      <c r="O50" s="3">
        <v>1.56640018505552</v>
      </c>
      <c r="P50" s="3">
        <v>2.0762453137817301</v>
      </c>
      <c r="Q50" s="3">
        <v>4.8738433586679397</v>
      </c>
      <c r="R50" s="3">
        <v>2.9866085270895302</v>
      </c>
      <c r="S50" s="3">
        <v>4.3044813345169901</v>
      </c>
      <c r="T50" s="3">
        <v>4.52314263972987</v>
      </c>
      <c r="U50" s="3">
        <v>1.6607685201482201</v>
      </c>
      <c r="V50" s="3">
        <v>3.99623413579021</v>
      </c>
    </row>
    <row r="51" spans="1:22" x14ac:dyDescent="0.35">
      <c r="A51" s="2">
        <v>43203</v>
      </c>
      <c r="B51" s="3">
        <v>2.4645969264269199</v>
      </c>
      <c r="C51" s="3">
        <v>3.11349310362051</v>
      </c>
      <c r="D51" s="3">
        <v>2.6812356426141002</v>
      </c>
      <c r="E51" s="3">
        <v>1.7064504456016001</v>
      </c>
      <c r="F51" s="3">
        <v>3.0327481211499601</v>
      </c>
      <c r="G51" s="3">
        <v>2.10956252880964</v>
      </c>
      <c r="H51" s="3">
        <v>3.1728621927866998</v>
      </c>
      <c r="I51" s="3">
        <v>4.1689830386798503</v>
      </c>
      <c r="J51" s="3">
        <v>2.5914394362736899</v>
      </c>
      <c r="K51" s="3">
        <v>2.21752916992962</v>
      </c>
      <c r="L51" s="3">
        <v>3.6249278456540401</v>
      </c>
      <c r="M51" s="3">
        <v>3.3317000736003899</v>
      </c>
      <c r="N51" s="3">
        <v>3.13263021003849</v>
      </c>
      <c r="O51" s="3">
        <v>1.6020167365118101</v>
      </c>
      <c r="P51" s="3">
        <v>2.29252650851017</v>
      </c>
      <c r="Q51" s="3">
        <v>4.79327844220205</v>
      </c>
      <c r="R51" s="3">
        <v>3.0779396676142601</v>
      </c>
      <c r="S51" s="3">
        <v>4.8429845604280501</v>
      </c>
      <c r="T51" s="3">
        <v>4.77649621562799</v>
      </c>
      <c r="U51" s="3">
        <v>1.86990245151366</v>
      </c>
      <c r="V51" s="3">
        <v>3.9441942330973698</v>
      </c>
    </row>
    <row r="52" spans="1:22" x14ac:dyDescent="0.35">
      <c r="A52" s="2">
        <v>43234</v>
      </c>
      <c r="B52" s="3">
        <v>2.6346848946827999</v>
      </c>
      <c r="C52" s="3">
        <v>3.2227768379891399</v>
      </c>
      <c r="D52" s="3">
        <v>2.9631554465904402</v>
      </c>
      <c r="E52" s="3">
        <v>1.7310905673205299</v>
      </c>
      <c r="F52" s="3">
        <v>2.96848038393775</v>
      </c>
      <c r="G52" s="3">
        <v>4.7720403007453198</v>
      </c>
      <c r="H52" s="3">
        <v>3.21338518080552</v>
      </c>
      <c r="I52" s="3">
        <v>4.2733812710806696</v>
      </c>
      <c r="J52" s="3">
        <v>2.8878023536826101</v>
      </c>
      <c r="K52" s="3">
        <v>2.22771442582204</v>
      </c>
      <c r="L52" s="3">
        <v>3.72276127879771</v>
      </c>
      <c r="M52" s="3">
        <v>3.28303185747819</v>
      </c>
      <c r="N52" s="3">
        <v>3.0992887216771901</v>
      </c>
      <c r="O52" s="3">
        <v>1.6158462943593299</v>
      </c>
      <c r="P52" s="3">
        <v>2.2195502592729399</v>
      </c>
      <c r="Q52" s="3">
        <v>4.7706644726924097</v>
      </c>
      <c r="R52" s="3">
        <v>3.0724661520910401</v>
      </c>
      <c r="S52" s="3">
        <v>5.1700088107151601</v>
      </c>
      <c r="T52" s="3">
        <v>4.96684108933992</v>
      </c>
      <c r="U52" s="3" t="e">
        <v>#N/A</v>
      </c>
      <c r="V52" s="3">
        <v>3.8351928696026301</v>
      </c>
    </row>
    <row r="53" spans="1:22" x14ac:dyDescent="0.35">
      <c r="A53" s="2">
        <v>43265</v>
      </c>
      <c r="B53" s="3">
        <v>2.73542947249878</v>
      </c>
      <c r="C53" s="3">
        <v>3.19676549123455</v>
      </c>
      <c r="D53" s="3">
        <v>2.9878510152081401</v>
      </c>
      <c r="E53" s="3">
        <v>1.78031483072682</v>
      </c>
      <c r="F53" s="3">
        <v>3.10549032887329</v>
      </c>
      <c r="G53" s="3">
        <v>1.9052543360768901</v>
      </c>
      <c r="H53" s="3">
        <v>3.2416121525247901</v>
      </c>
      <c r="I53" s="3">
        <v>4.3411623522134404</v>
      </c>
      <c r="J53" s="3">
        <v>2.8577723105202901</v>
      </c>
      <c r="K53" s="3">
        <v>2.2488078463742198</v>
      </c>
      <c r="L53" s="3">
        <v>4.4686525306592397</v>
      </c>
      <c r="M53" s="3">
        <v>3.4314268235224898</v>
      </c>
      <c r="N53" s="3">
        <v>3.3549312852108399</v>
      </c>
      <c r="O53" s="3">
        <v>1.5905153008853701</v>
      </c>
      <c r="P53" s="3">
        <v>2.2647219295618499</v>
      </c>
      <c r="Q53" s="3">
        <v>4.82557121217034</v>
      </c>
      <c r="R53" s="3">
        <v>3.2178764130705302</v>
      </c>
      <c r="S53" s="3">
        <v>5.56865808756175</v>
      </c>
      <c r="T53" s="3">
        <v>4.7214334438651502</v>
      </c>
      <c r="U53" s="3">
        <v>1.63677882265243</v>
      </c>
      <c r="V53" s="3">
        <v>3.7462177193099002</v>
      </c>
    </row>
    <row r="54" spans="1:22" x14ac:dyDescent="0.35">
      <c r="A54" s="2">
        <v>43294</v>
      </c>
      <c r="B54" s="3">
        <v>2.9961891859088898</v>
      </c>
      <c r="C54" s="3">
        <v>3.37078462126235</v>
      </c>
      <c r="D54" s="3">
        <v>3.0730432077456999</v>
      </c>
      <c r="E54" s="3">
        <v>1.79731711986914</v>
      </c>
      <c r="F54" s="3">
        <v>2.98458995878469</v>
      </c>
      <c r="G54" s="3">
        <v>2.1160492408087301</v>
      </c>
      <c r="H54" s="3">
        <v>3.3321549784797302</v>
      </c>
      <c r="I54" s="3">
        <v>4.43539719731994</v>
      </c>
      <c r="J54" s="3">
        <v>2.73667939955696</v>
      </c>
      <c r="K54" s="3">
        <v>2.3507796264237699</v>
      </c>
      <c r="L54" s="3">
        <v>4.2619921760331501</v>
      </c>
      <c r="M54" s="3">
        <v>3.6068097700710902</v>
      </c>
      <c r="N54" s="3">
        <v>3.4340859688846499</v>
      </c>
      <c r="O54" s="3">
        <v>1.58457568734656</v>
      </c>
      <c r="P54" s="3">
        <v>2.4173508486555102</v>
      </c>
      <c r="Q54" s="3">
        <v>4.7243015008167504</v>
      </c>
      <c r="R54" s="3">
        <v>3.3712718281060199</v>
      </c>
      <c r="S54" s="3">
        <v>5.7767404226640497</v>
      </c>
      <c r="T54" s="3">
        <v>4.87378389879356</v>
      </c>
      <c r="U54" s="3">
        <v>1.7662263262479601</v>
      </c>
      <c r="V54" s="3">
        <v>3.8066756101896302</v>
      </c>
    </row>
    <row r="55" spans="1:22" x14ac:dyDescent="0.35">
      <c r="A55" s="2">
        <v>43326</v>
      </c>
      <c r="B55" s="3">
        <v>3.16918467658423</v>
      </c>
      <c r="C55" s="3">
        <v>3.3890173049521901</v>
      </c>
      <c r="D55" s="3">
        <v>3.1290454980880398</v>
      </c>
      <c r="E55" s="3">
        <v>1.7832937385791701</v>
      </c>
      <c r="F55" s="3">
        <v>2.8564251105673</v>
      </c>
      <c r="G55" s="3">
        <v>4.3630738975306702</v>
      </c>
      <c r="H55" s="3">
        <v>3.2009688502309599</v>
      </c>
      <c r="I55" s="3">
        <v>4.4272265940955204</v>
      </c>
      <c r="J55" s="3">
        <v>2.7630365230466198</v>
      </c>
      <c r="K55" s="3">
        <v>2.4208895574747999</v>
      </c>
      <c r="L55" s="3">
        <v>4.2744414218900397</v>
      </c>
      <c r="M55" s="3">
        <v>3.62326718485162</v>
      </c>
      <c r="N55" s="3">
        <v>3.6777832299701099</v>
      </c>
      <c r="O55" s="3">
        <v>1.5130489052456</v>
      </c>
      <c r="P55" s="3">
        <v>2.54288222077128</v>
      </c>
      <c r="Q55" s="3">
        <v>4.5109821317613097</v>
      </c>
      <c r="R55" s="3">
        <v>3.2688379073342899</v>
      </c>
      <c r="S55" s="3">
        <v>5.5121056565200401</v>
      </c>
      <c r="T55" s="3">
        <v>4.7817445978962301</v>
      </c>
      <c r="U55" s="3">
        <v>1.5032626016977799</v>
      </c>
      <c r="V55" s="3">
        <v>4.0995223281081401</v>
      </c>
    </row>
    <row r="56" spans="1:22" x14ac:dyDescent="0.35">
      <c r="A56" s="2">
        <v>43357</v>
      </c>
      <c r="B56" s="3">
        <v>3.2437933715515102</v>
      </c>
      <c r="C56" s="3">
        <v>3.4086772586896199</v>
      </c>
      <c r="D56" s="3">
        <v>3.0216195622571602</v>
      </c>
      <c r="E56" s="3">
        <v>1.81033279646144</v>
      </c>
      <c r="F56" s="3">
        <v>3.0167792894029701</v>
      </c>
      <c r="G56" s="3">
        <v>2.49471560275959</v>
      </c>
      <c r="H56" s="3">
        <v>3.19263903721661</v>
      </c>
      <c r="I56" s="3">
        <v>4.4378792374649096</v>
      </c>
      <c r="J56" s="3">
        <v>2.7541279264796499</v>
      </c>
      <c r="K56" s="3">
        <v>2.3990583062267601</v>
      </c>
      <c r="L56" s="3">
        <v>4.4789204183968403</v>
      </c>
      <c r="M56" s="3">
        <v>3.70330520095861</v>
      </c>
      <c r="N56" s="3">
        <v>3.9177137151807302</v>
      </c>
      <c r="O56" s="3">
        <v>1.4970858166688801</v>
      </c>
      <c r="P56" s="3">
        <v>2.6492901920748499</v>
      </c>
      <c r="Q56" s="3">
        <v>4.2286035806456903</v>
      </c>
      <c r="R56" s="3">
        <v>3.2581649707758098</v>
      </c>
      <c r="S56" s="3">
        <v>5.6329231777904196</v>
      </c>
      <c r="T56" s="3">
        <v>4.7508450455146001</v>
      </c>
      <c r="U56" s="3">
        <v>1.72508569740774</v>
      </c>
      <c r="V56" s="3">
        <v>4.4202578207562304</v>
      </c>
    </row>
    <row r="57" spans="1:22" x14ac:dyDescent="0.35">
      <c r="A57" s="2">
        <v>43385</v>
      </c>
      <c r="B57" s="3">
        <v>3.3399002991658802</v>
      </c>
      <c r="C57" s="3">
        <v>3.0513061901613399</v>
      </c>
      <c r="D57" s="3">
        <v>3.0924008923383601</v>
      </c>
      <c r="E57" s="3">
        <v>1.93514785891136</v>
      </c>
      <c r="F57" s="3">
        <v>3.13813120041879</v>
      </c>
      <c r="G57" s="3">
        <v>2.3215433431353598</v>
      </c>
      <c r="H57" s="3">
        <v>3.3618536809437498</v>
      </c>
      <c r="I57" s="3">
        <v>4.8397761757985398</v>
      </c>
      <c r="J57" s="3">
        <v>2.9023895044516701</v>
      </c>
      <c r="K57" s="3">
        <v>2.5543366065900099</v>
      </c>
      <c r="L57" s="3">
        <v>4.1401429302020398</v>
      </c>
      <c r="M57" s="3">
        <v>4.0064101466122697</v>
      </c>
      <c r="N57" s="3">
        <v>4.1783944402625197</v>
      </c>
      <c r="O57" s="3">
        <v>1.6785666346263901</v>
      </c>
      <c r="P57" s="3">
        <v>2.8299623523049302</v>
      </c>
      <c r="Q57" s="3">
        <v>4.3464341044788597</v>
      </c>
      <c r="R57" s="3">
        <v>3.3203580700160602</v>
      </c>
      <c r="S57" s="3">
        <v>5.4007417729192104</v>
      </c>
      <c r="T57" s="3">
        <v>4.9040698378999599</v>
      </c>
      <c r="U57" s="3">
        <v>1.7022637073508899</v>
      </c>
      <c r="V57" s="3">
        <v>4.4511257681007503</v>
      </c>
    </row>
    <row r="58" spans="1:22" x14ac:dyDescent="0.35">
      <c r="A58" s="2">
        <v>43418</v>
      </c>
      <c r="B58" s="3">
        <v>3.28484274834249</v>
      </c>
      <c r="C58" s="3">
        <v>3.0634264792409902</v>
      </c>
      <c r="D58" s="3">
        <v>3.0270290153649899</v>
      </c>
      <c r="E58" s="3">
        <v>1.9546525165296</v>
      </c>
      <c r="F58" s="3">
        <v>3.1072178827788202</v>
      </c>
      <c r="G58" s="3">
        <v>2.5736507127005899</v>
      </c>
      <c r="H58" s="3">
        <v>3.4075210899914699</v>
      </c>
      <c r="I58" s="3">
        <v>4.8843377149307701</v>
      </c>
      <c r="J58" s="3">
        <v>3.4279827786414399</v>
      </c>
      <c r="K58" s="3">
        <v>2.6403245525191399</v>
      </c>
      <c r="L58" s="3">
        <v>3.9594886826203202</v>
      </c>
      <c r="M58" s="3">
        <v>4.0833422001407902</v>
      </c>
      <c r="N58" s="3">
        <v>4.2459718594544196</v>
      </c>
      <c r="O58" s="3">
        <v>1.6607708828499299</v>
      </c>
      <c r="P58" s="3">
        <v>2.82637020329804</v>
      </c>
      <c r="Q58" s="3">
        <v>4.3937702380090702</v>
      </c>
      <c r="R58" s="3">
        <v>3.3970321447556602</v>
      </c>
      <c r="S58" s="3">
        <v>5.3131664339159901</v>
      </c>
      <c r="T58" s="3">
        <v>4.8588580477785897</v>
      </c>
      <c r="U58" s="3">
        <v>1.9472733604497601</v>
      </c>
      <c r="V58" s="3">
        <v>4.4159923163743002</v>
      </c>
    </row>
    <row r="59" spans="1:22" x14ac:dyDescent="0.35">
      <c r="A59" s="2">
        <v>43448</v>
      </c>
      <c r="B59" s="3">
        <v>3.2150073294474502</v>
      </c>
      <c r="C59" s="3">
        <v>3.0730315552761498</v>
      </c>
      <c r="D59" s="3">
        <v>2.8278690022923598</v>
      </c>
      <c r="E59" s="3">
        <v>1.7748884784632799</v>
      </c>
      <c r="F59" s="3">
        <v>3.0948894981340498</v>
      </c>
      <c r="G59" s="3">
        <v>2.4144264662400499</v>
      </c>
      <c r="H59" s="3">
        <v>3.3426317560646299</v>
      </c>
      <c r="I59" s="3">
        <v>4.91337664284588</v>
      </c>
      <c r="J59" s="3">
        <v>3.4699519844117699</v>
      </c>
      <c r="K59" s="3">
        <v>2.6235038896300802</v>
      </c>
      <c r="L59" s="3">
        <v>3.9577645108433699</v>
      </c>
      <c r="M59" s="3">
        <v>3.9599323070114401</v>
      </c>
      <c r="N59" s="3">
        <v>4.1718543625989799</v>
      </c>
      <c r="O59" s="3">
        <v>1.64254045898453</v>
      </c>
      <c r="P59" s="3">
        <v>2.73894717936275</v>
      </c>
      <c r="Q59" s="3">
        <v>4.5177078161558297</v>
      </c>
      <c r="R59" s="3">
        <v>3.49875045109843</v>
      </c>
      <c r="S59" s="3">
        <v>5.3992049589807403</v>
      </c>
      <c r="T59" s="3">
        <v>5.0772420047710503</v>
      </c>
      <c r="U59" s="3">
        <v>1.5330554499979301</v>
      </c>
      <c r="V59" s="3">
        <v>4.2004418847007301</v>
      </c>
    </row>
    <row r="60" spans="1:22" x14ac:dyDescent="0.35">
      <c r="A60" s="2">
        <v>43479</v>
      </c>
      <c r="B60" s="3">
        <v>3.32754902065673</v>
      </c>
      <c r="C60" s="3">
        <v>3.0061525875144102</v>
      </c>
      <c r="D60" s="3">
        <v>2.8236529877368901</v>
      </c>
      <c r="E60" s="3">
        <v>1.6573819273242101</v>
      </c>
      <c r="F60" s="3">
        <v>3.1038668683272599</v>
      </c>
      <c r="G60" s="3">
        <v>2.3316835282362698</v>
      </c>
      <c r="H60" s="3">
        <v>3.2961537415184599</v>
      </c>
      <c r="I60" s="3">
        <v>4.8672486216485602</v>
      </c>
      <c r="J60" s="3">
        <v>3.2915715823953899</v>
      </c>
      <c r="K60" s="3">
        <v>2.6415157137602101</v>
      </c>
      <c r="L60" s="3">
        <v>3.7635687767498398</v>
      </c>
      <c r="M60" s="3">
        <v>3.7266485241413201</v>
      </c>
      <c r="N60" s="3">
        <v>4.2325823789304904</v>
      </c>
      <c r="O60" s="3">
        <v>1.6715155232857299</v>
      </c>
      <c r="P60" s="3">
        <v>2.78595401757959</v>
      </c>
      <c r="Q60" s="3">
        <v>4.3923128258847202</v>
      </c>
      <c r="R60" s="3">
        <v>3.5102259208805</v>
      </c>
      <c r="S60" s="3">
        <v>5.2619790849187202</v>
      </c>
      <c r="T60" s="3">
        <v>5.1507938452677298</v>
      </c>
      <c r="U60" s="3">
        <v>1.80029966250062</v>
      </c>
      <c r="V60" s="3">
        <v>4.0047183782862001</v>
      </c>
    </row>
    <row r="61" spans="1:22" x14ac:dyDescent="0.35">
      <c r="A61" s="2">
        <v>43510</v>
      </c>
      <c r="B61" s="3">
        <v>3.0031184600416001</v>
      </c>
      <c r="C61" s="3">
        <v>2.9854916636920601</v>
      </c>
      <c r="D61" s="3">
        <v>2.8675040554603601</v>
      </c>
      <c r="E61" s="3">
        <v>1.67414286145061</v>
      </c>
      <c r="F61" s="3">
        <v>3.0820170139923402</v>
      </c>
      <c r="G61" s="3">
        <v>2.2474115567336699</v>
      </c>
      <c r="H61" s="3">
        <v>3.2760748297136799</v>
      </c>
      <c r="I61" s="3">
        <v>4.5620767855144999</v>
      </c>
      <c r="J61" s="3">
        <v>3.3769884774519201</v>
      </c>
      <c r="K61" s="3">
        <v>2.4281797737498998</v>
      </c>
      <c r="L61" s="3">
        <v>3.4358364111134501</v>
      </c>
      <c r="M61" s="3">
        <v>3.8408286521936099</v>
      </c>
      <c r="N61" s="3">
        <v>4.26300800204959</v>
      </c>
      <c r="O61" s="3">
        <v>1.6621276507840099</v>
      </c>
      <c r="P61" s="3">
        <v>2.5224944781622201</v>
      </c>
      <c r="Q61" s="3">
        <v>4.6953481318424899</v>
      </c>
      <c r="R61" s="3">
        <v>3.31731520170502</v>
      </c>
      <c r="S61" s="3">
        <v>4.6082863111344503</v>
      </c>
      <c r="T61" s="3">
        <v>5.2551218053866799</v>
      </c>
      <c r="U61" s="3">
        <v>1.72465328736332</v>
      </c>
      <c r="V61" s="3">
        <v>3.8892886293456899</v>
      </c>
    </row>
    <row r="62" spans="1:22" x14ac:dyDescent="0.35">
      <c r="A62" s="2">
        <v>43538</v>
      </c>
      <c r="B62" s="3">
        <v>2.84277220491275</v>
      </c>
      <c r="C62" s="3">
        <v>3.01970050648693</v>
      </c>
      <c r="D62" s="3">
        <v>2.8415881089764601</v>
      </c>
      <c r="E62" s="3">
        <v>1.7753367941611899</v>
      </c>
      <c r="F62" s="3">
        <v>3.0724935727330598</v>
      </c>
      <c r="G62" s="3">
        <v>2.2584135835074801</v>
      </c>
      <c r="H62" s="3">
        <v>3.3310209743110901</v>
      </c>
      <c r="I62" s="3">
        <v>4.4262509573005504</v>
      </c>
      <c r="J62" s="3">
        <v>3.5088668847063902</v>
      </c>
      <c r="K62" s="3">
        <v>2.53884346009395</v>
      </c>
      <c r="L62" s="3">
        <v>3.4414751770506999</v>
      </c>
      <c r="M62" s="3">
        <v>3.9757157718861098</v>
      </c>
      <c r="N62" s="3">
        <v>3.8094282422432402</v>
      </c>
      <c r="O62" s="3">
        <v>1.5931582832573401</v>
      </c>
      <c r="P62" s="3">
        <v>2.4576534187046901</v>
      </c>
      <c r="Q62" s="3">
        <v>4.67047148721801</v>
      </c>
      <c r="R62" s="3">
        <v>3.3144473763437698</v>
      </c>
      <c r="S62" s="3">
        <v>4.5143854619939399</v>
      </c>
      <c r="T62" s="3">
        <v>5.2622507029530396</v>
      </c>
      <c r="U62" s="3">
        <v>1.53723769661684</v>
      </c>
      <c r="V62" s="3">
        <v>3.8773707586887398</v>
      </c>
    </row>
    <row r="63" spans="1:22" x14ac:dyDescent="0.35">
      <c r="A63" s="2">
        <v>43567</v>
      </c>
      <c r="B63" s="3">
        <v>2.65439585114208</v>
      </c>
      <c r="C63" s="3">
        <v>3.00603139303163</v>
      </c>
      <c r="D63" s="3">
        <v>2.8471290216839802</v>
      </c>
      <c r="E63" s="3">
        <v>1.7371266747766101</v>
      </c>
      <c r="F63" s="3">
        <v>3.03570705022236</v>
      </c>
      <c r="G63" s="3">
        <v>2.2090063872125798</v>
      </c>
      <c r="H63" s="3">
        <v>3.4120250796297098</v>
      </c>
      <c r="I63" s="3">
        <v>4.19145574262427</v>
      </c>
      <c r="J63" s="3">
        <v>3.32578481047205</v>
      </c>
      <c r="K63" s="3">
        <v>2.4447396931579402</v>
      </c>
      <c r="L63" s="3">
        <v>3.5193289761886102</v>
      </c>
      <c r="M63" s="3">
        <v>3.72045176011363</v>
      </c>
      <c r="N63" s="3">
        <v>3.5169203593974401</v>
      </c>
      <c r="O63" s="3">
        <v>1.5887285871668699</v>
      </c>
      <c r="P63" s="3">
        <v>2.32960569299857</v>
      </c>
      <c r="Q63" s="3">
        <v>4.3442461432922999</v>
      </c>
      <c r="R63" s="3">
        <v>3.2731378279008898</v>
      </c>
      <c r="S63" s="3">
        <v>4.8969053865736898</v>
      </c>
      <c r="T63" s="3">
        <v>4.9714116667635304</v>
      </c>
      <c r="U63" s="3">
        <v>1.5778787595627599</v>
      </c>
      <c r="V63" s="3">
        <v>3.6946567052415098</v>
      </c>
    </row>
    <row r="64" spans="1:22" x14ac:dyDescent="0.35">
      <c r="A64" s="2">
        <v>43599</v>
      </c>
      <c r="B64" s="3">
        <v>2.89386502618094</v>
      </c>
      <c r="C64" s="3">
        <v>3.1661344046310198</v>
      </c>
      <c r="D64" s="3">
        <v>3.04210864206093</v>
      </c>
      <c r="E64" s="3">
        <v>1.8240882133754699</v>
      </c>
      <c r="F64" s="3">
        <v>3.4289649976507501</v>
      </c>
      <c r="G64" s="3">
        <v>2.63863499338609</v>
      </c>
      <c r="H64" s="3">
        <v>3.4942582178753399</v>
      </c>
      <c r="I64" s="3">
        <v>4.4126183690583503</v>
      </c>
      <c r="J64" s="3">
        <v>3.4968681545644098</v>
      </c>
      <c r="K64" s="3">
        <v>2.5679594125335199</v>
      </c>
      <c r="L64" s="3">
        <v>3.55586912690063</v>
      </c>
      <c r="M64" s="3">
        <v>3.8559235859479899</v>
      </c>
      <c r="N64" s="3">
        <v>3.8447898498907001</v>
      </c>
      <c r="O64" s="3">
        <v>1.7356580319885699</v>
      </c>
      <c r="P64" s="3">
        <v>2.50752691075783</v>
      </c>
      <c r="Q64" s="3">
        <v>4.4967616424090702</v>
      </c>
      <c r="R64" s="3">
        <v>3.3294837459408</v>
      </c>
      <c r="S64" s="3">
        <v>5.3892255232137298</v>
      </c>
      <c r="T64" s="3">
        <v>5.3589535275600202</v>
      </c>
      <c r="U64" s="3">
        <v>1.5254583659916201</v>
      </c>
      <c r="V64" s="3">
        <v>4.0164443136157502</v>
      </c>
    </row>
    <row r="65" spans="1:22" x14ac:dyDescent="0.35">
      <c r="A65" s="2">
        <v>43630</v>
      </c>
      <c r="B65" s="3">
        <v>2.7991373324577702</v>
      </c>
      <c r="C65" s="3">
        <v>3.3108382750958301</v>
      </c>
      <c r="D65" s="3">
        <v>2.8354182298658901</v>
      </c>
      <c r="E65" s="3">
        <v>1.7636488790357401</v>
      </c>
      <c r="F65" s="3">
        <v>3.27390607308973</v>
      </c>
      <c r="G65" s="3">
        <v>2.69392476592349</v>
      </c>
      <c r="H65" s="3">
        <v>3.4933745173794502</v>
      </c>
      <c r="I65" s="3">
        <v>4.4748529816626101</v>
      </c>
      <c r="J65" s="3">
        <v>3.5471275224768801</v>
      </c>
      <c r="K65" s="3">
        <v>2.5587516986242398</v>
      </c>
      <c r="L65" s="3">
        <v>3.1701516148086499</v>
      </c>
      <c r="M65" s="3">
        <v>3.7731454054076901</v>
      </c>
      <c r="N65" s="3">
        <v>3.2780832198823502</v>
      </c>
      <c r="O65" s="3">
        <v>1.6787496654644301</v>
      </c>
      <c r="P65" s="3">
        <v>2.6007713272478101</v>
      </c>
      <c r="Q65" s="3">
        <v>4.1289535694697204</v>
      </c>
      <c r="R65" s="3">
        <v>3.21865297974177</v>
      </c>
      <c r="S65" s="3">
        <v>5.0452056827952001</v>
      </c>
      <c r="T65" s="3">
        <v>5.2277661248966298</v>
      </c>
      <c r="U65" s="3">
        <v>1.57715672337687</v>
      </c>
      <c r="V65" s="3">
        <v>3.7924195228918198</v>
      </c>
    </row>
    <row r="66" spans="1:22" x14ac:dyDescent="0.35">
      <c r="A66" s="2">
        <v>43658</v>
      </c>
      <c r="B66" s="3">
        <v>2.6978891192209802</v>
      </c>
      <c r="C66" s="3">
        <v>3.1828354734220601</v>
      </c>
      <c r="D66" s="3">
        <v>2.7219017538628898</v>
      </c>
      <c r="E66" s="3">
        <v>1.7081022837338</v>
      </c>
      <c r="F66" s="3">
        <v>3.2907113152441099</v>
      </c>
      <c r="G66" s="3">
        <v>2.68467242895102</v>
      </c>
      <c r="H66" s="3">
        <v>3.42657168445474</v>
      </c>
      <c r="I66" s="3">
        <v>4.3052170276610804</v>
      </c>
      <c r="J66" s="3">
        <v>3.5925228204876598</v>
      </c>
      <c r="K66" s="3">
        <v>2.53233775905414</v>
      </c>
      <c r="L66" s="3">
        <v>3.0806010439779699</v>
      </c>
      <c r="M66" s="3">
        <v>3.8198001438506899</v>
      </c>
      <c r="N66" s="3">
        <v>3.3534695519426299</v>
      </c>
      <c r="O66" s="3">
        <v>1.75935614882917</v>
      </c>
      <c r="P66" s="3">
        <v>2.5071756313605098</v>
      </c>
      <c r="Q66" s="3">
        <v>4.1213077725039602</v>
      </c>
      <c r="R66" s="3">
        <v>3.11508957039405</v>
      </c>
      <c r="S66" s="3">
        <v>4.5431265430138499</v>
      </c>
      <c r="T66" s="3">
        <v>5.1039558272966401</v>
      </c>
      <c r="U66" s="3">
        <v>1.7578295875169501</v>
      </c>
      <c r="V66" s="3">
        <v>3.8098456313884999</v>
      </c>
    </row>
    <row r="67" spans="1:22" x14ac:dyDescent="0.35">
      <c r="A67" s="2">
        <v>43691</v>
      </c>
      <c r="B67" s="3">
        <v>2.8161974529981801</v>
      </c>
      <c r="C67" s="3">
        <v>3.4998410573208401</v>
      </c>
      <c r="D67" s="3">
        <v>2.7913543244796699</v>
      </c>
      <c r="E67" s="3">
        <v>1.81821429492302</v>
      </c>
      <c r="F67" s="3">
        <v>3.8367485781838502</v>
      </c>
      <c r="G67" s="3">
        <v>3.0500448721432698</v>
      </c>
      <c r="H67" s="3">
        <v>3.4978305620455301</v>
      </c>
      <c r="I67" s="3">
        <v>4.4757705364015496</v>
      </c>
      <c r="J67" s="3">
        <v>4.01747818169226</v>
      </c>
      <c r="K67" s="3">
        <v>2.70052564304273</v>
      </c>
      <c r="L67" s="3">
        <v>3.3619539953145998</v>
      </c>
      <c r="M67" s="3">
        <v>4.1122440151013899</v>
      </c>
      <c r="N67" s="3">
        <v>3.4636974682667501</v>
      </c>
      <c r="O67" s="3">
        <v>1.81450611136586</v>
      </c>
      <c r="P67" s="3">
        <v>2.6719191126173798</v>
      </c>
      <c r="Q67" s="3">
        <v>4.4757596873207204</v>
      </c>
      <c r="R67" s="3">
        <v>3.3271024126249999</v>
      </c>
      <c r="S67" s="3">
        <v>4.6473841917320602</v>
      </c>
      <c r="T67" s="3">
        <v>5.0833455719080503</v>
      </c>
      <c r="U67" s="3">
        <v>1.94412740402867</v>
      </c>
      <c r="V67" s="3">
        <v>3.9932785718519499</v>
      </c>
    </row>
    <row r="68" spans="1:22" x14ac:dyDescent="0.35">
      <c r="A68" s="2">
        <v>43721</v>
      </c>
      <c r="B68" s="3">
        <v>2.6271176074506801</v>
      </c>
      <c r="C68" s="3">
        <v>3.3002431859805901</v>
      </c>
      <c r="D68" s="3">
        <v>2.7770093435666201</v>
      </c>
      <c r="E68" s="3">
        <v>1.8317530586677</v>
      </c>
      <c r="F68" s="3">
        <v>3.6034507669298299</v>
      </c>
      <c r="G68" s="3">
        <v>2.9007324899031399</v>
      </c>
      <c r="H68" s="3">
        <v>3.4973750773357701</v>
      </c>
      <c r="I68" s="3">
        <v>4.2552711374327101</v>
      </c>
      <c r="J68" s="3">
        <v>3.6216887861007798</v>
      </c>
      <c r="K68" s="3">
        <v>2.5292239436807198</v>
      </c>
      <c r="L68" s="3">
        <v>3.2436682124628402</v>
      </c>
      <c r="M68" s="3">
        <v>4.1460793200100401</v>
      </c>
      <c r="N68" s="3">
        <v>3.4069880820038598</v>
      </c>
      <c r="O68" s="3">
        <v>1.8012236887290201</v>
      </c>
      <c r="P68" s="3">
        <v>2.4308916851612898</v>
      </c>
      <c r="Q68" s="3">
        <v>4.1311650026709499</v>
      </c>
      <c r="R68" s="3">
        <v>3.2225131509965999</v>
      </c>
      <c r="S68" s="3">
        <v>4.7836926306331202</v>
      </c>
      <c r="T68" s="3">
        <v>4.7856348913474998</v>
      </c>
      <c r="U68" s="3">
        <v>1.9132638576969301</v>
      </c>
      <c r="V68" s="3">
        <v>4.2929876674326302</v>
      </c>
    </row>
    <row r="69" spans="1:22" x14ac:dyDescent="0.35">
      <c r="A69" s="2">
        <v>43752</v>
      </c>
      <c r="B69" s="3">
        <v>2.66518282919214</v>
      </c>
      <c r="C69" s="3">
        <v>3.2083114618155002</v>
      </c>
      <c r="D69" s="3">
        <v>2.8451399825102501</v>
      </c>
      <c r="E69" s="3">
        <v>1.85707545288131</v>
      </c>
      <c r="F69" s="3">
        <v>3.54256091517746</v>
      </c>
      <c r="G69" s="3">
        <v>3.0425428255848401</v>
      </c>
      <c r="H69" s="3">
        <v>3.57329752842239</v>
      </c>
      <c r="I69" s="3">
        <v>4.1981883955662997</v>
      </c>
      <c r="J69" s="3">
        <v>3.5238121841196199</v>
      </c>
      <c r="K69" s="3">
        <v>2.49722828873076</v>
      </c>
      <c r="L69" s="3">
        <v>3.2632015560678602</v>
      </c>
      <c r="M69" s="3">
        <v>4.2333082684075301</v>
      </c>
      <c r="N69" s="3">
        <v>3.27712241712804</v>
      </c>
      <c r="O69" s="3">
        <v>1.8442383838646901</v>
      </c>
      <c r="P69" s="3">
        <v>2.51467483290685</v>
      </c>
      <c r="Q69" s="3">
        <v>4.1153771469695197</v>
      </c>
      <c r="R69" s="3">
        <v>3.2682899884314098</v>
      </c>
      <c r="S69" s="3">
        <v>5.4236396231353696</v>
      </c>
      <c r="T69" s="3">
        <v>4.6660056243527004</v>
      </c>
      <c r="U69" s="3">
        <v>1.8097916532104701</v>
      </c>
      <c r="V69" s="3">
        <v>4.4195829238537003</v>
      </c>
    </row>
    <row r="70" spans="1:22" x14ac:dyDescent="0.35">
      <c r="A70" s="2">
        <v>43783</v>
      </c>
      <c r="B70" s="3">
        <v>2.7757030290546898</v>
      </c>
      <c r="C70" s="3">
        <v>3.8155698726539198</v>
      </c>
      <c r="D70" s="3">
        <v>2.8517552851801899</v>
      </c>
      <c r="E70" s="3">
        <v>1.84715272286744</v>
      </c>
      <c r="F70" s="3">
        <v>3.3901902895851199</v>
      </c>
      <c r="G70" s="3">
        <v>2.9726787149487199</v>
      </c>
      <c r="H70" s="3">
        <v>3.4832861740539198</v>
      </c>
      <c r="I70" s="3">
        <v>4.09543544133619</v>
      </c>
      <c r="J70" s="3">
        <v>3.55381975617385</v>
      </c>
      <c r="K70" s="3">
        <v>2.4017705829279801</v>
      </c>
      <c r="L70" s="3">
        <v>3.30129810516766</v>
      </c>
      <c r="M70" s="3">
        <v>4.1262763259732598</v>
      </c>
      <c r="N70" s="3">
        <v>3.24589711329204</v>
      </c>
      <c r="O70" s="3">
        <v>1.7649486482271199</v>
      </c>
      <c r="P70" s="3">
        <v>2.50835372920226</v>
      </c>
      <c r="Q70" s="3">
        <v>4.0862671960365597</v>
      </c>
      <c r="R70" s="3">
        <v>3.2122790061520998</v>
      </c>
      <c r="S70" s="3">
        <v>4.4773829893608204</v>
      </c>
      <c r="T70" s="3">
        <v>4.7622115205462698</v>
      </c>
      <c r="U70" s="3">
        <v>1.56788892141</v>
      </c>
      <c r="V70" s="3">
        <v>4.1267283662726504</v>
      </c>
    </row>
    <row r="71" spans="1:22" x14ac:dyDescent="0.35">
      <c r="A71" s="2">
        <v>43812</v>
      </c>
      <c r="B71" s="3">
        <v>2.5096797709918399</v>
      </c>
      <c r="C71" s="3">
        <v>3.6081496824911299</v>
      </c>
      <c r="D71" s="3">
        <v>2.8333267885211302</v>
      </c>
      <c r="E71" s="3">
        <v>1.85782256688956</v>
      </c>
      <c r="F71" s="3">
        <v>3.5412106748822301</v>
      </c>
      <c r="G71" s="3">
        <v>2.7536587538298498</v>
      </c>
      <c r="H71" s="3">
        <v>3.5233557772917599</v>
      </c>
      <c r="I71" s="3">
        <v>3.9949184766230599</v>
      </c>
      <c r="J71" s="3">
        <v>3.4745627364837799</v>
      </c>
      <c r="K71" s="3">
        <v>2.3469659998119399</v>
      </c>
      <c r="L71" s="3">
        <v>3.17991689170033</v>
      </c>
      <c r="M71" s="3">
        <v>3.7786938354416999</v>
      </c>
      <c r="N71" s="3">
        <v>2.9801072567561899</v>
      </c>
      <c r="O71" s="3">
        <v>1.67233148368505</v>
      </c>
      <c r="P71" s="3">
        <v>2.3233637416731798</v>
      </c>
      <c r="Q71" s="3">
        <v>4.0839047833286797</v>
      </c>
      <c r="R71" s="3">
        <v>3.2282429348613499</v>
      </c>
      <c r="S71" s="3">
        <v>4.3217275131059401</v>
      </c>
      <c r="T71" s="3">
        <v>5.01750285297598</v>
      </c>
      <c r="U71" s="3">
        <v>1.6075494092337901</v>
      </c>
      <c r="V71" s="3">
        <v>4.1771123724566204</v>
      </c>
    </row>
    <row r="72" spans="1:22" x14ac:dyDescent="0.35">
      <c r="A72" s="2">
        <v>43844</v>
      </c>
      <c r="B72" s="3">
        <v>2.40804787119834</v>
      </c>
      <c r="C72" s="3">
        <v>3.5746091613189699</v>
      </c>
      <c r="D72" s="3">
        <v>2.7163354538266402</v>
      </c>
      <c r="E72" s="3">
        <v>1.8260913353036701</v>
      </c>
      <c r="F72" s="3">
        <v>3.5527797657107398</v>
      </c>
      <c r="G72" s="3">
        <v>2.6299581970832802</v>
      </c>
      <c r="H72" s="3">
        <v>3.5057291014171099</v>
      </c>
      <c r="I72" s="3">
        <v>3.9455420891379598</v>
      </c>
      <c r="J72" s="3">
        <v>3.4526589544406798</v>
      </c>
      <c r="K72" s="3">
        <v>2.2785314416800202</v>
      </c>
      <c r="L72" s="3">
        <v>3.0956028869738801</v>
      </c>
      <c r="M72" s="3">
        <v>3.68520592417349</v>
      </c>
      <c r="N72" s="3">
        <v>2.9260661901964502</v>
      </c>
      <c r="O72" s="3">
        <v>1.64115735645432</v>
      </c>
      <c r="P72" s="3">
        <v>2.19976243346242</v>
      </c>
      <c r="Q72" s="3">
        <v>3.9496438048922</v>
      </c>
      <c r="R72" s="3">
        <v>3.21932521537647</v>
      </c>
      <c r="S72" s="3">
        <v>4.27277423817503</v>
      </c>
      <c r="T72" s="3">
        <v>5.1232033486435702</v>
      </c>
      <c r="U72" s="3">
        <v>1.49507261683579</v>
      </c>
      <c r="V72" s="3">
        <v>3.9846749049779602</v>
      </c>
    </row>
    <row r="73" spans="1:22" x14ac:dyDescent="0.35">
      <c r="A73" s="2">
        <v>43875</v>
      </c>
      <c r="B73" s="3">
        <v>2.49230047734775</v>
      </c>
      <c r="C73" s="3">
        <v>3.7303801712650499</v>
      </c>
      <c r="D73" s="3">
        <v>2.9099592506290799</v>
      </c>
      <c r="E73" s="3">
        <v>1.9315739022098</v>
      </c>
      <c r="F73" s="3">
        <v>3.6871862557541202</v>
      </c>
      <c r="G73" s="3">
        <v>3.0605225947600898</v>
      </c>
      <c r="H73" s="3">
        <v>3.5999003453829701</v>
      </c>
      <c r="I73" s="3">
        <v>4.0377059836219704</v>
      </c>
      <c r="J73" s="3">
        <v>3.3253642162433001</v>
      </c>
      <c r="K73" s="3">
        <v>2.2330360693786799</v>
      </c>
      <c r="L73" s="3">
        <v>3.1325368404509701</v>
      </c>
      <c r="M73" s="3">
        <v>3.6805801236026601</v>
      </c>
      <c r="N73" s="3">
        <v>2.8150987533523399</v>
      </c>
      <c r="O73" s="3">
        <v>1.6532153544225101</v>
      </c>
      <c r="P73" s="3">
        <v>2.2313334045810498</v>
      </c>
      <c r="Q73" s="3">
        <v>4.4149890429090997</v>
      </c>
      <c r="R73" s="3">
        <v>3.3446643159323299</v>
      </c>
      <c r="S73" s="3">
        <v>4.2376507995732</v>
      </c>
      <c r="T73" s="3">
        <v>5.3666949919076501</v>
      </c>
      <c r="U73" s="3">
        <v>1.52500739153746</v>
      </c>
      <c r="V73" s="3">
        <v>4.3916132103340004</v>
      </c>
    </row>
    <row r="74" spans="1:22" x14ac:dyDescent="0.35">
      <c r="A74" s="2">
        <v>43903</v>
      </c>
      <c r="B74" s="3">
        <v>2.5156900991899902</v>
      </c>
      <c r="C74" s="3">
        <v>4.6899184437550998</v>
      </c>
      <c r="D74" s="3">
        <v>3.7014895120682798</v>
      </c>
      <c r="E74" s="3">
        <v>2.4440333545879902</v>
      </c>
      <c r="F74" s="3">
        <v>5.1932704354514296</v>
      </c>
      <c r="G74" s="3">
        <v>3.97474089276814</v>
      </c>
      <c r="H74" s="3">
        <v>4.1311751667358596</v>
      </c>
      <c r="I74" s="3">
        <v>4.6486064675893397</v>
      </c>
      <c r="J74" s="3">
        <v>3.9665055969532399</v>
      </c>
      <c r="K74" s="3">
        <v>2.82797371926543</v>
      </c>
      <c r="L74" s="3">
        <v>4.3669068847144796</v>
      </c>
      <c r="M74" s="3">
        <v>4.9593510101209999</v>
      </c>
      <c r="N74" s="3">
        <v>5.0604212039565599</v>
      </c>
      <c r="O74" s="3">
        <v>2.0286271738232098</v>
      </c>
      <c r="P74" s="3">
        <v>2.4310421548354699</v>
      </c>
      <c r="Q74" s="3">
        <v>4.9113640863816599</v>
      </c>
      <c r="R74" s="3">
        <v>4.2848281180329</v>
      </c>
      <c r="S74" s="3">
        <v>5.2031507084192397</v>
      </c>
      <c r="T74" s="3">
        <v>6.8070780418677002</v>
      </c>
      <c r="U74" s="3">
        <v>1.98260704800607</v>
      </c>
      <c r="V74" s="3">
        <v>5.4563375095912203</v>
      </c>
    </row>
    <row r="75" spans="1:22" x14ac:dyDescent="0.35">
      <c r="A75" s="2">
        <v>43935</v>
      </c>
      <c r="B75" s="3">
        <v>2.4782399133856901</v>
      </c>
      <c r="C75" s="3">
        <v>4.13834410840742</v>
      </c>
      <c r="D75" s="3">
        <v>3.7803377503638602</v>
      </c>
      <c r="E75" s="3">
        <v>2.4338551958801</v>
      </c>
      <c r="F75" s="3">
        <v>3.7716404416906801</v>
      </c>
      <c r="G75" s="3">
        <v>3.98501592756898</v>
      </c>
      <c r="H75" s="3">
        <v>3.9130867858164602</v>
      </c>
      <c r="I75" s="3">
        <v>4.3711932007123204</v>
      </c>
      <c r="J75" s="3">
        <v>4.3013982462014404</v>
      </c>
      <c r="K75" s="3">
        <v>2.6378255481076001</v>
      </c>
      <c r="L75" s="3">
        <v>4.0760990803131003</v>
      </c>
      <c r="M75" s="3">
        <v>4.35186754395402</v>
      </c>
      <c r="N75" s="3">
        <v>4.4616300514195597</v>
      </c>
      <c r="O75" s="3">
        <v>2.1515437294833299</v>
      </c>
      <c r="P75" s="3">
        <v>2.2395650904578401</v>
      </c>
      <c r="Q75" s="3">
        <v>4.3102081500008103</v>
      </c>
      <c r="R75" s="3">
        <v>3.52951746912799</v>
      </c>
      <c r="S75" s="3">
        <v>5.0644923317386903</v>
      </c>
      <c r="T75" s="3">
        <v>5.7063210459333202</v>
      </c>
      <c r="U75" s="3">
        <v>1.8823570771109699</v>
      </c>
      <c r="V75" s="3">
        <v>4.7584604983317096</v>
      </c>
    </row>
    <row r="76" spans="1:22" x14ac:dyDescent="0.35">
      <c r="A76" s="2">
        <v>43965</v>
      </c>
      <c r="B76" s="3">
        <v>2.3280200524132999</v>
      </c>
      <c r="C76" s="3">
        <v>4.0278693244176003</v>
      </c>
      <c r="D76" s="3">
        <v>3.89965258221067</v>
      </c>
      <c r="E76" s="3">
        <v>2.38178941608848</v>
      </c>
      <c r="F76" s="3">
        <v>3.3175753457444799</v>
      </c>
      <c r="G76" s="3">
        <v>3.3607552632161499</v>
      </c>
      <c r="H76" s="3">
        <v>3.6864403383591502</v>
      </c>
      <c r="I76" s="3">
        <v>4.1500376605778104</v>
      </c>
      <c r="J76" s="3">
        <v>3.57633783722879</v>
      </c>
      <c r="K76" s="3">
        <v>2.49475527294614</v>
      </c>
      <c r="L76" s="3">
        <v>3.7409265388130302</v>
      </c>
      <c r="M76" s="3">
        <v>3.6345196168546701</v>
      </c>
      <c r="N76" s="3">
        <v>4.6165069072545899</v>
      </c>
      <c r="O76" s="3">
        <v>1.9489899842902201</v>
      </c>
      <c r="P76" s="3">
        <v>2.1806064557090798</v>
      </c>
      <c r="Q76" s="3">
        <v>4.2223177792485904</v>
      </c>
      <c r="R76" s="3">
        <v>3.27776425502184</v>
      </c>
      <c r="S76" s="3">
        <v>4.03006168795911</v>
      </c>
      <c r="T76" s="3">
        <v>4.68524514913413</v>
      </c>
      <c r="U76" s="3">
        <v>1.5819017213843201</v>
      </c>
      <c r="V76" s="3">
        <v>4.5808448089501201</v>
      </c>
    </row>
    <row r="77" spans="1:22" x14ac:dyDescent="0.35">
      <c r="A77" s="2">
        <v>43994</v>
      </c>
      <c r="B77" s="3">
        <v>2.2220454640990899</v>
      </c>
      <c r="C77" s="3">
        <v>3.2907122235980699</v>
      </c>
      <c r="D77" s="3">
        <v>3.2578378042777798</v>
      </c>
      <c r="E77" s="3">
        <v>2.03401804547849</v>
      </c>
      <c r="F77" s="3">
        <v>2.4369549004800501</v>
      </c>
      <c r="G77" s="3">
        <v>3.13293906105987</v>
      </c>
      <c r="H77" s="3">
        <v>3.0481821669753799</v>
      </c>
      <c r="I77" s="3">
        <v>3.9576605634984698</v>
      </c>
      <c r="J77" s="3">
        <v>3.0894610995986498</v>
      </c>
      <c r="K77" s="3">
        <v>2.2668479736011902</v>
      </c>
      <c r="L77" s="3">
        <v>2.9634014709945</v>
      </c>
      <c r="M77" s="3">
        <v>3.3981268655516801</v>
      </c>
      <c r="N77" s="3">
        <v>3.7337265579603298</v>
      </c>
      <c r="O77" s="3">
        <v>1.7136776079926399</v>
      </c>
      <c r="P77" s="3">
        <v>1.97491922549018</v>
      </c>
      <c r="Q77" s="3">
        <v>3.9377695811501501</v>
      </c>
      <c r="R77" s="3">
        <v>3.0024099173795098</v>
      </c>
      <c r="S77" s="3">
        <v>3.22668274091117</v>
      </c>
      <c r="T77" s="3">
        <v>4.3077223516441396</v>
      </c>
      <c r="U77" s="3">
        <v>1.37430442010346</v>
      </c>
      <c r="V77" s="3">
        <v>3.97232312259524</v>
      </c>
    </row>
    <row r="78" spans="1:22" x14ac:dyDescent="0.35">
      <c r="A78" s="2">
        <v>44026</v>
      </c>
      <c r="B78" s="3">
        <v>1.8640610960695101</v>
      </c>
      <c r="C78" s="3">
        <v>3.1737412535272398</v>
      </c>
      <c r="D78" s="3">
        <v>2.8531274663028898</v>
      </c>
      <c r="E78" s="3">
        <v>2.0855174772228202</v>
      </c>
      <c r="F78" s="3">
        <v>2.5370789115575598</v>
      </c>
      <c r="G78" s="3">
        <v>3.0940680587932099</v>
      </c>
      <c r="H78" s="3">
        <v>2.9957125108782101</v>
      </c>
      <c r="I78" s="3">
        <v>3.7026140632702802</v>
      </c>
      <c r="J78" s="3">
        <v>3.2097917757848702</v>
      </c>
      <c r="K78" s="3">
        <v>2.2243008887007298</v>
      </c>
      <c r="L78" s="3">
        <v>2.7356671094675602</v>
      </c>
      <c r="M78" s="3">
        <v>3.39279457621361</v>
      </c>
      <c r="N78" s="3">
        <v>3.7210042179978302</v>
      </c>
      <c r="O78" s="3">
        <v>1.5999267336460199</v>
      </c>
      <c r="P78" s="3">
        <v>1.77209058108287</v>
      </c>
      <c r="Q78" s="3">
        <v>3.7958774402256301</v>
      </c>
      <c r="R78" s="3">
        <v>3.06569352973065</v>
      </c>
      <c r="S78" s="3">
        <v>3.37235607189369</v>
      </c>
      <c r="T78" s="3">
        <v>4.6537108533931502</v>
      </c>
      <c r="U78" s="3">
        <v>1.38530063300379</v>
      </c>
      <c r="V78" s="3">
        <v>3.8762146326659499</v>
      </c>
    </row>
    <row r="79" spans="1:22" x14ac:dyDescent="0.35">
      <c r="A79" s="2">
        <v>44057</v>
      </c>
      <c r="B79" s="3">
        <v>1.9715519203932801</v>
      </c>
      <c r="C79" s="3">
        <v>3.3847896337883401</v>
      </c>
      <c r="D79" s="3">
        <v>2.7619264745055401</v>
      </c>
      <c r="E79" s="3">
        <v>2.06110934674623</v>
      </c>
      <c r="F79" s="3">
        <v>2.6714552827298101</v>
      </c>
      <c r="G79" s="3">
        <v>2.5684981051257201</v>
      </c>
      <c r="H79" s="3">
        <v>3.1459649632906799</v>
      </c>
      <c r="I79" s="3">
        <v>3.6692671453305299</v>
      </c>
      <c r="J79" s="3">
        <v>2.9460022993872501</v>
      </c>
      <c r="K79" s="3">
        <v>2.05147211136227</v>
      </c>
      <c r="L79" s="3">
        <v>2.7805668266378101</v>
      </c>
      <c r="M79" s="3">
        <v>3.3630421134441701</v>
      </c>
      <c r="N79" s="3">
        <v>3.5579871099390101</v>
      </c>
      <c r="O79" s="3">
        <v>1.5314231821181901</v>
      </c>
      <c r="P79" s="3">
        <v>1.8099558100323301</v>
      </c>
      <c r="Q79" s="3">
        <v>3.6540412409354301</v>
      </c>
      <c r="R79" s="3">
        <v>3.0811827207917699</v>
      </c>
      <c r="S79" s="3">
        <v>4.0342148159164299</v>
      </c>
      <c r="T79" s="3">
        <v>4.6085966534517704</v>
      </c>
      <c r="U79" s="3">
        <v>1.3673258628312599</v>
      </c>
      <c r="V79" s="3">
        <v>3.6474845280380301</v>
      </c>
    </row>
    <row r="80" spans="1:22" x14ac:dyDescent="0.35">
      <c r="A80" s="2">
        <v>44088</v>
      </c>
      <c r="B80" s="3">
        <v>1.9497674839827499</v>
      </c>
      <c r="C80" s="3">
        <v>3.82822708916627</v>
      </c>
      <c r="D80" s="3">
        <v>2.8093164139229798</v>
      </c>
      <c r="E80" s="3">
        <v>2.0683881192999398</v>
      </c>
      <c r="F80" s="3">
        <v>2.8900182449543101</v>
      </c>
      <c r="G80" s="3">
        <v>2.5389647519501599</v>
      </c>
      <c r="H80" s="3">
        <v>3.17806752446845</v>
      </c>
      <c r="I80" s="3">
        <v>3.8069992471557601</v>
      </c>
      <c r="J80" s="3">
        <v>3.21669806543134</v>
      </c>
      <c r="K80" s="3">
        <v>2.0923289378449299</v>
      </c>
      <c r="L80" s="3">
        <v>3.1968095976241102</v>
      </c>
      <c r="M80" s="3">
        <v>3.33920622523204</v>
      </c>
      <c r="N80" s="3">
        <v>3.4991385847664702</v>
      </c>
      <c r="O80" s="3">
        <v>1.5266176913237</v>
      </c>
      <c r="P80" s="3">
        <v>1.7697339387345301</v>
      </c>
      <c r="Q80" s="3">
        <v>3.5094325353125999</v>
      </c>
      <c r="R80" s="3">
        <v>3.1951077867092601</v>
      </c>
      <c r="S80" s="3">
        <v>4.43848023054856</v>
      </c>
      <c r="T80" s="3">
        <v>4.3774727011957504</v>
      </c>
      <c r="U80" s="3">
        <v>1.2964373352660401</v>
      </c>
      <c r="V80" s="3">
        <v>3.4015309151121098</v>
      </c>
    </row>
    <row r="81" spans="1:22" x14ac:dyDescent="0.35">
      <c r="A81" s="2">
        <v>44118</v>
      </c>
      <c r="B81" s="3">
        <v>1.9254950568496401</v>
      </c>
      <c r="C81" s="3">
        <v>3.82278436677487</v>
      </c>
      <c r="D81" s="3">
        <v>2.8155418279861801</v>
      </c>
      <c r="E81" s="3">
        <v>1.96900543287073</v>
      </c>
      <c r="F81" s="3">
        <v>3.24819778669199</v>
      </c>
      <c r="G81" s="3">
        <v>2.62401338613844</v>
      </c>
      <c r="H81" s="3">
        <v>3.2401709190152901</v>
      </c>
      <c r="I81" s="3">
        <v>3.8255880452898499</v>
      </c>
      <c r="J81" s="3">
        <v>3.3525342140041698</v>
      </c>
      <c r="K81" s="3">
        <v>2.11929809062653</v>
      </c>
      <c r="L81" s="3">
        <v>3.4281463387157101</v>
      </c>
      <c r="M81" s="3">
        <v>3.5291503525918899</v>
      </c>
      <c r="N81" s="3">
        <v>3.7368549985138499</v>
      </c>
      <c r="O81" s="3">
        <v>1.4840614792276801</v>
      </c>
      <c r="P81" s="3">
        <v>1.70511766966959</v>
      </c>
      <c r="Q81" s="3">
        <v>3.5123233774107301</v>
      </c>
      <c r="R81" s="3">
        <v>3.1146641137126001</v>
      </c>
      <c r="S81" s="3">
        <v>4.3817529608524302</v>
      </c>
      <c r="T81" s="3">
        <v>4.3748786519040497</v>
      </c>
      <c r="U81" s="3">
        <v>1.33536972254756</v>
      </c>
      <c r="V81" s="3">
        <v>3.2613770839774801</v>
      </c>
    </row>
    <row r="82" spans="1:22" x14ac:dyDescent="0.35">
      <c r="A82" s="2">
        <v>44148</v>
      </c>
      <c r="B82" s="3">
        <v>1.94726116844478</v>
      </c>
      <c r="C82" s="3">
        <v>3.4093291995414998</v>
      </c>
      <c r="D82" s="3">
        <v>2.5660654635806601</v>
      </c>
      <c r="E82" s="3">
        <v>1.65573658398506</v>
      </c>
      <c r="F82" s="3">
        <v>2.6291255374796698</v>
      </c>
      <c r="G82" s="3">
        <v>2.25918445586841</v>
      </c>
      <c r="H82" s="3">
        <v>3.3856647374200399</v>
      </c>
      <c r="I82" s="3">
        <v>3.8506803553787901</v>
      </c>
      <c r="J82" s="3">
        <v>3.3039534956623502</v>
      </c>
      <c r="K82" s="3">
        <v>2.0467025546327</v>
      </c>
      <c r="L82" s="3">
        <v>3.4469961668184799</v>
      </c>
      <c r="M82" s="3">
        <v>3.4523269067261002</v>
      </c>
      <c r="N82" s="3">
        <v>3.8123658116735402</v>
      </c>
      <c r="O82" s="3">
        <v>1.4674504772083901</v>
      </c>
      <c r="P82" s="3">
        <v>1.69852139673963</v>
      </c>
      <c r="Q82" s="3">
        <v>3.67110760707628</v>
      </c>
      <c r="R82" s="3">
        <v>2.9129806554905602</v>
      </c>
      <c r="S82" s="3">
        <v>3.97181443279083</v>
      </c>
      <c r="T82" s="3">
        <v>4.7327372011101803</v>
      </c>
      <c r="U82" s="3">
        <v>1.32185704645822</v>
      </c>
      <c r="V82" s="3">
        <v>3.4232024855276699</v>
      </c>
    </row>
    <row r="83" spans="1:22" x14ac:dyDescent="0.35">
      <c r="A83" s="2">
        <v>44179</v>
      </c>
      <c r="B83" s="3">
        <v>1.87212808283302</v>
      </c>
      <c r="C83" s="3">
        <v>3.3008828012751699</v>
      </c>
      <c r="D83" s="3">
        <v>2.2864832473718799</v>
      </c>
      <c r="E83" s="3">
        <v>1.66380971675815</v>
      </c>
      <c r="F83" s="3">
        <v>2.7673171552475799</v>
      </c>
      <c r="G83" s="3">
        <v>1.7944563406509899</v>
      </c>
      <c r="H83" s="3">
        <v>3.4880813756536302</v>
      </c>
      <c r="I83" s="3">
        <v>3.7095348550931999</v>
      </c>
      <c r="J83" s="3">
        <v>3.4478056931190602</v>
      </c>
      <c r="K83" s="3">
        <v>1.83393431134527</v>
      </c>
      <c r="L83" s="3">
        <v>3.4063333576464898</v>
      </c>
      <c r="M83" s="3">
        <v>3.84137845865158</v>
      </c>
      <c r="N83" s="3">
        <v>3.3492993905199802</v>
      </c>
      <c r="O83" s="3">
        <v>1.3613668146028099</v>
      </c>
      <c r="P83" s="3">
        <v>1.71832981875979</v>
      </c>
      <c r="Q83" s="3">
        <v>3.6122167061746602</v>
      </c>
      <c r="R83" s="3">
        <v>2.7484531497139399</v>
      </c>
      <c r="S83" s="3">
        <v>3.8095491977537099</v>
      </c>
      <c r="T83" s="3">
        <v>4.3637127927347796</v>
      </c>
      <c r="U83" s="3">
        <v>1.1682982690178501</v>
      </c>
      <c r="V83" s="3">
        <v>3.4938149801647498</v>
      </c>
    </row>
    <row r="84" spans="1:22" x14ac:dyDescent="0.35">
      <c r="A84" s="2">
        <v>44210</v>
      </c>
      <c r="B84" s="3">
        <v>1.6878431928808499</v>
      </c>
      <c r="C84" s="3">
        <v>3.0026222740114199</v>
      </c>
      <c r="D84" s="3">
        <v>2.21490918371543</v>
      </c>
      <c r="E84" s="3">
        <v>1.67703957578948</v>
      </c>
      <c r="F84" s="3">
        <v>2.85699372680123</v>
      </c>
      <c r="G84" s="3">
        <v>1.66189183448747</v>
      </c>
      <c r="H84" s="3">
        <v>3.6199174931874798</v>
      </c>
      <c r="I84" s="3">
        <v>3.4111200401101902</v>
      </c>
      <c r="J84" s="3">
        <v>3.3701097950271102</v>
      </c>
      <c r="K84" s="3">
        <v>1.6222117338689701</v>
      </c>
      <c r="L84" s="3">
        <v>3.3431376271689901</v>
      </c>
      <c r="M84" s="3">
        <v>3.8794816785619899</v>
      </c>
      <c r="N84" s="3">
        <v>3.24933147160234</v>
      </c>
      <c r="O84" s="3">
        <v>1.3008576250202799</v>
      </c>
      <c r="P84" s="3">
        <v>1.48761577565625</v>
      </c>
      <c r="Q84" s="3">
        <v>3.7352966898201401</v>
      </c>
      <c r="R84" s="3">
        <v>2.6666868209142498</v>
      </c>
      <c r="S84" s="3">
        <v>3.7015170760339902</v>
      </c>
      <c r="T84" s="3">
        <v>4.2849795544214304</v>
      </c>
      <c r="U84" s="3">
        <v>1.14204865702348</v>
      </c>
      <c r="V84" s="3">
        <v>3.4882302590089398</v>
      </c>
    </row>
    <row r="85" spans="1:22" x14ac:dyDescent="0.35">
      <c r="A85" s="2">
        <v>44239</v>
      </c>
      <c r="B85" s="3">
        <v>1.59207488690095</v>
      </c>
      <c r="C85" s="3">
        <v>3.0778821051930998</v>
      </c>
      <c r="D85" s="3">
        <v>2.43560489560419</v>
      </c>
      <c r="E85" s="3">
        <v>1.7680490819513199</v>
      </c>
      <c r="F85" s="3">
        <v>2.8440639984623401</v>
      </c>
      <c r="G85" s="3">
        <v>1.6996405348094199</v>
      </c>
      <c r="H85" s="3">
        <v>3.7939177898468399</v>
      </c>
      <c r="I85" s="3">
        <v>3.5503225440293802</v>
      </c>
      <c r="J85" s="3">
        <v>3.4813819543732398</v>
      </c>
      <c r="K85" s="3">
        <v>1.64409902096544</v>
      </c>
      <c r="L85" s="3">
        <v>3.7281651417450798</v>
      </c>
      <c r="M85" s="3">
        <v>3.7400544005200298</v>
      </c>
      <c r="N85" s="3">
        <v>3.3830511191934698</v>
      </c>
      <c r="O85" s="3">
        <v>1.31783394319182</v>
      </c>
      <c r="P85" s="3">
        <v>1.31769057755562</v>
      </c>
      <c r="Q85" s="3">
        <v>3.6986595040344601</v>
      </c>
      <c r="R85" s="3">
        <v>2.7458343241220802</v>
      </c>
      <c r="S85" s="3">
        <v>4.1779606231939601</v>
      </c>
      <c r="T85" s="3">
        <v>4.41669137551379</v>
      </c>
      <c r="U85" s="3">
        <v>1.25120708874714</v>
      </c>
      <c r="V85" s="3">
        <v>3.5271652198244299</v>
      </c>
    </row>
    <row r="86" spans="1:22" x14ac:dyDescent="0.35">
      <c r="A86" s="2">
        <v>44267</v>
      </c>
      <c r="B86" s="3">
        <v>1.85112538258586</v>
      </c>
      <c r="C86" s="3">
        <v>2.78342595192029</v>
      </c>
      <c r="D86" s="3">
        <v>2.5194201130265399</v>
      </c>
      <c r="E86" s="3">
        <v>1.83467969148008</v>
      </c>
      <c r="F86" s="3">
        <v>2.8811171685421102</v>
      </c>
      <c r="G86" s="3">
        <v>1.93498366136525</v>
      </c>
      <c r="H86" s="3">
        <v>3.9892536250728301</v>
      </c>
      <c r="I86" s="3">
        <v>3.6029077363037798</v>
      </c>
      <c r="J86" s="3">
        <v>3.3493470730979502</v>
      </c>
      <c r="K86" s="3">
        <v>1.6730118618610701</v>
      </c>
      <c r="L86" s="3">
        <v>4.2027338197228401</v>
      </c>
      <c r="M86" s="3">
        <v>3.79234344244278</v>
      </c>
      <c r="N86" s="3">
        <v>3.21035353706751</v>
      </c>
      <c r="O86" s="3">
        <v>1.3417962456827699</v>
      </c>
      <c r="P86" s="3">
        <v>1.4883310620997099</v>
      </c>
      <c r="Q86" s="3">
        <v>3.8909435174886302</v>
      </c>
      <c r="R86" s="3">
        <v>2.7394359593183002</v>
      </c>
      <c r="S86" s="3">
        <v>4.4501487053652999</v>
      </c>
      <c r="T86" s="3">
        <v>4.6136561957611404</v>
      </c>
      <c r="U86" s="3">
        <v>1.24021656731374</v>
      </c>
      <c r="V86" s="3">
        <v>3.4145760675501502</v>
      </c>
    </row>
    <row r="87" spans="1:22" x14ac:dyDescent="0.35">
      <c r="A87" s="2">
        <v>44300</v>
      </c>
      <c r="B87" s="3">
        <v>1.94289385408618</v>
      </c>
      <c r="C87" s="3">
        <v>3.0824659982654898</v>
      </c>
      <c r="D87" s="3">
        <v>2.7275090044665098</v>
      </c>
      <c r="E87" s="3">
        <v>1.95230121148054</v>
      </c>
      <c r="F87" s="3">
        <v>2.8943548718430399</v>
      </c>
      <c r="G87" s="3">
        <v>2.1501041999998902</v>
      </c>
      <c r="H87" s="3">
        <v>3.9963284329686202</v>
      </c>
      <c r="I87" s="3">
        <v>3.6997683196962101</v>
      </c>
      <c r="J87" s="3">
        <v>3.2234884058536801</v>
      </c>
      <c r="K87" s="3">
        <v>1.65754919687527</v>
      </c>
      <c r="L87" s="3">
        <v>4.5467677291210897</v>
      </c>
      <c r="M87" s="3">
        <v>4.1445769942570996</v>
      </c>
      <c r="N87" s="3">
        <v>3.3335900271556498</v>
      </c>
      <c r="O87" s="3">
        <v>1.40115216440109</v>
      </c>
      <c r="P87" s="3">
        <v>1.6036620112165301</v>
      </c>
      <c r="Q87" s="3">
        <v>3.74208556595954</v>
      </c>
      <c r="R87" s="3">
        <v>2.8730994018399101</v>
      </c>
      <c r="S87" s="3">
        <v>5.1915609259922704</v>
      </c>
      <c r="T87" s="3">
        <v>4.4622705673638396</v>
      </c>
      <c r="U87" s="3">
        <v>1.12508914236581</v>
      </c>
      <c r="V87" s="3">
        <v>3.3951464797987101</v>
      </c>
    </row>
    <row r="88" spans="1:22" x14ac:dyDescent="0.35">
      <c r="A88" s="2">
        <v>44330</v>
      </c>
      <c r="B88" s="3">
        <v>1.8989535220556599</v>
      </c>
      <c r="C88" s="3">
        <v>3.5672158250780401</v>
      </c>
      <c r="D88" s="3">
        <v>2.80489331252411</v>
      </c>
      <c r="E88" s="3">
        <v>2.04362057751147</v>
      </c>
      <c r="F88" s="3">
        <v>2.87834284393948</v>
      </c>
      <c r="G88" s="3">
        <v>2.2196443117414999</v>
      </c>
      <c r="H88" s="3">
        <v>4.0417440779596596</v>
      </c>
      <c r="I88" s="3">
        <v>4.2632087525386702</v>
      </c>
      <c r="J88" s="3">
        <v>3.1415942131657899</v>
      </c>
      <c r="K88" s="3">
        <v>1.7544705770614</v>
      </c>
      <c r="L88" s="3">
        <v>4.78980438872689</v>
      </c>
      <c r="M88" s="3">
        <v>4.4159224634844696</v>
      </c>
      <c r="N88" s="3">
        <v>3.0938648035430201</v>
      </c>
      <c r="O88" s="3">
        <v>1.4191872670107699</v>
      </c>
      <c r="P88" s="3">
        <v>1.73122016130114</v>
      </c>
      <c r="Q88" s="3">
        <v>3.7631942544041301</v>
      </c>
      <c r="R88" s="3">
        <v>2.9404069251274199</v>
      </c>
      <c r="S88" s="3">
        <v>5.2930116746637301</v>
      </c>
      <c r="T88" s="3">
        <v>4.5162977436137597</v>
      </c>
      <c r="U88" s="3">
        <v>1.2190198684926601</v>
      </c>
      <c r="V88" s="3">
        <v>3.3196181299829699</v>
      </c>
    </row>
    <row r="89" spans="1:22" x14ac:dyDescent="0.35">
      <c r="A89" s="2">
        <v>44361</v>
      </c>
      <c r="B89" s="3">
        <v>1.8214577799495999</v>
      </c>
      <c r="C89" s="3">
        <v>3.78904311992989</v>
      </c>
      <c r="D89" s="3">
        <v>2.8150085883716298</v>
      </c>
      <c r="E89" s="3">
        <v>1.8878082776435601</v>
      </c>
      <c r="F89" s="3">
        <v>2.9713744431526998</v>
      </c>
      <c r="G89" s="3">
        <v>2.6985026487654</v>
      </c>
      <c r="H89" s="3">
        <v>4.0889516994010897</v>
      </c>
      <c r="I89" s="3">
        <v>4.0214668342143902</v>
      </c>
      <c r="J89" s="3">
        <v>3.1046193072595698</v>
      </c>
      <c r="K89" s="3">
        <v>1.6766506120840401</v>
      </c>
      <c r="L89" s="3">
        <v>4.6335973823721304</v>
      </c>
      <c r="M89" s="3">
        <v>4.1315193842755704</v>
      </c>
      <c r="N89" s="3">
        <v>2.95854733576836</v>
      </c>
      <c r="O89" s="3">
        <v>1.38157012015208</v>
      </c>
      <c r="P89" s="3">
        <v>1.6216394224489901</v>
      </c>
      <c r="Q89" s="3">
        <v>3.8164162534392001</v>
      </c>
      <c r="R89" s="3">
        <v>2.79344382972126</v>
      </c>
      <c r="S89" s="3">
        <v>5.4242403374877197</v>
      </c>
      <c r="T89" s="3">
        <v>4.3203828002820703</v>
      </c>
      <c r="U89" s="3">
        <v>1.15878856350187</v>
      </c>
      <c r="V89" s="3">
        <v>3.19214394608984</v>
      </c>
    </row>
    <row r="90" spans="1:22" x14ac:dyDescent="0.35">
      <c r="A90" s="2">
        <v>44391</v>
      </c>
      <c r="B90" s="3">
        <v>1.85026521660104</v>
      </c>
      <c r="C90" s="3">
        <v>4.2563558471124399</v>
      </c>
      <c r="D90" s="3">
        <v>3.1124917973752102</v>
      </c>
      <c r="E90" s="3">
        <v>1.94440707807609</v>
      </c>
      <c r="F90" s="3">
        <v>3.06162281690106</v>
      </c>
      <c r="G90" s="3">
        <v>2.9490892856697899</v>
      </c>
      <c r="H90" s="3">
        <v>4.2622307470405403</v>
      </c>
      <c r="I90" s="3">
        <v>4.0167818455569</v>
      </c>
      <c r="J90" s="3">
        <v>3.1675078457591099</v>
      </c>
      <c r="K90" s="3">
        <v>1.69033768523892</v>
      </c>
      <c r="L90" s="3">
        <v>5.1286268223794202</v>
      </c>
      <c r="M90" s="3">
        <v>4.4646254496251503</v>
      </c>
      <c r="N90" s="3">
        <v>3.1936529168830901</v>
      </c>
      <c r="O90" s="3">
        <v>1.38937113551499</v>
      </c>
      <c r="P90" s="3">
        <v>1.68515946674902</v>
      </c>
      <c r="Q90" s="3">
        <v>3.8676815642696698</v>
      </c>
      <c r="R90" s="3">
        <v>2.9407747091745402</v>
      </c>
      <c r="S90" s="3">
        <v>5.7817536468090003</v>
      </c>
      <c r="T90" s="3">
        <v>4.6749414496505501</v>
      </c>
      <c r="U90" s="3">
        <v>1.44010240249747</v>
      </c>
      <c r="V90" s="3">
        <v>3.2830972231323998</v>
      </c>
    </row>
    <row r="91" spans="1:22" x14ac:dyDescent="0.35">
      <c r="A91" s="2">
        <v>44421</v>
      </c>
      <c r="B91" s="3">
        <v>1.95634677136337</v>
      </c>
      <c r="C91" s="3">
        <v>4.6464241521627798</v>
      </c>
      <c r="D91" s="3">
        <v>3.0412600383484998</v>
      </c>
      <c r="E91" s="3">
        <v>2.08841519130329</v>
      </c>
      <c r="F91" s="3">
        <v>2.9395500786167399</v>
      </c>
      <c r="G91" s="3">
        <v>3.4456367368415499</v>
      </c>
      <c r="H91" s="3">
        <v>4.2402950239790798</v>
      </c>
      <c r="I91" s="3">
        <v>4.3094152455736197</v>
      </c>
      <c r="J91" s="3">
        <v>3.1502574588891501</v>
      </c>
      <c r="K91" s="3">
        <v>1.7941463352437099</v>
      </c>
      <c r="L91" s="3">
        <v>5.6476893993045802</v>
      </c>
      <c r="M91" s="3">
        <v>4.5191810034740598</v>
      </c>
      <c r="N91" s="3">
        <v>3.0699704094513902</v>
      </c>
      <c r="O91" s="3">
        <v>1.3477505822067799</v>
      </c>
      <c r="P91" s="3">
        <v>1.8684491758881401</v>
      </c>
      <c r="Q91" s="3">
        <v>3.8919289380202802</v>
      </c>
      <c r="R91" s="3">
        <v>3.0136866671162399</v>
      </c>
      <c r="S91" s="3">
        <v>5.8985156947864503</v>
      </c>
      <c r="T91" s="3">
        <v>4.5483604630987102</v>
      </c>
      <c r="U91" s="3">
        <v>1.39908976896545</v>
      </c>
      <c r="V91" s="3">
        <v>3.1193170830674801</v>
      </c>
    </row>
    <row r="92" spans="1:22" x14ac:dyDescent="0.35">
      <c r="A92" s="2">
        <v>44453</v>
      </c>
      <c r="B92" s="3">
        <v>1.95945582305481</v>
      </c>
      <c r="C92" s="3">
        <v>4.6246190817731199</v>
      </c>
      <c r="D92" s="3">
        <v>3.07853395176762</v>
      </c>
      <c r="E92" s="3">
        <v>1.87832352647471</v>
      </c>
      <c r="F92" s="3">
        <v>2.9190504625894498</v>
      </c>
      <c r="G92" s="3">
        <v>3.5980365129376999</v>
      </c>
      <c r="H92" s="3">
        <v>4.1069878880369703</v>
      </c>
      <c r="I92" s="3">
        <v>4.2142576523396196</v>
      </c>
      <c r="J92" s="3">
        <v>3.12335836984284</v>
      </c>
      <c r="K92" s="3">
        <v>1.8281098603996999</v>
      </c>
      <c r="L92" s="3">
        <v>6.2580528324231999</v>
      </c>
      <c r="M92" s="3">
        <v>5.0681343753050703</v>
      </c>
      <c r="N92" s="3">
        <v>2.9945943070075298</v>
      </c>
      <c r="O92" s="3">
        <v>1.28188239519363</v>
      </c>
      <c r="P92" s="3">
        <v>1.8988609240152901</v>
      </c>
      <c r="Q92" s="3">
        <v>4.0844788300266304</v>
      </c>
      <c r="R92" s="3">
        <v>2.8477855991073802</v>
      </c>
      <c r="S92" s="3">
        <v>5.9162219799817599</v>
      </c>
      <c r="T92" s="3">
        <v>4.2934234689913904</v>
      </c>
      <c r="U92" s="3">
        <v>1.3918950918526301</v>
      </c>
      <c r="V92" s="3">
        <v>3.08012973857603</v>
      </c>
    </row>
    <row r="93" spans="1:22" x14ac:dyDescent="0.35">
      <c r="A93" s="2">
        <v>44483</v>
      </c>
      <c r="B93" s="3">
        <v>1.99341852267285</v>
      </c>
      <c r="C93" s="3">
        <v>5.1475137457759299</v>
      </c>
      <c r="D93" s="3">
        <v>2.8503901991907798</v>
      </c>
      <c r="E93" s="3">
        <v>1.7947186415818801</v>
      </c>
      <c r="F93" s="3">
        <v>2.9444726853232099</v>
      </c>
      <c r="G93" s="3">
        <v>3.5586431509949499</v>
      </c>
      <c r="H93" s="3">
        <v>3.8985994547257001</v>
      </c>
      <c r="I93" s="3">
        <v>4.5618174591957796</v>
      </c>
      <c r="J93" s="3">
        <v>3.32072580641508</v>
      </c>
      <c r="K93" s="3">
        <v>1.9572570728241701</v>
      </c>
      <c r="L93" s="3">
        <v>6.5976279737780104</v>
      </c>
      <c r="M93" s="3">
        <v>4.7474461322088697</v>
      </c>
      <c r="N93" s="3">
        <v>3.0858429158143901</v>
      </c>
      <c r="O93" s="3">
        <v>1.25343702756574</v>
      </c>
      <c r="P93" s="3">
        <v>1.94002718568553</v>
      </c>
      <c r="Q93" s="3">
        <v>3.8283776142013002</v>
      </c>
      <c r="R93" s="3">
        <v>2.82648853713135</v>
      </c>
      <c r="S93" s="3">
        <v>6.0495861587304098</v>
      </c>
      <c r="T93" s="3">
        <v>4.1613702327233497</v>
      </c>
      <c r="U93" s="3">
        <v>1.4272229761998501</v>
      </c>
      <c r="V93" s="3">
        <v>2.8648663271791901</v>
      </c>
    </row>
    <row r="94" spans="1:22" x14ac:dyDescent="0.35">
      <c r="A94" s="2">
        <v>44512</v>
      </c>
      <c r="B94" s="3">
        <v>1.9899364591059401</v>
      </c>
      <c r="C94" s="3">
        <v>4.6117957175662898</v>
      </c>
      <c r="D94" s="3">
        <v>3.0041466294227801</v>
      </c>
      <c r="E94" s="3">
        <v>1.7427185513576799</v>
      </c>
      <c r="F94" s="3">
        <v>3.07321249115371</v>
      </c>
      <c r="G94" s="3">
        <v>3.5986707590048401</v>
      </c>
      <c r="H94" s="3">
        <v>3.9663685805639801</v>
      </c>
      <c r="I94" s="3">
        <v>4.2951684209933196</v>
      </c>
      <c r="J94" s="3">
        <v>3.4834779746874101</v>
      </c>
      <c r="K94" s="3">
        <v>1.9835365942656999</v>
      </c>
      <c r="L94" s="3">
        <v>7.5066547859302899</v>
      </c>
      <c r="M94" s="3">
        <v>4.5848614279972004</v>
      </c>
      <c r="N94" s="3">
        <v>2.95786515659004</v>
      </c>
      <c r="O94" s="3">
        <v>1.3228975371098901</v>
      </c>
      <c r="P94" s="3">
        <v>1.93290496353968</v>
      </c>
      <c r="Q94" s="3">
        <v>3.7760299458672999</v>
      </c>
      <c r="R94" s="3">
        <v>2.81513472168505</v>
      </c>
      <c r="S94" s="3">
        <v>5.3717677016575003</v>
      </c>
      <c r="T94" s="3">
        <v>3.8325968142453801</v>
      </c>
      <c r="U94" s="3">
        <v>1.3101826875326099</v>
      </c>
      <c r="V94" s="3">
        <v>2.98119452329047</v>
      </c>
    </row>
    <row r="95" spans="1:22" x14ac:dyDescent="0.35">
      <c r="A95" s="2">
        <v>44544</v>
      </c>
      <c r="B95" s="3">
        <v>1.9331225145961</v>
      </c>
      <c r="C95" s="3">
        <v>5.4359984621658297</v>
      </c>
      <c r="D95" s="3">
        <v>3.1572278396186602</v>
      </c>
      <c r="E95" s="3">
        <v>1.7652767185596401</v>
      </c>
      <c r="F95" s="3">
        <v>3.3867029706295599</v>
      </c>
      <c r="G95" s="3">
        <v>4.3231847974945197</v>
      </c>
      <c r="H95" s="3">
        <v>3.9504294486307399</v>
      </c>
      <c r="I95" s="3">
        <v>4.2782766865071702</v>
      </c>
      <c r="J95" s="3">
        <v>3.4926861614316098</v>
      </c>
      <c r="K95" s="3">
        <v>1.94259150510812</v>
      </c>
      <c r="L95" s="3">
        <v>7.53554098365702</v>
      </c>
      <c r="M95" s="3">
        <v>4.6823890972737301</v>
      </c>
      <c r="N95" s="3">
        <v>3.2471762288264201</v>
      </c>
      <c r="O95" s="3">
        <v>1.36317413598227</v>
      </c>
      <c r="P95" s="3">
        <v>2.11381095217906</v>
      </c>
      <c r="Q95" s="3">
        <v>3.96327798729856</v>
      </c>
      <c r="R95" s="3">
        <v>2.8960388748655799</v>
      </c>
      <c r="S95" s="3">
        <v>4.4522893367682297</v>
      </c>
      <c r="T95" s="3">
        <v>4.1038471162111501</v>
      </c>
      <c r="U95" s="3">
        <v>1.5197808076436099</v>
      </c>
      <c r="V95" s="3">
        <v>3.2920962572776702</v>
      </c>
    </row>
    <row r="96" spans="1:22" x14ac:dyDescent="0.35">
      <c r="A96" s="2">
        <v>44575</v>
      </c>
      <c r="B96" s="3">
        <v>2.09493966759368</v>
      </c>
      <c r="C96" s="3">
        <v>4.7887275787600601</v>
      </c>
      <c r="D96" s="3">
        <v>3.1185505641767199</v>
      </c>
      <c r="E96" s="3">
        <v>1.79100317071483</v>
      </c>
      <c r="F96" s="3">
        <v>3.0415293767492</v>
      </c>
      <c r="G96" s="3">
        <v>3.7061702978175401</v>
      </c>
      <c r="H96" s="3">
        <v>3.7455697108389701</v>
      </c>
      <c r="I96" s="3">
        <v>4.1961551281595701</v>
      </c>
      <c r="J96" s="3">
        <v>3.3872518911807501</v>
      </c>
      <c r="K96" s="3">
        <v>2.0004166781674702</v>
      </c>
      <c r="L96" s="3">
        <v>7.2214784857832797</v>
      </c>
      <c r="M96" s="3">
        <v>4.4331254194778502</v>
      </c>
      <c r="N96" s="3">
        <v>3.09709896566791</v>
      </c>
      <c r="O96" s="3">
        <v>1.31059071133936</v>
      </c>
      <c r="P96" s="3">
        <v>2.12923435215765</v>
      </c>
      <c r="Q96" s="3">
        <v>3.8739423554058701</v>
      </c>
      <c r="R96" s="3">
        <v>2.8231452183413399</v>
      </c>
      <c r="S96" s="3">
        <v>5.0815118314114596</v>
      </c>
      <c r="T96" s="3">
        <v>4.38239652989179</v>
      </c>
      <c r="U96" s="3">
        <v>1.58226036322593</v>
      </c>
      <c r="V96" s="3">
        <v>3.03524780574755</v>
      </c>
    </row>
    <row r="97" spans="1:22" x14ac:dyDescent="0.35">
      <c r="A97" s="2">
        <v>44606</v>
      </c>
      <c r="B97" s="3">
        <v>2.23391286095067</v>
      </c>
      <c r="C97" s="3">
        <v>4.7667088762474803</v>
      </c>
      <c r="D97" s="3">
        <v>3.1508821334496102</v>
      </c>
      <c r="E97" s="3">
        <v>1.82214914733783</v>
      </c>
      <c r="F97" s="3">
        <v>3.3772600846667</v>
      </c>
      <c r="G97" s="3">
        <v>3.5509434442294801</v>
      </c>
      <c r="H97" s="3">
        <v>3.74528679828355</v>
      </c>
      <c r="I97" s="3">
        <v>4.3405723458654402</v>
      </c>
      <c r="J97" s="3">
        <v>3.6424506768058</v>
      </c>
      <c r="K97" s="3">
        <v>2.2423379026718702</v>
      </c>
      <c r="L97" s="3">
        <v>6.7567606114206704</v>
      </c>
      <c r="M97" s="3">
        <v>4.3715634229366298</v>
      </c>
      <c r="N97" s="3">
        <v>2.9419374749677298</v>
      </c>
      <c r="O97" s="3">
        <v>1.4796950520876599</v>
      </c>
      <c r="P97" s="3">
        <v>2.1981040782390302</v>
      </c>
      <c r="Q97" s="3">
        <v>3.88284395881628</v>
      </c>
      <c r="R97" s="3">
        <v>2.8779897303414499</v>
      </c>
      <c r="S97" s="3">
        <v>5.9410020259974203</v>
      </c>
      <c r="T97" s="3">
        <v>4.2390230378576899</v>
      </c>
      <c r="U97" s="3">
        <v>1.7066788177127801</v>
      </c>
      <c r="V97" s="3">
        <v>3.0506782818929001</v>
      </c>
    </row>
    <row r="98" spans="1:22" x14ac:dyDescent="0.35">
      <c r="A98" s="2">
        <v>44634</v>
      </c>
      <c r="B98" s="3">
        <v>2.4230062095268998</v>
      </c>
      <c r="C98" s="3">
        <v>4.8971593495427301</v>
      </c>
      <c r="D98" s="3">
        <v>3.19112527309212</v>
      </c>
      <c r="E98" s="3">
        <v>2.04317152690987</v>
      </c>
      <c r="F98" s="3">
        <v>3.7520684101957902</v>
      </c>
      <c r="G98" s="3">
        <v>3.5313780328825799</v>
      </c>
      <c r="H98" s="3">
        <v>3.85582351006614</v>
      </c>
      <c r="I98" s="3">
        <v>4.5464189524674801</v>
      </c>
      <c r="J98" s="3">
        <v>3.6356741038804401</v>
      </c>
      <c r="K98" s="3">
        <v>2.29323951346062</v>
      </c>
      <c r="L98" s="3">
        <v>8.9833896982558308</v>
      </c>
      <c r="M98" s="3">
        <v>4.5237564954680103</v>
      </c>
      <c r="N98" s="3">
        <v>3.3578930891353198</v>
      </c>
      <c r="O98" s="3">
        <v>1.4949387465206501</v>
      </c>
      <c r="P98" s="3">
        <v>2.9524372786166202</v>
      </c>
      <c r="Q98" s="3">
        <v>3.7025510539781599</v>
      </c>
      <c r="R98" s="3">
        <v>2.9471955124912999</v>
      </c>
      <c r="S98" s="3">
        <v>6.1089372882136104</v>
      </c>
      <c r="T98" s="3">
        <v>3.7166290000354598</v>
      </c>
      <c r="U98" s="3">
        <v>1.8830493092176901</v>
      </c>
      <c r="V98" s="3">
        <v>2.94859323362813</v>
      </c>
    </row>
    <row r="99" spans="1:22" x14ac:dyDescent="0.35">
      <c r="A99" s="2">
        <v>44665</v>
      </c>
      <c r="B99" s="3">
        <v>2.4277833258522898</v>
      </c>
      <c r="C99" s="3">
        <v>4.8000058531561702</v>
      </c>
      <c r="D99" s="3">
        <v>3.3695486073320402</v>
      </c>
      <c r="E99" s="3">
        <v>2.0830475510508402</v>
      </c>
      <c r="F99" s="3">
        <v>3.4711258591655101</v>
      </c>
      <c r="G99" s="3">
        <v>3.8048472368139499</v>
      </c>
      <c r="H99" s="3">
        <v>3.8098588859317601</v>
      </c>
      <c r="I99" s="3">
        <v>4.60924668661018</v>
      </c>
      <c r="J99" s="3">
        <v>3.52425221076254</v>
      </c>
      <c r="K99" s="3">
        <v>2.2474830474713401</v>
      </c>
      <c r="L99" s="3">
        <v>8.5996087106486492</v>
      </c>
      <c r="M99" s="3">
        <v>4.6134965561635397</v>
      </c>
      <c r="N99" s="3">
        <v>3.1445814698583199</v>
      </c>
      <c r="O99" s="3">
        <v>1.4530312819906701</v>
      </c>
      <c r="P99" s="3">
        <v>2.59497526753603</v>
      </c>
      <c r="Q99" s="3">
        <v>3.6504392102657199</v>
      </c>
      <c r="R99" s="3">
        <v>2.9810878139856101</v>
      </c>
      <c r="S99" s="3">
        <v>5.1992056615184197</v>
      </c>
      <c r="T99" s="3">
        <v>3.45886645369584</v>
      </c>
      <c r="U99" s="3">
        <v>1.61493566621981</v>
      </c>
      <c r="V99" s="3">
        <v>2.7463912453647099</v>
      </c>
    </row>
    <row r="100" spans="1:22" x14ac:dyDescent="0.35">
      <c r="A100" s="2">
        <v>44694</v>
      </c>
      <c r="B100" s="3">
        <v>2.47658443373165</v>
      </c>
      <c r="C100" s="3">
        <v>5.3574084176051198</v>
      </c>
      <c r="D100" s="3">
        <v>3.5858191934451602</v>
      </c>
      <c r="E100" s="3">
        <v>2.46111608573564</v>
      </c>
      <c r="F100" s="3">
        <v>4.0359726617152401</v>
      </c>
      <c r="G100" s="3">
        <v>4.5416312918777502</v>
      </c>
      <c r="H100" s="3">
        <v>3.9944026648425801</v>
      </c>
      <c r="I100" s="3">
        <v>4.9369722892462899</v>
      </c>
      <c r="J100" s="3">
        <v>3.8249617722214202</v>
      </c>
      <c r="K100" s="3">
        <v>2.36847277423169</v>
      </c>
      <c r="L100" s="3">
        <v>9.1438494007289499</v>
      </c>
      <c r="M100" s="3">
        <v>4.9366675255962003</v>
      </c>
      <c r="N100" s="3">
        <v>3.6015975408557801</v>
      </c>
      <c r="O100" s="3">
        <v>1.7077201613258399</v>
      </c>
      <c r="P100" s="3">
        <v>2.6547989862368202</v>
      </c>
      <c r="Q100" s="3">
        <v>3.9806442205207602</v>
      </c>
      <c r="R100" s="3">
        <v>3.1314659053168401</v>
      </c>
      <c r="S100" s="3">
        <v>5.4792414527483899</v>
      </c>
      <c r="T100" s="3">
        <v>3.9349673459878698</v>
      </c>
      <c r="U100" s="3">
        <v>1.8918359455923</v>
      </c>
      <c r="V100" s="3">
        <v>2.8204465220797599</v>
      </c>
    </row>
    <row r="101" spans="1:22" x14ac:dyDescent="0.35">
      <c r="A101" s="2">
        <v>44726</v>
      </c>
      <c r="B101" s="3">
        <v>2.3603926417293701</v>
      </c>
      <c r="C101" s="3">
        <v>6.8089783062257903</v>
      </c>
      <c r="D101" s="3">
        <v>3.5318099339479199</v>
      </c>
      <c r="E101" s="3">
        <v>2.2648147098646501</v>
      </c>
      <c r="F101" s="3">
        <v>4.3336346033356703</v>
      </c>
      <c r="G101" s="3">
        <v>4.9377410906089496</v>
      </c>
      <c r="H101" s="3">
        <v>4.1107132349188502</v>
      </c>
      <c r="I101" s="3">
        <v>4.8187638774136996</v>
      </c>
      <c r="J101" s="3">
        <v>4.1173309449498303</v>
      </c>
      <c r="K101" s="3">
        <v>2.4753526833574702</v>
      </c>
      <c r="L101" s="3">
        <v>10.6932290588309</v>
      </c>
      <c r="M101" s="3">
        <v>5.3117898357620303</v>
      </c>
      <c r="N101" s="3">
        <v>4.1809657989191003</v>
      </c>
      <c r="O101" s="3">
        <v>1.6844248066699801</v>
      </c>
      <c r="P101" s="3">
        <v>2.43763667558563</v>
      </c>
      <c r="Q101" s="3">
        <v>4.3696335512207396</v>
      </c>
      <c r="R101" s="3">
        <v>3.1022938819985102</v>
      </c>
      <c r="S101" s="3">
        <v>5.4917336789171198</v>
      </c>
      <c r="T101" s="3">
        <v>4.2293378653266203</v>
      </c>
      <c r="U101" s="3">
        <v>1.86017490229316</v>
      </c>
      <c r="V101" s="3">
        <v>3.0768639782674199</v>
      </c>
    </row>
    <row r="102" spans="1:22" x14ac:dyDescent="0.35">
      <c r="A102" s="2">
        <v>44756</v>
      </c>
      <c r="B102" s="3">
        <v>2.3452810221633902</v>
      </c>
      <c r="C102" s="3">
        <v>7.7470339313856798</v>
      </c>
      <c r="D102" s="3">
        <v>3.75618866752286</v>
      </c>
      <c r="E102" s="3">
        <v>2.4595259823996001</v>
      </c>
      <c r="F102" s="3">
        <v>4.2514982687769303</v>
      </c>
      <c r="G102" s="3">
        <v>5.5867666891505703</v>
      </c>
      <c r="H102" s="3">
        <v>4.2533258351029897</v>
      </c>
      <c r="I102" s="3">
        <v>5.3258661372924001</v>
      </c>
      <c r="J102" s="3">
        <v>4.1202765674247601</v>
      </c>
      <c r="K102" s="3">
        <v>2.6767553147355101</v>
      </c>
      <c r="L102" s="3">
        <v>11.680327763720999</v>
      </c>
      <c r="M102" s="3">
        <v>5.1746966808034198</v>
      </c>
      <c r="N102" s="3">
        <v>4.4061771893083703</v>
      </c>
      <c r="O102" s="3">
        <v>1.6589795264225999</v>
      </c>
      <c r="P102" s="3">
        <v>2.4694101523390701</v>
      </c>
      <c r="Q102" s="3">
        <v>4.3988671010941696</v>
      </c>
      <c r="R102" s="3">
        <v>3.2172860886391401</v>
      </c>
      <c r="S102" s="3">
        <v>6.2928990340255302</v>
      </c>
      <c r="T102" s="3">
        <v>4.3973157126090898</v>
      </c>
      <c r="U102" s="3">
        <v>1.9131717956151999</v>
      </c>
      <c r="V102" s="3">
        <v>3.4559947907258701</v>
      </c>
    </row>
    <row r="103" spans="1:22" x14ac:dyDescent="0.35">
      <c r="A103" s="2">
        <v>44785</v>
      </c>
      <c r="B103" s="3">
        <v>2.3740640824355301</v>
      </c>
      <c r="C103" s="3">
        <v>6.9949329344672098</v>
      </c>
      <c r="D103" s="3">
        <v>3.61590269540191</v>
      </c>
      <c r="E103" s="3">
        <v>2.2676558918135701</v>
      </c>
      <c r="F103" s="3">
        <v>4.1562466053638696</v>
      </c>
      <c r="G103" s="3">
        <v>5.00631987208941</v>
      </c>
      <c r="H103" s="3">
        <v>4.0286756121152303</v>
      </c>
      <c r="I103" s="3">
        <v>4.9396560646413796</v>
      </c>
      <c r="J103" s="3">
        <v>3.9350274965817298</v>
      </c>
      <c r="K103" s="3">
        <v>2.4693062521627098</v>
      </c>
      <c r="L103" s="3">
        <v>10.5424071592444</v>
      </c>
      <c r="M103" s="3">
        <v>4.8195910367449502</v>
      </c>
      <c r="N103" s="3">
        <v>3.9852960878911001</v>
      </c>
      <c r="O103" s="3">
        <v>1.4669774275894301</v>
      </c>
      <c r="P103" s="3">
        <v>2.5491563753127</v>
      </c>
      <c r="Q103" s="3">
        <v>3.7699087688683002</v>
      </c>
      <c r="R103" s="3">
        <v>3.1079791433055202</v>
      </c>
      <c r="S103" s="3">
        <v>5.1099450219890299</v>
      </c>
      <c r="T103" s="3">
        <v>3.9885054843488899</v>
      </c>
      <c r="U103" s="3">
        <v>1.86282443918608</v>
      </c>
      <c r="V103" s="3">
        <v>3.0755738400291999</v>
      </c>
    </row>
    <row r="104" spans="1:22" x14ac:dyDescent="0.35">
      <c r="A104" s="2">
        <v>44818</v>
      </c>
      <c r="B104" s="3">
        <v>2.4924723935204902</v>
      </c>
      <c r="C104" s="3">
        <v>6.36586918549167</v>
      </c>
      <c r="D104" s="3">
        <v>3.5476492220003699</v>
      </c>
      <c r="E104" s="3">
        <v>2.3194043095146402</v>
      </c>
      <c r="F104" s="3">
        <v>4.5511724040498596</v>
      </c>
      <c r="G104" s="3">
        <v>4.9904769459295597</v>
      </c>
      <c r="H104" s="3">
        <v>4.1978180962896001</v>
      </c>
      <c r="I104" s="3">
        <v>5.0719576592084996</v>
      </c>
      <c r="J104" s="3">
        <v>4.1223094919073802</v>
      </c>
      <c r="K104" s="3">
        <v>2.6386996433512699</v>
      </c>
      <c r="L104" s="3">
        <v>10.444911257966201</v>
      </c>
      <c r="M104" s="3">
        <v>5.2059425140177398</v>
      </c>
      <c r="N104" s="3">
        <v>4.4873812928541996</v>
      </c>
      <c r="O104" s="3">
        <v>1.46493695048086</v>
      </c>
      <c r="P104" s="3">
        <v>2.5774389943180802</v>
      </c>
      <c r="Q104" s="3">
        <v>3.93432547207864</v>
      </c>
      <c r="R104" s="3">
        <v>3.0519735517887798</v>
      </c>
      <c r="S104" s="3">
        <v>4.5957243703197799</v>
      </c>
      <c r="T104" s="3">
        <v>4.2172174863404903</v>
      </c>
      <c r="U104" s="3">
        <v>1.97495304018128</v>
      </c>
      <c r="V104" s="3">
        <v>3.2950981647540298</v>
      </c>
    </row>
    <row r="105" spans="1:22" x14ac:dyDescent="0.35">
      <c r="A105" s="2">
        <v>44848</v>
      </c>
      <c r="B105" s="3">
        <v>2.6583583165143398</v>
      </c>
      <c r="C105" s="3">
        <v>7.3760294402944302</v>
      </c>
      <c r="D105" s="3">
        <v>3.90225412061347</v>
      </c>
      <c r="E105" s="3">
        <v>2.7057234832767501</v>
      </c>
      <c r="F105" s="3">
        <v>5.2570245023034596</v>
      </c>
      <c r="G105" s="3">
        <v>4.9858076372538198</v>
      </c>
      <c r="H105" s="3">
        <v>4.4736466749286601</v>
      </c>
      <c r="I105" s="3">
        <v>5.3401266386488304</v>
      </c>
      <c r="J105" s="3">
        <v>4.1894886916568996</v>
      </c>
      <c r="K105" s="3">
        <v>2.7801325818205198</v>
      </c>
      <c r="L105" s="3">
        <v>9.6687402937933609</v>
      </c>
      <c r="M105" s="3">
        <v>5.6122952858180604</v>
      </c>
      <c r="N105" s="3">
        <v>4.5049389938466904</v>
      </c>
      <c r="O105" s="3">
        <v>1.5434544808578301</v>
      </c>
      <c r="P105" s="3">
        <v>2.9289382957346501</v>
      </c>
      <c r="Q105" s="3">
        <v>3.98589106043412</v>
      </c>
      <c r="R105" s="3">
        <v>3.2290953770594002</v>
      </c>
      <c r="S105" s="3">
        <v>5.2419269808796196</v>
      </c>
      <c r="T105" s="3">
        <v>4.4184482892935701</v>
      </c>
      <c r="U105" s="3">
        <v>2.4582713177333</v>
      </c>
      <c r="V105" s="3">
        <v>3.43994390554264</v>
      </c>
    </row>
    <row r="106" spans="1:22" x14ac:dyDescent="0.35">
      <c r="A106" s="2">
        <v>44879</v>
      </c>
      <c r="B106" s="3">
        <v>2.6115006897562698</v>
      </c>
      <c r="C106" s="3">
        <v>8.5800542182339097</v>
      </c>
      <c r="D106" s="3">
        <v>3.9147362325895001</v>
      </c>
      <c r="E106" s="3">
        <v>2.5220793885850998</v>
      </c>
      <c r="F106" s="3">
        <v>4.1543899257321399</v>
      </c>
      <c r="G106" s="3">
        <v>3.6799587269804999</v>
      </c>
      <c r="H106" s="3">
        <v>4.2295222483259396</v>
      </c>
      <c r="I106" s="3">
        <v>4.5892599284270696</v>
      </c>
      <c r="J106" s="3">
        <v>3.6542650837542698</v>
      </c>
      <c r="K106" s="3">
        <v>2.4799217442993302</v>
      </c>
      <c r="L106" s="3">
        <v>8.2590013172828503</v>
      </c>
      <c r="M106" s="3">
        <v>4.9517883973633099</v>
      </c>
      <c r="N106" s="3">
        <v>4.4165131467608196</v>
      </c>
      <c r="O106" s="3">
        <v>1.48389185905566</v>
      </c>
      <c r="P106" s="3">
        <v>2.7674456625391901</v>
      </c>
      <c r="Q106" s="3">
        <v>4.0417383805696101</v>
      </c>
      <c r="R106" s="3">
        <v>3.0630645592774801</v>
      </c>
      <c r="S106" s="3">
        <v>4.7940273429500104</v>
      </c>
      <c r="T106" s="3">
        <v>4.2753554131035196</v>
      </c>
      <c r="U106" s="3">
        <v>2.6457712721973698</v>
      </c>
      <c r="V106" s="3">
        <v>3.4672006752788902</v>
      </c>
    </row>
    <row r="107" spans="1:22" x14ac:dyDescent="0.35">
      <c r="A107" s="2">
        <v>44909</v>
      </c>
      <c r="B107" s="3">
        <v>2.50238808250002</v>
      </c>
      <c r="C107" s="3">
        <v>8.6997631844139907</v>
      </c>
      <c r="D107" s="3">
        <v>4.0212144666764802</v>
      </c>
      <c r="E107" s="3">
        <v>2.3508884118676701</v>
      </c>
      <c r="F107" s="3">
        <v>4.17162814284712</v>
      </c>
      <c r="G107" s="3">
        <v>3.8511076397880002</v>
      </c>
      <c r="H107" s="3">
        <v>4.1880681797031603</v>
      </c>
      <c r="I107" s="3">
        <v>4.3747055229507303</v>
      </c>
      <c r="J107" s="3">
        <v>3.84563916279662</v>
      </c>
      <c r="K107" s="3">
        <v>2.5012219061916001</v>
      </c>
      <c r="L107" s="3">
        <v>7.4107891688309699</v>
      </c>
      <c r="M107" s="3">
        <v>4.8859467943889596</v>
      </c>
      <c r="N107" s="3">
        <v>4.3943753701810504</v>
      </c>
      <c r="O107" s="3">
        <v>1.43864178065758</v>
      </c>
      <c r="P107" s="3">
        <v>2.4377029643569701</v>
      </c>
      <c r="Q107" s="3">
        <v>4.6292936326799099</v>
      </c>
      <c r="R107" s="3">
        <v>3.02316910198945</v>
      </c>
      <c r="S107" s="3">
        <v>4.7602920987727799</v>
      </c>
      <c r="T107" s="3">
        <v>4.8514533565437503</v>
      </c>
      <c r="U107" s="3">
        <v>2.6272017313134999</v>
      </c>
      <c r="V107" s="3">
        <v>3.7988019436416698</v>
      </c>
    </row>
    <row r="108" spans="1:22" x14ac:dyDescent="0.35">
      <c r="A108" s="2">
        <v>44939</v>
      </c>
      <c r="B108" s="3">
        <v>2.4308124177444701</v>
      </c>
      <c r="C108" s="3">
        <v>7.9717093049342402</v>
      </c>
      <c r="D108" s="3">
        <v>4.2977647601289899</v>
      </c>
      <c r="E108" s="3">
        <v>2.2427540172552902</v>
      </c>
      <c r="F108" s="3">
        <v>3.9247556258495999</v>
      </c>
      <c r="G108" s="3">
        <v>3.6743089195924199</v>
      </c>
      <c r="H108" s="3">
        <v>4.1880564205592803</v>
      </c>
      <c r="I108" s="3">
        <v>4.2941877985907704</v>
      </c>
      <c r="J108" s="3">
        <v>3.6258826630038201</v>
      </c>
      <c r="K108" s="3">
        <v>2.50813608814379</v>
      </c>
      <c r="L108" s="3">
        <v>6.6893648920178599</v>
      </c>
      <c r="M108" s="3">
        <v>4.5029316178504404</v>
      </c>
      <c r="N108" s="3">
        <v>4.5215096641713002</v>
      </c>
      <c r="O108" s="3">
        <v>1.5075919774878099</v>
      </c>
      <c r="P108" s="3">
        <v>2.2276802395309101</v>
      </c>
      <c r="Q108" s="3">
        <v>4.6941267808557701</v>
      </c>
      <c r="R108" s="3">
        <v>2.9608860064455</v>
      </c>
      <c r="S108" s="3">
        <v>4.4908919352258696</v>
      </c>
      <c r="T108" s="3">
        <v>4.76199453049417</v>
      </c>
      <c r="U108" s="3">
        <v>2.7176439028156198</v>
      </c>
      <c r="V108" s="3">
        <v>3.64311469232325</v>
      </c>
    </row>
    <row r="109" spans="1:22" x14ac:dyDescent="0.35">
      <c r="A109" s="2">
        <v>44971</v>
      </c>
      <c r="B109" s="3">
        <v>2.3864965111571799</v>
      </c>
      <c r="C109" s="3">
        <v>7.8572894983368498</v>
      </c>
      <c r="D109" s="3">
        <v>4.1414542327056001</v>
      </c>
      <c r="E109" s="3">
        <v>2.3435185978710402</v>
      </c>
      <c r="F109" s="3">
        <v>4.2353872759429798</v>
      </c>
      <c r="G109" s="3">
        <v>4.1172708323458203</v>
      </c>
      <c r="H109" s="3">
        <v>4.2554777824845296</v>
      </c>
      <c r="I109" s="3">
        <v>3.9907379690003499</v>
      </c>
      <c r="J109" s="3">
        <v>3.6307759623709299</v>
      </c>
      <c r="K109" s="3">
        <v>2.4514489030059798</v>
      </c>
      <c r="L109" s="3">
        <v>6.5920712048363397</v>
      </c>
      <c r="M109" s="3">
        <v>4.5967573010524099</v>
      </c>
      <c r="N109" s="3">
        <v>3.9678519079436798</v>
      </c>
      <c r="O109" s="3">
        <v>1.54081379861908</v>
      </c>
      <c r="P109" s="3">
        <v>2.29389137004758</v>
      </c>
      <c r="Q109" s="3">
        <v>4.78564211521189</v>
      </c>
      <c r="R109" s="3">
        <v>3.0308256856470401</v>
      </c>
      <c r="S109" s="3">
        <v>5.7643652135254699</v>
      </c>
      <c r="T109" s="3">
        <v>4.6073115891114096</v>
      </c>
      <c r="U109" s="3">
        <v>2.62831153503268</v>
      </c>
      <c r="V109" s="3">
        <v>3.73217244749359</v>
      </c>
    </row>
    <row r="110" spans="1:22" x14ac:dyDescent="0.35">
      <c r="A110" s="2">
        <v>44999</v>
      </c>
      <c r="B110" s="3">
        <v>2.5077657233949102</v>
      </c>
      <c r="C110" s="3">
        <v>8.2184759180770701</v>
      </c>
      <c r="D110" s="3">
        <v>4.4192157198825202</v>
      </c>
      <c r="E110" s="3">
        <v>2.7458055827096599</v>
      </c>
      <c r="F110" s="3">
        <v>4.5946281454015301</v>
      </c>
      <c r="G110" s="3">
        <v>4.6200927384264601</v>
      </c>
      <c r="H110" s="3">
        <v>4.5609100819022101</v>
      </c>
      <c r="I110" s="3">
        <v>4.0262372792653496</v>
      </c>
      <c r="J110" s="3">
        <v>3.7975806390499698</v>
      </c>
      <c r="K110" s="3">
        <v>2.5412024448778099</v>
      </c>
      <c r="L110" s="3">
        <v>7.0387637517737502</v>
      </c>
      <c r="M110" s="3">
        <v>4.8400391485145198</v>
      </c>
      <c r="N110" s="3">
        <v>4.1830759448729102</v>
      </c>
      <c r="O110" s="3">
        <v>1.6354574673297999</v>
      </c>
      <c r="P110" s="3">
        <v>2.5212202762548799</v>
      </c>
      <c r="Q110" s="3">
        <v>4.94646633650125</v>
      </c>
      <c r="R110" s="3">
        <v>3.2837934659397301</v>
      </c>
      <c r="S110" s="3">
        <v>4.8906575695691101</v>
      </c>
      <c r="T110" s="3">
        <v>4.8827437335773798</v>
      </c>
      <c r="U110" s="3">
        <v>2.5082799131757998</v>
      </c>
      <c r="V110" s="3">
        <v>3.8535277019955898</v>
      </c>
    </row>
    <row r="111" spans="1:22" x14ac:dyDescent="0.35">
      <c r="A111" s="2">
        <v>45030</v>
      </c>
      <c r="B111" s="3">
        <v>2.4518588634804201</v>
      </c>
      <c r="C111" s="3">
        <v>8.3610372053507493</v>
      </c>
      <c r="D111" s="3">
        <v>4.3457754920204898</v>
      </c>
      <c r="E111" s="3">
        <v>2.8068174614157702</v>
      </c>
      <c r="F111" s="3">
        <v>4.60760975949787</v>
      </c>
      <c r="G111" s="3">
        <v>4.6322661341498899</v>
      </c>
      <c r="H111" s="3">
        <v>4.3826798794634803</v>
      </c>
      <c r="I111" s="3">
        <v>3.8606798875032098</v>
      </c>
      <c r="J111" s="3">
        <v>3.6664801129050701</v>
      </c>
      <c r="K111" s="3">
        <v>2.29768742105027</v>
      </c>
      <c r="L111" s="3">
        <v>6.5260304008522496</v>
      </c>
      <c r="M111" s="3">
        <v>4.51639359179938</v>
      </c>
      <c r="N111" s="3">
        <v>4.1625870095857298</v>
      </c>
      <c r="O111" s="3">
        <v>1.59370634208739</v>
      </c>
      <c r="P111" s="3">
        <v>2.4520389146586199</v>
      </c>
      <c r="Q111" s="3">
        <v>4.9742680729708599</v>
      </c>
      <c r="R111" s="3">
        <v>3.1055764843665101</v>
      </c>
      <c r="S111" s="3">
        <v>4.9556151581666699</v>
      </c>
      <c r="T111" s="3">
        <v>4.4707449463103801</v>
      </c>
      <c r="U111" s="3">
        <v>2.54345862511975</v>
      </c>
      <c r="V111" s="3">
        <v>3.4789374298729001</v>
      </c>
    </row>
    <row r="112" spans="1:22" x14ac:dyDescent="0.35">
      <c r="A112" s="2">
        <v>45058</v>
      </c>
      <c r="B112" s="3">
        <v>2.5477764921013302</v>
      </c>
      <c r="C112" s="3">
        <v>7.3864132769185096</v>
      </c>
      <c r="D112" s="3">
        <v>4.6065638809690501</v>
      </c>
      <c r="E112" s="3">
        <v>2.7546136313442799</v>
      </c>
      <c r="F112" s="3">
        <v>4.31343034108653</v>
      </c>
      <c r="G112" s="3">
        <v>4.8585939635396196</v>
      </c>
      <c r="H112" s="3">
        <v>4.4189696694093703</v>
      </c>
      <c r="I112" s="3">
        <v>3.8025063541518702</v>
      </c>
      <c r="J112" s="3">
        <v>3.5826294911163901</v>
      </c>
      <c r="K112" s="3">
        <v>2.4564745275039401</v>
      </c>
      <c r="L112" s="3">
        <v>6.6398413057498802</v>
      </c>
      <c r="M112" s="3">
        <v>4.64378353625498</v>
      </c>
      <c r="N112" s="3">
        <v>4.2321246448496099</v>
      </c>
      <c r="O112" s="3">
        <v>1.5903119192661901</v>
      </c>
      <c r="P112" s="3">
        <v>2.5685800070511799</v>
      </c>
      <c r="Q112" s="3">
        <v>4.5651886209497397</v>
      </c>
      <c r="R112" s="3">
        <v>3.1392733142085598</v>
      </c>
      <c r="S112" s="3">
        <v>4.9400931616454899</v>
      </c>
      <c r="T112" s="3">
        <v>4.4613225281569804</v>
      </c>
      <c r="U112" s="3">
        <v>2.5219091598888101</v>
      </c>
      <c r="V112" s="3">
        <v>3.4373208474477801</v>
      </c>
    </row>
    <row r="113" spans="1:37" x14ac:dyDescent="0.35">
      <c r="A113" s="2">
        <v>45091</v>
      </c>
      <c r="B113" s="3">
        <v>2.5692449149968302</v>
      </c>
      <c r="C113" s="3">
        <v>7.0061958196141196</v>
      </c>
      <c r="D113" s="3">
        <v>4.2920563230542301</v>
      </c>
      <c r="E113" s="3">
        <v>2.9673543507348099</v>
      </c>
      <c r="F113" s="3">
        <v>3.9466586279191</v>
      </c>
      <c r="G113" s="3">
        <v>4.93974068645133</v>
      </c>
      <c r="H113" s="3">
        <v>4.4273182004780596</v>
      </c>
      <c r="I113" s="3">
        <v>3.43895191524817</v>
      </c>
      <c r="J113" s="3">
        <v>3.6566315439449499</v>
      </c>
      <c r="K113" s="3">
        <v>2.2910058941655098</v>
      </c>
      <c r="L113" s="3">
        <v>6.0859966604048701</v>
      </c>
      <c r="M113" s="3">
        <v>4.4787410085545103</v>
      </c>
      <c r="N113" s="3">
        <v>3.9261684060496802</v>
      </c>
      <c r="O113" s="3">
        <v>1.5350103495288501</v>
      </c>
      <c r="P113" s="3">
        <v>2.4703287247682102</v>
      </c>
      <c r="Q113" s="3">
        <v>4.6496156984591801</v>
      </c>
      <c r="R113" s="3">
        <v>3.10233292089876</v>
      </c>
      <c r="S113" s="3">
        <v>4.68960162462015</v>
      </c>
      <c r="T113" s="3">
        <v>4.5626135752087</v>
      </c>
      <c r="U113" s="3">
        <v>2.5524516818978702</v>
      </c>
      <c r="V113" s="3">
        <v>3.4374129464994598</v>
      </c>
    </row>
    <row r="114" spans="1:37" x14ac:dyDescent="0.35">
      <c r="A114" s="2">
        <v>45121</v>
      </c>
      <c r="B114" s="3">
        <v>2.57011283222859</v>
      </c>
      <c r="C114" s="3">
        <v>6.3588666597078998</v>
      </c>
      <c r="D114" s="3">
        <v>4.16727995754216</v>
      </c>
      <c r="E114" s="3">
        <v>2.9466952633480301</v>
      </c>
      <c r="F114" s="3">
        <v>4.1016157536058104</v>
      </c>
      <c r="G114" s="3">
        <v>4.6429102930273096</v>
      </c>
      <c r="H114" s="3">
        <v>4.3657000668398904</v>
      </c>
      <c r="I114" s="3">
        <v>3.4073470215295201</v>
      </c>
      <c r="J114" s="3">
        <v>3.8908115748850198</v>
      </c>
      <c r="K114" s="3">
        <v>2.3160113304661101</v>
      </c>
      <c r="L114" s="3">
        <v>6.0972850826391198</v>
      </c>
      <c r="M114" s="3">
        <v>4.2489916287290699</v>
      </c>
      <c r="N114" s="3">
        <v>3.96560890865014</v>
      </c>
      <c r="O114" s="3">
        <v>1.4638264212863701</v>
      </c>
      <c r="P114" s="3">
        <v>2.4500907028199199</v>
      </c>
      <c r="Q114" s="3">
        <v>4.74695634714036</v>
      </c>
      <c r="R114" s="3">
        <v>3.1364891355462499</v>
      </c>
      <c r="S114" s="3">
        <v>3.9713472897353301</v>
      </c>
      <c r="T114" s="3">
        <v>4.2511567949141398</v>
      </c>
      <c r="U114" s="3">
        <v>2.6678630184577199</v>
      </c>
      <c r="V114" s="3">
        <v>3.37402513979284</v>
      </c>
    </row>
    <row r="115" spans="1:37" x14ac:dyDescent="0.35">
      <c r="A115" s="2">
        <v>45152</v>
      </c>
      <c r="B115" s="3">
        <v>2.59508759777954</v>
      </c>
      <c r="C115" s="3">
        <v>6.3457272101341902</v>
      </c>
      <c r="D115" s="3">
        <v>4.1218904465356703</v>
      </c>
      <c r="E115" s="3">
        <v>3.0163811294762102</v>
      </c>
      <c r="F115" s="3">
        <v>3.88979559602799</v>
      </c>
      <c r="G115" s="3">
        <v>4.3554065707634697</v>
      </c>
      <c r="H115" s="3">
        <v>4.2399489306679898</v>
      </c>
      <c r="I115" s="3">
        <v>3.59582699483212</v>
      </c>
      <c r="J115" s="3">
        <v>3.9806582007763001</v>
      </c>
      <c r="K115" s="3">
        <v>2.4004918137811901</v>
      </c>
      <c r="L115" s="3">
        <v>5.9533132724048796</v>
      </c>
      <c r="M115" s="3">
        <v>4.31003988925732</v>
      </c>
      <c r="N115" s="3">
        <v>4.4480622980112097</v>
      </c>
      <c r="O115" s="3">
        <v>1.5044910323421301</v>
      </c>
      <c r="P115" s="3">
        <v>2.4552369661039801</v>
      </c>
      <c r="Q115" s="3">
        <v>4.4926715364582703</v>
      </c>
      <c r="R115" s="3">
        <v>3.1094732313050999</v>
      </c>
      <c r="S115" s="3">
        <v>3.5455482334703401</v>
      </c>
      <c r="T115" s="3">
        <v>4.1733747041062603</v>
      </c>
      <c r="U115" s="3">
        <v>2.3879964111745502</v>
      </c>
      <c r="V115" s="3">
        <v>3.56642723376893</v>
      </c>
    </row>
    <row r="116" spans="1:37" x14ac:dyDescent="0.35">
      <c r="A116" s="2">
        <v>45183</v>
      </c>
      <c r="B116" s="3">
        <v>2.6119903962766302</v>
      </c>
      <c r="C116" s="3">
        <v>10.876696803026199</v>
      </c>
      <c r="D116" s="3">
        <v>4.1276842059946697</v>
      </c>
      <c r="E116" s="3">
        <v>2.8271150699616698</v>
      </c>
      <c r="F116" s="3">
        <v>4.3161143323301401</v>
      </c>
      <c r="G116" s="3">
        <v>4.7100981828893698</v>
      </c>
      <c r="H116" s="3">
        <v>4.2924618638511696</v>
      </c>
      <c r="I116" s="3">
        <v>3.5735501606991198</v>
      </c>
      <c r="J116" s="3">
        <v>4.1246110984037001</v>
      </c>
      <c r="K116" s="3">
        <v>2.36775354175241</v>
      </c>
      <c r="L116" s="3">
        <v>5.84059801081946</v>
      </c>
      <c r="M116" s="3">
        <v>4.4378303653372404</v>
      </c>
      <c r="N116" s="3">
        <v>4.6070775983233903</v>
      </c>
      <c r="O116" s="3">
        <v>1.48855642959191</v>
      </c>
      <c r="P116" s="3">
        <v>2.50829152507603</v>
      </c>
      <c r="Q116" s="3">
        <v>4.6925896276922501</v>
      </c>
      <c r="R116" s="3">
        <v>3.1041275039193001</v>
      </c>
      <c r="S116" s="3">
        <v>3.6179119949884</v>
      </c>
      <c r="T116" s="3">
        <v>4.3727117237743203</v>
      </c>
      <c r="U116" s="3">
        <v>2.6112168815851802</v>
      </c>
      <c r="V116" s="3">
        <v>3.6808328797332699</v>
      </c>
    </row>
    <row r="117" spans="1:37" x14ac:dyDescent="0.35">
      <c r="A117" s="2">
        <v>45212</v>
      </c>
      <c r="B117" s="3">
        <v>2.6772051118522699</v>
      </c>
      <c r="C117" s="3">
        <v>6.9281178832455996</v>
      </c>
      <c r="D117" s="3">
        <v>4.1835145932066</v>
      </c>
      <c r="E117" s="3">
        <v>2.87116153018775</v>
      </c>
      <c r="F117" s="3">
        <v>4.2945788095528101</v>
      </c>
      <c r="G117" s="3">
        <v>5.2083768050071599</v>
      </c>
      <c r="H117" s="3">
        <v>4.2957770282202299</v>
      </c>
      <c r="I117" s="3">
        <v>3.54848516421628</v>
      </c>
      <c r="J117" s="3">
        <v>4.3711843481481703</v>
      </c>
      <c r="K117" s="3">
        <v>2.5021222417604401</v>
      </c>
      <c r="L117" s="3">
        <v>6.1597547774622798</v>
      </c>
      <c r="M117" s="3">
        <v>4.4473405282360199</v>
      </c>
      <c r="N117" s="3">
        <v>5.1241985264343599</v>
      </c>
      <c r="O117" s="3">
        <v>1.4916631139200001</v>
      </c>
      <c r="P117" s="3">
        <v>2.5646810910071101</v>
      </c>
      <c r="Q117" s="3">
        <v>4.7717983194660496</v>
      </c>
      <c r="R117" s="3">
        <v>3.3133283105641498</v>
      </c>
      <c r="S117" s="3">
        <v>3.7915206000025301</v>
      </c>
      <c r="T117" s="3">
        <v>4.5624720566128198</v>
      </c>
      <c r="U117" s="3">
        <v>2.9519458468855801</v>
      </c>
      <c r="V117" s="3">
        <v>3.9241205123791998</v>
      </c>
    </row>
    <row r="118" spans="1:37" x14ac:dyDescent="0.35">
      <c r="A118" s="2">
        <v>45244</v>
      </c>
      <c r="B118" s="3">
        <v>2.6884527802558198</v>
      </c>
      <c r="C118" s="3">
        <v>6.7446080132231101</v>
      </c>
      <c r="D118" s="3">
        <v>4.2490544657021596</v>
      </c>
      <c r="E118" s="3">
        <v>3.1165640778510699</v>
      </c>
      <c r="F118" s="3">
        <v>4.3358710969019496</v>
      </c>
      <c r="G118" s="3">
        <v>4.69173201770493</v>
      </c>
      <c r="H118" s="3">
        <v>4.3044436230172298</v>
      </c>
      <c r="I118" s="3">
        <v>3.5054315961937701</v>
      </c>
      <c r="J118" s="3">
        <v>4.0919034774802299</v>
      </c>
      <c r="K118" s="3">
        <v>2.4902199136093199</v>
      </c>
      <c r="L118" s="3">
        <v>6.1708279869721796</v>
      </c>
      <c r="M118" s="3">
        <v>4.36196387191141</v>
      </c>
      <c r="N118" s="3">
        <v>4.5671093011334296</v>
      </c>
      <c r="O118" s="3">
        <v>1.5299718687321899</v>
      </c>
      <c r="P118" s="3">
        <v>2.60122134036828</v>
      </c>
      <c r="Q118" s="3">
        <v>4.9128743298331798</v>
      </c>
      <c r="R118" s="3">
        <v>3.43059424226833</v>
      </c>
      <c r="S118" s="3">
        <v>4.4478656557569796</v>
      </c>
      <c r="T118" s="3">
        <v>4.6791868785113602</v>
      </c>
      <c r="U118" s="3">
        <v>2.8330554873857299</v>
      </c>
      <c r="V118" s="3">
        <v>3.8284046843883699</v>
      </c>
    </row>
    <row r="119" spans="1:37" x14ac:dyDescent="0.35">
      <c r="A119" s="2">
        <v>45274</v>
      </c>
      <c r="B119" s="3">
        <v>2.8208453339026498</v>
      </c>
      <c r="C119" s="3">
        <v>6.60097048584307</v>
      </c>
      <c r="D119" s="3">
        <v>4.1646321502598296</v>
      </c>
      <c r="E119" s="3">
        <v>3.2231196676156899</v>
      </c>
      <c r="F119" s="3">
        <v>4.9835310156737904</v>
      </c>
      <c r="G119" s="3">
        <v>3.75025345069364</v>
      </c>
      <c r="H119" s="3">
        <v>4.3042980053969897</v>
      </c>
      <c r="I119" s="3">
        <v>3.3606282785675798</v>
      </c>
      <c r="J119" s="3">
        <v>3.78758220177453</v>
      </c>
      <c r="K119" s="3">
        <v>2.3329533257121899</v>
      </c>
      <c r="L119" s="3">
        <v>5.8695664432902204</v>
      </c>
      <c r="M119" s="3">
        <v>4.1348197181274298</v>
      </c>
      <c r="N119" s="3">
        <v>4.4639895882070197</v>
      </c>
      <c r="O119" s="3">
        <v>1.4003414291559799</v>
      </c>
      <c r="P119" s="3">
        <v>2.7529647666944199</v>
      </c>
      <c r="Q119" s="3">
        <v>5.0149981233624796</v>
      </c>
      <c r="R119" s="3">
        <v>3.44645450493414</v>
      </c>
      <c r="S119" s="3">
        <v>4.6672269828703703</v>
      </c>
      <c r="T119" s="3">
        <v>4.7199177335950999</v>
      </c>
      <c r="U119" s="3">
        <v>2.87322531806526</v>
      </c>
      <c r="V119" s="3">
        <v>3.6385091097265398</v>
      </c>
    </row>
    <row r="120" spans="1:37" x14ac:dyDescent="0.35">
      <c r="A120" s="2">
        <v>45303</v>
      </c>
      <c r="B120" s="3">
        <v>2.8873859929789298</v>
      </c>
      <c r="C120" s="3">
        <v>7.0065198318068296</v>
      </c>
      <c r="D120" s="3">
        <v>4.0197389850887202</v>
      </c>
      <c r="E120" s="3">
        <v>3.1046595044204701</v>
      </c>
      <c r="F120" s="3">
        <v>4.96377358931566</v>
      </c>
      <c r="G120" s="3">
        <v>3.5758541604337402</v>
      </c>
      <c r="H120" s="3">
        <v>4.2772076232645801</v>
      </c>
      <c r="I120" s="3">
        <v>3.3980112989984801</v>
      </c>
      <c r="J120" s="3">
        <v>3.89631864604842</v>
      </c>
      <c r="K120" s="3">
        <v>2.36935893995466</v>
      </c>
      <c r="L120" s="3">
        <v>5.7212114222965296</v>
      </c>
      <c r="M120" s="3">
        <v>4.2864987732809698</v>
      </c>
      <c r="N120" s="3">
        <v>4.4697732603859697</v>
      </c>
      <c r="O120" s="3">
        <v>1.3626691028476201</v>
      </c>
      <c r="P120" s="3">
        <v>2.7989604983299099</v>
      </c>
      <c r="Q120" s="3">
        <v>4.7724198931943604</v>
      </c>
      <c r="R120" s="3">
        <v>3.41000611929354</v>
      </c>
      <c r="S120" s="3">
        <v>4.2386498077022097</v>
      </c>
      <c r="T120" s="3">
        <v>4.4801525222089698</v>
      </c>
      <c r="U120" s="3">
        <v>2.7896835544711398</v>
      </c>
      <c r="V120" s="3">
        <v>3.42295007248886</v>
      </c>
    </row>
    <row r="121" spans="1:37" x14ac:dyDescent="0.35">
      <c r="A121" s="2">
        <v>45336</v>
      </c>
      <c r="B121" s="3">
        <v>2.8214548972389002</v>
      </c>
      <c r="C121" s="3">
        <v>6.8230586238915203</v>
      </c>
      <c r="D121" s="3">
        <v>4.0898030010664597</v>
      </c>
      <c r="E121" s="3">
        <v>2.8260293571827901</v>
      </c>
      <c r="F121" s="3">
        <v>4.8301645479917097</v>
      </c>
      <c r="G121" s="3">
        <v>3.7076441474430899</v>
      </c>
      <c r="H121" s="3">
        <v>4.1906426523436</v>
      </c>
      <c r="I121" s="3">
        <v>3.3730374917299901</v>
      </c>
      <c r="J121" s="3">
        <v>3.7227315628327502</v>
      </c>
      <c r="K121" s="3">
        <v>2.2448053505094401</v>
      </c>
      <c r="L121" s="3">
        <v>5.9390453030039696</v>
      </c>
      <c r="M121" s="3">
        <v>4.3927882093646202</v>
      </c>
      <c r="N121" s="3">
        <v>4.4837425716741599</v>
      </c>
      <c r="O121" s="3">
        <v>1.36162400337251</v>
      </c>
      <c r="P121" s="3">
        <v>2.9734750400732901</v>
      </c>
      <c r="Q121" s="3">
        <v>4.78803315068786</v>
      </c>
      <c r="R121" s="3">
        <v>3.4982752735834302</v>
      </c>
      <c r="S121" s="3">
        <v>4.1737078208557596</v>
      </c>
      <c r="T121" s="3">
        <v>4.8239187225485898</v>
      </c>
      <c r="U121" s="3">
        <v>2.8134868426495898</v>
      </c>
      <c r="V121" s="3">
        <v>3.3251490095716698</v>
      </c>
    </row>
    <row r="122" spans="1:37" x14ac:dyDescent="0.35">
      <c r="A122" s="2">
        <v>45364</v>
      </c>
      <c r="B122" s="3">
        <v>2.6926040381603999</v>
      </c>
      <c r="C122" s="3">
        <v>6.9971066344043402</v>
      </c>
      <c r="D122" s="3">
        <v>4.0719761858150303</v>
      </c>
      <c r="E122" s="3">
        <v>2.80687894614455</v>
      </c>
      <c r="F122" s="3">
        <v>4.8863807677321702</v>
      </c>
      <c r="G122" s="3">
        <v>3.5256356806682598</v>
      </c>
      <c r="H122" s="3">
        <v>4.1585395239467502</v>
      </c>
      <c r="I122" s="3">
        <v>3.1083913701954802</v>
      </c>
      <c r="J122" s="3">
        <v>4.1375510130671298</v>
      </c>
      <c r="K122" s="3">
        <v>2.2199509888422599</v>
      </c>
      <c r="L122" s="3">
        <v>6.2637379591470603</v>
      </c>
      <c r="M122" s="3">
        <v>4.1445981151504503</v>
      </c>
      <c r="N122" s="3">
        <v>4.9179961729981496</v>
      </c>
      <c r="O122" s="3">
        <v>1.3785138102763901</v>
      </c>
      <c r="P122" s="3">
        <v>2.8344485393466101</v>
      </c>
      <c r="Q122" s="3">
        <v>4.82878253264332</v>
      </c>
      <c r="R122" s="3">
        <v>3.45198280918081</v>
      </c>
      <c r="S122" s="3">
        <v>4.3329115427092697</v>
      </c>
      <c r="T122" s="3">
        <v>5.1145564559335703</v>
      </c>
      <c r="U122" s="3">
        <v>2.2992095131394898</v>
      </c>
      <c r="V122" s="3">
        <v>3.3290056202008902</v>
      </c>
    </row>
    <row r="125" spans="1:37" x14ac:dyDescent="0.35">
      <c r="A125" s="2" t="s">
        <v>95</v>
      </c>
      <c r="B125" s="3" cm="1">
        <f t="array" ref="B125">MIN(_xlfn._xlws.FILTER(B1:B122, ISNUMBER(B1:B122)))</f>
        <v>1.59207488690095</v>
      </c>
      <c r="C125" s="3" cm="1">
        <f t="array" ref="C125">MIN(_xlfn._xlws.FILTER(C1:C122, ISNUMBER(C1:C122)))</f>
        <v>2.4258161601401498</v>
      </c>
      <c r="D125" s="3" cm="1">
        <f t="array" ref="D125">MIN(_xlfn._xlws.FILTER(D1:D122, ISNUMBER(D1:D122)))</f>
        <v>2.15819790513306</v>
      </c>
      <c r="E125" s="3" cm="1">
        <f t="array" ref="E125">MIN(_xlfn._xlws.FILTER(E1:E122, ISNUMBER(E1:E122)))</f>
        <v>1.4364488007915299</v>
      </c>
      <c r="F125" s="3" cm="1">
        <f t="array" ref="F125">MIN(_xlfn._xlws.FILTER(F1:F122, ISNUMBER(F1:F122)))</f>
        <v>2.4028565946937901</v>
      </c>
      <c r="G125" s="3" cm="1">
        <f t="array" ref="G125">MIN(_xlfn._xlws.FILTER(G1:G122, ISNUMBER(G1:G122)))</f>
        <v>1.5248796285362101</v>
      </c>
      <c r="H125" s="3" cm="1">
        <f t="array" ref="H125">MIN(_xlfn._xlws.FILTER(H1:H122, ISNUMBER(H1:H122)))</f>
        <v>2.9381099839840501</v>
      </c>
      <c r="I125" s="3" cm="1">
        <f t="array" ref="I125">MIN(_xlfn._xlws.FILTER(I1:I122, ISNUMBER(I1:I122)))</f>
        <v>3.0649604582848502</v>
      </c>
      <c r="J125" s="3" cm="1">
        <f t="array" ref="J125">MIN(_xlfn._xlws.FILTER(J1:J122, ISNUMBER(J1:J122)))</f>
        <v>2.0126991932106599</v>
      </c>
      <c r="K125" s="3" cm="1">
        <f t="array" ref="K125">MIN(_xlfn._xlws.FILTER(K1:K122, ISNUMBER(K1:K122)))</f>
        <v>1.25235303397216</v>
      </c>
      <c r="L125" s="3" cm="1">
        <f t="array" ref="L125">MIN(_xlfn._xlws.FILTER(L1:L122, ISNUMBER(L1:L122)))</f>
        <v>2.7356671094675602</v>
      </c>
      <c r="M125" s="3" cm="1">
        <f t="array" ref="M125">MIN(_xlfn._xlws.FILTER(M1:M122, ISNUMBER(M1:M122)))</f>
        <v>2.9281737672966499</v>
      </c>
      <c r="N125" s="3" cm="1">
        <f t="array" ref="N125">MIN(_xlfn._xlws.FILTER(N1:N122, ISNUMBER(N1:N122)))</f>
        <v>1.8465032573854001</v>
      </c>
      <c r="O125" s="3" cm="1">
        <f t="array" ref="O125">MIN(_xlfn._xlws.FILTER(O1:O122, ISNUMBER(O1:O122)))</f>
        <v>1.25343702756574</v>
      </c>
      <c r="P125" s="3" cm="1">
        <f t="array" ref="P125">MIN(_xlfn._xlws.FILTER(P1:P122, ISNUMBER(P1:P122)))</f>
        <v>1.31769057755562</v>
      </c>
      <c r="Q125" s="3" cm="1">
        <f t="array" ref="Q125">MIN(_xlfn._xlws.FILTER(Q1:Q122, ISNUMBER(Q1:Q122)))</f>
        <v>3.5094325353125999</v>
      </c>
      <c r="R125" s="3" cm="1">
        <f t="array" ref="R125">MIN(_xlfn._xlws.FILTER(R1:R122, ISNUMBER(R1:R122)))</f>
        <v>2.6666868209142498</v>
      </c>
      <c r="S125" s="3" cm="1">
        <f t="array" ref="S125">MIN(_xlfn._xlws.FILTER(S1:S122, ISNUMBER(S1:S122)))</f>
        <v>2.6833074810932098</v>
      </c>
      <c r="T125" s="3" cm="1">
        <f t="array" ref="T125">MIN(_xlfn._xlws.FILTER(T1:T122, ISNUMBER(T1:T122)))</f>
        <v>2.4252015806728799</v>
      </c>
      <c r="U125" s="3" cm="1">
        <f t="array" ref="U125">MIN(_xlfn._xlws.FILTER(U1:U122, ISNUMBER(U1:U122)))</f>
        <v>1.12508914236581</v>
      </c>
      <c r="V125" s="3" cm="1">
        <f t="array" ref="V125">MIN(_xlfn._xlws.FILTER(V1:V122, ISNUMBER(V1:V122)))</f>
        <v>2.7463912453647099</v>
      </c>
    </row>
    <row r="126" spans="1:37" x14ac:dyDescent="0.35">
      <c r="A126" s="2" t="s">
        <v>96</v>
      </c>
      <c r="B126" s="3" cm="1">
        <f t="array" ref="B126">MAX(_xlfn._xlws.FILTER(B1:B122, ISNUMBER(B1:B122)))</f>
        <v>3.3399002991658802</v>
      </c>
      <c r="C126" s="3" cm="1">
        <f t="array" ref="C126">MAX(_xlfn._xlws.FILTER(C1:C122, ISNUMBER(C1:C122)))</f>
        <v>10.876696803026199</v>
      </c>
      <c r="D126" s="3" cm="1">
        <f t="array" ref="D126">MAX(_xlfn._xlws.FILTER(D1:D122, ISNUMBER(D1:D122)))</f>
        <v>4.6065638809690501</v>
      </c>
      <c r="E126" s="3" cm="1">
        <f t="array" ref="E126">MAX(_xlfn._xlws.FILTER(E1:E122, ISNUMBER(E1:E122)))</f>
        <v>3.2231196676156899</v>
      </c>
      <c r="F126" s="3" cm="1">
        <f t="array" ref="F126">MAX(_xlfn._xlws.FILTER(F1:F122, ISNUMBER(F1:F122)))</f>
        <v>5.2570245023034596</v>
      </c>
      <c r="G126" s="3" cm="1">
        <f t="array" ref="G126">MAX(_xlfn._xlws.FILTER(G1:G122, ISNUMBER(G1:G122)))</f>
        <v>5.5867666891505703</v>
      </c>
      <c r="H126" s="3" cm="1">
        <f t="array" ref="H126">MAX(_xlfn._xlws.FILTER(H1:H122, ISNUMBER(H1:H122)))</f>
        <v>4.5609100819022101</v>
      </c>
      <c r="I126" s="3" cm="1">
        <f t="array" ref="I126">MAX(_xlfn._xlws.FILTER(I1:I122, ISNUMBER(I1:I122)))</f>
        <v>5.3401266386488304</v>
      </c>
      <c r="J126" s="3" cm="1">
        <f t="array" ref="J126">MAX(_xlfn._xlws.FILTER(J1:J122, ISNUMBER(J1:J122)))</f>
        <v>4.3711843481481703</v>
      </c>
      <c r="K126" s="3" cm="1">
        <f t="array" ref="K126">MAX(_xlfn._xlws.FILTER(K1:K122, ISNUMBER(K1:K122)))</f>
        <v>2.82797371926543</v>
      </c>
      <c r="L126" s="3" cm="1">
        <f t="array" ref="L126">MAX(_xlfn._xlws.FILTER(L1:L122, ISNUMBER(L1:L122)))</f>
        <v>11.680327763720999</v>
      </c>
      <c r="M126" s="3" cm="1">
        <f t="array" ref="M126">MAX(_xlfn._xlws.FILTER(M1:M122, ISNUMBER(M1:M122)))</f>
        <v>5.6122952858180604</v>
      </c>
      <c r="N126" s="3" cm="1">
        <f t="array" ref="N126">MAX(_xlfn._xlws.FILTER(N1:N122, ISNUMBER(N1:N122)))</f>
        <v>5.1241985264343599</v>
      </c>
      <c r="O126" s="3" cm="1">
        <f t="array" ref="O126">MAX(_xlfn._xlws.FILTER(O1:O122, ISNUMBER(O1:O122)))</f>
        <v>2.1515437294833299</v>
      </c>
      <c r="P126" s="3" cm="1">
        <f t="array" ref="P126">MAX(_xlfn._xlws.FILTER(P1:P122, ISNUMBER(P1:P122)))</f>
        <v>3.9888300470866098</v>
      </c>
      <c r="Q126" s="3" cm="1">
        <f t="array" ref="Q126">MAX(_xlfn._xlws.FILTER(Q1:Q122, ISNUMBER(Q1:Q122)))</f>
        <v>6.0791227405237001</v>
      </c>
      <c r="R126" s="3" cm="1">
        <f t="array" ref="R126">MAX(_xlfn._xlws.FILTER(R1:R122, ISNUMBER(R1:R122)))</f>
        <v>5.5097874565309803</v>
      </c>
      <c r="S126" s="3" cm="1">
        <f t="array" ref="S126">MAX(_xlfn._xlws.FILTER(S1:S122, ISNUMBER(S1:S122)))</f>
        <v>6.2928990340255302</v>
      </c>
      <c r="T126" s="3" cm="1">
        <f t="array" ref="T126">MAX(_xlfn._xlws.FILTER(T1:T122, ISNUMBER(T1:T122)))</f>
        <v>6.8070780418677002</v>
      </c>
      <c r="U126" s="3" cm="1">
        <f t="array" ref="U126">MAX(_xlfn._xlws.FILTER(U1:U122, ISNUMBER(U1:U122)))</f>
        <v>4.1083151320276601</v>
      </c>
      <c r="V126" s="3" cm="1">
        <f t="array" ref="V126">MAX(_xlfn._xlws.FILTER(V1:V122, ISNUMBER(V1:V122)))</f>
        <v>5.4563375095912203</v>
      </c>
    </row>
    <row r="128" spans="1:37" x14ac:dyDescent="0.35">
      <c r="A128" s="2" t="s">
        <v>97</v>
      </c>
      <c r="B128" s="9" cm="1">
        <f t="array" ref="B128">_xlfn.PERCENTRANK.EXC(_xlfn._xlws.FILTER(B1:B122, ISNUMBER(B1:B122)),B122)</f>
        <v>0.79700000000000004</v>
      </c>
      <c r="C128" s="9" cm="1">
        <f t="array" ref="C128">_xlfn.PERCENTRANK.EXC(_xlfn._xlws.FILTER(C1:C122, ISNUMBER(C1:C122)),C122)</f>
        <v>0.89300000000000002</v>
      </c>
      <c r="D128" s="9" cm="1">
        <f t="array" ref="D128">_xlfn.PERCENTRANK.EXC(_xlfn._xlws.FILTER(D1:D122, ISNUMBER(D1:D122)),D122)</f>
        <v>0.88500000000000001</v>
      </c>
      <c r="E128" s="9" cm="1">
        <f t="array" ref="E128">_xlfn.PERCENTRANK.EXC(_xlfn._xlws.FILTER(E1:E122, ISNUMBER(E1:E122)),E122)</f>
        <v>0.91800000000000004</v>
      </c>
      <c r="F128" s="9" cm="1">
        <f t="array" ref="F128">_xlfn.PERCENTRANK.EXC(_xlfn._xlws.FILTER(F1:F122, ISNUMBER(F1:F122)),F122)</f>
        <v>0.95899999999999996</v>
      </c>
      <c r="G128" s="9" cm="1">
        <f t="array" ref="G128">_xlfn.PERCENTRANK.EXC(_xlfn._xlws.FILTER(G1:G122, ISNUMBER(G1:G122)),G122)</f>
        <v>0.71299999999999997</v>
      </c>
      <c r="H128" s="9" cm="1">
        <f t="array" ref="H128">_xlfn.PERCENTRANK.EXC(_xlfn._xlws.FILTER(H1:H122, ISNUMBER(H1:H122)),H122)</f>
        <v>0.81899999999999995</v>
      </c>
      <c r="I128" s="9" cm="1">
        <f t="array" ref="I128">_xlfn.PERCENTRANK.EXC(_xlfn._xlws.FILTER(I1:I122, ISNUMBER(I1:I122)),I122)</f>
        <v>1.6E-2</v>
      </c>
      <c r="J128" s="9" cm="1">
        <f t="array" ref="J128">_xlfn.PERCENTRANK.EXC(_xlfn._xlws.FILTER(J1:J122, ISNUMBER(J1:J122)),J122)</f>
        <v>0.96</v>
      </c>
      <c r="K128" s="9" cm="1">
        <f t="array" ref="K128">_xlfn.PERCENTRANK.EXC(_xlfn._xlws.FILTER(K1:K122, ISNUMBER(K1:K122)),K122)</f>
        <v>0.56499999999999995</v>
      </c>
      <c r="L128" s="9" cm="1">
        <f t="array" ref="L128">_xlfn.PERCENTRANK.EXC(_xlfn._xlws.FILTER(L1:L122, ISNUMBER(L1:L122)),L122)</f>
        <v>0.82699999999999996</v>
      </c>
      <c r="M128" s="9" cm="1">
        <f t="array" ref="M128">_xlfn.PERCENTRANK.EXC(_xlfn._xlws.FILTER(M1:M122, ISNUMBER(M1:M122)),M122)</f>
        <v>0.69599999999999995</v>
      </c>
      <c r="N128" s="9" cm="1">
        <f t="array" ref="N128">_xlfn.PERCENTRANK.EXC(_xlfn._xlws.FILTER(N1:N122, ISNUMBER(N1:N122)),N122)</f>
        <v>0.97499999999999998</v>
      </c>
      <c r="O128" s="9" cm="1">
        <f t="array" ref="O128">_xlfn.PERCENTRANK.EXC(_xlfn._xlws.FILTER(O1:O122, ISNUMBER(O1:O122)),O122)</f>
        <v>0.106</v>
      </c>
      <c r="P128" s="9" cm="1">
        <f t="array" ref="P128">_xlfn.PERCENTRANK.EXC(_xlfn._xlws.FILTER(P1:P122, ISNUMBER(P1:P122)),P122)</f>
        <v>0.77800000000000002</v>
      </c>
      <c r="Q128" s="9" cm="1">
        <f t="array" ref="Q128">_xlfn.PERCENTRANK.EXC(_xlfn._xlws.FILTER(Q1:Q122, ISNUMBER(Q1:Q122)),Q122)</f>
        <v>0.89</v>
      </c>
      <c r="R128" s="9" cm="1">
        <f t="array" ref="R128">_xlfn.PERCENTRANK.EXC(_xlfn._xlws.FILTER(R1:R122, ISNUMBER(R1:R122)),R122)</f>
        <v>0.83599999999999997</v>
      </c>
      <c r="S128" s="9" cm="1">
        <f t="array" ref="S128">_xlfn.PERCENTRANK.EXC(_xlfn._xlws.FILTER(S1:S122, ISNUMBER(S1:S122)),S122)</f>
        <v>0.54900000000000004</v>
      </c>
      <c r="T128" s="9" cm="1">
        <f t="array" ref="T128">_xlfn.PERCENTRANK.EXC(_xlfn._xlws.FILTER(T1:T122, ISNUMBER(T1:T122)),T122)</f>
        <v>0.91500000000000004</v>
      </c>
      <c r="U128" s="9" cm="1">
        <f t="array" ref="U128">_xlfn.PERCENTRANK.EXC(_xlfn._xlws.FILTER(U1:U122, ISNUMBER(U1:U122)),U122)</f>
        <v>0.54200000000000004</v>
      </c>
      <c r="V128" s="9" cm="1">
        <f t="array" ref="V128">_xlfn.PERCENTRANK.EXC(_xlfn._xlws.FILTER(V1:V122, ISNUMBER(V1:V122)),V122)</f>
        <v>0.184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6328125" bestFit="1" customWidth="1"/>
  </cols>
  <sheetData>
    <row r="1" spans="1:38" x14ac:dyDescent="0.35"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41712</v>
      </c>
      <c r="B2" s="33" t="e" cm="1">
        <f t="array" ref="B2:B122">_xll.FDS(B1,"FG_TOTAL_RETURNC(-10AY,0,AM)")/100</f>
        <v>#N/A</v>
      </c>
      <c r="C2" s="33" cm="1">
        <f t="array" ref="C2:C122">_xll.FDS(C1,"FG_TOTAL_RETURNC(-10AY,0,AM)")/100</f>
        <v>-5.6182264999999995E-2</v>
      </c>
      <c r="D2" s="33" cm="1">
        <f t="array" ref="D2:D122">_xll.FDS(D1,"FG_TOTAL_RETURNC(-10AY,0,AM)")/100</f>
        <v>0.10913396</v>
      </c>
      <c r="E2" s="33" cm="1">
        <f t="array" ref="E2:E122">_xll.FDS(E1,"FG_TOTAL_RETURNC(-10AY,0,AM)")/100</f>
        <v>3.9233923000000004E-2</v>
      </c>
      <c r="F2" s="33" cm="1">
        <f t="array" ref="F2:F122">_xll.FDS(F1,"FG_TOTAL_RETURNC(-10AY,0,AM)")/100</f>
        <v>-7.2643940000000004E-2</v>
      </c>
      <c r="G2" s="33" cm="1">
        <f t="array" ref="G2:G122">_xll.FDS(G1,"FG_TOTAL_RETURNC(-10AY,0,AM)")/100</f>
        <v>-5.5818139999999995E-2</v>
      </c>
      <c r="H2" s="33" cm="1">
        <f t="array" ref="H2:H122">_xll.FDS(H1,"FG_TOTAL_RETURNC(-10AY,0,AM)")/100</f>
        <v>-1.1818706999999999E-2</v>
      </c>
      <c r="I2" s="33" cm="1">
        <f t="array" ref="I2:I122">_xll.FDS(I1,"FG_TOTAL_RETURNC(-10AY,0,AM)")/100</f>
        <v>8.5592270000000008E-3</v>
      </c>
      <c r="J2" s="33" cm="1">
        <f t="array" ref="J2:J122">_xll.FDS(J1,"FG_TOTAL_RETURNC(-10AY,0,AM)")/100</f>
        <v>-6.4744830000000003E-2</v>
      </c>
      <c r="K2" s="33" cm="1">
        <f t="array" ref="K2:K122">_xll.FDS(K1,"FG_TOTAL_RETURNC(-10AY,0,AM)")/100</f>
        <v>-3.4579276999999999E-2</v>
      </c>
      <c r="L2" s="33" cm="1">
        <f t="array" ref="L2:L122">_xll.FDS(L1,"FG_TOTAL_RETURNC(-10AY,0,AM)")/100</f>
        <v>-3.7647605000000001E-2</v>
      </c>
      <c r="M2" s="33" cm="1">
        <f t="array" ref="M2:M122">_xll.FDS(M1,"FG_TOTAL_RETURNC(-10AY,0,AM)")/100</f>
        <v>4.0105224000000002E-2</v>
      </c>
      <c r="N2" s="33" cm="1">
        <f t="array" ref="N2:N122">_xll.FDS(N1,"FG_TOTAL_RETURNC(-10AY,0,AM)")/100</f>
        <v>4.8832535999999996E-2</v>
      </c>
      <c r="O2" s="33" cm="1">
        <f t="array" ref="O2:O122">_xll.FDS(O1,"FG_TOTAL_RETURNC(-10AY,0,AM)")/100</f>
        <v>5.300796E-2</v>
      </c>
      <c r="P2" s="33" cm="1">
        <f t="array" ref="P2:P122">_xll.FDS(P1,"FG_TOTAL_RETURNC(-10AY,0,AM)")/100</f>
        <v>-6.6050170000000005E-2</v>
      </c>
      <c r="Q2" s="33" t="e" cm="1">
        <f t="array" ref="Q2:Q122">_xll.FDS(Q1,"FG_TOTAL_RETURNC(-10AY,0,AM)")/100</f>
        <v>#N/A</v>
      </c>
      <c r="R2" s="33" cm="1">
        <f t="array" ref="R2:R122">_xll.FDS(R1,"FG_TOTAL_RETURNC(-10AY,0,AM)")/100</f>
        <v>4.5972586000000003E-2</v>
      </c>
      <c r="S2" s="33" cm="1">
        <f t="array" ref="S2:S122">_xll.FDS(S1,"FG_TOTAL_RETURNC(-10AY,0,AM)")/100</f>
        <v>-4.6335460000000002E-2</v>
      </c>
      <c r="T2" s="33" t="e" cm="1">
        <f t="array" ref="T2:T122">_xll.FDS(T1,"FG_TOTAL_RETURNC(-10AY,0,AM)")/100</f>
        <v>#N/A</v>
      </c>
      <c r="U2" s="33" cm="1">
        <f t="array" ref="U2:U122">_xll.FDS(U1,"FG_TOTAL_RETURNC(-10AY,0,AM)")/100</f>
        <v>-1.1241019000000001E-2</v>
      </c>
      <c r="V2" s="33" t="e" cm="1">
        <f t="array" ref="V2:V122">_xll.FDS(V1,"FG_TOTAL_RETURNC(-10AY,0,AM)")/100</f>
        <v>#N/A</v>
      </c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x14ac:dyDescent="0.35">
      <c r="A3" s="2">
        <v>41743</v>
      </c>
      <c r="B3" s="33" t="e">
        <v>#N/A</v>
      </c>
      <c r="C3" s="33">
        <v>0.11977040999999999</v>
      </c>
      <c r="D3" s="33">
        <v>-7.843137E-3</v>
      </c>
      <c r="E3" s="33">
        <v>4.8751473000000003E-2</v>
      </c>
      <c r="F3" s="33">
        <v>5.0811650000000007E-2</v>
      </c>
      <c r="G3" s="33">
        <v>4.5667886999999997E-2</v>
      </c>
      <c r="H3" s="33">
        <v>4.8504949999999998E-2</v>
      </c>
      <c r="I3" s="33">
        <v>3.8896679999999996E-2</v>
      </c>
      <c r="J3" s="33">
        <v>8.0848929999999986E-2</v>
      </c>
      <c r="K3" s="33">
        <v>8.3745480000000011E-2</v>
      </c>
      <c r="L3" s="33">
        <v>0.20813084000000001</v>
      </c>
      <c r="M3" s="33">
        <v>4.3299555999999996E-2</v>
      </c>
      <c r="N3" s="33">
        <v>-9.0688340000000006E-2</v>
      </c>
      <c r="O3" s="33">
        <v>6.8118214999999996E-2</v>
      </c>
      <c r="P3" s="33">
        <v>8.1565379999999993E-2</v>
      </c>
      <c r="Q3" s="33" t="e">
        <v>#N/A</v>
      </c>
      <c r="R3" s="33">
        <v>1.2374401E-2</v>
      </c>
      <c r="S3" s="33">
        <v>0.22634899999999999</v>
      </c>
      <c r="T3" s="33" t="e">
        <v>#N/A</v>
      </c>
      <c r="U3" s="33">
        <v>-2.2737622000000002E-2</v>
      </c>
      <c r="V3" s="33" t="e">
        <v>#N/A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x14ac:dyDescent="0.35">
      <c r="A4" s="2">
        <v>41773</v>
      </c>
      <c r="B4" s="33" t="e">
        <v>#N/A</v>
      </c>
      <c r="C4" s="33">
        <v>1.5157937999999999E-2</v>
      </c>
      <c r="D4" s="33">
        <v>4.5634269999999998E-2</v>
      </c>
      <c r="E4" s="33">
        <v>6.1224460000000001E-2</v>
      </c>
      <c r="F4" s="33">
        <v>-1.00739E-2</v>
      </c>
      <c r="G4" s="33">
        <v>4.4970392999999997E-2</v>
      </c>
      <c r="H4" s="33">
        <v>2.0912646999999999E-2</v>
      </c>
      <c r="I4" s="33">
        <v>2.0422934999999999E-3</v>
      </c>
      <c r="J4" s="33">
        <v>4.2231560000000001E-2</v>
      </c>
      <c r="K4" s="33">
        <v>1.6052842000000001E-2</v>
      </c>
      <c r="L4" s="33">
        <v>5.1428556E-2</v>
      </c>
      <c r="M4" s="33">
        <v>6.952440700000001E-2</v>
      </c>
      <c r="N4" s="33">
        <v>-3.428316E-2</v>
      </c>
      <c r="O4" s="33">
        <v>4.8812389999999997E-2</v>
      </c>
      <c r="P4" s="33">
        <v>-2.1795987999999999E-2</v>
      </c>
      <c r="Q4" s="33" t="e">
        <v>#N/A</v>
      </c>
      <c r="R4" s="33">
        <v>4.9453974E-3</v>
      </c>
      <c r="S4" s="33">
        <v>6.13333E-2</v>
      </c>
      <c r="T4" s="33" t="e">
        <v>#N/A</v>
      </c>
      <c r="U4" s="33">
        <v>-8.3759840000000002E-2</v>
      </c>
      <c r="V4" s="33" t="e">
        <v>#N/A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x14ac:dyDescent="0.35">
      <c r="A5" s="2">
        <v>41803</v>
      </c>
      <c r="B5" s="33" t="e">
        <v>#N/A</v>
      </c>
      <c r="C5" s="33">
        <v>-3.6593019999999997E-2</v>
      </c>
      <c r="D5" s="33">
        <v>-6.4948499999999992E-2</v>
      </c>
      <c r="E5" s="33">
        <v>-1.495719E-2</v>
      </c>
      <c r="F5" s="33">
        <v>3.5278200000000003E-2</v>
      </c>
      <c r="G5" s="33">
        <v>-2.8507710000000002E-3</v>
      </c>
      <c r="H5" s="33">
        <v>0</v>
      </c>
      <c r="I5" s="33">
        <v>4.2798876999999999E-2</v>
      </c>
      <c r="J5" s="33">
        <v>6.7285299999999999E-3</v>
      </c>
      <c r="K5" s="33">
        <v>-4.4919848000000004E-3</v>
      </c>
      <c r="L5" s="33">
        <v>-8.0519914999999998E-4</v>
      </c>
      <c r="M5" s="33">
        <v>-1.6853153999999999E-2</v>
      </c>
      <c r="N5" s="33">
        <v>7.8838110000000003E-2</v>
      </c>
      <c r="O5" s="33">
        <v>6.1340930000000002E-2</v>
      </c>
      <c r="P5" s="33">
        <v>5.5481195000000004E-2</v>
      </c>
      <c r="Q5" s="33">
        <v>6.6692830000000007E-3</v>
      </c>
      <c r="R5" s="33">
        <v>4.2971849999999999E-2</v>
      </c>
      <c r="S5" s="33">
        <v>1.8485307999999999E-2</v>
      </c>
      <c r="T5" s="33">
        <v>-4.1988076999999999E-2</v>
      </c>
      <c r="U5" s="33">
        <v>5.7389500000000003E-2</v>
      </c>
      <c r="V5" s="33" t="e">
        <v>#N/A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x14ac:dyDescent="0.35">
      <c r="A6" s="2">
        <v>41834</v>
      </c>
      <c r="B6" s="33" t="e">
        <v>#N/A</v>
      </c>
      <c r="C6" s="33">
        <v>3.1815052000000003E-2</v>
      </c>
      <c r="D6" s="33">
        <v>5.7466150000000001E-2</v>
      </c>
      <c r="E6" s="33">
        <v>1.5406847E-2</v>
      </c>
      <c r="F6" s="33">
        <v>-3.4249187E-2</v>
      </c>
      <c r="G6" s="33">
        <v>6.3203453999999992E-2</v>
      </c>
      <c r="H6" s="33">
        <v>1.7802358000000001E-2</v>
      </c>
      <c r="I6" s="33">
        <v>7.0358275999999997E-2</v>
      </c>
      <c r="J6" s="33">
        <v>4.0060399999999996E-2</v>
      </c>
      <c r="K6" s="33">
        <v>1.2447834000000001E-3</v>
      </c>
      <c r="L6" s="33">
        <v>2.3267508000000003E-2</v>
      </c>
      <c r="M6" s="33">
        <v>9.9282264999999998E-3</v>
      </c>
      <c r="N6" s="33">
        <v>-6.0256299999999999E-2</v>
      </c>
      <c r="O6" s="33">
        <v>-1.1258840000000001E-2</v>
      </c>
      <c r="P6" s="33">
        <v>2.8537273000000002E-2</v>
      </c>
      <c r="Q6" s="33">
        <v>-2.2213577999999998E-2</v>
      </c>
      <c r="R6" s="33">
        <v>5.0280930000000001E-2</v>
      </c>
      <c r="S6" s="33">
        <v>2.5316358000000001E-2</v>
      </c>
      <c r="T6" s="33">
        <v>-6.6747130000000002E-2</v>
      </c>
      <c r="U6" s="33">
        <v>2.4015426999999999E-2</v>
      </c>
      <c r="V6" s="33" t="e">
        <v>#N/A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35">
      <c r="A7" s="2">
        <v>41865</v>
      </c>
      <c r="B7" s="33" t="e">
        <v>#N/A</v>
      </c>
      <c r="C7" s="33">
        <v>-5.5770039999999993E-2</v>
      </c>
      <c r="D7" s="33">
        <v>2.2839070000000003E-2</v>
      </c>
      <c r="E7" s="33">
        <v>3.3620237999999997E-2</v>
      </c>
      <c r="F7" s="33">
        <v>-1.4368773E-2</v>
      </c>
      <c r="G7" s="33">
        <v>-4.2277575E-4</v>
      </c>
      <c r="H7" s="33">
        <v>-5.5795309999999996E-3</v>
      </c>
      <c r="I7" s="33">
        <v>-2.6171684000000001E-2</v>
      </c>
      <c r="J7" s="33">
        <v>1.3753533E-2</v>
      </c>
      <c r="K7" s="33">
        <v>3.3566474999999998E-2</v>
      </c>
      <c r="L7" s="33">
        <v>-2.7911663E-2</v>
      </c>
      <c r="M7" s="33">
        <v>2.8929113999999999E-2</v>
      </c>
      <c r="N7" s="33">
        <v>-5.8663010000000002E-2</v>
      </c>
      <c r="O7" s="33">
        <v>4.0885806000000004E-2</v>
      </c>
      <c r="P7" s="33">
        <v>6.1718105999999995E-2</v>
      </c>
      <c r="Q7" s="33">
        <v>4.145074E-2</v>
      </c>
      <c r="R7" s="33">
        <v>8.3309409999999997E-3</v>
      </c>
      <c r="S7" s="33">
        <v>-5.3247213000000002E-2</v>
      </c>
      <c r="T7" s="33">
        <v>3.2313703999999999E-2</v>
      </c>
      <c r="U7" s="33">
        <v>2.8611659999999997E-2</v>
      </c>
      <c r="V7" s="33" t="e">
        <v>#N/A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35">
      <c r="A8" s="2">
        <v>41894</v>
      </c>
      <c r="B8" s="33" t="e">
        <v>#N/A</v>
      </c>
      <c r="C8" s="33">
        <v>-1.9536614000000001E-2</v>
      </c>
      <c r="D8" s="33">
        <v>-4.5345250000000004E-2</v>
      </c>
      <c r="E8" s="33">
        <v>-1.5613437E-3</v>
      </c>
      <c r="F8" s="33">
        <v>-1.0760128000000001E-2</v>
      </c>
      <c r="G8" s="33">
        <v>-2.2020637999999999E-2</v>
      </c>
      <c r="H8" s="33">
        <v>-1.8079877000000001E-2</v>
      </c>
      <c r="I8" s="33">
        <v>-6.2501430000000001E-4</v>
      </c>
      <c r="J8" s="33">
        <v>1.4132260999999999E-3</v>
      </c>
      <c r="K8" s="33">
        <v>-4.1948613999999995E-2</v>
      </c>
      <c r="L8" s="33">
        <v>-1.2394130000000001E-2</v>
      </c>
      <c r="M8" s="33">
        <v>-4.6440067000000002E-2</v>
      </c>
      <c r="N8" s="33">
        <v>-1.0628104000000001E-2</v>
      </c>
      <c r="O8" s="33">
        <v>1.9312619999999999E-2</v>
      </c>
      <c r="P8" s="33">
        <v>-8.4445477000000008E-3</v>
      </c>
      <c r="Q8" s="33">
        <v>3.8269757999999997E-3</v>
      </c>
      <c r="R8" s="33">
        <v>2.5545239999999997E-2</v>
      </c>
      <c r="S8" s="33">
        <v>-3.5589159000000002E-2</v>
      </c>
      <c r="T8" s="33">
        <v>2.2120237000000001E-2</v>
      </c>
      <c r="U8" s="33">
        <v>4.2407630000000002E-2</v>
      </c>
      <c r="V8" s="33" t="e">
        <v>#N/A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35">
      <c r="A9" s="2">
        <v>41926</v>
      </c>
      <c r="B9" s="33" t="e">
        <v>#N/A</v>
      </c>
      <c r="C9" s="33">
        <v>-3.1742333999999997E-2</v>
      </c>
      <c r="D9" s="33">
        <v>-6.4051866999999998E-2</v>
      </c>
      <c r="E9" s="33">
        <v>-5.0039052999999993E-2</v>
      </c>
      <c r="F9" s="33">
        <v>-4.4210553E-2</v>
      </c>
      <c r="G9" s="33">
        <v>-6.8416652999999994E-2</v>
      </c>
      <c r="H9" s="33">
        <v>-4.7619046999999998E-2</v>
      </c>
      <c r="I9" s="33">
        <v>-5.6285143000000003E-2</v>
      </c>
      <c r="J9" s="33">
        <v>-6.7598104000000006E-2</v>
      </c>
      <c r="K9" s="33">
        <v>-0.10295045999999999</v>
      </c>
      <c r="L9" s="33">
        <v>-1.0248959E-2</v>
      </c>
      <c r="M9" s="33">
        <v>-5.6623162999999997E-2</v>
      </c>
      <c r="N9" s="33">
        <v>-0.18554688</v>
      </c>
      <c r="O9" s="33">
        <v>-3.0507325999999998E-2</v>
      </c>
      <c r="P9" s="33">
        <v>-6.5557536999999999E-2</v>
      </c>
      <c r="Q9" s="33">
        <v>-2.2112072E-2</v>
      </c>
      <c r="R9" s="33">
        <v>-2.1867215999999998E-2</v>
      </c>
      <c r="S9" s="33">
        <v>-5.8508576999999999E-2</v>
      </c>
      <c r="T9" s="33">
        <v>-7.5132729999999995E-2</v>
      </c>
      <c r="U9" s="33">
        <v>-6.2554716999999996E-2</v>
      </c>
      <c r="V9" s="33" t="e">
        <v>#N/A</v>
      </c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35">
      <c r="A10" s="2">
        <v>41957</v>
      </c>
      <c r="B10" s="33" t="e">
        <v>#N/A</v>
      </c>
      <c r="C10" s="33">
        <v>6.4609050000000003E-3</v>
      </c>
      <c r="D10" s="33">
        <v>4.613602E-2</v>
      </c>
      <c r="E10" s="33">
        <v>5.3223609999999998E-2</v>
      </c>
      <c r="F10" s="33">
        <v>-8.8105800000000001E-3</v>
      </c>
      <c r="G10" s="33">
        <v>-1.1390924E-2</v>
      </c>
      <c r="H10" s="33">
        <v>-1.3999999000000001E-2</v>
      </c>
      <c r="I10" s="33">
        <v>3.7110685999999997E-2</v>
      </c>
      <c r="J10" s="33">
        <v>-4.9947500000000001E-3</v>
      </c>
      <c r="K10" s="33">
        <v>-9.7970959999999999E-3</v>
      </c>
      <c r="L10" s="33">
        <v>-0.16990704000000001</v>
      </c>
      <c r="M10" s="33">
        <v>9.4542139999999997E-2</v>
      </c>
      <c r="N10" s="33">
        <v>-7.4340580000000003E-2</v>
      </c>
      <c r="O10" s="33">
        <v>5.6309940000000003E-2</v>
      </c>
      <c r="P10" s="33">
        <v>6.0618876999999995E-2</v>
      </c>
      <c r="Q10" s="33">
        <v>1.5017510000000001E-2</v>
      </c>
      <c r="R10" s="33">
        <v>1.8813251999999999E-2</v>
      </c>
      <c r="S10" s="33">
        <v>0.10662067</v>
      </c>
      <c r="T10" s="33">
        <v>1.3686538E-2</v>
      </c>
      <c r="U10" s="33">
        <v>-1.4932334E-2</v>
      </c>
      <c r="V10" s="33" t="e">
        <v>#N/A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35">
      <c r="A11" s="2">
        <v>41985</v>
      </c>
      <c r="B11" s="33" t="e">
        <v>#N/A</v>
      </c>
      <c r="C11" s="33">
        <v>-7.4655349999999995E-2</v>
      </c>
      <c r="D11" s="33">
        <v>-2.6460826000000003E-2</v>
      </c>
      <c r="E11" s="33">
        <v>-1.2242794E-2</v>
      </c>
      <c r="F11" s="33">
        <v>-2.4444460000000001E-2</v>
      </c>
      <c r="G11" s="33">
        <v>-2.8113484000000001E-2</v>
      </c>
      <c r="H11" s="33">
        <v>-9.8039210000000002E-2</v>
      </c>
      <c r="I11" s="33">
        <v>-3.9616585000000003E-2</v>
      </c>
      <c r="J11" s="33">
        <v>-0.14161849000000001</v>
      </c>
      <c r="K11" s="33">
        <v>-3.0388652999999998E-2</v>
      </c>
      <c r="L11" s="33">
        <v>-9.2413369999999995E-2</v>
      </c>
      <c r="M11" s="33">
        <v>-0.13368374</v>
      </c>
      <c r="N11" s="33">
        <v>-0.10751289</v>
      </c>
      <c r="O11" s="33">
        <v>-6.4283430000000003E-2</v>
      </c>
      <c r="P11" s="33">
        <v>-3.7969650000000001E-2</v>
      </c>
      <c r="Q11" s="33">
        <v>-0.14346736999999998</v>
      </c>
      <c r="R11" s="33">
        <v>-3.8664162000000002E-2</v>
      </c>
      <c r="S11" s="33">
        <v>-2.0003676000000001E-2</v>
      </c>
      <c r="T11" s="33">
        <v>-0.19207316999999999</v>
      </c>
      <c r="U11" s="33">
        <v>-7.4846029999999994E-2</v>
      </c>
      <c r="V11" s="33" t="e">
        <v>#N/A</v>
      </c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35">
      <c r="A12" s="2">
        <v>42018</v>
      </c>
      <c r="B12" s="33" t="e">
        <v>#N/A</v>
      </c>
      <c r="C12" s="33">
        <v>-2.3760974000000001E-2</v>
      </c>
      <c r="D12" s="33">
        <v>-4.7034025E-4</v>
      </c>
      <c r="E12" s="33">
        <v>5.3759933000000003E-2</v>
      </c>
      <c r="F12" s="33">
        <v>-7.4406680000000003E-2</v>
      </c>
      <c r="G12" s="33">
        <v>-6.2834380000000009E-2</v>
      </c>
      <c r="H12" s="33">
        <v>-7.9618096000000013E-3</v>
      </c>
      <c r="I12" s="33">
        <v>7.9870224E-4</v>
      </c>
      <c r="J12" s="33">
        <v>3.7605524000000001E-2</v>
      </c>
      <c r="K12" s="33">
        <v>3.6716579999999999E-2</v>
      </c>
      <c r="L12" s="33">
        <v>2.3867250000000003E-2</v>
      </c>
      <c r="M12" s="33">
        <v>7.7519179999999993E-2</v>
      </c>
      <c r="N12" s="33">
        <v>-4.7702311999999997E-2</v>
      </c>
      <c r="O12" s="33">
        <v>2.8071164999999999E-2</v>
      </c>
      <c r="P12" s="33">
        <v>6.7148804999999992E-2</v>
      </c>
      <c r="Q12" s="33">
        <v>3.2735466999999997E-2</v>
      </c>
      <c r="R12" s="33">
        <v>5.4721830000000003E-3</v>
      </c>
      <c r="S12" s="33">
        <v>6.5730333000000002E-2</v>
      </c>
      <c r="T12" s="33">
        <v>6.217611E-2</v>
      </c>
      <c r="U12" s="33">
        <v>-2.0838082000000001E-2</v>
      </c>
      <c r="V12" s="33" t="e">
        <v>#N/A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x14ac:dyDescent="0.35">
      <c r="A13" s="2">
        <v>42048</v>
      </c>
      <c r="B13" s="33" t="e">
        <v>#N/A</v>
      </c>
      <c r="C13" s="33">
        <v>8.1180810000000006E-2</v>
      </c>
      <c r="D13" s="33">
        <v>4.9999950000000001E-2</v>
      </c>
      <c r="E13" s="33">
        <v>4.5420410000000001E-2</v>
      </c>
      <c r="F13" s="33">
        <v>-9.232044E-3</v>
      </c>
      <c r="G13" s="33">
        <v>3.0434728000000001E-2</v>
      </c>
      <c r="H13" s="33">
        <v>5.5555580000000007E-2</v>
      </c>
      <c r="I13" s="33">
        <v>8.4745769999999998E-2</v>
      </c>
      <c r="J13" s="33">
        <v>1.8438697E-2</v>
      </c>
      <c r="K13" s="33">
        <v>-3.3796429999999999E-3</v>
      </c>
      <c r="L13" s="33">
        <v>-2.8278349999999997E-2</v>
      </c>
      <c r="M13" s="33">
        <v>7.3542953000000008E-2</v>
      </c>
      <c r="N13" s="33">
        <v>4.9992203999999998E-2</v>
      </c>
      <c r="O13" s="33">
        <v>7.8206896999999997E-2</v>
      </c>
      <c r="P13" s="33">
        <v>2.3968457999999998E-2</v>
      </c>
      <c r="Q13" s="33">
        <v>8.1632610000000008E-2</v>
      </c>
      <c r="R13" s="33">
        <v>6.0824274999999997E-2</v>
      </c>
      <c r="S13" s="33">
        <v>-8.627659E-2</v>
      </c>
      <c r="T13" s="33">
        <v>2.6493549999999998E-2</v>
      </c>
      <c r="U13" s="33">
        <v>4.9435735000000001E-2</v>
      </c>
      <c r="V13" s="33" t="e">
        <v>#N/A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35">
      <c r="A14" s="2">
        <v>42076</v>
      </c>
      <c r="B14" s="33" t="e">
        <v>#N/A</v>
      </c>
      <c r="C14" s="33">
        <v>-7.1184815999999998E-2</v>
      </c>
      <c r="D14" s="33">
        <v>-4.8701230000000005E-2</v>
      </c>
      <c r="E14" s="33">
        <v>-9.8415613000000009E-3</v>
      </c>
      <c r="F14" s="33">
        <v>-7.7933073000000005E-2</v>
      </c>
      <c r="G14" s="33">
        <v>-8.0168779999999995E-2</v>
      </c>
      <c r="H14" s="33">
        <v>-6.4327480000000006E-2</v>
      </c>
      <c r="I14" s="33">
        <v>-2.3750007000000004E-2</v>
      </c>
      <c r="J14" s="33">
        <v>-3.0964433999999999E-2</v>
      </c>
      <c r="K14" s="33">
        <v>-2.2130966000000002E-2</v>
      </c>
      <c r="L14" s="33">
        <v>-0.16376601999999998</v>
      </c>
      <c r="M14" s="33">
        <v>-9.8664340000000003E-2</v>
      </c>
      <c r="N14" s="33">
        <v>-0.21757662</v>
      </c>
      <c r="O14" s="33">
        <v>-3.0652523000000001E-2</v>
      </c>
      <c r="P14" s="33">
        <v>-2.2640050000000002E-2</v>
      </c>
      <c r="Q14" s="33">
        <v>-4.7814790000000003E-2</v>
      </c>
      <c r="R14" s="33">
        <v>-4.6005606999999997E-2</v>
      </c>
      <c r="S14" s="33">
        <v>-0.17019229999999999</v>
      </c>
      <c r="T14" s="33">
        <v>-5.9716643999999999E-2</v>
      </c>
      <c r="U14" s="33">
        <v>-6.2468050000000004E-2</v>
      </c>
      <c r="V14" s="33" t="e">
        <v>#N/A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35">
      <c r="A15" s="2">
        <v>42108</v>
      </c>
      <c r="B15" s="33" t="e">
        <v>#N/A</v>
      </c>
      <c r="C15" s="33">
        <v>9.6325509999999989E-2</v>
      </c>
      <c r="D15" s="33">
        <v>3.7163376999999997E-2</v>
      </c>
      <c r="E15" s="33">
        <v>2.2787809999999999E-2</v>
      </c>
      <c r="F15" s="33">
        <v>0.10427199999999999</v>
      </c>
      <c r="G15" s="33">
        <v>3.3521532999999999E-2</v>
      </c>
      <c r="H15" s="33">
        <v>4.3749929999999999E-2</v>
      </c>
      <c r="I15" s="33">
        <v>1.2163877E-2</v>
      </c>
      <c r="J15" s="33">
        <v>3.9986014E-2</v>
      </c>
      <c r="K15" s="33">
        <v>0.10348606</v>
      </c>
      <c r="L15" s="33">
        <v>0.17297852</v>
      </c>
      <c r="M15" s="33">
        <v>0.11711287499999999</v>
      </c>
      <c r="N15" s="33">
        <v>-2.8090477000000001E-3</v>
      </c>
      <c r="O15" s="33">
        <v>4.0388226999999999E-2</v>
      </c>
      <c r="P15" s="33">
        <v>0.22124062999999999</v>
      </c>
      <c r="Q15" s="33">
        <v>-1.0272026E-2</v>
      </c>
      <c r="R15" s="33">
        <v>4.0737389999999998E-3</v>
      </c>
      <c r="S15" s="33">
        <v>6.8366049999999998E-2</v>
      </c>
      <c r="T15" s="33">
        <v>6.7715170000000005E-2</v>
      </c>
      <c r="U15" s="33">
        <v>-3.3861219999999997E-2</v>
      </c>
      <c r="V15" s="33" t="e">
        <v>#N/A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35">
      <c r="A16" s="2">
        <v>42138</v>
      </c>
      <c r="B16" s="33" t="e">
        <v>#N/A</v>
      </c>
      <c r="C16" s="33">
        <v>5.3866386000000002E-2</v>
      </c>
      <c r="D16" s="33">
        <v>-4.6435120000000003E-2</v>
      </c>
      <c r="E16" s="33">
        <v>-1.8013715999999999E-2</v>
      </c>
      <c r="F16" s="33">
        <v>8.9018230000000004E-2</v>
      </c>
      <c r="G16" s="33">
        <v>7.2721004000000006E-2</v>
      </c>
      <c r="H16" s="33">
        <v>2.6946187E-2</v>
      </c>
      <c r="I16" s="33">
        <v>3.4788131999999999E-2</v>
      </c>
      <c r="J16" s="33">
        <v>1.4942884E-2</v>
      </c>
      <c r="K16" s="33">
        <v>-2.1501184E-3</v>
      </c>
      <c r="L16" s="33">
        <v>7.068062E-2</v>
      </c>
      <c r="M16" s="33">
        <v>-7.1316360000000002E-3</v>
      </c>
      <c r="N16" s="33">
        <v>0.19248830000000003</v>
      </c>
      <c r="O16" s="33">
        <v>-8.6969610000000003E-2</v>
      </c>
      <c r="P16" s="33">
        <v>-2.3468851999999998E-2</v>
      </c>
      <c r="Q16" s="33">
        <v>3.6376118999999998E-2</v>
      </c>
      <c r="R16" s="33">
        <v>-3.2581031000000003E-2</v>
      </c>
      <c r="S16" s="33">
        <v>0.10303688</v>
      </c>
      <c r="T16" s="33">
        <v>4.9233555999999998E-2</v>
      </c>
      <c r="U16" s="33">
        <v>-3.3917486999999996E-2</v>
      </c>
      <c r="V16" s="33" t="e">
        <v>#N/A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35">
      <c r="A17" s="2">
        <v>42167</v>
      </c>
      <c r="B17" s="33" t="e">
        <v>#N/A</v>
      </c>
      <c r="C17" s="33">
        <v>-9.1549279999999997E-2</v>
      </c>
      <c r="D17" s="33">
        <v>-9.5091999999999996E-2</v>
      </c>
      <c r="E17" s="33">
        <v>-6.9032134999999994E-2</v>
      </c>
      <c r="F17" s="33">
        <v>-8.4415619999999997E-2</v>
      </c>
      <c r="G17" s="33">
        <v>-5.2491610000000001E-2</v>
      </c>
      <c r="H17" s="33">
        <v>-9.0379059999999997E-2</v>
      </c>
      <c r="I17" s="33">
        <v>-4.0342330000000003E-2</v>
      </c>
      <c r="J17" s="33">
        <v>-3.5897492999999996E-2</v>
      </c>
      <c r="K17" s="33">
        <v>-8.1551490000000004E-2</v>
      </c>
      <c r="L17" s="33">
        <v>-9.3724550000000004E-2</v>
      </c>
      <c r="M17" s="33">
        <v>-8.5619870000000001E-2</v>
      </c>
      <c r="N17" s="33">
        <v>-7.1653485000000003E-2</v>
      </c>
      <c r="O17" s="33">
        <v>-5.8338822999999998E-2</v>
      </c>
      <c r="P17" s="33">
        <v>-1.8436193E-2</v>
      </c>
      <c r="Q17" s="33">
        <v>-5.094862E-2</v>
      </c>
      <c r="R17" s="33">
        <v>7.2325470000000006E-3</v>
      </c>
      <c r="S17" s="33">
        <v>-0.11543756500000001</v>
      </c>
      <c r="T17" s="33">
        <v>-1.6949355999999999E-2</v>
      </c>
      <c r="U17" s="33">
        <v>6.2024593000000003E-2</v>
      </c>
      <c r="V17" s="33" t="e">
        <v>#N/A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35">
      <c r="A18" s="2">
        <v>42199</v>
      </c>
      <c r="B18" s="33" t="e">
        <v>#N/A</v>
      </c>
      <c r="C18" s="33">
        <v>-3.3987640999999999E-2</v>
      </c>
      <c r="D18" s="33">
        <v>1.4459847999999999E-2</v>
      </c>
      <c r="E18" s="33">
        <v>1.0964751E-2</v>
      </c>
      <c r="F18" s="33">
        <v>-4.4592857E-2</v>
      </c>
      <c r="G18" s="33">
        <v>-2.4695516000000001E-2</v>
      </c>
      <c r="H18" s="33">
        <v>-1.5326439999999998E-2</v>
      </c>
      <c r="I18" s="33">
        <v>-1.2738823999999999E-2</v>
      </c>
      <c r="J18" s="33">
        <v>1.7714499999999999E-3</v>
      </c>
      <c r="K18" s="33">
        <v>-3.9884507999999999E-2</v>
      </c>
      <c r="L18" s="33">
        <v>-1.1044144999999999E-3</v>
      </c>
      <c r="M18" s="33">
        <v>2.5509E-2</v>
      </c>
      <c r="N18" s="33">
        <v>-0.16709084000000002</v>
      </c>
      <c r="O18" s="33">
        <v>8.7144849999999996E-2</v>
      </c>
      <c r="P18" s="33">
        <v>-0.11026012</v>
      </c>
      <c r="Q18" s="33">
        <v>1.6621708999999998E-2</v>
      </c>
      <c r="R18" s="33">
        <v>-1.3147831E-2</v>
      </c>
      <c r="S18" s="33">
        <v>5.987406E-2</v>
      </c>
      <c r="T18" s="33">
        <v>1.6072272999999998E-2</v>
      </c>
      <c r="U18" s="33">
        <v>7.9338909999999999E-2</v>
      </c>
      <c r="V18" s="33" t="e">
        <v>#N/A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35">
      <c r="A19" s="2">
        <v>42230</v>
      </c>
      <c r="B19" s="33" t="e">
        <v>#N/A</v>
      </c>
      <c r="C19" s="33">
        <v>-9.2723899999999998E-2</v>
      </c>
      <c r="D19" s="33">
        <v>-0.11680059999999999</v>
      </c>
      <c r="E19" s="33">
        <v>-4.5653876999999995E-2</v>
      </c>
      <c r="F19" s="33">
        <v>-2.1145463000000003E-2</v>
      </c>
      <c r="G19" s="33">
        <v>-0.15608739999999999</v>
      </c>
      <c r="H19" s="33">
        <v>-0.14427042000000001</v>
      </c>
      <c r="I19" s="33">
        <v>-0.11290323000000001</v>
      </c>
      <c r="J19" s="33">
        <v>-6.3481092000000003E-2</v>
      </c>
      <c r="K19" s="33">
        <v>-7.5375976999999997E-2</v>
      </c>
      <c r="L19" s="33">
        <v>-0.19627022</v>
      </c>
      <c r="M19" s="33">
        <v>-8.2972819999999989E-2</v>
      </c>
      <c r="N19" s="33">
        <v>1.8329978E-2</v>
      </c>
      <c r="O19" s="33">
        <v>-1.1639177999999998E-2</v>
      </c>
      <c r="P19" s="33">
        <v>-5.2942276000000003E-2</v>
      </c>
      <c r="Q19" s="33">
        <v>-3.0711412E-2</v>
      </c>
      <c r="R19" s="33">
        <v>-5.0040300000000003E-2</v>
      </c>
      <c r="S19" s="33">
        <v>-0.13248867</v>
      </c>
      <c r="T19" s="33">
        <v>-2.7187288E-2</v>
      </c>
      <c r="U19" s="33">
        <v>-0.124553385</v>
      </c>
      <c r="V19" s="33" t="e">
        <v>#N/A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35">
      <c r="A20" s="2">
        <v>42261</v>
      </c>
      <c r="B20" s="33" t="e">
        <v>#N/A</v>
      </c>
      <c r="C20" s="33">
        <v>-6.0798525999999995E-3</v>
      </c>
      <c r="D20" s="33">
        <v>-9.9185519999999999E-2</v>
      </c>
      <c r="E20" s="33">
        <v>-5.9729694999999999E-2</v>
      </c>
      <c r="F20" s="33">
        <v>-9.0008380000000006E-3</v>
      </c>
      <c r="G20" s="33">
        <v>-5.7542085999999999E-2</v>
      </c>
      <c r="H20" s="33">
        <v>-2.6974916000000002E-2</v>
      </c>
      <c r="I20" s="33">
        <v>-1.0181844000000001E-2</v>
      </c>
      <c r="J20" s="33">
        <v>-3.8865387000000001E-2</v>
      </c>
      <c r="K20" s="33">
        <v>-2.0735920000000001E-2</v>
      </c>
      <c r="L20" s="33">
        <v>-9.5853920000000009E-2</v>
      </c>
      <c r="M20" s="33">
        <v>-7.3630990000000007E-2</v>
      </c>
      <c r="N20" s="33">
        <v>1.6000032000000001E-2</v>
      </c>
      <c r="O20" s="33">
        <v>-9.4864250000000011E-2</v>
      </c>
      <c r="P20" s="33">
        <v>-0.10617333000000001</v>
      </c>
      <c r="Q20" s="33">
        <v>-1.2992917999999999E-2</v>
      </c>
      <c r="R20" s="33">
        <v>-2.6005745E-2</v>
      </c>
      <c r="S20" s="33">
        <v>-0.14158416000000001</v>
      </c>
      <c r="T20" s="33">
        <v>-0.10924792</v>
      </c>
      <c r="U20" s="33">
        <v>-9.3294440000000006E-2</v>
      </c>
      <c r="V20" s="33" t="e">
        <v>#N/A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35">
      <c r="A21" s="2">
        <v>42291</v>
      </c>
      <c r="B21" s="33" t="e">
        <v>#N/A</v>
      </c>
      <c r="C21" s="33">
        <v>2.4177074E-2</v>
      </c>
      <c r="D21" s="33">
        <v>0.10478735</v>
      </c>
      <c r="E21" s="33">
        <v>2.0120740000000002E-2</v>
      </c>
      <c r="F21" s="33">
        <v>4.541397E-3</v>
      </c>
      <c r="G21" s="33">
        <v>3.8813710000000001E-2</v>
      </c>
      <c r="H21" s="33">
        <v>8.8118789999999989E-2</v>
      </c>
      <c r="I21" s="33">
        <v>3.3798694999999997E-2</v>
      </c>
      <c r="J21" s="33">
        <v>4.2353389999999998E-2</v>
      </c>
      <c r="K21" s="33">
        <v>0.10234583000000001</v>
      </c>
      <c r="L21" s="33">
        <v>-5.0483940000000003E-3</v>
      </c>
      <c r="M21" s="33">
        <v>7.9847216999999998E-2</v>
      </c>
      <c r="N21" s="33">
        <v>-9.8425149999999996E-3</v>
      </c>
      <c r="O21" s="33">
        <v>4.7705054000000004E-2</v>
      </c>
      <c r="P21" s="33">
        <v>5.9842466999999996E-2</v>
      </c>
      <c r="Q21" s="33">
        <v>5.3117274999999993E-3</v>
      </c>
      <c r="R21" s="33">
        <v>2.0280957000000002E-2</v>
      </c>
      <c r="S21" s="33">
        <v>0.162053</v>
      </c>
      <c r="T21" s="33">
        <v>5.8773517999999997E-2</v>
      </c>
      <c r="U21" s="33">
        <v>0.10546625000000001</v>
      </c>
      <c r="V21" s="33" t="e">
        <v>#N/A</v>
      </c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35">
      <c r="A22" s="2">
        <v>42321</v>
      </c>
      <c r="B22" s="33" t="e">
        <v>#N/A</v>
      </c>
      <c r="C22" s="33">
        <v>-5.0056814999999998E-2</v>
      </c>
      <c r="D22" s="33">
        <v>-3.5146831999999996E-2</v>
      </c>
      <c r="E22" s="33">
        <v>-5.5226919999999999E-2</v>
      </c>
      <c r="F22" s="33">
        <v>-0.13019896</v>
      </c>
      <c r="G22" s="33">
        <v>-6.8549394999999999E-2</v>
      </c>
      <c r="H22" s="33">
        <v>-8.9171940000000005E-2</v>
      </c>
      <c r="I22" s="33">
        <v>-5.0462008000000003E-2</v>
      </c>
      <c r="J22" s="33">
        <v>-2.5739968000000002E-2</v>
      </c>
      <c r="K22" s="33">
        <v>-3.4651576999999996E-2</v>
      </c>
      <c r="L22" s="33">
        <v>-1.7725109999999999E-2</v>
      </c>
      <c r="M22" s="33">
        <v>-0.12194705</v>
      </c>
      <c r="N22" s="33">
        <v>-8.7475190000000008E-2</v>
      </c>
      <c r="O22" s="33">
        <v>-7.2093844000000004E-2</v>
      </c>
      <c r="P22" s="33">
        <v>-1.9316494E-2</v>
      </c>
      <c r="Q22" s="33">
        <v>-8.5228560000000009E-2</v>
      </c>
      <c r="R22" s="33">
        <v>-1.6098737999999998E-2</v>
      </c>
      <c r="S22" s="33">
        <v>4.7890780000000001E-2</v>
      </c>
      <c r="T22" s="33">
        <v>-0.15841884000000001</v>
      </c>
      <c r="U22" s="33">
        <v>-5.1774383000000007E-2</v>
      </c>
      <c r="V22" s="33">
        <v>-8.477121E-2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35">
      <c r="A23" s="2">
        <v>42352</v>
      </c>
      <c r="B23" s="33" t="e">
        <v>#N/A</v>
      </c>
      <c r="C23" s="33">
        <v>-7.6047955E-2</v>
      </c>
      <c r="D23" s="33">
        <v>-2.4950086999999999E-2</v>
      </c>
      <c r="E23" s="33">
        <v>-1.0736644E-2</v>
      </c>
      <c r="F23" s="33">
        <v>-0.10083162</v>
      </c>
      <c r="G23" s="33">
        <v>-7.5220289999999995E-2</v>
      </c>
      <c r="H23" s="33">
        <v>9.9899770000000006E-3</v>
      </c>
      <c r="I23" s="33">
        <v>-2.9191554000000002E-2</v>
      </c>
      <c r="J23" s="33">
        <v>-6.5861520000000007E-2</v>
      </c>
      <c r="K23" s="33">
        <v>-2.2044419999999999E-2</v>
      </c>
      <c r="L23" s="33">
        <v>-3.6193369999999996E-2</v>
      </c>
      <c r="M23" s="33">
        <v>-0.10915023</v>
      </c>
      <c r="N23" s="33">
        <v>-0.12309360500000001</v>
      </c>
      <c r="O23" s="33">
        <v>-1.9330858999999999E-2</v>
      </c>
      <c r="P23" s="33">
        <v>-4.3290019999999999E-2</v>
      </c>
      <c r="Q23" s="33">
        <v>-9.9698659999999995E-2</v>
      </c>
      <c r="R23" s="33">
        <v>-8.3076529999999996E-2</v>
      </c>
      <c r="S23" s="33">
        <v>-0.17238925999999999</v>
      </c>
      <c r="T23" s="33">
        <v>-5.0576210000000003E-2</v>
      </c>
      <c r="U23" s="33">
        <v>-9.5705509999999994E-2</v>
      </c>
      <c r="V23" s="33">
        <v>-2.4999976E-2</v>
      </c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35">
      <c r="A24" s="2">
        <v>42383</v>
      </c>
      <c r="B24" s="33" t="e">
        <v>#N/A</v>
      </c>
      <c r="C24" s="33">
        <v>-1.2047529E-2</v>
      </c>
      <c r="D24" s="33">
        <v>6.4967629999999998E-2</v>
      </c>
      <c r="E24" s="33">
        <v>-6.7178725999999994E-2</v>
      </c>
      <c r="F24" s="33">
        <v>-1.0447501999999999E-2</v>
      </c>
      <c r="G24" s="33">
        <v>-8.9456620000000001E-2</v>
      </c>
      <c r="H24" s="33">
        <v>-4.4639707000000001E-3</v>
      </c>
      <c r="I24" s="33">
        <v>-5.7336625999999995E-2</v>
      </c>
      <c r="J24" s="33">
        <v>-4.7532023999999999E-2</v>
      </c>
      <c r="K24" s="33">
        <v>-3.0188322E-2</v>
      </c>
      <c r="L24" s="33">
        <v>-0.13962925000000001</v>
      </c>
      <c r="M24" s="33">
        <v>-9.5531039999999998E-2</v>
      </c>
      <c r="N24" s="33">
        <v>-5.9500989999999997E-2</v>
      </c>
      <c r="O24" s="33">
        <v>-9.0930460000000005E-3</v>
      </c>
      <c r="P24" s="33">
        <v>-9.2239020000000005E-2</v>
      </c>
      <c r="Q24" s="33">
        <v>-5.6303979999999997E-2</v>
      </c>
      <c r="R24" s="33">
        <v>-3.4079552000000003E-3</v>
      </c>
      <c r="S24" s="33">
        <v>9.1603993999999998E-3</v>
      </c>
      <c r="T24" s="33">
        <v>-2.2445320000000001E-2</v>
      </c>
      <c r="U24" s="33">
        <v>-4.1438459999999996E-2</v>
      </c>
      <c r="V24" s="33">
        <v>-0.12325758000000001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35">
      <c r="A25" s="2">
        <v>42412</v>
      </c>
      <c r="B25" s="33" t="e">
        <v>#N/A</v>
      </c>
      <c r="C25" s="33">
        <v>7.9328537000000005E-2</v>
      </c>
      <c r="D25" s="33">
        <v>8.8589310000000004E-2</v>
      </c>
      <c r="E25" s="33">
        <v>5.3843737000000003E-2</v>
      </c>
      <c r="F25" s="33">
        <v>3.3747791999999999E-2</v>
      </c>
      <c r="G25" s="33">
        <v>0.14840794000000002</v>
      </c>
      <c r="H25" s="33">
        <v>6.7750690000000002E-2</v>
      </c>
      <c r="I25" s="33">
        <v>2.3608804000000001E-2</v>
      </c>
      <c r="J25" s="33">
        <v>-2.7335346E-2</v>
      </c>
      <c r="K25" s="33">
        <v>-2.1478236000000001E-2</v>
      </c>
      <c r="L25" s="33">
        <v>1.5223145E-2</v>
      </c>
      <c r="M25" s="33">
        <v>7.7538132999999995E-2</v>
      </c>
      <c r="N25" s="33">
        <v>-0.21447722999999999</v>
      </c>
      <c r="O25" s="33">
        <v>-7.3603095999999993E-2</v>
      </c>
      <c r="P25" s="33">
        <v>-7.6067685999999995E-2</v>
      </c>
      <c r="Q25" s="33">
        <v>4.0520550000000002E-2</v>
      </c>
      <c r="R25" s="33">
        <v>1.0448813E-2</v>
      </c>
      <c r="S25" s="33">
        <v>2.3255944000000001E-2</v>
      </c>
      <c r="T25" s="33">
        <v>2.2160769E-2</v>
      </c>
      <c r="U25" s="33">
        <v>-2.3512124999999998E-2</v>
      </c>
      <c r="V25" s="33">
        <v>-2.2062419999999999E-2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35">
      <c r="A26" s="2">
        <v>42443</v>
      </c>
      <c r="B26" s="33" t="e">
        <v>#N/A</v>
      </c>
      <c r="C26" s="33">
        <v>8.2952020000000001E-2</v>
      </c>
      <c r="D26" s="33">
        <v>5.6612014999999995E-2</v>
      </c>
      <c r="E26" s="33">
        <v>8.6180319999999991E-2</v>
      </c>
      <c r="F26" s="33">
        <v>8.2474229999999996E-2</v>
      </c>
      <c r="G26" s="33">
        <v>0.17340219999999998</v>
      </c>
      <c r="H26" s="33">
        <v>4.3147206E-2</v>
      </c>
      <c r="I26" s="33">
        <v>0.12520587999999999</v>
      </c>
      <c r="J26" s="33">
        <v>0.12613416</v>
      </c>
      <c r="K26" s="33">
        <v>8.1127640000000001E-2</v>
      </c>
      <c r="L26" s="33">
        <v>0.31334019000000002</v>
      </c>
      <c r="M26" s="33">
        <v>9.669435500000001E-2</v>
      </c>
      <c r="N26" s="33">
        <v>0.25938559</v>
      </c>
      <c r="O26" s="33">
        <v>8.7770349999999997E-2</v>
      </c>
      <c r="P26" s="33">
        <v>0.13047050999999998</v>
      </c>
      <c r="Q26" s="33">
        <v>0.10915290999999999</v>
      </c>
      <c r="R26" s="33">
        <v>9.226870999999999E-2</v>
      </c>
      <c r="S26" s="33">
        <v>0.15105307000000001</v>
      </c>
      <c r="T26" s="33">
        <v>0.12195122</v>
      </c>
      <c r="U26" s="33">
        <v>6.8472505000000003E-2</v>
      </c>
      <c r="V26" s="33">
        <v>8.9259389999999994E-2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35">
      <c r="A27" s="2">
        <v>42474</v>
      </c>
      <c r="B27" s="33" t="e">
        <v>#N/A</v>
      </c>
      <c r="C27" s="33">
        <v>4.5057774000000002E-2</v>
      </c>
      <c r="D27" s="33">
        <v>-2.134788E-2</v>
      </c>
      <c r="E27" s="33">
        <v>5.1005960000000003E-2</v>
      </c>
      <c r="F27" s="33">
        <v>2.5925875000000001E-2</v>
      </c>
      <c r="G27" s="33">
        <v>0.14016819</v>
      </c>
      <c r="H27" s="33">
        <v>8.2724930000000002E-2</v>
      </c>
      <c r="I27" s="33">
        <v>-4.3923259999999993E-3</v>
      </c>
      <c r="J27" s="33">
        <v>4.1854978000000001E-2</v>
      </c>
      <c r="K27" s="33">
        <v>5.374193E-2</v>
      </c>
      <c r="L27" s="33">
        <v>0.12401569</v>
      </c>
      <c r="M27" s="33">
        <v>0.11646508999999999</v>
      </c>
      <c r="N27" s="33">
        <v>-2.7100325000000001E-2</v>
      </c>
      <c r="O27" s="33">
        <v>4.7036290000000001E-2</v>
      </c>
      <c r="P27" s="33">
        <v>6.532776400000001E-2</v>
      </c>
      <c r="Q27" s="33">
        <v>6.724715E-3</v>
      </c>
      <c r="R27" s="33">
        <v>-6.3474180000000005E-3</v>
      </c>
      <c r="S27" s="33">
        <v>9.2704179999999997E-2</v>
      </c>
      <c r="T27" s="33">
        <v>6.5217375999999994E-2</v>
      </c>
      <c r="U27" s="33">
        <v>9.8521709999999998E-3</v>
      </c>
      <c r="V27" s="33">
        <v>3.5114883999999999E-2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35">
      <c r="A28" s="2">
        <v>42503</v>
      </c>
      <c r="B28" s="33" t="e">
        <v>#N/A</v>
      </c>
      <c r="C28" s="33">
        <v>-3.3144712E-2</v>
      </c>
      <c r="D28" s="33">
        <v>-5.0042749999999997E-2</v>
      </c>
      <c r="E28" s="33">
        <v>-5.3924322E-4</v>
      </c>
      <c r="F28" s="33">
        <v>-9.0768450000000001E-2</v>
      </c>
      <c r="G28" s="33">
        <v>6.3927053999999997E-2</v>
      </c>
      <c r="H28" s="33">
        <v>-9.5505530000000005E-2</v>
      </c>
      <c r="I28" s="33">
        <v>-9.1176510000000002E-2</v>
      </c>
      <c r="J28" s="33">
        <v>-4.5454559999999998E-2</v>
      </c>
      <c r="K28" s="33">
        <v>-6.3468036999999991E-2</v>
      </c>
      <c r="L28" s="33">
        <v>-2.6269674E-2</v>
      </c>
      <c r="M28" s="33">
        <v>-0.1024794</v>
      </c>
      <c r="N28" s="33">
        <v>0.15041791999999998</v>
      </c>
      <c r="O28" s="33">
        <v>-3.0679286E-2</v>
      </c>
      <c r="P28" s="33">
        <v>-0.10538268000000001</v>
      </c>
      <c r="Q28" s="33">
        <v>-4.0287732999999999E-2</v>
      </c>
      <c r="R28" s="33">
        <v>6.6909790000000005E-3</v>
      </c>
      <c r="S28" s="33">
        <v>-0.13992953</v>
      </c>
      <c r="T28" s="33">
        <v>-7.0861697000000001E-2</v>
      </c>
      <c r="U28" s="33">
        <v>-7.663965E-3</v>
      </c>
      <c r="V28" s="33">
        <v>4.2196749999999998E-2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35">
      <c r="A29" s="2">
        <v>42535</v>
      </c>
      <c r="B29" s="33" t="e">
        <v>#N/A</v>
      </c>
      <c r="C29" s="33">
        <v>-1.0869563E-2</v>
      </c>
      <c r="D29" s="33">
        <v>2.2962690000000001E-2</v>
      </c>
      <c r="E29" s="33">
        <v>1.2948513E-2</v>
      </c>
      <c r="F29" s="33">
        <v>-3.9137780000000004E-2</v>
      </c>
      <c r="G29" s="33">
        <v>-3.2023786999999998E-2</v>
      </c>
      <c r="H29" s="33">
        <v>-9.937942E-3</v>
      </c>
      <c r="I29" s="33">
        <v>9.3042139999999995E-2</v>
      </c>
      <c r="J29" s="33">
        <v>-5.8684053E-2</v>
      </c>
      <c r="K29" s="33">
        <v>1.4723659E-2</v>
      </c>
      <c r="L29" s="33">
        <v>-4.9640235999999997E-2</v>
      </c>
      <c r="M29" s="33">
        <v>2.5987266999999998E-2</v>
      </c>
      <c r="N29" s="33">
        <v>-8.7167150000000013E-2</v>
      </c>
      <c r="O29" s="33">
        <v>2.9766319999999999E-2</v>
      </c>
      <c r="P29" s="33">
        <v>3.9350033E-2</v>
      </c>
      <c r="Q29" s="33">
        <v>-2.7050494999999997E-2</v>
      </c>
      <c r="R29" s="33">
        <v>2.3955226E-2</v>
      </c>
      <c r="S29" s="33">
        <v>4.6118498000000006E-3</v>
      </c>
      <c r="T29" s="33">
        <v>2.5625347999999999E-2</v>
      </c>
      <c r="U29" s="33">
        <v>2.6704192000000002E-2</v>
      </c>
      <c r="V29" s="33">
        <v>-5.0082800000000004E-3</v>
      </c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35">
      <c r="A30" s="2">
        <v>42565</v>
      </c>
      <c r="B30" s="33" t="e">
        <v>#N/A</v>
      </c>
      <c r="C30" s="33">
        <v>9.5876219999999998E-2</v>
      </c>
      <c r="D30" s="33">
        <v>0.12069331999999999</v>
      </c>
      <c r="E30" s="33">
        <v>7.2276115000000002E-2</v>
      </c>
      <c r="F30" s="33">
        <v>2.9743910000000003E-3</v>
      </c>
      <c r="G30" s="33">
        <v>0.14009512000000002</v>
      </c>
      <c r="H30" s="33">
        <v>7.7784896000000006E-2</v>
      </c>
      <c r="I30" s="33">
        <v>8.2901589999999997E-2</v>
      </c>
      <c r="J30" s="33">
        <v>7.9426289999999997E-2</v>
      </c>
      <c r="K30" s="33">
        <v>8.2886100000000004E-2</v>
      </c>
      <c r="L30" s="33">
        <v>0.22023571</v>
      </c>
      <c r="M30" s="33">
        <v>0.12776172999999999</v>
      </c>
      <c r="N30" s="33">
        <v>-2.5198936000000002E-2</v>
      </c>
      <c r="O30" s="33">
        <v>7.203852999999999E-2</v>
      </c>
      <c r="P30" s="33">
        <v>8.0847379999999996E-2</v>
      </c>
      <c r="Q30" s="33">
        <v>7.8298690000000004E-2</v>
      </c>
      <c r="R30" s="33">
        <v>4.2426944000000001E-2</v>
      </c>
      <c r="S30" s="33">
        <v>0.11264753000000001</v>
      </c>
      <c r="T30" s="33">
        <v>6.9290279999999996E-2</v>
      </c>
      <c r="U30" s="33">
        <v>4.8596859999999999E-2</v>
      </c>
      <c r="V30" s="33">
        <v>-4.4156910000000002E-3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35">
      <c r="A31" s="2">
        <v>42594</v>
      </c>
      <c r="B31" s="33">
        <v>9.8783970000000006E-3</v>
      </c>
      <c r="C31" s="33">
        <v>2.2001027999999999E-2</v>
      </c>
      <c r="D31" s="33">
        <v>4.4065E-2</v>
      </c>
      <c r="E31" s="33">
        <v>-7.9760549999999993E-3</v>
      </c>
      <c r="F31" s="33">
        <v>0.11976397</v>
      </c>
      <c r="G31" s="33">
        <v>6.0505630000000005E-2</v>
      </c>
      <c r="H31" s="33">
        <v>-1.297164E-2</v>
      </c>
      <c r="I31" s="33">
        <v>6.0833930000000001E-2</v>
      </c>
      <c r="J31" s="33">
        <v>4.1904329999999997E-2</v>
      </c>
      <c r="K31" s="33">
        <v>5.0110099999999998E-2</v>
      </c>
      <c r="L31" s="33">
        <v>7.6874970000000001E-2</v>
      </c>
      <c r="M31" s="33">
        <v>8.6552509999999999E-2</v>
      </c>
      <c r="N31" s="33">
        <v>-5.4421425000000002E-3</v>
      </c>
      <c r="O31" s="33">
        <v>1.8887280999999999E-2</v>
      </c>
      <c r="P31" s="33">
        <v>5.9867980000000001E-2</v>
      </c>
      <c r="Q31" s="33">
        <v>5.5060387000000002E-2</v>
      </c>
      <c r="R31" s="33">
        <v>4.2957306000000001E-2</v>
      </c>
      <c r="S31" s="33">
        <v>-7.5697184000000001E-2</v>
      </c>
      <c r="T31" s="33">
        <v>4.0415525000000001E-3</v>
      </c>
      <c r="U31" s="33">
        <v>-1.4360249E-2</v>
      </c>
      <c r="V31" s="33">
        <v>-1.8299282E-2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35">
      <c r="A32" s="2">
        <v>42627</v>
      </c>
      <c r="B32" s="33">
        <v>-2.7840495E-2</v>
      </c>
      <c r="C32" s="33">
        <v>-7.4577150000000009E-2</v>
      </c>
      <c r="D32" s="33">
        <v>-7.1102619999999991E-2</v>
      </c>
      <c r="E32" s="33">
        <v>-7.9648200000000002E-2</v>
      </c>
      <c r="F32" s="33">
        <v>-6.0853479999999995E-2</v>
      </c>
      <c r="G32" s="33">
        <v>-6.5569160000000001E-2</v>
      </c>
      <c r="H32" s="33">
        <v>-4.6594977000000003E-2</v>
      </c>
      <c r="I32" s="33">
        <v>-4.0592790000000004E-2</v>
      </c>
      <c r="J32" s="33">
        <v>-9.9697890000000011E-2</v>
      </c>
      <c r="K32" s="33">
        <v>-4.0202736999999995E-2</v>
      </c>
      <c r="L32" s="33">
        <v>-7.2257699999999994E-2</v>
      </c>
      <c r="M32" s="33">
        <v>-9.1229259999999993E-2</v>
      </c>
      <c r="N32" s="33">
        <v>-4.2407630000000002E-2</v>
      </c>
      <c r="O32" s="33">
        <v>-1.0111212999999999E-2</v>
      </c>
      <c r="P32" s="33">
        <v>2.1262883999999999E-2</v>
      </c>
      <c r="Q32" s="33">
        <v>-5.5661144000000003E-2</v>
      </c>
      <c r="R32" s="33">
        <v>-6.0831904000000006E-2</v>
      </c>
      <c r="S32" s="33">
        <v>-5.3498926000000002E-2</v>
      </c>
      <c r="T32" s="33">
        <v>-3.8527906000000001E-2</v>
      </c>
      <c r="U32" s="33">
        <v>-4.9668846000000003E-2</v>
      </c>
      <c r="V32" s="33">
        <v>-5.657893E-2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35">
      <c r="A33" s="2">
        <v>42657</v>
      </c>
      <c r="B33" s="33">
        <v>2.0897746000000002E-2</v>
      </c>
      <c r="C33" s="33">
        <v>3.5447239999999998E-2</v>
      </c>
      <c r="D33" s="33">
        <v>7.2861195000000004E-2</v>
      </c>
      <c r="E33" s="33">
        <v>-3.7128030999999999E-2</v>
      </c>
      <c r="F33" s="33">
        <v>-7.0126056999999997E-3</v>
      </c>
      <c r="G33" s="33">
        <v>-3.2806754E-2</v>
      </c>
      <c r="H33" s="33">
        <v>-5.0125120000000002E-3</v>
      </c>
      <c r="I33" s="33">
        <v>3.8280725000000002E-2</v>
      </c>
      <c r="J33" s="33">
        <v>4.8238276999999996E-2</v>
      </c>
      <c r="K33" s="33">
        <v>8.1952810000000004E-3</v>
      </c>
      <c r="L33" s="33">
        <v>0.12761962999999998</v>
      </c>
      <c r="M33" s="33">
        <v>-4.5949400000000001E-2</v>
      </c>
      <c r="N33" s="33">
        <v>4.571426E-2</v>
      </c>
      <c r="O33" s="33">
        <v>-6.4691900000000005E-3</v>
      </c>
      <c r="P33" s="33">
        <v>6.0988664999999994E-3</v>
      </c>
      <c r="Q33" s="33">
        <v>2.3415685000000002E-2</v>
      </c>
      <c r="R33" s="33">
        <v>1.3317943E-2</v>
      </c>
      <c r="S33" s="33">
        <v>-9.6437334999999996E-3</v>
      </c>
      <c r="T33" s="33">
        <v>-1.8540621E-2</v>
      </c>
      <c r="U33" s="33">
        <v>3.2055736000000001E-2</v>
      </c>
      <c r="V33" s="33">
        <v>-2.8358935999999998E-2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35">
      <c r="A34" s="2">
        <v>42688</v>
      </c>
      <c r="B34" s="33">
        <v>1.4404893E-2</v>
      </c>
      <c r="C34" s="33">
        <v>-1.6047059999999998E-2</v>
      </c>
      <c r="D34" s="33">
        <v>-0.11064476000000001</v>
      </c>
      <c r="E34" s="33">
        <v>-7.2866440000000005E-2</v>
      </c>
      <c r="F34" s="33">
        <v>-3.7853121999999996E-2</v>
      </c>
      <c r="G34" s="33">
        <v>1.7902016999999999E-2</v>
      </c>
      <c r="H34" s="33">
        <v>-6.5491199999999999E-2</v>
      </c>
      <c r="I34" s="33">
        <v>-4.7218679999999999E-2</v>
      </c>
      <c r="J34" s="33">
        <v>-0.11724691999999999</v>
      </c>
      <c r="K34" s="33">
        <v>-5.4732620000000003E-2</v>
      </c>
      <c r="L34" s="33">
        <v>-0.10180301</v>
      </c>
      <c r="M34" s="33">
        <v>-6.2862689999999999E-2</v>
      </c>
      <c r="N34" s="33">
        <v>-2.0491838000000002E-2</v>
      </c>
      <c r="O34" s="33">
        <v>-8.9102150000000005E-2</v>
      </c>
      <c r="P34" s="33">
        <v>-6.7516685000000007E-2</v>
      </c>
      <c r="Q34" s="33">
        <v>-7.6112089999999993E-2</v>
      </c>
      <c r="R34" s="33">
        <v>-5.6713223E-3</v>
      </c>
      <c r="S34" s="33">
        <v>-9.8999199999999996E-2</v>
      </c>
      <c r="T34" s="33">
        <v>-6.5204144000000006E-2</v>
      </c>
      <c r="U34" s="33">
        <v>-8.102637E-2</v>
      </c>
      <c r="V34" s="33">
        <v>0.13875591000000001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35">
      <c r="A35" s="2">
        <v>42718</v>
      </c>
      <c r="B35" s="33">
        <v>-2.8400599999999998E-2</v>
      </c>
      <c r="C35" s="33">
        <v>4.3218255000000004E-2</v>
      </c>
      <c r="D35" s="33">
        <v>2.0592092999999999E-2</v>
      </c>
      <c r="E35" s="33">
        <v>-1.8042803E-2</v>
      </c>
      <c r="F35" s="33">
        <v>5.7545423999999998E-2</v>
      </c>
      <c r="G35" s="33">
        <v>8.9478490000000008E-3</v>
      </c>
      <c r="H35" s="33">
        <v>-1.1792480999999999E-2</v>
      </c>
      <c r="I35" s="33">
        <v>4.0393829999999999E-2</v>
      </c>
      <c r="J35" s="33">
        <v>2.3118734000000002E-2</v>
      </c>
      <c r="K35" s="33">
        <v>3.3059478000000003E-2</v>
      </c>
      <c r="L35" s="33">
        <v>-2.7177273999999998E-2</v>
      </c>
      <c r="M35" s="33">
        <v>5.7791469999999998E-2</v>
      </c>
      <c r="N35" s="33">
        <v>7.3919059999999995E-2</v>
      </c>
      <c r="O35" s="33">
        <v>6.7720413E-3</v>
      </c>
      <c r="P35" s="33">
        <v>6.9490669999999997E-3</v>
      </c>
      <c r="Q35" s="33">
        <v>4.0912867000000006E-2</v>
      </c>
      <c r="R35" s="33">
        <v>3.5406350000000003E-2</v>
      </c>
      <c r="S35" s="33">
        <v>-5.2236614000000001E-2</v>
      </c>
      <c r="T35" s="33">
        <v>0.11147320000000001</v>
      </c>
      <c r="U35" s="33">
        <v>-4.0411414999999999E-2</v>
      </c>
      <c r="V35" s="33">
        <v>4.57983E-2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35">
      <c r="A36" s="2">
        <v>42748</v>
      </c>
      <c r="B36" s="33">
        <v>-1.0090946999999999E-2</v>
      </c>
      <c r="C36" s="33">
        <v>9.5230339999999997E-3</v>
      </c>
      <c r="D36" s="33">
        <v>3.0982970000000002E-2</v>
      </c>
      <c r="E36" s="33">
        <v>7.1564794000000001E-2</v>
      </c>
      <c r="F36" s="33">
        <v>8.4587690000000007E-2</v>
      </c>
      <c r="G36" s="33">
        <v>4.5738580000000001E-2</v>
      </c>
      <c r="H36" s="33">
        <v>3.4572124000000003E-2</v>
      </c>
      <c r="I36" s="33">
        <v>2.8397918000000001E-2</v>
      </c>
      <c r="J36" s="33">
        <v>-5.0847825999999999E-2</v>
      </c>
      <c r="K36" s="33">
        <v>6.1335563999999995E-2</v>
      </c>
      <c r="L36" s="33">
        <v>0.15536642000000001</v>
      </c>
      <c r="M36" s="33">
        <v>9.4463709999999992E-2</v>
      </c>
      <c r="N36" s="33">
        <v>6.4761399999999997E-2</v>
      </c>
      <c r="O36" s="33">
        <v>3.6508560000000002E-2</v>
      </c>
      <c r="P36" s="33">
        <v>4.0951370000000001E-2</v>
      </c>
      <c r="Q36" s="33">
        <v>5.8288813000000002E-2</v>
      </c>
      <c r="R36" s="33">
        <v>3.5490513000000001E-2</v>
      </c>
      <c r="S36" s="33">
        <v>3.3305526000000002E-2</v>
      </c>
      <c r="T36" s="33">
        <v>3.3607244000000001E-2</v>
      </c>
      <c r="U36" s="33">
        <v>5.9937120000000003E-2</v>
      </c>
      <c r="V36" s="33">
        <v>-2.4691819999999999E-3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35">
      <c r="A37" s="2">
        <v>42780</v>
      </c>
      <c r="B37" s="33">
        <v>2.9527545000000002E-2</v>
      </c>
      <c r="C37" s="33">
        <v>6.5582274999999995E-2</v>
      </c>
      <c r="D37" s="33">
        <v>1.9591807999999999E-2</v>
      </c>
      <c r="E37" s="33">
        <v>-8.7438819999999997E-3</v>
      </c>
      <c r="F37" s="33">
        <v>0.10229647</v>
      </c>
      <c r="G37" s="33">
        <v>5.9530854000000001E-2</v>
      </c>
      <c r="H37" s="33">
        <v>2.2038579999999999E-2</v>
      </c>
      <c r="I37" s="33">
        <v>5.8785200000000003E-2</v>
      </c>
      <c r="J37" s="33">
        <v>8.6987129999999996E-2</v>
      </c>
      <c r="K37" s="33">
        <v>2.5577664000000003E-2</v>
      </c>
      <c r="L37" s="33">
        <v>8.4585430000000003E-2</v>
      </c>
      <c r="M37" s="33">
        <v>1.7840980999999999E-2</v>
      </c>
      <c r="N37" s="33">
        <v>-4.6019909999999997E-2</v>
      </c>
      <c r="O37" s="33">
        <v>5.9652925000000002E-2</v>
      </c>
      <c r="P37" s="33">
        <v>5.0744890000000001E-2</v>
      </c>
      <c r="Q37" s="33">
        <v>3.03185E-3</v>
      </c>
      <c r="R37" s="33">
        <v>-1.9044876000000001E-3</v>
      </c>
      <c r="S37" s="33">
        <v>8.9346049999999996E-2</v>
      </c>
      <c r="T37" s="33">
        <v>-6.7220926E-3</v>
      </c>
      <c r="U37" s="33">
        <v>3.7009596999999998E-2</v>
      </c>
      <c r="V37" s="33">
        <v>1.3430953000000001E-2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35">
      <c r="A38" s="2">
        <v>42808</v>
      </c>
      <c r="B38" s="33">
        <v>9.5602273999999994E-3</v>
      </c>
      <c r="C38" s="33">
        <v>-1.0176957E-2</v>
      </c>
      <c r="D38" s="33">
        <v>-8.8070035000000005E-3</v>
      </c>
      <c r="E38" s="33">
        <v>-1.7641187000000001E-3</v>
      </c>
      <c r="F38" s="33">
        <v>1.5625E-2</v>
      </c>
      <c r="G38" s="33">
        <v>-0.10268485999999999</v>
      </c>
      <c r="H38" s="33">
        <v>9.4338655000000011E-3</v>
      </c>
      <c r="I38" s="33">
        <v>-1.1656344000000001E-2</v>
      </c>
      <c r="J38" s="33">
        <v>1.8766164999999998E-2</v>
      </c>
      <c r="K38" s="33">
        <v>2.0811796E-2</v>
      </c>
      <c r="L38" s="33">
        <v>-5.9774218000000004E-2</v>
      </c>
      <c r="M38" s="33">
        <v>-5.1345825000000001E-3</v>
      </c>
      <c r="N38" s="33">
        <v>1.0430216999999999E-2</v>
      </c>
      <c r="O38" s="33">
        <v>4.9812436000000002E-2</v>
      </c>
      <c r="P38" s="33">
        <v>9.2478990000000004E-3</v>
      </c>
      <c r="Q38" s="33">
        <v>-3.4256935000000002E-2</v>
      </c>
      <c r="R38" s="33">
        <v>-1.8502234999999999E-2</v>
      </c>
      <c r="S38" s="33">
        <v>-1.5783608000000001E-2</v>
      </c>
      <c r="T38" s="33">
        <v>-3.7668704999999997E-2</v>
      </c>
      <c r="U38" s="33">
        <v>-4.2112770000000001E-2</v>
      </c>
      <c r="V38" s="33">
        <v>-3.4176707000000001E-2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35">
      <c r="A39" s="2">
        <v>42838</v>
      </c>
      <c r="B39" s="33">
        <v>4.4318200000000002E-2</v>
      </c>
      <c r="C39" s="33">
        <v>0.10477364</v>
      </c>
      <c r="D39" s="33">
        <v>5.0484657000000002E-2</v>
      </c>
      <c r="E39" s="33">
        <v>6.0382842999999999E-2</v>
      </c>
      <c r="F39" s="33">
        <v>4.1958094000000001E-3</v>
      </c>
      <c r="G39" s="33">
        <v>4.1024089999999999E-2</v>
      </c>
      <c r="H39" s="33">
        <v>2.4699688000000001E-2</v>
      </c>
      <c r="I39" s="33">
        <v>2.9795169999999999E-2</v>
      </c>
      <c r="J39" s="33">
        <v>8.3845019999999992E-2</v>
      </c>
      <c r="K39" s="33">
        <v>9.6040963999999996E-3</v>
      </c>
      <c r="L39" s="33">
        <v>-1.527971E-2</v>
      </c>
      <c r="M39" s="33">
        <v>1.7618775E-2</v>
      </c>
      <c r="N39" s="33">
        <v>3.6129117000000002E-2</v>
      </c>
      <c r="O39" s="33">
        <v>2.2099495E-2</v>
      </c>
      <c r="P39" s="33">
        <v>1.7511724999999999E-2</v>
      </c>
      <c r="Q39" s="33">
        <v>2.8429866000000002E-2</v>
      </c>
      <c r="R39" s="33">
        <v>3.0035973000000001E-2</v>
      </c>
      <c r="S39" s="33">
        <v>4.1523457E-2</v>
      </c>
      <c r="T39" s="33">
        <v>1.6199231000000001E-2</v>
      </c>
      <c r="U39" s="33">
        <v>4.6944857000000006E-2</v>
      </c>
      <c r="V39" s="33">
        <v>5.2850485000000003E-2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35">
      <c r="A40" s="2">
        <v>42867</v>
      </c>
      <c r="B40" s="33">
        <v>-6.4562916999999997E-2</v>
      </c>
      <c r="C40" s="33">
        <v>-4.7418537000000004E-2</v>
      </c>
      <c r="D40" s="33">
        <v>2.614379E-2</v>
      </c>
      <c r="E40" s="33">
        <v>1.4999986E-2</v>
      </c>
      <c r="F40" s="33">
        <v>0.10492098</v>
      </c>
      <c r="G40" s="33">
        <v>2.4296283999999998E-2</v>
      </c>
      <c r="H40" s="33">
        <v>4.3973922999999998E-2</v>
      </c>
      <c r="I40" s="33">
        <v>3.7974595999999999E-2</v>
      </c>
      <c r="J40" s="33">
        <v>1.7386316999999998E-2</v>
      </c>
      <c r="K40" s="33">
        <v>9.9465959999999992E-2</v>
      </c>
      <c r="L40" s="33">
        <v>0.10113609</v>
      </c>
      <c r="M40" s="33">
        <v>3.5327076999999998E-2</v>
      </c>
      <c r="N40" s="33">
        <v>0.19053532000000001</v>
      </c>
      <c r="O40" s="33">
        <v>3.4658194000000003E-2</v>
      </c>
      <c r="P40" s="33">
        <v>4.8829317000000004E-2</v>
      </c>
      <c r="Q40" s="33">
        <v>-3.8802921999999997E-2</v>
      </c>
      <c r="R40" s="33">
        <v>-2.8663158000000001E-2</v>
      </c>
      <c r="S40" s="33">
        <v>8.7984679999999996E-2</v>
      </c>
      <c r="T40" s="33">
        <v>2.1238804E-2</v>
      </c>
      <c r="U40" s="33">
        <v>-4.982233E-3</v>
      </c>
      <c r="V40" s="33">
        <v>-1.4474689999999998E-2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35">
      <c r="A41" s="2">
        <v>42900</v>
      </c>
      <c r="B41" s="33">
        <v>6.0721160000000003E-2</v>
      </c>
      <c r="C41" s="33">
        <v>2.2563338000000002E-2</v>
      </c>
      <c r="D41" s="33">
        <v>2.3978948999999999E-2</v>
      </c>
      <c r="E41" s="33">
        <v>2.2441149000000001E-2</v>
      </c>
      <c r="F41" s="33">
        <v>2.1009444999999997E-3</v>
      </c>
      <c r="G41" s="33">
        <v>-8.3888173000000003E-3</v>
      </c>
      <c r="H41" s="33">
        <v>2.6521086999999999E-2</v>
      </c>
      <c r="I41" s="33">
        <v>3.7747621999999997E-3</v>
      </c>
      <c r="J41" s="33">
        <v>4.0130496000000002E-2</v>
      </c>
      <c r="K41" s="33">
        <v>4.0224669999999997E-2</v>
      </c>
      <c r="L41" s="33">
        <v>-0.13638658000000001</v>
      </c>
      <c r="M41" s="33">
        <v>4.2229889999999999E-3</v>
      </c>
      <c r="N41" s="33">
        <v>1.9874454E-2</v>
      </c>
      <c r="O41" s="33">
        <v>1.0448694000000001E-2</v>
      </c>
      <c r="P41" s="33">
        <v>3.7779093E-2</v>
      </c>
      <c r="Q41" s="33">
        <v>-7.4406330000000007E-2</v>
      </c>
      <c r="R41" s="33">
        <v>2.1412730000000001E-2</v>
      </c>
      <c r="S41" s="33">
        <v>7.5562359999999995E-2</v>
      </c>
      <c r="T41" s="33">
        <v>1.3576030999999999E-2</v>
      </c>
      <c r="U41" s="33">
        <v>4.2203190000000002E-2</v>
      </c>
      <c r="V41" s="33">
        <v>-1.5368639999999999E-2</v>
      </c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35">
      <c r="A42" s="2">
        <v>42930</v>
      </c>
      <c r="B42" s="33">
        <v>5.5679917000000002E-2</v>
      </c>
      <c r="C42" s="33">
        <v>2.9670238000000002E-2</v>
      </c>
      <c r="D42" s="33">
        <v>1.2609840000000001E-2</v>
      </c>
      <c r="E42" s="33">
        <v>-1.9633411999999999E-2</v>
      </c>
      <c r="F42" s="33">
        <v>6.1026454000000001E-2</v>
      </c>
      <c r="G42" s="33">
        <v>3.2238603000000005E-2</v>
      </c>
      <c r="H42" s="33">
        <v>-2.2189260000000002E-2</v>
      </c>
      <c r="I42" s="33">
        <v>6.3639045000000005E-2</v>
      </c>
      <c r="J42" s="33">
        <v>6.4797759999999996E-2</v>
      </c>
      <c r="K42" s="33">
        <v>2.7725099999999999E-2</v>
      </c>
      <c r="L42" s="33">
        <v>8.1889629999999991E-2</v>
      </c>
      <c r="M42" s="33">
        <v>8.139014E-3</v>
      </c>
      <c r="N42" s="33">
        <v>0.10153841999999999</v>
      </c>
      <c r="O42" s="33">
        <v>3.6532639999999998E-2</v>
      </c>
      <c r="P42" s="33">
        <v>6.5342903000000008E-2</v>
      </c>
      <c r="Q42" s="33">
        <v>3.0881166000000002E-2</v>
      </c>
      <c r="R42" s="33">
        <v>5.0091743000000005E-4</v>
      </c>
      <c r="S42" s="33">
        <v>4.5258640000000003E-2</v>
      </c>
      <c r="T42" s="33">
        <v>3.1706572000000002E-2</v>
      </c>
      <c r="U42" s="33">
        <v>2.0590305E-2</v>
      </c>
      <c r="V42" s="33">
        <v>9.1214420000000004E-2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35">
      <c r="A43" s="2">
        <v>42961</v>
      </c>
      <c r="B43" s="33">
        <v>1.4533997E-2</v>
      </c>
      <c r="C43" s="33">
        <v>2.3130536E-2</v>
      </c>
      <c r="D43" s="33">
        <v>-1.9019782999999998E-2</v>
      </c>
      <c r="E43" s="33">
        <v>-2.7115822000000001E-2</v>
      </c>
      <c r="F43" s="33">
        <v>1.0705829E-2</v>
      </c>
      <c r="G43" s="33">
        <v>3.3668995E-2</v>
      </c>
      <c r="H43" s="33">
        <v>3.1423569999999997E-4</v>
      </c>
      <c r="I43" s="33">
        <v>-1.0606468000000001E-2</v>
      </c>
      <c r="J43" s="33">
        <v>-5.9596896E-3</v>
      </c>
      <c r="K43" s="33">
        <v>-4.4441223000000002E-2</v>
      </c>
      <c r="L43" s="33">
        <v>3.3405779999999996E-2</v>
      </c>
      <c r="M43" s="33">
        <v>7.5706243999999999E-3</v>
      </c>
      <c r="N43" s="33">
        <v>-3.1657397999999996E-2</v>
      </c>
      <c r="O43" s="33">
        <v>-1.0898352E-2</v>
      </c>
      <c r="P43" s="33">
        <v>2.8576374000000002E-2</v>
      </c>
      <c r="Q43" s="33">
        <v>-1.0419965E-2</v>
      </c>
      <c r="R43" s="33">
        <v>-1.0444999E-2</v>
      </c>
      <c r="S43" s="33">
        <v>3.7105321999999996E-2</v>
      </c>
      <c r="T43" s="33">
        <v>-5.6753754999999996E-3</v>
      </c>
      <c r="U43" s="33">
        <v>-3.4969686999999999E-2</v>
      </c>
      <c r="V43" s="33">
        <v>-4.5060039999999996E-2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35">
      <c r="A44" s="2">
        <v>42992</v>
      </c>
      <c r="B44" s="33">
        <v>6.1073421999999995E-2</v>
      </c>
      <c r="C44" s="33">
        <v>6.1457395999999997E-2</v>
      </c>
      <c r="D44" s="33">
        <v>-4.1014551999999996E-3</v>
      </c>
      <c r="E44" s="33">
        <v>2.815318E-2</v>
      </c>
      <c r="F44" s="33">
        <v>6.3554405999999994E-2</v>
      </c>
      <c r="G44" s="33">
        <v>6.765032E-2</v>
      </c>
      <c r="H44" s="33">
        <v>2.6704430000000001E-2</v>
      </c>
      <c r="I44" s="33">
        <v>2.0615697000000002E-2</v>
      </c>
      <c r="J44" s="33">
        <v>-1.0227442E-2</v>
      </c>
      <c r="K44" s="33">
        <v>1.5007376999999999E-2</v>
      </c>
      <c r="L44" s="33">
        <v>0.12115633000000001</v>
      </c>
      <c r="M44" s="33">
        <v>1.6196370000000002E-2</v>
      </c>
      <c r="N44" s="33">
        <v>-5.1923094000000003E-2</v>
      </c>
      <c r="O44" s="33">
        <v>2.4419308000000001E-2</v>
      </c>
      <c r="P44" s="33">
        <v>6.2468410000000002E-2</v>
      </c>
      <c r="Q44" s="33">
        <v>-8.6569489999999985E-2</v>
      </c>
      <c r="R44" s="33">
        <v>6.2633276000000002E-2</v>
      </c>
      <c r="S44" s="33">
        <v>1.1555552E-2</v>
      </c>
      <c r="T44" s="33">
        <v>1.5411019E-2</v>
      </c>
      <c r="U44" s="33">
        <v>3.8327456000000003E-2</v>
      </c>
      <c r="V44" s="33">
        <v>3.9068699999999998E-2</v>
      </c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35">
      <c r="A45" s="2">
        <v>43021</v>
      </c>
      <c r="B45" s="33">
        <v>1.7926335000000002E-2</v>
      </c>
      <c r="C45" s="33">
        <v>5.7071924000000003E-2</v>
      </c>
      <c r="D45" s="33">
        <v>1.0857344E-2</v>
      </c>
      <c r="E45" s="33">
        <v>3.5049199999999996E-2</v>
      </c>
      <c r="F45" s="33">
        <v>1.5123606000000001E-2</v>
      </c>
      <c r="G45" s="33">
        <v>7.6140879999999994E-2</v>
      </c>
      <c r="H45" s="33">
        <v>-6.1199665000000007E-3</v>
      </c>
      <c r="I45" s="33">
        <v>1.8583297999999998E-2</v>
      </c>
      <c r="J45" s="33">
        <v>-7.1441354999999998E-2</v>
      </c>
      <c r="K45" s="33">
        <v>6.6315292999999997E-2</v>
      </c>
      <c r="L45" s="33">
        <v>1.5939951000000001E-2</v>
      </c>
      <c r="M45" s="33">
        <v>3.2697916E-2</v>
      </c>
      <c r="N45" s="33">
        <v>-3.1440080000000002E-2</v>
      </c>
      <c r="O45" s="33">
        <v>6.3952209999999995E-3</v>
      </c>
      <c r="P45" s="33">
        <v>4.3423057000000001E-2</v>
      </c>
      <c r="Q45" s="33">
        <v>-7.5874925000000001E-3</v>
      </c>
      <c r="R45" s="33">
        <v>3.2174109999999999E-2</v>
      </c>
      <c r="S45" s="33">
        <v>-7.6230229999999996E-2</v>
      </c>
      <c r="T45" s="33">
        <v>8.4878205999999994E-3</v>
      </c>
      <c r="U45" s="33">
        <v>2.6845694E-2</v>
      </c>
      <c r="V45" s="33">
        <v>-2.5256336000000001E-2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35">
      <c r="A46" s="2">
        <v>43053</v>
      </c>
      <c r="B46" s="33">
        <v>2.0751953E-2</v>
      </c>
      <c r="C46" s="33">
        <v>-5.1838756000000007E-2</v>
      </c>
      <c r="D46" s="33">
        <v>-1.8148124000000002E-2</v>
      </c>
      <c r="E46" s="33">
        <v>-2.6719509999999998E-2</v>
      </c>
      <c r="F46" s="33">
        <v>-3.3066868999999999E-2</v>
      </c>
      <c r="G46" s="33">
        <v>-1.2599945E-2</v>
      </c>
      <c r="H46" s="33">
        <v>-1.4470457999999999E-2</v>
      </c>
      <c r="I46" s="33">
        <v>-1.0047615000000001E-2</v>
      </c>
      <c r="J46" s="33">
        <v>-5.2187203999999994E-2</v>
      </c>
      <c r="K46" s="33">
        <v>2.0730376000000002E-2</v>
      </c>
      <c r="L46" s="33">
        <v>-0.12921083</v>
      </c>
      <c r="M46" s="33">
        <v>-6.3325350000000002E-2</v>
      </c>
      <c r="N46" s="33">
        <v>-7.3298453999999999E-2</v>
      </c>
      <c r="O46" s="33">
        <v>-1.559782E-2</v>
      </c>
      <c r="P46" s="33">
        <v>1.0935664000000001E-2</v>
      </c>
      <c r="Q46" s="33">
        <v>-0.11165559999999999</v>
      </c>
      <c r="R46" s="33">
        <v>-5.7518480000000004E-3</v>
      </c>
      <c r="S46" s="33">
        <v>-3.1153320999999998E-2</v>
      </c>
      <c r="T46" s="33">
        <v>-5.4400500000000004E-2</v>
      </c>
      <c r="U46" s="33">
        <v>6.9281099999999998E-2</v>
      </c>
      <c r="V46" s="33">
        <v>-2.0261049999999999E-2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35">
      <c r="A47" s="2">
        <v>43083</v>
      </c>
      <c r="B47" s="33">
        <v>-1.8309534000000002E-2</v>
      </c>
      <c r="C47" s="33">
        <v>-4.0024814999999998E-2</v>
      </c>
      <c r="D47" s="33">
        <v>3.3195018999999999E-2</v>
      </c>
      <c r="E47" s="33">
        <v>2.5550364999999998E-2</v>
      </c>
      <c r="F47" s="33">
        <v>-7.5160265E-3</v>
      </c>
      <c r="G47" s="33">
        <v>-6.0858910000000002E-2</v>
      </c>
      <c r="H47" s="33">
        <v>4.6860337000000002E-2</v>
      </c>
      <c r="I47" s="33">
        <v>-2.4572609999999998E-2</v>
      </c>
      <c r="J47" s="33">
        <v>1.2550592000000001E-2</v>
      </c>
      <c r="K47" s="33">
        <v>9.6839665999999998E-3</v>
      </c>
      <c r="L47" s="33">
        <v>1.510334E-2</v>
      </c>
      <c r="M47" s="33">
        <v>4.2976140000000003E-2</v>
      </c>
      <c r="N47" s="33">
        <v>0.10960447000000001</v>
      </c>
      <c r="O47" s="33">
        <v>3.5211204999999995E-2</v>
      </c>
      <c r="P47" s="33">
        <v>-1.2469888E-2</v>
      </c>
      <c r="Q47" s="33">
        <v>0.10945128999999999</v>
      </c>
      <c r="R47" s="33">
        <v>7.2593689999999999E-3</v>
      </c>
      <c r="S47" s="33">
        <v>-1.4236689E-2</v>
      </c>
      <c r="T47" s="33">
        <v>-2.2104322999999999E-2</v>
      </c>
      <c r="U47" s="33">
        <v>2.7505993999999999E-2</v>
      </c>
      <c r="V47" s="33">
        <v>1.2129664E-2</v>
      </c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35">
      <c r="A48" s="2">
        <v>43112</v>
      </c>
      <c r="B48" s="33">
        <v>7.7091574999999996E-2</v>
      </c>
      <c r="C48" s="33">
        <v>0.18358479999999999</v>
      </c>
      <c r="D48" s="33">
        <v>6.8344710000000003E-2</v>
      </c>
      <c r="E48" s="33">
        <v>5.0529120000000004E-2</v>
      </c>
      <c r="F48" s="33">
        <v>9.5962289999999992E-2</v>
      </c>
      <c r="G48" s="33">
        <v>0.14484142999999999</v>
      </c>
      <c r="H48" s="33">
        <v>8.2200164999999992E-2</v>
      </c>
      <c r="I48" s="33">
        <v>5.5354952999999998E-2</v>
      </c>
      <c r="J48" s="33">
        <v>2.3810148E-2</v>
      </c>
      <c r="K48" s="33">
        <v>6.8697214000000006E-2</v>
      </c>
      <c r="L48" s="33">
        <v>0.14047813000000001</v>
      </c>
      <c r="M48" s="33">
        <v>0.14317727</v>
      </c>
      <c r="N48" s="33">
        <v>0.14100467999999999</v>
      </c>
      <c r="O48" s="33">
        <v>6.0377E-2</v>
      </c>
      <c r="P48" s="33">
        <v>0.10946142</v>
      </c>
      <c r="Q48" s="33">
        <v>0.128076315</v>
      </c>
      <c r="R48" s="33">
        <v>5.5510520000000001E-2</v>
      </c>
      <c r="S48" s="33">
        <v>0.10549747</v>
      </c>
      <c r="T48" s="33">
        <v>8.0687160000000008E-2</v>
      </c>
      <c r="U48" s="33">
        <v>0.14810847999999999</v>
      </c>
      <c r="V48" s="33">
        <v>0.10111976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35">
      <c r="A49" s="2">
        <v>43145</v>
      </c>
      <c r="B49" s="33">
        <v>-3.8884639999999998E-2</v>
      </c>
      <c r="C49" s="33">
        <v>-1.9810974999999998E-2</v>
      </c>
      <c r="D49" s="33">
        <v>1.4368773E-2</v>
      </c>
      <c r="E49" s="33">
        <v>-6.2105474000000001E-2</v>
      </c>
      <c r="F49" s="33">
        <v>-5.0904154999999998E-3</v>
      </c>
      <c r="G49" s="33">
        <v>-2.1870612999999997E-2</v>
      </c>
      <c r="H49" s="33">
        <v>1.3856769E-2</v>
      </c>
      <c r="I49" s="33">
        <v>-1.0677992999999998E-2</v>
      </c>
      <c r="J49" s="33">
        <v>1.6374111E-2</v>
      </c>
      <c r="K49" s="33">
        <v>-5.1604690000000002E-2</v>
      </c>
      <c r="L49" s="33">
        <v>4.5338870000000003E-2</v>
      </c>
      <c r="M49" s="33">
        <v>3.8395166000000001E-2</v>
      </c>
      <c r="N49" s="33">
        <v>-1.7319977E-2</v>
      </c>
      <c r="O49" s="33">
        <v>-3.8513362000000002E-2</v>
      </c>
      <c r="P49" s="33">
        <v>-3.0143023000000001E-2</v>
      </c>
      <c r="Q49" s="33">
        <v>-5.3827999999999994E-2</v>
      </c>
      <c r="R49" s="33">
        <v>-9.9989176000000006E-3</v>
      </c>
      <c r="S49" s="33">
        <v>-1.3779104E-2</v>
      </c>
      <c r="T49" s="33">
        <v>-3.422588E-2</v>
      </c>
      <c r="U49" s="33">
        <v>-2.5654435000000003E-2</v>
      </c>
      <c r="V49" s="33">
        <v>-3.0018091E-2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35">
      <c r="A50" s="2">
        <v>43173</v>
      </c>
      <c r="B50" s="33">
        <v>1.8909811999999998E-2</v>
      </c>
      <c r="C50" s="33">
        <v>-2.410531E-3</v>
      </c>
      <c r="D50" s="33">
        <v>-6.0370980000000005E-2</v>
      </c>
      <c r="E50" s="33">
        <v>-3.8761853999999998E-2</v>
      </c>
      <c r="F50" s="33">
        <v>-6.3338039999999998E-2</v>
      </c>
      <c r="G50" s="33">
        <v>-9.2768669999999994E-3</v>
      </c>
      <c r="H50" s="33">
        <v>5.9795379999999995E-3</v>
      </c>
      <c r="I50" s="33">
        <v>3.8586140000000005E-2</v>
      </c>
      <c r="J50" s="33">
        <v>1.5527009999999999E-3</v>
      </c>
      <c r="K50" s="33">
        <v>3.4244775999999998E-2</v>
      </c>
      <c r="L50" s="33">
        <v>1.1285781999999999E-2</v>
      </c>
      <c r="M50" s="33">
        <v>1.5233754999999999E-3</v>
      </c>
      <c r="N50" s="33">
        <v>-4.1743994000000006E-2</v>
      </c>
      <c r="O50" s="33">
        <v>-2.8011202999999998E-2</v>
      </c>
      <c r="P50" s="33">
        <v>2.7356148E-2</v>
      </c>
      <c r="Q50" s="33">
        <v>-4.8780440000000007E-3</v>
      </c>
      <c r="R50" s="33">
        <v>1.1891127E-2</v>
      </c>
      <c r="S50" s="33">
        <v>-3.4356713000000001E-3</v>
      </c>
      <c r="T50" s="33">
        <v>-3.0981958E-2</v>
      </c>
      <c r="U50" s="33">
        <v>2.2031188E-2</v>
      </c>
      <c r="V50" s="33">
        <v>6.5995574000000001E-2</v>
      </c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35">
      <c r="A51" s="2">
        <v>43203</v>
      </c>
      <c r="B51" s="33">
        <v>-3.927493E-2</v>
      </c>
      <c r="C51" s="33">
        <v>1.6542792000000001E-2</v>
      </c>
      <c r="D51" s="33">
        <v>-1.9382656000000002E-2</v>
      </c>
      <c r="E51" s="33">
        <v>-4.36852E-2</v>
      </c>
      <c r="F51" s="33">
        <v>-1.0736464999999999E-2</v>
      </c>
      <c r="G51" s="33">
        <v>3.9615749999999998E-2</v>
      </c>
      <c r="H51" s="33">
        <v>2.1511436000000002E-2</v>
      </c>
      <c r="I51" s="33">
        <v>-1.6108154999999999E-2</v>
      </c>
      <c r="J51" s="33">
        <v>4.3992280000000002E-2</v>
      </c>
      <c r="K51" s="33">
        <v>-2.7090787999999998E-2</v>
      </c>
      <c r="L51" s="33">
        <v>-7.1553649999999996E-2</v>
      </c>
      <c r="M51" s="33">
        <v>-7.0519867E-2</v>
      </c>
      <c r="N51" s="33">
        <v>-3.0977725999999997E-2</v>
      </c>
      <c r="O51" s="33">
        <v>-2.8824806000000004E-4</v>
      </c>
      <c r="P51" s="33">
        <v>-5.4370584E-2</v>
      </c>
      <c r="Q51" s="33">
        <v>3.0336976000000002E-2</v>
      </c>
      <c r="R51" s="33">
        <v>-2.5493562000000001E-2</v>
      </c>
      <c r="S51" s="33">
        <v>-0.10825098000000001</v>
      </c>
      <c r="T51" s="33">
        <v>-5.2047969999999997E-3</v>
      </c>
      <c r="U51" s="33">
        <v>3.1020045E-2</v>
      </c>
      <c r="V51" s="33">
        <v>1.4690399E-2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35">
      <c r="A52" s="2">
        <v>43234</v>
      </c>
      <c r="B52" s="33">
        <v>1.2578606999999999E-2</v>
      </c>
      <c r="C52" s="33">
        <v>-3.6752581999999999E-2</v>
      </c>
      <c r="D52" s="33">
        <v>-7.8330873999999995E-2</v>
      </c>
      <c r="E52" s="33">
        <v>-1.4348507E-2</v>
      </c>
      <c r="F52" s="33">
        <v>-5.6740284000000002E-2</v>
      </c>
      <c r="G52" s="33">
        <v>-3.0023455999999998E-3</v>
      </c>
      <c r="H52" s="33">
        <v>-4.1285695999999997E-2</v>
      </c>
      <c r="I52" s="33">
        <v>-1.0298370999999999E-2</v>
      </c>
      <c r="J52" s="33">
        <v>-0.12028956</v>
      </c>
      <c r="K52" s="33">
        <v>2.1523237000000001E-3</v>
      </c>
      <c r="L52" s="33">
        <v>-4.1951419999999996E-2</v>
      </c>
      <c r="M52" s="33">
        <v>3.8679838E-3</v>
      </c>
      <c r="N52" s="33">
        <v>5.9940815000000007E-3</v>
      </c>
      <c r="O52" s="33">
        <v>-2.2773026999999998E-2</v>
      </c>
      <c r="P52" s="33">
        <v>3.7004231999999998E-2</v>
      </c>
      <c r="Q52" s="33">
        <v>-3.8715005000000001E-3</v>
      </c>
      <c r="R52" s="33">
        <v>3.3556223E-3</v>
      </c>
      <c r="S52" s="33">
        <v>-0.11623704999999999</v>
      </c>
      <c r="T52" s="33">
        <v>-3.7371873999999999E-2</v>
      </c>
      <c r="U52" s="33">
        <v>-7.4451866000000005E-2</v>
      </c>
      <c r="V52" s="33">
        <v>4.239917E-2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35">
      <c r="A53" s="2">
        <v>43265</v>
      </c>
      <c r="B53" s="33">
        <v>-4.0062130000000001E-2</v>
      </c>
      <c r="C53" s="33">
        <v>-5.4100219999999997E-2</v>
      </c>
      <c r="D53" s="33">
        <v>4.3685436000000001E-3</v>
      </c>
      <c r="E53" s="33">
        <v>-6.1200200000000003E-2</v>
      </c>
      <c r="F53" s="33">
        <v>-6.7824005999999992E-2</v>
      </c>
      <c r="G53" s="33">
        <v>-2.5248944999999998E-2</v>
      </c>
      <c r="H53" s="33">
        <v>-4.3641566999999999E-2</v>
      </c>
      <c r="I53" s="33">
        <v>-1.2806833E-2</v>
      </c>
      <c r="J53" s="33">
        <v>-5.3386744999999999E-2</v>
      </c>
      <c r="K53" s="33">
        <v>-3.7181140000000001E-2</v>
      </c>
      <c r="L53" s="33">
        <v>-0.19606400000000002</v>
      </c>
      <c r="M53" s="33">
        <v>-0.10729103999999999</v>
      </c>
      <c r="N53" s="33">
        <v>-6.6534280000000001E-2</v>
      </c>
      <c r="O53" s="33">
        <v>-3.2448769999999997E-3</v>
      </c>
      <c r="P53" s="33">
        <v>1.7060041000000001E-3</v>
      </c>
      <c r="Q53" s="33">
        <v>3.7014960999999999E-2</v>
      </c>
      <c r="R53" s="33">
        <v>-3.5666347000000001E-2</v>
      </c>
      <c r="S53" s="33">
        <v>-0.13852434999999999</v>
      </c>
      <c r="T53" s="33">
        <v>5.3850889999999998E-2</v>
      </c>
      <c r="U53" s="33">
        <v>-6.2809886999999995E-2</v>
      </c>
      <c r="V53" s="33">
        <v>2.5793672E-2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35">
      <c r="A54" s="2">
        <v>43294</v>
      </c>
      <c r="B54" s="33">
        <v>-0.11137068</v>
      </c>
      <c r="C54" s="33">
        <v>-5.4735183999999999E-2</v>
      </c>
      <c r="D54" s="33">
        <v>-5.1350059999999996E-2</v>
      </c>
      <c r="E54" s="33">
        <v>-1.5410364000000001E-2</v>
      </c>
      <c r="F54" s="33">
        <v>-2.5191069E-2</v>
      </c>
      <c r="G54" s="33">
        <v>-6.5816700000000006E-2</v>
      </c>
      <c r="H54" s="33">
        <v>-2.5914013E-2</v>
      </c>
      <c r="I54" s="33">
        <v>-1.5675723999999999E-2</v>
      </c>
      <c r="J54" s="33">
        <v>0.13463091999999999</v>
      </c>
      <c r="K54" s="33">
        <v>-7.7094735999999997E-2</v>
      </c>
      <c r="L54" s="33">
        <v>5.8828472999999999E-2</v>
      </c>
      <c r="M54" s="33">
        <v>-7.5076819999999999E-3</v>
      </c>
      <c r="N54" s="33">
        <v>-1.3829708000000001E-2</v>
      </c>
      <c r="O54" s="33">
        <v>1.0573148999999999E-2</v>
      </c>
      <c r="P54" s="33">
        <v>-7.8907909999999998E-2</v>
      </c>
      <c r="Q54" s="33">
        <v>4.9587488000000001E-3</v>
      </c>
      <c r="R54" s="33">
        <v>-3.8798450999999998E-2</v>
      </c>
      <c r="S54" s="33">
        <v>-6.9313230000000003E-2</v>
      </c>
      <c r="T54" s="33">
        <v>-3.9854646000000001E-2</v>
      </c>
      <c r="U54" s="33">
        <v>-7.9953012000000004E-2</v>
      </c>
      <c r="V54" s="33">
        <v>1.2210965000000001E-2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35">
      <c r="A55" s="2">
        <v>43326</v>
      </c>
      <c r="B55" s="33">
        <v>-5.1937160000000003E-2</v>
      </c>
      <c r="C55" s="33">
        <v>-3.1811236999999999E-2</v>
      </c>
      <c r="D55" s="33">
        <v>-3.8641155000000003E-2</v>
      </c>
      <c r="E55" s="33">
        <v>2.0006537000000001E-2</v>
      </c>
      <c r="F55" s="33">
        <v>2.2232056E-2</v>
      </c>
      <c r="G55" s="33">
        <v>-1.8233180000000002E-2</v>
      </c>
      <c r="H55" s="33">
        <v>2.8164625000000002E-2</v>
      </c>
      <c r="I55" s="33">
        <v>1.3728738000000001E-2</v>
      </c>
      <c r="J55" s="33">
        <v>8.7561610000000002E-3</v>
      </c>
      <c r="K55" s="33">
        <v>-2.2054374000000002E-2</v>
      </c>
      <c r="L55" s="33">
        <v>1.9089579999999998E-2</v>
      </c>
      <c r="M55" s="33">
        <v>-6.0631810000000001E-2</v>
      </c>
      <c r="N55" s="33">
        <v>-7.1197510000000006E-2</v>
      </c>
      <c r="O55" s="33">
        <v>3.1671642999999999E-2</v>
      </c>
      <c r="P55" s="33">
        <v>-6.501543500000001E-2</v>
      </c>
      <c r="Q55" s="33">
        <v>4.9269439999999998E-2</v>
      </c>
      <c r="R55" s="33">
        <v>3.1535983000000004E-2</v>
      </c>
      <c r="S55" s="33">
        <v>-0.20345348000000002</v>
      </c>
      <c r="T55" s="33">
        <v>-1.2919307E-3</v>
      </c>
      <c r="U55" s="33">
        <v>5.7507989999999995E-2</v>
      </c>
      <c r="V55" s="33">
        <v>-7.0073960000000005E-2</v>
      </c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35">
      <c r="A56" s="2">
        <v>43357</v>
      </c>
      <c r="B56" s="33">
        <v>-4.1859684000000001E-2</v>
      </c>
      <c r="C56" s="33">
        <v>-1.0952234E-2</v>
      </c>
      <c r="D56" s="33">
        <v>7.5088739999999996E-3</v>
      </c>
      <c r="E56" s="33">
        <v>-2.8155684E-2</v>
      </c>
      <c r="F56" s="33">
        <v>3.0448437E-3</v>
      </c>
      <c r="G56" s="33">
        <v>-7.0363579999999995E-2</v>
      </c>
      <c r="H56" s="33">
        <v>-3.0779243000000002E-3</v>
      </c>
      <c r="I56" s="33">
        <v>4.0628909999999999E-3</v>
      </c>
      <c r="J56" s="33">
        <v>6.5101385000000001E-3</v>
      </c>
      <c r="K56" s="33">
        <v>2.9039263999999999E-2</v>
      </c>
      <c r="L56" s="33">
        <v>-0.10028821</v>
      </c>
      <c r="M56" s="33">
        <v>-7.1596503000000006E-2</v>
      </c>
      <c r="N56" s="33">
        <v>-5.3426210000000002E-2</v>
      </c>
      <c r="O56" s="33">
        <v>-1.7339408000000001E-2</v>
      </c>
      <c r="P56" s="33">
        <v>-3.6920607000000001E-2</v>
      </c>
      <c r="Q56" s="33">
        <v>2.2667646E-2</v>
      </c>
      <c r="R56" s="33">
        <v>1.5843271999999999E-2</v>
      </c>
      <c r="S56" s="33">
        <v>3.5815239999999998E-2</v>
      </c>
      <c r="T56" s="33">
        <v>9.0556144999999998E-3</v>
      </c>
      <c r="U56" s="33">
        <v>4.8338175000000004E-3</v>
      </c>
      <c r="V56" s="33">
        <v>-3.6640167000000001E-2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35">
      <c r="A57" s="2">
        <v>43385</v>
      </c>
      <c r="B57" s="33">
        <v>-2.1454035999999999E-2</v>
      </c>
      <c r="C57" s="33">
        <v>-2.6892602000000002E-2</v>
      </c>
      <c r="D57" s="33">
        <v>-5.9184609999999999E-2</v>
      </c>
      <c r="E57" s="33">
        <v>-6.1523438E-2</v>
      </c>
      <c r="F57" s="33">
        <v>-2.0381570000000002E-2</v>
      </c>
      <c r="G57" s="33">
        <v>2.5886296999999999E-2</v>
      </c>
      <c r="H57" s="33">
        <v>-4.3531950000000007E-2</v>
      </c>
      <c r="I57" s="33">
        <v>-8.7671995000000003E-2</v>
      </c>
      <c r="J57" s="33">
        <v>-4.5276403E-2</v>
      </c>
      <c r="K57" s="33">
        <v>-6.7847547999999994E-2</v>
      </c>
      <c r="L57" s="33">
        <v>0.23670732</v>
      </c>
      <c r="M57" s="33">
        <v>-2.1226883000000002E-2</v>
      </c>
      <c r="N57" s="33">
        <v>-6.993866E-2</v>
      </c>
      <c r="O57" s="33">
        <v>-0.11541796</v>
      </c>
      <c r="P57" s="33">
        <v>-5.3292035999999994E-2</v>
      </c>
      <c r="Q57" s="33">
        <v>-1.6741037E-2</v>
      </c>
      <c r="R57" s="33">
        <v>-1.5125870999999999E-2</v>
      </c>
      <c r="S57" s="33">
        <v>6.7788840000000003E-2</v>
      </c>
      <c r="T57" s="33">
        <v>-3.5897433999999999E-2</v>
      </c>
      <c r="U57" s="33">
        <v>-6.1334906000000002E-2</v>
      </c>
      <c r="V57" s="33">
        <v>-1.7940998E-3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35">
      <c r="A58" s="2">
        <v>43418</v>
      </c>
      <c r="B58" s="33">
        <v>8.1413983999999995E-3</v>
      </c>
      <c r="C58" s="33">
        <v>-6.0381293000000003E-3</v>
      </c>
      <c r="D58" s="33">
        <v>8.7604884999999993E-2</v>
      </c>
      <c r="E58" s="33">
        <v>3.4686326999999999E-3</v>
      </c>
      <c r="F58" s="33">
        <v>1.7706156000000001E-3</v>
      </c>
      <c r="G58" s="33">
        <v>-4.3609439999999999E-2</v>
      </c>
      <c r="H58" s="33">
        <v>-3.2601713999999997E-2</v>
      </c>
      <c r="I58" s="33">
        <v>-2.0697831999999999E-2</v>
      </c>
      <c r="J58" s="33">
        <v>-0.16403197999999999</v>
      </c>
      <c r="K58" s="33">
        <v>-4.7987102999999996E-2</v>
      </c>
      <c r="L58" s="33">
        <v>8.0289839999999994E-3</v>
      </c>
      <c r="M58" s="33">
        <v>4.1782856000000005E-3</v>
      </c>
      <c r="N58" s="33">
        <v>-3.9576291999999999E-3</v>
      </c>
      <c r="O58" s="33">
        <v>3.8914323000000001E-2</v>
      </c>
      <c r="P58" s="33">
        <v>1.8167496000000001E-4</v>
      </c>
      <c r="Q58" s="33">
        <v>5.5051089999999997E-2</v>
      </c>
      <c r="R58" s="33">
        <v>-2.5858401999999999E-2</v>
      </c>
      <c r="S58" s="33">
        <v>5.1555276000000004E-2</v>
      </c>
      <c r="T58" s="33">
        <v>7.8125E-3</v>
      </c>
      <c r="U58" s="33">
        <v>-3.2030760999999998E-2</v>
      </c>
      <c r="V58" s="33">
        <v>3.0912994999999999E-2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35">
      <c r="A59" s="2">
        <v>43448</v>
      </c>
      <c r="B59" s="33">
        <v>-7.3415039999999996E-4</v>
      </c>
      <c r="C59" s="33">
        <v>-9.346008E-4</v>
      </c>
      <c r="D59" s="33">
        <v>6.3838840000000008E-2</v>
      </c>
      <c r="E59" s="33">
        <v>9.9204899999999985E-2</v>
      </c>
      <c r="F59" s="33">
        <v>3.1816244E-2</v>
      </c>
      <c r="G59" s="33">
        <v>1.3814211E-2</v>
      </c>
      <c r="H59" s="33">
        <v>-1.3013004999999999E-2</v>
      </c>
      <c r="I59" s="33">
        <v>-2.0531416E-2</v>
      </c>
      <c r="J59" s="33">
        <v>-1.1051118E-2</v>
      </c>
      <c r="K59" s="33">
        <v>-6.7658423999999995E-3</v>
      </c>
      <c r="L59" s="33">
        <v>-1.5159189999999999E-2</v>
      </c>
      <c r="M59" s="33">
        <v>2.3776293000000001E-3</v>
      </c>
      <c r="N59" s="33">
        <v>-7.9471469999999999E-3</v>
      </c>
      <c r="O59" s="33">
        <v>1.5423298E-2</v>
      </c>
      <c r="P59" s="33">
        <v>8.8961123999999996E-3</v>
      </c>
      <c r="Q59" s="33">
        <v>3.6040902E-2</v>
      </c>
      <c r="R59" s="33">
        <v>-2.5933622999999999E-2</v>
      </c>
      <c r="S59" s="33">
        <v>-1.9448936E-2</v>
      </c>
      <c r="T59" s="33">
        <v>-7.5705109999999992E-2</v>
      </c>
      <c r="U59" s="33">
        <v>2.9119849999999999E-2</v>
      </c>
      <c r="V59" s="33">
        <v>2.3361206000000002E-2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35">
      <c r="A60" s="2">
        <v>43479</v>
      </c>
      <c r="B60" s="33">
        <v>-8.3172919999999987E-3</v>
      </c>
      <c r="C60" s="33">
        <v>4.8773169999999998E-2</v>
      </c>
      <c r="D60" s="33">
        <v>6.2039495E-2</v>
      </c>
      <c r="E60" s="33">
        <v>9.2540150000000002E-2</v>
      </c>
      <c r="F60" s="33">
        <v>2.6810407999999997E-2</v>
      </c>
      <c r="G60" s="33">
        <v>4.1928650000000005E-2</v>
      </c>
      <c r="H60" s="33">
        <v>3.7298440000000002E-2</v>
      </c>
      <c r="I60" s="33">
        <v>-9.2160699999999996E-4</v>
      </c>
      <c r="J60" s="33">
        <v>0.11456263</v>
      </c>
      <c r="K60" s="33">
        <v>2.1290659999999999E-2</v>
      </c>
      <c r="L60" s="33">
        <v>0.13841796000000001</v>
      </c>
      <c r="M60" s="33">
        <v>9.5511550000000001E-2</v>
      </c>
      <c r="N60" s="33">
        <v>-5.5845975999999995E-3</v>
      </c>
      <c r="O60" s="33">
        <v>8.7083580000000011E-3</v>
      </c>
      <c r="P60" s="33">
        <v>-7.4721574999999998E-3</v>
      </c>
      <c r="Q60" s="33">
        <v>2.2588968000000001E-2</v>
      </c>
      <c r="R60" s="33">
        <v>-1.6701341000000001E-2</v>
      </c>
      <c r="S60" s="33">
        <v>1.4707565000000001E-2</v>
      </c>
      <c r="T60" s="33">
        <v>6.0300830000000003E-3</v>
      </c>
      <c r="U60" s="33">
        <v>-1.2586235999999999E-2</v>
      </c>
      <c r="V60" s="33">
        <v>6.2222004000000004E-2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35">
      <c r="A61" s="2">
        <v>43510</v>
      </c>
      <c r="B61" s="33">
        <v>0.10756803</v>
      </c>
      <c r="C61" s="33">
        <v>1.3175487999999999E-2</v>
      </c>
      <c r="D61" s="33">
        <v>-1.2538016000000001E-2</v>
      </c>
      <c r="E61" s="33">
        <v>-1.6993104999999998E-2</v>
      </c>
      <c r="F61" s="33">
        <v>-2.9163181999999999E-2</v>
      </c>
      <c r="G61" s="33">
        <v>2.8140187000000001E-2</v>
      </c>
      <c r="H61" s="33">
        <v>1.2603640000000001E-2</v>
      </c>
      <c r="I61" s="33">
        <v>3.8828729999999999E-2</v>
      </c>
      <c r="J61" s="33">
        <v>-2.4960637000000001E-2</v>
      </c>
      <c r="K61" s="33">
        <v>7.402396E-2</v>
      </c>
      <c r="L61" s="33">
        <v>2.9548644999999998E-2</v>
      </c>
      <c r="M61" s="33">
        <v>-2.9677449999999998E-2</v>
      </c>
      <c r="N61" s="33">
        <v>1.3755201999999999E-2</v>
      </c>
      <c r="O61" s="33">
        <v>3.0982493999999998E-4</v>
      </c>
      <c r="P61" s="33">
        <v>8.4035159999999998E-2</v>
      </c>
      <c r="Q61" s="33">
        <v>-8.7378620000000004E-2</v>
      </c>
      <c r="R61" s="33">
        <v>4.4276120000000002E-2</v>
      </c>
      <c r="S61" s="33">
        <v>0.13725495000000001</v>
      </c>
      <c r="T61" s="33">
        <v>-1.8544972E-2</v>
      </c>
      <c r="U61" s="33">
        <v>7.4195742999999995E-2</v>
      </c>
      <c r="V61" s="33">
        <v>5.177462E-2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35">
      <c r="A62" s="2">
        <v>43538</v>
      </c>
      <c r="B62" s="33">
        <v>8.5796589999999992E-2</v>
      </c>
      <c r="C62" s="33">
        <v>-2.1820545E-2</v>
      </c>
      <c r="D62" s="33">
        <v>-3.0011594000000003E-2</v>
      </c>
      <c r="E62" s="33">
        <v>-2.4904847000000001E-2</v>
      </c>
      <c r="F62" s="33">
        <v>7.8363419999999996E-3</v>
      </c>
      <c r="G62" s="33">
        <v>3.3369659999999995E-2</v>
      </c>
      <c r="H62" s="33">
        <v>-8.8437796000000006E-3</v>
      </c>
      <c r="I62" s="33">
        <v>2.3590684000000001E-2</v>
      </c>
      <c r="J62" s="33">
        <v>-1.8911420999999998E-2</v>
      </c>
      <c r="K62" s="33">
        <v>-4.2486249999999996E-2</v>
      </c>
      <c r="L62" s="33">
        <v>-2.3502827E-2</v>
      </c>
      <c r="M62" s="33">
        <v>-1.9186913999999999E-2</v>
      </c>
      <c r="N62" s="33">
        <v>8.9552289999999993E-2</v>
      </c>
      <c r="O62" s="33">
        <v>7.4326396000000003E-2</v>
      </c>
      <c r="P62" s="33">
        <v>3.0906916E-2</v>
      </c>
      <c r="Q62" s="33">
        <v>-3.3595562000000002E-3</v>
      </c>
      <c r="R62" s="33">
        <v>-1.0141373E-2</v>
      </c>
      <c r="S62" s="33">
        <v>-3.8793087000000004E-2</v>
      </c>
      <c r="T62" s="33">
        <v>3.5610437000000002E-2</v>
      </c>
      <c r="U62" s="33">
        <v>3.7285923999999998E-2</v>
      </c>
      <c r="V62" s="33">
        <v>-6.8110824000000006E-3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35">
      <c r="A63" s="2">
        <v>43567</v>
      </c>
      <c r="B63" s="33">
        <v>9.5375650000000006E-2</v>
      </c>
      <c r="C63" s="33">
        <v>6.3091516E-3</v>
      </c>
      <c r="D63" s="33">
        <v>2.4196743999999999E-2</v>
      </c>
      <c r="E63" s="33">
        <v>4.3870329999999999E-2</v>
      </c>
      <c r="F63" s="33">
        <v>2.4621964E-2</v>
      </c>
      <c r="G63" s="33">
        <v>8.7269545E-3</v>
      </c>
      <c r="H63" s="33">
        <v>-2.4124264999999999E-2</v>
      </c>
      <c r="I63" s="33">
        <v>6.2855362999999997E-2</v>
      </c>
      <c r="J63" s="33">
        <v>9.3323820000000002E-2</v>
      </c>
      <c r="K63" s="33">
        <v>5.0945044000000002E-2</v>
      </c>
      <c r="L63" s="33">
        <v>-6.6882668000000006E-2</v>
      </c>
      <c r="M63" s="33">
        <v>0.10323453</v>
      </c>
      <c r="N63" s="33">
        <v>6.8493129999999999E-2</v>
      </c>
      <c r="O63" s="33">
        <v>2.0755289999999999E-2</v>
      </c>
      <c r="P63" s="33">
        <v>6.5366983000000004E-2</v>
      </c>
      <c r="Q63" s="33">
        <v>5.4494499999999994E-2</v>
      </c>
      <c r="R63" s="33">
        <v>1.5019417E-2</v>
      </c>
      <c r="S63" s="33">
        <v>-0.10426015</v>
      </c>
      <c r="T63" s="33">
        <v>4.8421024999999999E-2</v>
      </c>
      <c r="U63" s="33">
        <v>1.2374878000000001E-2</v>
      </c>
      <c r="V63" s="33">
        <v>7.793021E-2</v>
      </c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35">
      <c r="A64" s="2">
        <v>43599</v>
      </c>
      <c r="B64" s="33">
        <v>-0.12451142000000001</v>
      </c>
      <c r="C64" s="33">
        <v>-9.8074379999999989E-2</v>
      </c>
      <c r="D64" s="33">
        <v>-8.0557710000000005E-2</v>
      </c>
      <c r="E64" s="33">
        <v>-4.8359275000000007E-2</v>
      </c>
      <c r="F64" s="33">
        <v>-0.10118044</v>
      </c>
      <c r="G64" s="33">
        <v>-8.2442700000000008E-2</v>
      </c>
      <c r="H64" s="33">
        <v>-3.5895765000000003E-2</v>
      </c>
      <c r="I64" s="33">
        <v>-4.4212874999999999E-2</v>
      </c>
      <c r="J64" s="33">
        <v>-4.4291496E-2</v>
      </c>
      <c r="K64" s="33">
        <v>-0.11696635999999999</v>
      </c>
      <c r="L64" s="33">
        <v>-3.3482134000000004E-2</v>
      </c>
      <c r="M64" s="33">
        <v>-3.8448035999999998E-2</v>
      </c>
      <c r="N64" s="33">
        <v>-6.643360999999999E-2</v>
      </c>
      <c r="O64" s="33">
        <v>-5.6763589999999996E-2</v>
      </c>
      <c r="P64" s="33">
        <v>-9.5648110000000008E-2</v>
      </c>
      <c r="Q64" s="33">
        <v>-6.8140690000000004E-2</v>
      </c>
      <c r="R64" s="33">
        <v>-1.6025781999999999E-2</v>
      </c>
      <c r="S64" s="33">
        <v>-0.10763454</v>
      </c>
      <c r="T64" s="33">
        <v>-5.5555525000000001E-2</v>
      </c>
      <c r="U64" s="33">
        <v>-4.5401692E-2</v>
      </c>
      <c r="V64" s="33">
        <v>-7.8658222999999999E-2</v>
      </c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35">
      <c r="A65" s="2">
        <v>43630</v>
      </c>
      <c r="B65" s="33">
        <v>-7.2295069999999996E-3</v>
      </c>
      <c r="C65" s="33">
        <v>-9.4338655000000011E-3</v>
      </c>
      <c r="D65" s="33">
        <v>5.6444883000000001E-2</v>
      </c>
      <c r="E65" s="33">
        <v>4.1439769999999994E-2</v>
      </c>
      <c r="F65" s="33">
        <v>7.1294546E-2</v>
      </c>
      <c r="G65" s="33">
        <v>9.7060204000000011E-3</v>
      </c>
      <c r="H65" s="33">
        <v>2.7046084000000001E-2</v>
      </c>
      <c r="I65" s="33">
        <v>-1.9151390000000001E-2</v>
      </c>
      <c r="J65" s="33">
        <v>-2.4747252000000002E-3</v>
      </c>
      <c r="K65" s="33">
        <v>3.1875372000000003E-3</v>
      </c>
      <c r="L65" s="33">
        <v>8.3910699999999991E-2</v>
      </c>
      <c r="M65" s="33">
        <v>-3.1038880000000001E-2</v>
      </c>
      <c r="N65" s="33">
        <v>0.15980029000000001</v>
      </c>
      <c r="O65" s="33">
        <v>5.2095770000000007E-2</v>
      </c>
      <c r="P65" s="33">
        <v>-4.795104E-2</v>
      </c>
      <c r="Q65" s="33">
        <v>7.9983949999999998E-2</v>
      </c>
      <c r="R65" s="33">
        <v>2.3558020000000002E-2</v>
      </c>
      <c r="S65" s="33">
        <v>5.6568503000000006E-2</v>
      </c>
      <c r="T65" s="33">
        <v>-3.8270711999999998E-2</v>
      </c>
      <c r="U65" s="33">
        <v>-7.3170066000000002E-3</v>
      </c>
      <c r="V65" s="33">
        <v>6.9365979999999994E-2</v>
      </c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35">
      <c r="A66" s="2">
        <v>43658</v>
      </c>
      <c r="B66" s="33">
        <v>5.0510050000000001E-2</v>
      </c>
      <c r="C66" s="33">
        <v>3.9595008000000001E-2</v>
      </c>
      <c r="D66" s="33">
        <v>6.6175460000000005E-2</v>
      </c>
      <c r="E66" s="33">
        <v>6.1610459999999999E-2</v>
      </c>
      <c r="F66" s="33">
        <v>2.5449156999999997E-2</v>
      </c>
      <c r="G66" s="33">
        <v>5.0039649999999998E-2</v>
      </c>
      <c r="H66" s="33">
        <v>3.9201260000000002E-2</v>
      </c>
      <c r="I66" s="33">
        <v>6.8488955000000004E-2</v>
      </c>
      <c r="J66" s="33">
        <v>1.2811421999999999E-3</v>
      </c>
      <c r="K66" s="33">
        <v>1.6946197E-2</v>
      </c>
      <c r="L66" s="33">
        <v>0.11079514</v>
      </c>
      <c r="M66" s="33">
        <v>4.9769639999999997E-2</v>
      </c>
      <c r="N66" s="33">
        <v>2.2832155E-2</v>
      </c>
      <c r="O66" s="33">
        <v>-2.9233694E-3</v>
      </c>
      <c r="P66" s="33">
        <v>5.8845161999999999E-2</v>
      </c>
      <c r="Q66" s="33">
        <v>-1.1808932000000001E-2</v>
      </c>
      <c r="R66" s="33">
        <v>3.5435556999999999E-2</v>
      </c>
      <c r="S66" s="33">
        <v>0.10886383000000001</v>
      </c>
      <c r="T66" s="33">
        <v>2.1710515E-2</v>
      </c>
      <c r="U66" s="33">
        <v>9.2136860000000004E-3</v>
      </c>
      <c r="V66" s="33">
        <v>-6.5250989999999995E-3</v>
      </c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35">
      <c r="A67" s="2">
        <v>43691</v>
      </c>
      <c r="B67" s="33">
        <v>-5.3248110000000001E-2</v>
      </c>
      <c r="C67" s="33">
        <v>-0.11081087000000001</v>
      </c>
      <c r="D67" s="33">
        <v>-7.4144420000000003E-2</v>
      </c>
      <c r="E67" s="33">
        <v>-8.9531659999999999E-2</v>
      </c>
      <c r="F67" s="33">
        <v>-0.13045335</v>
      </c>
      <c r="G67" s="33">
        <v>-0.11883824999999999</v>
      </c>
      <c r="H67" s="33">
        <v>-7.4036894000000006E-2</v>
      </c>
      <c r="I67" s="33">
        <v>-5.8757360000000002E-2</v>
      </c>
      <c r="J67" s="33">
        <v>-0.12135135999999999</v>
      </c>
      <c r="K67" s="33">
        <v>-0.11161256</v>
      </c>
      <c r="L67" s="33">
        <v>-0.10748982</v>
      </c>
      <c r="M67" s="33">
        <v>-0.16231138000000001</v>
      </c>
      <c r="N67" s="33">
        <v>-0.10676538000000001</v>
      </c>
      <c r="O67" s="33">
        <v>-8.9861759999999999E-2</v>
      </c>
      <c r="P67" s="33">
        <v>-9.0646740000000003E-2</v>
      </c>
      <c r="Q67" s="33">
        <v>-9.5429480000000011E-2</v>
      </c>
      <c r="R67" s="33">
        <v>-6.4761280000000004E-2</v>
      </c>
      <c r="S67" s="33">
        <v>1.5151501000000001E-2</v>
      </c>
      <c r="T67" s="33">
        <v>1.6442418E-2</v>
      </c>
      <c r="U67" s="33">
        <v>-7.2428519999999996E-2</v>
      </c>
      <c r="V67" s="33">
        <v>-6.140089E-2</v>
      </c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35">
      <c r="A68" s="2">
        <v>43721</v>
      </c>
      <c r="B68" s="33">
        <v>9.854889E-2</v>
      </c>
      <c r="C68" s="33">
        <v>5.7750820000000001E-2</v>
      </c>
      <c r="D68" s="33">
        <v>5.7084203E-2</v>
      </c>
      <c r="E68" s="33">
        <v>4.9016595000000003E-2</v>
      </c>
      <c r="F68" s="33">
        <v>6.7388177000000007E-2</v>
      </c>
      <c r="G68" s="33">
        <v>6.0477733999999998E-2</v>
      </c>
      <c r="H68" s="33">
        <v>2.4240254999999999E-2</v>
      </c>
      <c r="I68" s="33">
        <v>9.3787309999999999E-2</v>
      </c>
      <c r="J68" s="33">
        <v>0.12869476999999999</v>
      </c>
      <c r="K68" s="33">
        <v>0.13384128000000001</v>
      </c>
      <c r="L68" s="33">
        <v>2.2490977999999998E-2</v>
      </c>
      <c r="M68" s="33">
        <v>0.14784706</v>
      </c>
      <c r="N68" s="33">
        <v>0.10295868000000001</v>
      </c>
      <c r="O68" s="33">
        <v>3.5443068000000001E-2</v>
      </c>
      <c r="P68" s="33">
        <v>0.11666976999999999</v>
      </c>
      <c r="Q68" s="33">
        <v>0.10797548000000001</v>
      </c>
      <c r="R68" s="33">
        <v>2.6249647000000001E-2</v>
      </c>
      <c r="S68" s="33">
        <v>5.2843809999999998E-2</v>
      </c>
      <c r="T68" s="33">
        <v>4.4117569999999995E-2</v>
      </c>
      <c r="U68" s="33">
        <v>4.0026307000000004E-2</v>
      </c>
      <c r="V68" s="33">
        <v>-5.6843399999999995E-2</v>
      </c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35">
      <c r="A69" s="2">
        <v>43752</v>
      </c>
      <c r="B69" s="33">
        <v>-1.1205435E-2</v>
      </c>
      <c r="C69" s="33">
        <v>9.5350739999999993E-3</v>
      </c>
      <c r="D69" s="33">
        <v>-5.5944085000000005E-2</v>
      </c>
      <c r="E69" s="33">
        <v>-1.0672033000000001E-2</v>
      </c>
      <c r="F69" s="33">
        <v>-3.8248837000000001E-2</v>
      </c>
      <c r="G69" s="33">
        <v>-1.1405825999999999E-2</v>
      </c>
      <c r="H69" s="33">
        <v>-2.2606850000000001E-2</v>
      </c>
      <c r="I69" s="33">
        <v>2.539599E-2</v>
      </c>
      <c r="J69" s="33">
        <v>2.3638368E-2</v>
      </c>
      <c r="K69" s="33">
        <v>-9.4778540000000008E-3</v>
      </c>
      <c r="L69" s="33">
        <v>-3.547728E-3</v>
      </c>
      <c r="M69" s="33">
        <v>-4.2105255000000001E-2</v>
      </c>
      <c r="N69" s="33">
        <v>1.3948439999999999E-2</v>
      </c>
      <c r="O69" s="33">
        <v>2.1393299E-3</v>
      </c>
      <c r="P69" s="33">
        <v>-3.3767998E-2</v>
      </c>
      <c r="Q69" s="33">
        <v>-1.1633456E-2</v>
      </c>
      <c r="R69" s="33">
        <v>-2.1637081999999998E-2</v>
      </c>
      <c r="S69" s="33">
        <v>-0.12068963000000001</v>
      </c>
      <c r="T69" s="33">
        <v>-1.0690153000000001E-2</v>
      </c>
      <c r="U69" s="33">
        <v>1.3880133999999999E-2</v>
      </c>
      <c r="V69" s="33">
        <v>-4.1414204000000003E-2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35">
      <c r="A70" s="2">
        <v>43783</v>
      </c>
      <c r="B70" s="33">
        <v>-1.7259121000000001E-3</v>
      </c>
      <c r="C70" s="33">
        <v>-0.22240912999999998</v>
      </c>
      <c r="D70" s="33">
        <v>7.8189373000000003E-3</v>
      </c>
      <c r="E70" s="33">
        <v>2.4198293999999999E-2</v>
      </c>
      <c r="F70" s="33">
        <v>4.4561504999999994E-2</v>
      </c>
      <c r="G70" s="33">
        <v>-1.3844787999999998E-2</v>
      </c>
      <c r="H70" s="33">
        <v>2.6020884999999997E-2</v>
      </c>
      <c r="I70" s="33">
        <v>5.1398159999999998E-2</v>
      </c>
      <c r="J70" s="33">
        <v>-2.0375251999999997E-3</v>
      </c>
      <c r="K70" s="33">
        <v>4.9756410000000001E-2</v>
      </c>
      <c r="L70" s="33">
        <v>8.3075760000000005E-3</v>
      </c>
      <c r="M70" s="33">
        <v>1.6583443E-2</v>
      </c>
      <c r="N70" s="33">
        <v>3.3862589999999998E-2</v>
      </c>
      <c r="O70" s="33">
        <v>3.5376668E-2</v>
      </c>
      <c r="P70" s="33">
        <v>2.1626352999999997E-2</v>
      </c>
      <c r="Q70" s="33">
        <v>1.1261701599999999E-3</v>
      </c>
      <c r="R70" s="33">
        <v>-1.0166049E-2</v>
      </c>
      <c r="S70" s="33">
        <v>0.12984752999999999</v>
      </c>
      <c r="T70" s="33">
        <v>-1.6955853E-2</v>
      </c>
      <c r="U70" s="33">
        <v>1.7423867999999999E-2</v>
      </c>
      <c r="V70" s="33">
        <v>4.4959664000000003E-2</v>
      </c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35">
      <c r="A71" s="2">
        <v>43812</v>
      </c>
      <c r="B71" s="33">
        <v>1.2793898999999999E-2</v>
      </c>
      <c r="C71" s="33">
        <v>0.12945091</v>
      </c>
      <c r="D71" s="33">
        <v>2.368319E-2</v>
      </c>
      <c r="E71" s="33">
        <v>-1.3094306E-2</v>
      </c>
      <c r="F71" s="33">
        <v>-3.5091697999999998E-2</v>
      </c>
      <c r="G71" s="33">
        <v>2.9540896000000001E-2</v>
      </c>
      <c r="H71" s="33">
        <v>-1.3737201999999999E-2</v>
      </c>
      <c r="I71" s="33">
        <v>5.2684902999999998E-2</v>
      </c>
      <c r="J71" s="33">
        <v>3.7885665999999998E-2</v>
      </c>
      <c r="K71" s="33">
        <v>1.3921141999999999E-2</v>
      </c>
      <c r="L71" s="33">
        <v>7.5564980000000004E-2</v>
      </c>
      <c r="M71" s="33">
        <v>2.1619796999999999E-3</v>
      </c>
      <c r="N71" s="33">
        <v>1.5353083999999999E-2</v>
      </c>
      <c r="O71" s="33">
        <v>3.6818862000000001E-2</v>
      </c>
      <c r="P71" s="33">
        <v>5.1820516999999996E-2</v>
      </c>
      <c r="Q71" s="33">
        <v>-2.2384523999999999E-3</v>
      </c>
      <c r="R71" s="33">
        <v>-2.209419E-2</v>
      </c>
      <c r="S71" s="33">
        <v>4.6278357999999999E-2</v>
      </c>
      <c r="T71" s="33">
        <v>-7.2411300000000001E-3</v>
      </c>
      <c r="U71" s="33">
        <v>-1.5902162000000001E-2</v>
      </c>
      <c r="V71" s="33">
        <v>1.9831896000000002E-2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35">
      <c r="A72" s="2">
        <v>43844</v>
      </c>
      <c r="B72" s="33">
        <v>8.889103000000001E-2</v>
      </c>
      <c r="C72" s="33">
        <v>8.090853700000001E-3</v>
      </c>
      <c r="D72" s="33">
        <v>5.3764223999999999E-2</v>
      </c>
      <c r="E72" s="33">
        <v>-1.7278016E-2</v>
      </c>
      <c r="F72" s="33">
        <v>5.3534030000000003E-2</v>
      </c>
      <c r="G72" s="33">
        <v>5.0622581999999999E-2</v>
      </c>
      <c r="H72" s="33">
        <v>2.3882031000000001E-2</v>
      </c>
      <c r="I72" s="33">
        <v>2.9969215E-2</v>
      </c>
      <c r="J72" s="33">
        <v>2.4284244E-2</v>
      </c>
      <c r="K72" s="33">
        <v>6.6770789999999997E-2</v>
      </c>
      <c r="L72" s="33">
        <v>3.9857268000000001E-2</v>
      </c>
      <c r="M72" s="33">
        <v>4.0448546000000002E-2</v>
      </c>
      <c r="N72" s="33">
        <v>2.9813051E-2</v>
      </c>
      <c r="O72" s="33">
        <v>2.4250626999999997E-2</v>
      </c>
      <c r="P72" s="33">
        <v>8.8818309999999998E-2</v>
      </c>
      <c r="Q72" s="33">
        <v>2.5518774999999997E-2</v>
      </c>
      <c r="R72" s="33">
        <v>8.253336E-3</v>
      </c>
      <c r="S72" s="33">
        <v>8.6104280000000005E-2</v>
      </c>
      <c r="T72" s="33">
        <v>-2.3340583000000002E-2</v>
      </c>
      <c r="U72" s="33">
        <v>6.4033269999999995E-3</v>
      </c>
      <c r="V72" s="33">
        <v>3.3595920000000001E-2</v>
      </c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35">
      <c r="A73" s="2">
        <v>43875</v>
      </c>
      <c r="B73" s="33">
        <v>-5.9772309999999995E-2</v>
      </c>
      <c r="C73" s="33">
        <v>-8.5823120000000003E-2</v>
      </c>
      <c r="D73" s="33">
        <v>-8.6461910000000003E-2</v>
      </c>
      <c r="E73" s="33">
        <v>-5.7285546999999999E-2</v>
      </c>
      <c r="F73" s="33">
        <v>-7.0207889999999995E-2</v>
      </c>
      <c r="G73" s="33">
        <v>-5.6495610000000002E-2</v>
      </c>
      <c r="H73" s="33">
        <v>-4.5855402999999996E-2</v>
      </c>
      <c r="I73" s="33">
        <v>-3.4482718000000002E-2</v>
      </c>
      <c r="J73" s="33">
        <v>2.7789712000000001E-2</v>
      </c>
      <c r="K73" s="33">
        <v>-2.8021275999999998E-2</v>
      </c>
      <c r="L73" s="33">
        <v>-6.3220796999999995E-2</v>
      </c>
      <c r="M73" s="33">
        <v>-3.1094550000000002E-2</v>
      </c>
      <c r="N73" s="33">
        <v>-6.8793535000000003E-2</v>
      </c>
      <c r="O73" s="33">
        <v>-2.5263727E-2</v>
      </c>
      <c r="P73" s="33">
        <v>-3.2681703999999999E-2</v>
      </c>
      <c r="Q73" s="33">
        <v>-6.3439965000000001E-2</v>
      </c>
      <c r="R73" s="33">
        <v>-3.8187622999999997E-2</v>
      </c>
      <c r="S73" s="33">
        <v>-5.0789299999999996E-2</v>
      </c>
      <c r="T73" s="33">
        <v>-4.7050056E-2</v>
      </c>
      <c r="U73" s="33">
        <v>-4.9782157E-2</v>
      </c>
      <c r="V73" s="33">
        <v>-7.3595819999999992E-2</v>
      </c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35">
      <c r="A74" s="2">
        <v>43903</v>
      </c>
      <c r="B74" s="33">
        <v>3.7000179999999998E-3</v>
      </c>
      <c r="C74" s="33">
        <v>-0.24767702</v>
      </c>
      <c r="D74" s="33">
        <v>-0.25031137000000003</v>
      </c>
      <c r="E74" s="33">
        <v>-0.23558742999999999</v>
      </c>
      <c r="F74" s="33">
        <v>-0.32687527000000005</v>
      </c>
      <c r="G74" s="33">
        <v>-0.26236623999999997</v>
      </c>
      <c r="H74" s="33">
        <v>-0.17338259</v>
      </c>
      <c r="I74" s="33">
        <v>-0.13343257</v>
      </c>
      <c r="J74" s="33">
        <v>-0.27981556000000002</v>
      </c>
      <c r="K74" s="33">
        <v>-0.19906586000000001</v>
      </c>
      <c r="L74" s="33">
        <v>-0.33652529999999997</v>
      </c>
      <c r="M74" s="33">
        <v>-0.28219944000000002</v>
      </c>
      <c r="N74" s="33">
        <v>-0.37152035</v>
      </c>
      <c r="O74" s="33">
        <v>-0.19367705999999998</v>
      </c>
      <c r="P74" s="33">
        <v>-0.10120338000000001</v>
      </c>
      <c r="Q74" s="33">
        <v>-0.1760584</v>
      </c>
      <c r="R74" s="33">
        <v>-0.26036166999999999</v>
      </c>
      <c r="S74" s="33">
        <v>-0.22740417000000002</v>
      </c>
      <c r="T74" s="33">
        <v>-0.26410658000000004</v>
      </c>
      <c r="U74" s="33">
        <v>-0.26653569999999999</v>
      </c>
      <c r="V74" s="33">
        <v>-0.21045297999999998</v>
      </c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35">
      <c r="A75" s="2">
        <v>43935</v>
      </c>
      <c r="B75" s="33">
        <v>-3.9209127000000003E-2</v>
      </c>
      <c r="C75" s="33">
        <v>4.0034055999999998E-2</v>
      </c>
      <c r="D75" s="33">
        <v>-0.12126244</v>
      </c>
      <c r="E75" s="33">
        <v>7.3379280000000005E-3</v>
      </c>
      <c r="F75" s="33">
        <v>0.11512911000000001</v>
      </c>
      <c r="G75" s="33">
        <v>-1.8823504000000001E-2</v>
      </c>
      <c r="H75" s="33">
        <v>4.3380976000000002E-2</v>
      </c>
      <c r="I75" s="33">
        <v>1.5168905E-2</v>
      </c>
      <c r="J75" s="33">
        <v>-0.16356229999999999</v>
      </c>
      <c r="K75" s="33">
        <v>2.6141405000000002E-3</v>
      </c>
      <c r="L75" s="33">
        <v>-0.11340213</v>
      </c>
      <c r="M75" s="33">
        <v>-5.6631859999999999E-2</v>
      </c>
      <c r="N75" s="33">
        <v>4.5996665999999999E-2</v>
      </c>
      <c r="O75" s="33">
        <v>-8.2479659999999996E-2</v>
      </c>
      <c r="P75" s="33">
        <v>2.5403380000000003E-2</v>
      </c>
      <c r="Q75" s="33">
        <v>0.12898660000000001</v>
      </c>
      <c r="R75" s="33">
        <v>0.11288762000000001</v>
      </c>
      <c r="S75" s="33">
        <v>-4.3051003999999997E-2</v>
      </c>
      <c r="T75" s="33">
        <v>8.9456799999999989E-2</v>
      </c>
      <c r="U75" s="33">
        <v>7.6785803E-2</v>
      </c>
      <c r="V75" s="33">
        <v>0.10238301999999999</v>
      </c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35">
      <c r="A76" s="2">
        <v>43965</v>
      </c>
      <c r="B76" s="33">
        <v>2.6533007999999997E-2</v>
      </c>
      <c r="C76" s="33">
        <v>-2.7027009999999997E-2</v>
      </c>
      <c r="D76" s="33">
        <v>5.6711434999999998E-3</v>
      </c>
      <c r="E76" s="33">
        <v>-3.2375454999999998E-3</v>
      </c>
      <c r="F76" s="33">
        <v>-4.0370584000000001E-2</v>
      </c>
      <c r="G76" s="33">
        <v>2.0039916000000001E-2</v>
      </c>
      <c r="H76" s="33">
        <v>1.928854E-2</v>
      </c>
      <c r="I76" s="33">
        <v>4.7081946999999999E-2</v>
      </c>
      <c r="J76" s="33">
        <v>2.8531669999999999E-2</v>
      </c>
      <c r="K76" s="33">
        <v>2.0056128999999999E-2</v>
      </c>
      <c r="L76" s="33">
        <v>-0.12286823999999999</v>
      </c>
      <c r="M76" s="33">
        <v>4.1074752999999999E-3</v>
      </c>
      <c r="N76" s="33">
        <v>-5.3202033000000003E-2</v>
      </c>
      <c r="O76" s="33">
        <v>2.2136570000000001E-2</v>
      </c>
      <c r="P76" s="33">
        <v>1.8245697000000002E-2</v>
      </c>
      <c r="Q76" s="33">
        <v>-1.1927186999999999E-2</v>
      </c>
      <c r="R76" s="33">
        <v>1.9142747000000002E-2</v>
      </c>
      <c r="S76" s="33">
        <v>-1.2224912999999999E-2</v>
      </c>
      <c r="T76" s="33">
        <v>-3.0791759999999998E-2</v>
      </c>
      <c r="U76" s="33">
        <v>6.9651722999999999E-2</v>
      </c>
      <c r="V76" s="33">
        <v>-5.6044459999999999E-3</v>
      </c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35">
      <c r="A77" s="2">
        <v>43994</v>
      </c>
      <c r="B77" s="33">
        <v>2.6441813000000002E-2</v>
      </c>
      <c r="C77" s="33">
        <v>0.12289559999999999</v>
      </c>
      <c r="D77" s="33">
        <v>0.15789472999999998</v>
      </c>
      <c r="E77" s="33">
        <v>0.12180268999999999</v>
      </c>
      <c r="F77" s="33">
        <v>0.19310342999999999</v>
      </c>
      <c r="G77" s="33">
        <v>0.13865221</v>
      </c>
      <c r="H77" s="33">
        <v>0.12195122</v>
      </c>
      <c r="I77" s="33">
        <v>5.9773920000000001E-2</v>
      </c>
      <c r="J77" s="33">
        <v>0.11806499499999999</v>
      </c>
      <c r="K77" s="33">
        <v>0.13016116999999999</v>
      </c>
      <c r="L77" s="33">
        <v>0.34290767999999999</v>
      </c>
      <c r="M77" s="33">
        <v>0.14946497</v>
      </c>
      <c r="N77" s="33">
        <v>0.12672007000000002</v>
      </c>
      <c r="O77" s="33">
        <v>6.3653470000000004E-2</v>
      </c>
      <c r="P77" s="33">
        <v>4.833138E-2</v>
      </c>
      <c r="Q77" s="33">
        <v>2.1601080000000002E-2</v>
      </c>
      <c r="R77" s="33">
        <v>7.9787610000000009E-2</v>
      </c>
      <c r="S77" s="33">
        <v>0.11188114</v>
      </c>
      <c r="T77" s="33">
        <v>6.5052985999999993E-2</v>
      </c>
      <c r="U77" s="33">
        <v>6.5891504000000004E-2</v>
      </c>
      <c r="V77" s="33">
        <v>8.051527E-2</v>
      </c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35">
      <c r="A78" s="2">
        <v>44026</v>
      </c>
      <c r="B78" s="33">
        <v>0.24593019999999999</v>
      </c>
      <c r="C78" s="33">
        <v>6.1162114000000004E-2</v>
      </c>
      <c r="D78" s="33">
        <v>5.4207563E-2</v>
      </c>
      <c r="E78" s="33">
        <v>1.5783309999999997E-4</v>
      </c>
      <c r="F78" s="33">
        <v>-7.8057646999999996E-3</v>
      </c>
      <c r="G78" s="33">
        <v>-3.6579370000000002E-4</v>
      </c>
      <c r="H78" s="33">
        <v>4.5008183E-2</v>
      </c>
      <c r="I78" s="33">
        <v>9.1209410000000005E-2</v>
      </c>
      <c r="J78" s="33">
        <v>-4.784298E-2</v>
      </c>
      <c r="K78" s="33">
        <v>2.7313827999999998E-2</v>
      </c>
      <c r="L78" s="33">
        <v>2.4758100000000002E-2</v>
      </c>
      <c r="M78" s="33">
        <v>7.2971105999999994E-2</v>
      </c>
      <c r="N78" s="33">
        <v>9.815454500000001E-3</v>
      </c>
      <c r="O78" s="33">
        <v>8.6318859999999997E-2</v>
      </c>
      <c r="P78" s="33">
        <v>0.14711750000000001</v>
      </c>
      <c r="Q78" s="33">
        <v>8.7348350000000005E-2</v>
      </c>
      <c r="R78" s="33">
        <v>-3.0009627000000001E-2</v>
      </c>
      <c r="S78" s="33">
        <v>5.2006245E-2</v>
      </c>
      <c r="T78" s="33">
        <v>8.8903903999999999E-3</v>
      </c>
      <c r="U78" s="33">
        <v>4.5818209999999998E-2</v>
      </c>
      <c r="V78" s="33">
        <v>3.0936598999999999E-2</v>
      </c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35">
      <c r="A79" s="2">
        <v>44057</v>
      </c>
      <c r="B79" s="33">
        <v>-2.478677E-2</v>
      </c>
      <c r="C79" s="33">
        <v>-5.2934884999999994E-2</v>
      </c>
      <c r="D79" s="33">
        <v>7.2575809999999999E-3</v>
      </c>
      <c r="E79" s="33">
        <v>-3.2762885000000002E-3</v>
      </c>
      <c r="F79" s="33">
        <v>9.1818694999999992E-2</v>
      </c>
      <c r="G79" s="33">
        <v>8.6052300000000012E-2</v>
      </c>
      <c r="H79" s="33">
        <v>0</v>
      </c>
      <c r="I79" s="33">
        <v>5.1222324E-2</v>
      </c>
      <c r="J79" s="33">
        <v>0.10622013000000001</v>
      </c>
      <c r="K79" s="33">
        <v>0.11532603999999999</v>
      </c>
      <c r="L79" s="33">
        <v>-1.6250014E-3</v>
      </c>
      <c r="M79" s="33">
        <v>-2.7020037E-2</v>
      </c>
      <c r="N79" s="33">
        <v>5.1750420000000005E-2</v>
      </c>
      <c r="O79" s="33">
        <v>7.6319695000000007E-2</v>
      </c>
      <c r="P79" s="33">
        <v>-8.2327130000000009E-3</v>
      </c>
      <c r="Q79" s="33">
        <v>1.6499758E-2</v>
      </c>
      <c r="R79" s="33">
        <v>-1.0454237E-2</v>
      </c>
      <c r="S79" s="33">
        <v>-0.14103108</v>
      </c>
      <c r="T79" s="33">
        <v>5.2970290000000003E-2</v>
      </c>
      <c r="U79" s="33">
        <v>2.2253156E-2</v>
      </c>
      <c r="V79" s="33">
        <v>3.1973600000000005E-2</v>
      </c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35">
      <c r="A80" s="2">
        <v>44088</v>
      </c>
      <c r="B80" s="33">
        <v>3.2795668000000001E-3</v>
      </c>
      <c r="C80" s="33">
        <v>-3.7642597999999999E-2</v>
      </c>
      <c r="D80" s="33">
        <v>-4.7349453E-2</v>
      </c>
      <c r="E80" s="33">
        <v>-1.7165779999999999E-2</v>
      </c>
      <c r="F80" s="33">
        <v>-5.9299109999999995E-2</v>
      </c>
      <c r="G80" s="33">
        <v>-2.1901667E-2</v>
      </c>
      <c r="H80" s="33">
        <v>-4.3223380000000006E-2</v>
      </c>
      <c r="I80" s="33">
        <v>-2.2149086E-3</v>
      </c>
      <c r="J80" s="33">
        <v>-7.4971913999999995E-3</v>
      </c>
      <c r="K80" s="33">
        <v>-3.0374526999999996E-4</v>
      </c>
      <c r="L80" s="33">
        <v>1.1393189999999999E-2</v>
      </c>
      <c r="M80" s="33">
        <v>3.8451195000000001E-2</v>
      </c>
      <c r="N80" s="33">
        <v>3.7626623999999997E-2</v>
      </c>
      <c r="O80" s="33">
        <v>4.0995955000000001E-2</v>
      </c>
      <c r="P80" s="33">
        <v>2.1029353000000001E-2</v>
      </c>
      <c r="Q80" s="33">
        <v>2.3768067E-2</v>
      </c>
      <c r="R80" s="33">
        <v>-4.1226864000000002E-2</v>
      </c>
      <c r="S80" s="33">
        <v>4.9602984999999999E-3</v>
      </c>
      <c r="T80" s="33">
        <v>2.4917722000000003E-2</v>
      </c>
      <c r="U80" s="33">
        <v>2.9251695000000001E-2</v>
      </c>
      <c r="V80" s="33">
        <v>5.3418755999999998E-2</v>
      </c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35">
      <c r="A81" s="2">
        <v>44118</v>
      </c>
      <c r="B81" s="33">
        <v>4.8215747000000003E-2</v>
      </c>
      <c r="C81" s="33">
        <v>-6.6771984000000006E-2</v>
      </c>
      <c r="D81" s="33">
        <v>3.2414198E-3</v>
      </c>
      <c r="E81" s="33">
        <v>-1.7465590999999999E-2</v>
      </c>
      <c r="F81" s="33">
        <v>-6.9914103000000005E-2</v>
      </c>
      <c r="G81" s="33">
        <v>-1.4471172999999999E-2</v>
      </c>
      <c r="H81" s="33">
        <v>1.8759608000000001E-2</v>
      </c>
      <c r="I81" s="33">
        <v>2.2419571999999999E-2</v>
      </c>
      <c r="J81" s="33">
        <v>1.9465446000000001E-2</v>
      </c>
      <c r="K81" s="33">
        <v>1.5947819000000002E-2</v>
      </c>
      <c r="L81" s="33">
        <v>-6.2117815E-2</v>
      </c>
      <c r="M81" s="33">
        <v>-2.2885025E-2</v>
      </c>
      <c r="N81" s="33">
        <v>-7.2524366000000007E-2</v>
      </c>
      <c r="O81" s="33">
        <v>3.4130691999999997E-2</v>
      </c>
      <c r="P81" s="33">
        <v>5.1490425999999999E-2</v>
      </c>
      <c r="Q81" s="33">
        <v>1.5855074E-2</v>
      </c>
      <c r="R81" s="33">
        <v>-6.5627100000000002E-3</v>
      </c>
      <c r="S81" s="33">
        <v>-1.2339592E-2</v>
      </c>
      <c r="T81" s="33">
        <v>-1.4678895000000001E-2</v>
      </c>
      <c r="U81" s="33">
        <v>6.6093206000000003E-3</v>
      </c>
      <c r="V81" s="33">
        <v>4.1582108E-2</v>
      </c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35">
      <c r="A82" s="2">
        <v>44148</v>
      </c>
      <c r="B82" s="33">
        <v>2.6247500999999999E-2</v>
      </c>
      <c r="C82" s="33">
        <v>0.14225232999999998</v>
      </c>
      <c r="D82" s="33">
        <v>0.15024233000000001</v>
      </c>
      <c r="E82" s="33">
        <v>0.19515884</v>
      </c>
      <c r="F82" s="33">
        <v>3.8200973999999999E-2</v>
      </c>
      <c r="G82" s="33">
        <v>2.2637247999999999E-2</v>
      </c>
      <c r="H82" s="33">
        <v>3.5700797999999999E-2</v>
      </c>
      <c r="I82" s="33">
        <v>5.3408623000000002E-2</v>
      </c>
      <c r="J82" s="33">
        <v>0.116272335</v>
      </c>
      <c r="K82" s="33">
        <v>9.9416969999999993E-2</v>
      </c>
      <c r="L82" s="33">
        <v>7.4811219999999998E-2</v>
      </c>
      <c r="M82" s="33">
        <v>0.11710525000000001</v>
      </c>
      <c r="N82" s="33">
        <v>2.7568936000000002E-2</v>
      </c>
      <c r="O82" s="33">
        <v>2.5387764E-2</v>
      </c>
      <c r="P82" s="33">
        <v>3.6855697999999999E-2</v>
      </c>
      <c r="Q82" s="33">
        <v>-1.1148453E-3</v>
      </c>
      <c r="R82" s="33">
        <v>6.5253615000000001E-2</v>
      </c>
      <c r="S82" s="33">
        <v>0.13593197000000001</v>
      </c>
      <c r="T82" s="33">
        <v>2.2346377000000001E-2</v>
      </c>
      <c r="U82" s="33">
        <v>2.3637651999999999E-2</v>
      </c>
      <c r="V82" s="33">
        <v>-1.8825054000000001E-2</v>
      </c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35">
      <c r="A83" s="2">
        <v>44179</v>
      </c>
      <c r="B83" s="33">
        <v>2.9984713E-2</v>
      </c>
      <c r="C83" s="33">
        <v>5.6235790000000001E-2</v>
      </c>
      <c r="D83" s="33">
        <v>8.9500065000000004E-2</v>
      </c>
      <c r="E83" s="33">
        <v>5.1659702999999994E-2</v>
      </c>
      <c r="F83" s="33">
        <v>0.13167357000000002</v>
      </c>
      <c r="G83" s="33">
        <v>9.7586870000000006E-2</v>
      </c>
      <c r="H83" s="33">
        <v>4.6444180000000002E-2</v>
      </c>
      <c r="I83" s="33">
        <v>7.6931714999999998E-2</v>
      </c>
      <c r="J83" s="33">
        <v>7.7027200000000004E-2</v>
      </c>
      <c r="K83" s="33">
        <v>0.11477113</v>
      </c>
      <c r="L83" s="33">
        <v>0.16558945000000003</v>
      </c>
      <c r="M83" s="33">
        <v>4.3136834999999998E-2</v>
      </c>
      <c r="N83" s="33">
        <v>0.24195122000000002</v>
      </c>
      <c r="O83" s="33">
        <v>5.9191939999999998E-2</v>
      </c>
      <c r="P83" s="33">
        <v>-1.6483665000000002E-2</v>
      </c>
      <c r="Q83" s="33">
        <v>3.1467676E-2</v>
      </c>
      <c r="R83" s="33">
        <v>9.6296309999999996E-2</v>
      </c>
      <c r="S83" s="33">
        <v>4.6530246999999997E-2</v>
      </c>
      <c r="T83" s="33">
        <v>0.11362672</v>
      </c>
      <c r="U83" s="33">
        <v>8.7235449999999992E-2</v>
      </c>
      <c r="V83" s="33">
        <v>2.3956418E-2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35">
      <c r="A84" s="2">
        <v>44210</v>
      </c>
      <c r="B84" s="33">
        <v>0.11954366999999999</v>
      </c>
      <c r="C84" s="33">
        <v>0.1520282</v>
      </c>
      <c r="D84" s="33">
        <v>7.8354955000000004E-2</v>
      </c>
      <c r="E84" s="33">
        <v>-9.0467930000000002E-4</v>
      </c>
      <c r="F84" s="33">
        <v>3.7427545E-2</v>
      </c>
      <c r="G84" s="33">
        <v>6.8283916E-2</v>
      </c>
      <c r="H84" s="33">
        <v>-3.1206608000000002E-3</v>
      </c>
      <c r="I84" s="33">
        <v>0.13416539999999999</v>
      </c>
      <c r="J84" s="33">
        <v>7.5002313000000001E-2</v>
      </c>
      <c r="K84" s="33">
        <v>0.17098963</v>
      </c>
      <c r="L84" s="33">
        <v>6.5691470000000002E-2</v>
      </c>
      <c r="M84" s="33">
        <v>4.6577333999999998E-2</v>
      </c>
      <c r="N84" s="33">
        <v>8.3158016000000005E-3</v>
      </c>
      <c r="O84" s="33">
        <v>8.656084E-2</v>
      </c>
      <c r="P84" s="33">
        <v>9.2958090000000007E-2</v>
      </c>
      <c r="Q84" s="33">
        <v>4.1446924000000003E-2</v>
      </c>
      <c r="R84" s="33">
        <v>4.0545224999999997E-2</v>
      </c>
      <c r="S84" s="33">
        <v>0.19190215999999999</v>
      </c>
      <c r="T84" s="33">
        <v>5.2373050000000004E-2</v>
      </c>
      <c r="U84" s="33">
        <v>9.5984940000000005E-2</v>
      </c>
      <c r="V84" s="33">
        <v>4.1477560000000004E-2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35">
      <c r="A85" s="2">
        <v>44239</v>
      </c>
      <c r="B85" s="33">
        <v>7.8865767000000003E-2</v>
      </c>
      <c r="C85" s="33">
        <v>-7.3484780000000003E-3</v>
      </c>
      <c r="D85" s="33">
        <v>-4.01445E-2</v>
      </c>
      <c r="E85" s="33">
        <v>-4.6181736000000001E-2</v>
      </c>
      <c r="F85" s="33">
        <v>-2.6930928E-2</v>
      </c>
      <c r="G85" s="33">
        <v>5.5789229999999995E-2</v>
      </c>
      <c r="H85" s="33">
        <v>-2.6434780000000001E-2</v>
      </c>
      <c r="I85" s="33">
        <v>2.0632744000000001E-2</v>
      </c>
      <c r="J85" s="33">
        <v>-5.1751136999999996E-2</v>
      </c>
      <c r="K85" s="33">
        <v>-1.2177229000000001E-2</v>
      </c>
      <c r="L85" s="33">
        <v>-6.682210999999999E-2</v>
      </c>
      <c r="M85" s="33">
        <v>0.1101371</v>
      </c>
      <c r="N85" s="33">
        <v>-3.6580503E-2</v>
      </c>
      <c r="O85" s="33">
        <v>2.8947352999999999E-2</v>
      </c>
      <c r="P85" s="33">
        <v>0.12291729</v>
      </c>
      <c r="Q85" s="33">
        <v>-2.5974034999999999E-2</v>
      </c>
      <c r="R85" s="33">
        <v>-1.7988502999999999E-2</v>
      </c>
      <c r="S85" s="33">
        <v>3.3970237E-2</v>
      </c>
      <c r="T85" s="33">
        <v>1.9828916000000002E-2</v>
      </c>
      <c r="U85" s="33">
        <v>-2.6486456000000002E-2</v>
      </c>
      <c r="V85" s="33">
        <v>-3.7336350000000003E-3</v>
      </c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35">
      <c r="A86" s="2">
        <v>44267</v>
      </c>
      <c r="B86" s="33">
        <v>-0.14531827</v>
      </c>
      <c r="C86" s="33">
        <v>5.0586104E-2</v>
      </c>
      <c r="D86" s="33">
        <v>-3.6386429999999997E-2</v>
      </c>
      <c r="E86" s="33">
        <v>-5.0949390000000004E-2</v>
      </c>
      <c r="F86" s="33">
        <v>3.6553143999999999E-3</v>
      </c>
      <c r="G86" s="33">
        <v>-2.0977199999999998E-2</v>
      </c>
      <c r="H86" s="33">
        <v>-1.1075376999999999E-2</v>
      </c>
      <c r="I86" s="33">
        <v>-1.6846358999999998E-2</v>
      </c>
      <c r="J86" s="33">
        <v>3.1051636000000001E-2</v>
      </c>
      <c r="K86" s="33">
        <v>-6.4505815999999994E-2</v>
      </c>
      <c r="L86" s="33">
        <v>-7.6047660000000003E-2</v>
      </c>
      <c r="M86" s="33">
        <v>-9.7185372999999999E-3</v>
      </c>
      <c r="N86" s="33">
        <v>0.10028886999999999</v>
      </c>
      <c r="O86" s="33">
        <v>-3.2550693000000003E-3</v>
      </c>
      <c r="P86" s="33">
        <v>-0.12274324</v>
      </c>
      <c r="Q86" s="33">
        <v>-1.2714624000000001E-2</v>
      </c>
      <c r="R86" s="33">
        <v>3.9672494000000003E-2</v>
      </c>
      <c r="S86" s="33">
        <v>-5.2361370000000004E-2</v>
      </c>
      <c r="T86" s="33">
        <v>8.7685585000000007E-3</v>
      </c>
      <c r="U86" s="33">
        <v>-1.2770653E-2</v>
      </c>
      <c r="V86" s="33">
        <v>7.0268629999999999E-2</v>
      </c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35">
      <c r="A87" s="2">
        <v>44300</v>
      </c>
      <c r="B87" s="33">
        <v>-2.2554873999999999E-2</v>
      </c>
      <c r="C87" s="33">
        <v>1.9671081999999999E-2</v>
      </c>
      <c r="D87" s="33">
        <v>-6.1197996000000005E-2</v>
      </c>
      <c r="E87" s="33">
        <v>-1.8339395999999997E-2</v>
      </c>
      <c r="F87" s="33">
        <v>1.3527632000000001E-2</v>
      </c>
      <c r="G87" s="33">
        <v>-4.5950594000000004E-2</v>
      </c>
      <c r="H87" s="33">
        <v>-8.6705089999999999E-3</v>
      </c>
      <c r="I87" s="33">
        <v>4.2323589999999994E-2</v>
      </c>
      <c r="J87" s="33">
        <v>4.9281360000000003E-2</v>
      </c>
      <c r="K87" s="33">
        <v>5.9298039999999996E-2</v>
      </c>
      <c r="L87" s="33">
        <v>3.1540989999999998E-2</v>
      </c>
      <c r="M87" s="33">
        <v>3.7006735999999998E-2</v>
      </c>
      <c r="N87" s="33">
        <v>5.1012753999999993E-2</v>
      </c>
      <c r="O87" s="33">
        <v>-4.5719624E-2</v>
      </c>
      <c r="P87" s="33">
        <v>-3.5836874999999997E-2</v>
      </c>
      <c r="Q87" s="33">
        <v>3.6107063000000002E-2</v>
      </c>
      <c r="R87" s="33">
        <v>-1.7261921999999999E-2</v>
      </c>
      <c r="S87" s="33">
        <v>-0.14192849000000002</v>
      </c>
      <c r="T87" s="33">
        <v>1.1715889E-2</v>
      </c>
      <c r="U87" s="33">
        <v>6.9178820000000002E-2</v>
      </c>
      <c r="V87" s="33">
        <v>4.6687960000000001E-2</v>
      </c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35">
      <c r="A88" s="2">
        <v>44330</v>
      </c>
      <c r="B88" s="33">
        <v>4.9793243000000001E-2</v>
      </c>
      <c r="C88" s="33">
        <v>-6.2769947000000006E-2</v>
      </c>
      <c r="D88" s="33">
        <v>6.9348810000000004E-3</v>
      </c>
      <c r="E88" s="33">
        <v>-2.7173935999999999E-2</v>
      </c>
      <c r="F88" s="33">
        <v>7.2381973000000002E-2</v>
      </c>
      <c r="G88" s="33">
        <v>5.8051350000000003E-3</v>
      </c>
      <c r="H88" s="33">
        <v>-2.5510191999999999E-3</v>
      </c>
      <c r="I88" s="33">
        <v>-3.238535E-2</v>
      </c>
      <c r="J88" s="33">
        <v>2.4353147000000002E-2</v>
      </c>
      <c r="K88" s="33">
        <v>-2.9168904000000002E-2</v>
      </c>
      <c r="L88" s="33">
        <v>9.1729760000000007E-2</v>
      </c>
      <c r="M88" s="33">
        <v>2.1687745999999998E-3</v>
      </c>
      <c r="N88" s="33">
        <v>4.2112826999999999E-2</v>
      </c>
      <c r="O88" s="33">
        <v>3.7399173000000001E-2</v>
      </c>
      <c r="P88" s="33">
        <v>-4.0235519999999997E-2</v>
      </c>
      <c r="Q88" s="33">
        <v>2.3461938000000002E-2</v>
      </c>
      <c r="R88" s="33">
        <v>5.4246190000000003E-3</v>
      </c>
      <c r="S88" s="33">
        <v>-1.7255902E-2</v>
      </c>
      <c r="T88" s="33">
        <v>3.2499075000000002E-2</v>
      </c>
      <c r="U88" s="33">
        <v>-3.1561852000000002E-3</v>
      </c>
      <c r="V88" s="33">
        <v>4.2932870000000005E-2</v>
      </c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35">
      <c r="A89" s="2">
        <v>44361</v>
      </c>
      <c r="B89" s="33">
        <v>3.564179E-2</v>
      </c>
      <c r="C89" s="33">
        <v>-6.5490364999999995E-2</v>
      </c>
      <c r="D89" s="33">
        <v>1.4203190999999999E-2</v>
      </c>
      <c r="E89" s="33">
        <v>0.11015164999999999</v>
      </c>
      <c r="F89" s="33">
        <v>6.4622879999999994E-2</v>
      </c>
      <c r="G89" s="33">
        <v>-0.14348137</v>
      </c>
      <c r="H89" s="33">
        <v>2.8553010000000002E-3</v>
      </c>
      <c r="I89" s="33">
        <v>8.0530050000000006E-2</v>
      </c>
      <c r="J89" s="33">
        <v>4.7626970000000005E-2</v>
      </c>
      <c r="K89" s="33">
        <v>2.6952386000000002E-2</v>
      </c>
      <c r="L89" s="33">
        <v>0.10603619</v>
      </c>
      <c r="M89" s="33">
        <v>3.9386034E-2</v>
      </c>
      <c r="N89" s="33">
        <v>2.4657488000000002E-2</v>
      </c>
      <c r="O89" s="33">
        <v>6.6015959999999999E-2</v>
      </c>
      <c r="P89" s="33">
        <v>4.5848250000000007E-2</v>
      </c>
      <c r="Q89" s="33">
        <v>-3.8511752999999998E-3</v>
      </c>
      <c r="R89" s="33">
        <v>5.3940773000000004E-2</v>
      </c>
      <c r="S89" s="33">
        <v>1.9156814000000001E-2</v>
      </c>
      <c r="T89" s="33">
        <v>8.678495E-2</v>
      </c>
      <c r="U89" s="33">
        <v>6.4907670000000001E-2</v>
      </c>
      <c r="V89" s="33">
        <v>5.3141116999999995E-2</v>
      </c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35">
      <c r="A90" s="2">
        <v>44391</v>
      </c>
      <c r="B90" s="33">
        <v>-1.2228309999999999E-2</v>
      </c>
      <c r="C90" s="33">
        <v>-8.6927470000000007E-2</v>
      </c>
      <c r="D90" s="33">
        <v>-9.0205079999999993E-2</v>
      </c>
      <c r="E90" s="33">
        <v>-5.2881600000000001E-2</v>
      </c>
      <c r="F90" s="33">
        <v>-2.0288586999999997E-2</v>
      </c>
      <c r="G90" s="33">
        <v>-5.1247889999999997E-2</v>
      </c>
      <c r="H90" s="33">
        <v>-6.3509999999999997E-2</v>
      </c>
      <c r="I90" s="33">
        <v>1.8867970000000001E-2</v>
      </c>
      <c r="J90" s="33">
        <v>-2.225852E-2</v>
      </c>
      <c r="K90" s="33">
        <v>-1.8177927E-2</v>
      </c>
      <c r="L90" s="33">
        <v>-1.3712108000000001E-2</v>
      </c>
      <c r="M90" s="33">
        <v>-7.0296105999999997E-2</v>
      </c>
      <c r="N90" s="33">
        <v>-8.4558850000000005E-2</v>
      </c>
      <c r="O90" s="33">
        <v>-1.6592920000000001E-2</v>
      </c>
      <c r="P90" s="33">
        <v>-4.1886089999999994E-2</v>
      </c>
      <c r="Q90" s="33">
        <v>-3.5654901999999998E-3</v>
      </c>
      <c r="R90" s="33">
        <v>-3.8798392000000001E-2</v>
      </c>
      <c r="S90" s="33">
        <v>-7.7455700000000002E-2</v>
      </c>
      <c r="T90" s="33">
        <v>-3.4458994999999999E-2</v>
      </c>
      <c r="U90" s="33">
        <v>-4.608524E-2</v>
      </c>
      <c r="V90" s="33">
        <v>-2.0496248999999998E-3</v>
      </c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35">
      <c r="A91" s="2">
        <v>44421</v>
      </c>
      <c r="B91" s="33">
        <v>-1.3525902999999999E-2</v>
      </c>
      <c r="C91" s="33">
        <v>2.4166941999999997E-2</v>
      </c>
      <c r="D91" s="33">
        <v>3.9559364E-2</v>
      </c>
      <c r="E91" s="33">
        <v>-5.5165470000000001E-2</v>
      </c>
      <c r="F91" s="33">
        <v>2.3930073E-2</v>
      </c>
      <c r="G91" s="33">
        <v>-6.8747816000000003E-2</v>
      </c>
      <c r="H91" s="33">
        <v>-6.0192346999999998E-3</v>
      </c>
      <c r="I91" s="33">
        <v>-3.1327187999999999E-2</v>
      </c>
      <c r="J91" s="33">
        <v>3.6340832999999996E-2</v>
      </c>
      <c r="K91" s="33">
        <v>-5.4009620000000001E-2</v>
      </c>
      <c r="L91" s="33">
        <v>-8.1678210000000001E-2</v>
      </c>
      <c r="M91" s="33">
        <v>-4.5201777999999996E-3</v>
      </c>
      <c r="N91" s="33">
        <v>2.1175622999999998E-2</v>
      </c>
      <c r="O91" s="33">
        <v>3.9707540999999999E-2</v>
      </c>
      <c r="P91" s="33">
        <v>-8.9863300000000007E-2</v>
      </c>
      <c r="Q91" s="33">
        <v>1.6002058999999999E-2</v>
      </c>
      <c r="R91" s="33">
        <v>-2.6361704E-2</v>
      </c>
      <c r="S91" s="33">
        <v>8.0675490000000002E-2</v>
      </c>
      <c r="T91" s="33">
        <v>3.085649E-2</v>
      </c>
      <c r="U91" s="33">
        <v>3.0649304000000002E-2</v>
      </c>
      <c r="V91" s="33">
        <v>5.6739329999999998E-2</v>
      </c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35">
      <c r="A92" s="2">
        <v>44453</v>
      </c>
      <c r="B92" s="33">
        <v>1.8591880999999999E-3</v>
      </c>
      <c r="C92" s="33">
        <v>-1.6446172999999998E-2</v>
      </c>
      <c r="D92" s="33">
        <v>4.1425824E-2</v>
      </c>
      <c r="E92" s="33">
        <v>9.4479799999999989E-2</v>
      </c>
      <c r="F92" s="33">
        <v>5.3932666999999997E-2</v>
      </c>
      <c r="G92" s="33">
        <v>1.770246E-2</v>
      </c>
      <c r="H92" s="33">
        <v>4.8849343999999996E-2</v>
      </c>
      <c r="I92" s="33">
        <v>3.8394094000000004E-2</v>
      </c>
      <c r="J92" s="33">
        <v>1.6122460000000002E-2</v>
      </c>
      <c r="K92" s="33">
        <v>-2.3045718999999999E-2</v>
      </c>
      <c r="L92" s="33">
        <v>-5.3798380000000007E-2</v>
      </c>
      <c r="M92" s="33">
        <v>-9.2879534E-3</v>
      </c>
      <c r="N92" s="33">
        <v>1.966393E-2</v>
      </c>
      <c r="O92" s="33">
        <v>6.6969633000000001E-2</v>
      </c>
      <c r="P92" s="33">
        <v>-1.5308917E-2</v>
      </c>
      <c r="Q92" s="33">
        <v>2.3046732E-2</v>
      </c>
      <c r="R92" s="33">
        <v>6.25E-2</v>
      </c>
      <c r="S92" s="33">
        <v>-6.9445369999999998E-3</v>
      </c>
      <c r="T92" s="33">
        <v>3.8615704000000001E-2</v>
      </c>
      <c r="U92" s="33">
        <v>-4.5362709999999997E-3</v>
      </c>
      <c r="V92" s="33">
        <v>1.0689974E-2</v>
      </c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35">
      <c r="A93" s="2">
        <v>44483</v>
      </c>
      <c r="B93" s="33">
        <v>-4.407406E-3</v>
      </c>
      <c r="C93" s="33">
        <v>-0.14031261</v>
      </c>
      <c r="D93" s="33">
        <v>0.13737273</v>
      </c>
      <c r="E93" s="33">
        <v>3.6857367000000002E-2</v>
      </c>
      <c r="F93" s="33">
        <v>1.6631126E-2</v>
      </c>
      <c r="G93" s="33">
        <v>8.3271619999999991E-2</v>
      </c>
      <c r="H93" s="33">
        <v>3.0408024999999998E-2</v>
      </c>
      <c r="I93" s="33">
        <v>-6.4436969999999996E-2</v>
      </c>
      <c r="J93" s="33">
        <v>-2.895677E-2</v>
      </c>
      <c r="K93" s="33">
        <v>-5.749166E-2</v>
      </c>
      <c r="L93" s="33">
        <v>-7.2285649999999993E-2</v>
      </c>
      <c r="M93" s="33">
        <v>2.2500038E-2</v>
      </c>
      <c r="N93" s="33">
        <v>-2.5245487999999996E-2</v>
      </c>
      <c r="O93" s="33">
        <v>2.2307872999999999E-2</v>
      </c>
      <c r="P93" s="33">
        <v>-6.1331990000000006E-3</v>
      </c>
      <c r="Q93" s="33">
        <v>4.6372533000000001E-2</v>
      </c>
      <c r="R93" s="33">
        <v>1.0549068E-2</v>
      </c>
      <c r="S93" s="33">
        <v>-9.7465040000000003E-2</v>
      </c>
      <c r="T93" s="33">
        <v>-2.1146655E-2</v>
      </c>
      <c r="U93" s="33">
        <v>-6.0759779999999992E-3</v>
      </c>
      <c r="V93" s="33">
        <v>3.6538482000000004E-2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35">
      <c r="A94" s="2">
        <v>44512</v>
      </c>
      <c r="B94" s="33">
        <v>1.2348652E-2</v>
      </c>
      <c r="C94" s="33">
        <v>0.150105715</v>
      </c>
      <c r="D94" s="33">
        <v>-2.6433468000000002E-2</v>
      </c>
      <c r="E94" s="33">
        <v>4.2719006999999996E-2</v>
      </c>
      <c r="F94" s="33">
        <v>-5.2432895000000007E-2</v>
      </c>
      <c r="G94" s="33">
        <v>3.5531282000000004E-2</v>
      </c>
      <c r="H94" s="33">
        <v>-4.4079185E-2</v>
      </c>
      <c r="I94" s="33">
        <v>7.0514916999999996E-2</v>
      </c>
      <c r="J94" s="33">
        <v>-3.6764740000000003E-3</v>
      </c>
      <c r="K94" s="33">
        <v>2.6412010000000001E-3</v>
      </c>
      <c r="L94" s="33">
        <v>-4.9584270000000007E-2</v>
      </c>
      <c r="M94" s="33">
        <v>-2.7098656000000002E-2</v>
      </c>
      <c r="N94" s="33">
        <v>5.7554245E-3</v>
      </c>
      <c r="O94" s="33">
        <v>7.3398350000000003E-3</v>
      </c>
      <c r="P94" s="33">
        <v>1.4064312000000001E-2</v>
      </c>
      <c r="Q94" s="33">
        <v>2.6049256E-2</v>
      </c>
      <c r="R94" s="33">
        <v>-4.2840837999999996E-3</v>
      </c>
      <c r="S94" s="33">
        <v>8.1840280000000001E-2</v>
      </c>
      <c r="T94" s="33">
        <v>9.7883220000000007E-2</v>
      </c>
      <c r="U94" s="33">
        <v>5.5017829999999997E-2</v>
      </c>
      <c r="V94" s="33">
        <v>2.1335839999999998E-2</v>
      </c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35">
      <c r="A95" s="2">
        <v>44544</v>
      </c>
      <c r="B95" s="33">
        <v>2.8024435E-2</v>
      </c>
      <c r="C95" s="33">
        <v>-0.12125527999999999</v>
      </c>
      <c r="D95" s="33">
        <v>-3.2055497000000002E-2</v>
      </c>
      <c r="E95" s="33">
        <v>-2.963841E-2</v>
      </c>
      <c r="F95" s="33">
        <v>-8.679627999999999E-2</v>
      </c>
      <c r="G95" s="33">
        <v>-6.8805512999999999E-2</v>
      </c>
      <c r="H95" s="33">
        <v>-4.9065947999999998E-2</v>
      </c>
      <c r="I95" s="33">
        <v>1.2434721000000001E-3</v>
      </c>
      <c r="J95" s="33">
        <v>-2.5960743000000001E-2</v>
      </c>
      <c r="K95" s="33">
        <v>-4.6288370000000002E-3</v>
      </c>
      <c r="L95" s="33">
        <v>-2.4449825000000001E-2</v>
      </c>
      <c r="M95" s="33">
        <v>-5.6535187000000001E-2</v>
      </c>
      <c r="N95" s="33">
        <v>-5.1144420000000003E-2</v>
      </c>
      <c r="O95" s="33">
        <v>-6.1453284999999996E-2</v>
      </c>
      <c r="P95" s="33">
        <v>-8.5109825000000014E-2</v>
      </c>
      <c r="Q95" s="33">
        <v>-3.4323214999999997E-2</v>
      </c>
      <c r="R95" s="33">
        <v>-2.0195842000000001E-3</v>
      </c>
      <c r="S95" s="33">
        <v>-8.1413089999999994E-2</v>
      </c>
      <c r="T95" s="33">
        <v>8.7071780000000001E-2</v>
      </c>
      <c r="U95" s="33">
        <v>-9.6565485000000011E-4</v>
      </c>
      <c r="V95" s="33">
        <v>-9.2987239999999999E-2</v>
      </c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35">
      <c r="A96" s="2">
        <v>44575</v>
      </c>
      <c r="B96" s="33">
        <v>-6.0325326999999998E-2</v>
      </c>
      <c r="C96" s="33">
        <v>8.6811299999999994E-2</v>
      </c>
      <c r="D96" s="33">
        <v>2.8248549000000001E-2</v>
      </c>
      <c r="E96" s="33">
        <v>-1.6084194E-2</v>
      </c>
      <c r="F96" s="33">
        <v>0.11219989999999999</v>
      </c>
      <c r="G96" s="33">
        <v>0.21254993</v>
      </c>
      <c r="H96" s="33">
        <v>6.4516187000000003E-2</v>
      </c>
      <c r="I96" s="33">
        <v>5.9739113000000003E-2</v>
      </c>
      <c r="J96" s="33">
        <v>9.434366000000001E-2</v>
      </c>
      <c r="K96" s="33">
        <v>-5.1493644999999998E-3</v>
      </c>
      <c r="L96" s="33">
        <v>4.0425300000000004E-2</v>
      </c>
      <c r="M96" s="33">
        <v>0.111011505</v>
      </c>
      <c r="N96" s="33">
        <v>0.10081232</v>
      </c>
      <c r="O96" s="33">
        <v>7.3058604999999999E-2</v>
      </c>
      <c r="P96" s="33">
        <v>-7.6359509999999993E-3</v>
      </c>
      <c r="Q96" s="33">
        <v>4.6751379999999995E-2</v>
      </c>
      <c r="R96" s="33">
        <v>2.5750637E-2</v>
      </c>
      <c r="S96" s="33">
        <v>1.2726425999999999E-2</v>
      </c>
      <c r="T96" s="33">
        <v>-4.8482839999999999E-2</v>
      </c>
      <c r="U96" s="33">
        <v>7.4335336999999998E-3</v>
      </c>
      <c r="V96" s="33">
        <v>0.11590158</v>
      </c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35">
      <c r="A97" s="2">
        <v>44606</v>
      </c>
      <c r="B97" s="33">
        <v>-4.7367153000000002E-2</v>
      </c>
      <c r="C97" s="33">
        <v>3.4194827000000004E-2</v>
      </c>
      <c r="D97" s="33">
        <v>3.8038492000000003E-3</v>
      </c>
      <c r="E97" s="33">
        <v>1.5089630999999999E-2</v>
      </c>
      <c r="F97" s="33">
        <v>-0.11277537999999999</v>
      </c>
      <c r="G97" s="33">
        <v>2.0341038999999998E-2</v>
      </c>
      <c r="H97" s="33">
        <v>9.968161599999999E-3</v>
      </c>
      <c r="I97" s="33">
        <v>-4.1685286000000002E-2</v>
      </c>
      <c r="J97" s="33">
        <v>-2.9451966E-2</v>
      </c>
      <c r="K97" s="33">
        <v>-6.5217375999999994E-2</v>
      </c>
      <c r="L97" s="33">
        <v>0.12573003999999999</v>
      </c>
      <c r="M97" s="33">
        <v>4.3601155000000003E-2</v>
      </c>
      <c r="N97" s="33">
        <v>1.5745281999999999E-2</v>
      </c>
      <c r="O97" s="33">
        <v>-9.6209889999999992E-2</v>
      </c>
      <c r="P97" s="33">
        <v>-3.0464828000000003E-2</v>
      </c>
      <c r="Q97" s="33">
        <v>5.1394224000000002E-2</v>
      </c>
      <c r="R97" s="33">
        <v>7.2101355000000001E-3</v>
      </c>
      <c r="S97" s="33">
        <v>-4.0599346000000001E-2</v>
      </c>
      <c r="T97" s="33">
        <v>3.6376833999999997E-2</v>
      </c>
      <c r="U97" s="33">
        <v>-6.4609470000000002E-2</v>
      </c>
      <c r="V97" s="33">
        <v>9.2633960000000001E-3</v>
      </c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35">
      <c r="A98" s="2">
        <v>44634</v>
      </c>
      <c r="B98" s="33">
        <v>-9.4649199999999989E-2</v>
      </c>
      <c r="C98" s="33">
        <v>-1.9223689999999999E-3</v>
      </c>
      <c r="D98" s="33">
        <v>3.8315773000000004E-2</v>
      </c>
      <c r="E98" s="33">
        <v>-9.6624370000000001E-2</v>
      </c>
      <c r="F98" s="33">
        <v>-0.154419</v>
      </c>
      <c r="G98" s="33">
        <v>5.1890970000000002E-2</v>
      </c>
      <c r="H98" s="33">
        <v>-1.0659337E-2</v>
      </c>
      <c r="I98" s="33">
        <v>-6.9659470000000001E-2</v>
      </c>
      <c r="J98" s="33">
        <v>-1.9895434E-2</v>
      </c>
      <c r="K98" s="33">
        <v>-7.5027647000000003E-2</v>
      </c>
      <c r="L98" s="33">
        <v>-7.3238015000000002E-3</v>
      </c>
      <c r="M98" s="33">
        <v>-1.6054212999999998E-2</v>
      </c>
      <c r="N98" s="33">
        <v>-0.15294521999999999</v>
      </c>
      <c r="O98" s="33">
        <v>-1.4285803E-2</v>
      </c>
      <c r="P98" s="33">
        <v>-0.26190477000000001</v>
      </c>
      <c r="Q98" s="33">
        <v>4.7027469999999995E-2</v>
      </c>
      <c r="R98" s="33">
        <v>-1.4566422000000001E-2</v>
      </c>
      <c r="S98" s="33">
        <v>-5.1385402999999996E-2</v>
      </c>
      <c r="T98" s="33">
        <v>6.4705849999999995E-2</v>
      </c>
      <c r="U98" s="33">
        <v>-6.1855609999999998E-2</v>
      </c>
      <c r="V98" s="33">
        <v>3.1117200000000001E-2</v>
      </c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35">
      <c r="A99" s="2">
        <v>44665</v>
      </c>
      <c r="B99" s="33">
        <v>1.6169547999999999E-2</v>
      </c>
      <c r="C99" s="33">
        <v>7.2419167000000007E-2</v>
      </c>
      <c r="D99" s="33">
        <v>-1.0543406E-2</v>
      </c>
      <c r="E99" s="33">
        <v>2.2625923000000003E-2</v>
      </c>
      <c r="F99" s="33">
        <v>8.1033469999999996E-2</v>
      </c>
      <c r="G99" s="33">
        <v>-2.6198506E-2</v>
      </c>
      <c r="H99" s="33">
        <v>1.9553065000000001E-2</v>
      </c>
      <c r="I99" s="33">
        <v>-2.2795320000000001E-2</v>
      </c>
      <c r="J99" s="33">
        <v>7.9762100000000002E-2</v>
      </c>
      <c r="K99" s="33">
        <v>2.8584360000000003E-2</v>
      </c>
      <c r="L99" s="33">
        <v>0.14478958</v>
      </c>
      <c r="M99" s="33">
        <v>3.5777450000000002E-2</v>
      </c>
      <c r="N99" s="33">
        <v>0.10695398</v>
      </c>
      <c r="O99" s="33">
        <v>4.3945790000000005E-2</v>
      </c>
      <c r="P99" s="33">
        <v>0.14570987999999999</v>
      </c>
      <c r="Q99" s="33">
        <v>5.1813483E-2</v>
      </c>
      <c r="R99" s="33">
        <v>8.5474249999999991E-3</v>
      </c>
      <c r="S99" s="33">
        <v>0.22729693999999998</v>
      </c>
      <c r="T99" s="33">
        <v>4.2607784000000003E-2</v>
      </c>
      <c r="U99" s="33">
        <v>1.8681288000000001E-2</v>
      </c>
      <c r="V99" s="33">
        <v>8.7928770000000003E-2</v>
      </c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35">
      <c r="A100" s="2">
        <v>44694</v>
      </c>
      <c r="B100" s="33">
        <v>-9.7942350000000011E-2</v>
      </c>
      <c r="C100" s="33">
        <v>-5.8189690000000002E-2</v>
      </c>
      <c r="D100" s="33">
        <v>-4.5901594000000004E-2</v>
      </c>
      <c r="E100" s="33">
        <v>-6.5370440000000002E-2</v>
      </c>
      <c r="F100" s="33">
        <v>-0.18305264999999998</v>
      </c>
      <c r="G100" s="33">
        <v>-0.17973666999999999</v>
      </c>
      <c r="H100" s="33">
        <v>-6.7318974000000004E-2</v>
      </c>
      <c r="I100" s="33">
        <v>-8.22407E-2</v>
      </c>
      <c r="J100" s="33">
        <v>-7.140141500000001E-2</v>
      </c>
      <c r="K100" s="33">
        <v>-4.7141074999999998E-2</v>
      </c>
      <c r="L100" s="33">
        <v>-0.143662815</v>
      </c>
      <c r="M100" s="33">
        <v>-0.13873595</v>
      </c>
      <c r="N100" s="33">
        <v>-7.9353389999999996E-2</v>
      </c>
      <c r="O100" s="33">
        <v>-9.3819909999999992E-2</v>
      </c>
      <c r="P100" s="33">
        <v>-7.4506759999999991E-2</v>
      </c>
      <c r="Q100" s="33">
        <v>-5.2886844000000002E-2</v>
      </c>
      <c r="R100" s="33">
        <v>-5.3728640000000001E-2</v>
      </c>
      <c r="S100" s="33">
        <v>-8.3946339999999994E-2</v>
      </c>
      <c r="T100" s="33">
        <v>-8.3259220000000009E-2</v>
      </c>
      <c r="U100" s="33">
        <v>-0.17853295999999999</v>
      </c>
      <c r="V100" s="33">
        <v>-5.4679749999999999E-2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35">
      <c r="A101" s="2">
        <v>44726</v>
      </c>
      <c r="B101" s="33">
        <v>7.6255083000000001E-2</v>
      </c>
      <c r="C101" s="33">
        <v>5.0430654999999998E-2</v>
      </c>
      <c r="D101" s="33">
        <v>-4.6266316999999998E-3</v>
      </c>
      <c r="E101" s="33">
        <v>-2.4512708000000001E-2</v>
      </c>
      <c r="F101" s="33">
        <v>-2.8472780000000003E-2</v>
      </c>
      <c r="G101" s="33">
        <v>1.7364143999999998E-2</v>
      </c>
      <c r="H101" s="33">
        <v>-4.8496779999999996E-2</v>
      </c>
      <c r="I101" s="33">
        <v>5.5658816999999998E-4</v>
      </c>
      <c r="J101" s="33">
        <v>-5.5257025000000001E-2</v>
      </c>
      <c r="K101" s="33">
        <v>-6.9170833000000001E-2</v>
      </c>
      <c r="L101" s="33">
        <v>-5.3888499999999999E-2</v>
      </c>
      <c r="M101" s="33">
        <v>-5.6461690000000002E-2</v>
      </c>
      <c r="N101" s="33">
        <v>-6.2250557000000005E-2</v>
      </c>
      <c r="O101" s="33">
        <v>-1.9026458E-2</v>
      </c>
      <c r="P101" s="33">
        <v>9.8484520000000006E-2</v>
      </c>
      <c r="Q101" s="33">
        <v>-5.3004502999999994E-2</v>
      </c>
      <c r="R101" s="33">
        <v>1.1771202000000001E-2</v>
      </c>
      <c r="S101" s="33">
        <v>-6.8774642999999996E-2</v>
      </c>
      <c r="T101" s="33">
        <v>-4.5899333999999993E-2</v>
      </c>
      <c r="U101" s="33">
        <v>-1.1818706999999999E-2</v>
      </c>
      <c r="V101" s="33">
        <v>-8.7683734999999985E-2</v>
      </c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35">
      <c r="A102" s="2">
        <v>44756</v>
      </c>
      <c r="B102" s="33">
        <v>2.7431250000000001E-2</v>
      </c>
      <c r="C102" s="33">
        <v>-0.16276431999999999</v>
      </c>
      <c r="D102" s="33">
        <v>-5.9956255E-2</v>
      </c>
      <c r="E102" s="33">
        <v>-8.3333309999999994E-2</v>
      </c>
      <c r="F102" s="33">
        <v>-0.10082865000000001</v>
      </c>
      <c r="G102" s="33">
        <v>-0.16251785000000002</v>
      </c>
      <c r="H102" s="33">
        <v>-4.0053964000000004E-2</v>
      </c>
      <c r="I102" s="33">
        <v>-8.8447990000000004E-2</v>
      </c>
      <c r="J102" s="33">
        <v>-2.4175762999999999E-2</v>
      </c>
      <c r="K102" s="33">
        <v>-8.2020999999999997E-2</v>
      </c>
      <c r="L102" s="33">
        <v>-0.11180555</v>
      </c>
      <c r="M102" s="33">
        <v>-6.1127067000000007E-2</v>
      </c>
      <c r="N102" s="33">
        <v>-5.7600737000000006E-2</v>
      </c>
      <c r="O102" s="33">
        <v>-5.0377845999999998E-4</v>
      </c>
      <c r="P102" s="33">
        <v>-1.6486645000000001E-2</v>
      </c>
      <c r="Q102" s="33">
        <v>-6.9005609999999995E-2</v>
      </c>
      <c r="R102" s="33">
        <v>-4.1303099999999995E-2</v>
      </c>
      <c r="S102" s="33">
        <v>-6.6771029999999995E-2</v>
      </c>
      <c r="T102" s="33">
        <v>-5.7001169999999997E-2</v>
      </c>
      <c r="U102" s="33">
        <v>-4.7176064999999996E-2</v>
      </c>
      <c r="V102" s="33">
        <v>-6.4568760000000003E-2</v>
      </c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35">
      <c r="A103" s="2">
        <v>44785</v>
      </c>
      <c r="B103" s="33">
        <v>-1.3502358999999999E-2</v>
      </c>
      <c r="C103" s="33">
        <v>0.27086151000000003</v>
      </c>
      <c r="D103" s="33">
        <v>0.12849163999999999</v>
      </c>
      <c r="E103" s="33">
        <v>0.11241889000000001</v>
      </c>
      <c r="F103" s="33">
        <v>0.14516126999999998</v>
      </c>
      <c r="G103" s="33">
        <v>0.15923572</v>
      </c>
      <c r="H103" s="33">
        <v>6.8448185999999994E-2</v>
      </c>
      <c r="I103" s="33">
        <v>7.8315615999999991E-2</v>
      </c>
      <c r="J103" s="33">
        <v>9.5945950000000002E-2</v>
      </c>
      <c r="K103" s="33">
        <v>0.11132955999999999</v>
      </c>
      <c r="L103" s="33">
        <v>0.25058639999999999</v>
      </c>
      <c r="M103" s="33">
        <v>0.16861651999999999</v>
      </c>
      <c r="N103" s="33">
        <v>0.13354468</v>
      </c>
      <c r="O103" s="33">
        <v>0.1015625</v>
      </c>
      <c r="P103" s="33">
        <v>-3.6994277999999998E-2</v>
      </c>
      <c r="Q103" s="33">
        <v>0.16096830000000001</v>
      </c>
      <c r="R103" s="33">
        <v>5.5595400000000003E-2</v>
      </c>
      <c r="S103" s="33">
        <v>0.17551708000000002</v>
      </c>
      <c r="T103" s="33">
        <v>0.11695135000000001</v>
      </c>
      <c r="U103" s="33">
        <v>9.2747569999999988E-2</v>
      </c>
      <c r="V103" s="33">
        <v>0.13954638999999999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35">
      <c r="A104" s="2">
        <v>44818</v>
      </c>
      <c r="B104" s="33">
        <v>-6.2569800000000009E-2</v>
      </c>
      <c r="C104" s="33">
        <v>-1.1534989000000001E-2</v>
      </c>
      <c r="D104" s="33">
        <v>1.7739296000000002E-2</v>
      </c>
      <c r="E104" s="33">
        <v>-5.8008012999999997E-2</v>
      </c>
      <c r="F104" s="33">
        <v>-0.15828299500000001</v>
      </c>
      <c r="G104" s="33">
        <v>-5.8608E-2</v>
      </c>
      <c r="H104" s="33">
        <v>-4.3878912999999999E-2</v>
      </c>
      <c r="I104" s="33">
        <v>-8.9228450000000001E-2</v>
      </c>
      <c r="J104" s="33">
        <v>-4.5211673000000001E-2</v>
      </c>
      <c r="K104" s="33">
        <v>-0.11400544999999999</v>
      </c>
      <c r="L104" s="33">
        <v>-3.5636127000000004E-2</v>
      </c>
      <c r="M104" s="33">
        <v>-0.13014144</v>
      </c>
      <c r="N104" s="33">
        <v>-7.5878677000000005E-2</v>
      </c>
      <c r="O104" s="33">
        <v>8.3504914999999996E-3</v>
      </c>
      <c r="P104" s="33">
        <v>-4.9419823000000002E-2</v>
      </c>
      <c r="Q104" s="33">
        <v>-4.6650887000000002E-2</v>
      </c>
      <c r="R104" s="33">
        <v>2.1155596000000002E-2</v>
      </c>
      <c r="S104" s="33">
        <v>0.17498802000000002</v>
      </c>
      <c r="T104" s="33">
        <v>-6.4117670000000002E-2</v>
      </c>
      <c r="U104" s="33">
        <v>-5.6796430000000002E-2</v>
      </c>
      <c r="V104" s="33">
        <v>-5.4231350000000005E-2</v>
      </c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35">
      <c r="A105" s="2">
        <v>44848</v>
      </c>
      <c r="B105" s="33">
        <v>-9.0882009999999999E-2</v>
      </c>
      <c r="C105" s="33">
        <v>-0.16876124999999997</v>
      </c>
      <c r="D105" s="33">
        <v>-8.5529030000000006E-2</v>
      </c>
      <c r="E105" s="33">
        <v>-0.13400459000000001</v>
      </c>
      <c r="F105" s="33">
        <v>-0.12908363</v>
      </c>
      <c r="G105" s="33">
        <v>-3.2295704000000001E-2</v>
      </c>
      <c r="H105" s="33">
        <v>-9.1326350000000001E-2</v>
      </c>
      <c r="I105" s="33">
        <v>-0.13732390999999999</v>
      </c>
      <c r="J105" s="33">
        <v>-2.6904880000000003E-2</v>
      </c>
      <c r="K105" s="33">
        <v>-0.11778582</v>
      </c>
      <c r="L105" s="33">
        <v>-7.7795979999999995E-3</v>
      </c>
      <c r="M105" s="33">
        <v>-0.10007505999999999</v>
      </c>
      <c r="N105" s="33">
        <v>-4.1918755000000002E-2</v>
      </c>
      <c r="O105" s="33">
        <v>-8.5195720000000003E-2</v>
      </c>
      <c r="P105" s="33">
        <v>-0.15891390999999999</v>
      </c>
      <c r="Q105" s="33">
        <v>-2.9032886000000001E-2</v>
      </c>
      <c r="R105" s="33">
        <v>-5.7829914000000003E-2</v>
      </c>
      <c r="S105" s="33">
        <v>6.8798064999999993E-3</v>
      </c>
      <c r="T105" s="33">
        <v>-5.0282835999999997E-2</v>
      </c>
      <c r="U105" s="33">
        <v>-0.16914750000000001</v>
      </c>
      <c r="V105" s="33">
        <v>-3.8843929999999999E-2</v>
      </c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x14ac:dyDescent="0.35">
      <c r="A106" s="2">
        <v>44879</v>
      </c>
      <c r="B106" s="33">
        <v>1.9665718000000002E-2</v>
      </c>
      <c r="C106" s="33">
        <v>0.17365015</v>
      </c>
      <c r="D106" s="33">
        <v>3.5904287999999999E-2</v>
      </c>
      <c r="E106" s="33">
        <v>0.11717343</v>
      </c>
      <c r="F106" s="33">
        <v>0.32936860000000001</v>
      </c>
      <c r="G106" s="33">
        <v>0.20144749000000001</v>
      </c>
      <c r="H106" s="33">
        <v>8.9899059999999989E-2</v>
      </c>
      <c r="I106" s="33">
        <v>0.14813924000000001</v>
      </c>
      <c r="J106" s="33">
        <v>0.18513607000000001</v>
      </c>
      <c r="K106" s="33">
        <v>0.22546804000000001</v>
      </c>
      <c r="L106" s="33">
        <v>6.5337420000000004E-3</v>
      </c>
      <c r="M106" s="33">
        <v>0.20350288</v>
      </c>
      <c r="N106" s="33">
        <v>0.1601262</v>
      </c>
      <c r="O106" s="33">
        <v>7.8372954999999994E-2</v>
      </c>
      <c r="P106" s="33">
        <v>7.9829929999999993E-2</v>
      </c>
      <c r="Q106" s="33">
        <v>-1.9088387000000002E-3</v>
      </c>
      <c r="R106" s="33">
        <v>4.0108085000000002E-2</v>
      </c>
      <c r="S106" s="33">
        <v>0.23110938999999997</v>
      </c>
      <c r="T106" s="33">
        <v>6.2872289999999997E-2</v>
      </c>
      <c r="U106" s="33">
        <v>-0.10912055000000001</v>
      </c>
      <c r="V106" s="33">
        <v>-2.4536908E-2</v>
      </c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  <row r="107" spans="1:38" x14ac:dyDescent="0.35">
      <c r="A107" s="2">
        <v>44909</v>
      </c>
      <c r="B107" s="33">
        <v>4.8099755999999994E-2</v>
      </c>
      <c r="C107" s="33">
        <v>-1.3151227999999999E-2</v>
      </c>
      <c r="D107" s="33">
        <v>-1.3676047E-2</v>
      </c>
      <c r="E107" s="33">
        <v>6.1357736999999996E-2</v>
      </c>
      <c r="F107" s="33">
        <v>7.0067167E-2</v>
      </c>
      <c r="G107" s="33">
        <v>-2.7029454999999997E-2</v>
      </c>
      <c r="H107" s="33">
        <v>6.4889910000000009E-2</v>
      </c>
      <c r="I107" s="33">
        <v>3.7303329000000003E-2</v>
      </c>
      <c r="J107" s="33">
        <v>-3.5704494000000003E-2</v>
      </c>
      <c r="K107" s="33">
        <v>-1.4528452999999998E-2</v>
      </c>
      <c r="L107" s="33">
        <v>-7.5318756000000001E-2</v>
      </c>
      <c r="M107" s="33">
        <v>1.1291742E-2</v>
      </c>
      <c r="N107" s="33">
        <v>5.4821134000000001E-2</v>
      </c>
      <c r="O107" s="33">
        <v>-9.6595883000000007E-3</v>
      </c>
      <c r="P107" s="33">
        <v>0.1371125</v>
      </c>
      <c r="Q107" s="33">
        <v>-0.11538911</v>
      </c>
      <c r="R107" s="33">
        <v>6.1476229999999996E-3</v>
      </c>
      <c r="S107" s="33">
        <v>0.12409139</v>
      </c>
      <c r="T107" s="33">
        <v>-7.5196923999999998E-2</v>
      </c>
      <c r="U107" s="33">
        <v>0.15904940000000001</v>
      </c>
      <c r="V107" s="33">
        <v>-7.5008389999999994E-2</v>
      </c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</row>
    <row r="108" spans="1:38" x14ac:dyDescent="0.35">
      <c r="A108" s="2">
        <v>44939</v>
      </c>
      <c r="B108" s="33">
        <v>6.7232250000000007E-2</v>
      </c>
      <c r="C108" s="33">
        <v>4.6671867000000006E-2</v>
      </c>
      <c r="D108" s="33">
        <v>-2.1910607999999998E-2</v>
      </c>
      <c r="E108" s="33">
        <v>8.8291049999999996E-2</v>
      </c>
      <c r="F108" s="33">
        <v>0.10798429999999999</v>
      </c>
      <c r="G108" s="33">
        <v>0.12425613000000001</v>
      </c>
      <c r="H108" s="33">
        <v>3.0316353000000001E-2</v>
      </c>
      <c r="I108" s="33">
        <v>2.9026865999999998E-2</v>
      </c>
      <c r="J108" s="33">
        <v>0.11949432</v>
      </c>
      <c r="K108" s="33">
        <v>7.6021432999999999E-2</v>
      </c>
      <c r="L108" s="33">
        <v>0.11484707</v>
      </c>
      <c r="M108" s="33">
        <v>0.10551940999999999</v>
      </c>
      <c r="N108" s="33">
        <v>8.1951259999999998E-2</v>
      </c>
      <c r="O108" s="33">
        <v>-1.3934076E-2</v>
      </c>
      <c r="P108" s="33">
        <v>0.1143744</v>
      </c>
      <c r="Q108" s="33">
        <v>9.5288753999999993E-3</v>
      </c>
      <c r="R108" s="33">
        <v>2.9613852999999999E-2</v>
      </c>
      <c r="S108" s="33">
        <v>-2.072388E-2</v>
      </c>
      <c r="T108" s="33">
        <v>1.248312E-2</v>
      </c>
      <c r="U108" s="33">
        <v>-5.7325959999999995E-3</v>
      </c>
      <c r="V108" s="33">
        <v>5.9283257000000006E-2</v>
      </c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</row>
    <row r="109" spans="1:38" x14ac:dyDescent="0.35">
      <c r="A109" s="2">
        <v>44971</v>
      </c>
      <c r="B109" s="33">
        <v>-5.8877468000000002E-4</v>
      </c>
      <c r="C109" s="33">
        <v>7.5292349999999994E-2</v>
      </c>
      <c r="D109" s="33">
        <v>5.3315400000000006E-2</v>
      </c>
      <c r="E109" s="33">
        <v>-2.2980509999999999E-2</v>
      </c>
      <c r="F109" s="33">
        <v>-5.8476090000000001E-2</v>
      </c>
      <c r="G109" s="33">
        <v>-6.827825500000001E-2</v>
      </c>
      <c r="H109" s="33">
        <v>-1.7910420999999999E-2</v>
      </c>
      <c r="I109" s="33">
        <v>4.716766E-2</v>
      </c>
      <c r="J109" s="33">
        <v>7.4099300000000003E-3</v>
      </c>
      <c r="K109" s="33">
        <v>2.8836727000000001E-3</v>
      </c>
      <c r="L109" s="33">
        <v>-4.0664196E-2</v>
      </c>
      <c r="M109" s="33">
        <v>-7.9504848000000003E-2</v>
      </c>
      <c r="N109" s="33">
        <v>0.12476408</v>
      </c>
      <c r="O109" s="33">
        <v>-5.6523743000000001E-2</v>
      </c>
      <c r="P109" s="33">
        <v>-3.9532303999999997E-2</v>
      </c>
      <c r="Q109" s="33">
        <v>-6.1352909999999997E-2</v>
      </c>
      <c r="R109" s="33">
        <v>-1.7226279000000001E-2</v>
      </c>
      <c r="S109" s="33">
        <v>-4.6795844999999996E-2</v>
      </c>
      <c r="T109" s="33">
        <v>6.6649914000000007E-4</v>
      </c>
      <c r="U109" s="33">
        <v>-5.2842260000000002E-2</v>
      </c>
      <c r="V109" s="33">
        <v>-4.2737246000000007E-2</v>
      </c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</row>
    <row r="110" spans="1:38" x14ac:dyDescent="0.35">
      <c r="A110" s="2">
        <v>44999</v>
      </c>
      <c r="B110" s="33">
        <v>-4.5655370000000001E-2</v>
      </c>
      <c r="C110" s="33">
        <v>-3.0251502999999999E-2</v>
      </c>
      <c r="D110" s="33">
        <v>-6.5929412999999992E-2</v>
      </c>
      <c r="E110" s="33">
        <v>-6.8068447000000004E-2</v>
      </c>
      <c r="F110" s="33">
        <v>-4.5796690000000001E-2</v>
      </c>
      <c r="G110" s="33">
        <v>-1.3262331E-2</v>
      </c>
      <c r="H110" s="33">
        <v>-7.5987816E-2</v>
      </c>
      <c r="I110" s="33">
        <v>-2.9807925000000002E-2</v>
      </c>
      <c r="J110" s="33">
        <v>-8.756578000000001E-3</v>
      </c>
      <c r="K110" s="33">
        <v>-6.9648504E-2</v>
      </c>
      <c r="L110" s="33">
        <v>-5.8636546000000005E-2</v>
      </c>
      <c r="M110" s="33">
        <v>-8.0218789999999998E-2</v>
      </c>
      <c r="N110" s="33">
        <v>-2.7020335000000003E-2</v>
      </c>
      <c r="O110" s="33">
        <v>-2.9705523999999997E-2</v>
      </c>
      <c r="P110" s="33">
        <v>-8.4251220000000002E-2</v>
      </c>
      <c r="Q110" s="33">
        <v>1.1173487E-3</v>
      </c>
      <c r="R110" s="33">
        <v>-7.7972593000000007E-2</v>
      </c>
      <c r="S110" s="33">
        <v>0.10944342999999999</v>
      </c>
      <c r="T110" s="33">
        <v>-6.7599115000000001E-2</v>
      </c>
      <c r="U110" s="33">
        <v>-1.8596827999999999E-2</v>
      </c>
      <c r="V110" s="33">
        <v>-2.4182855999999999E-2</v>
      </c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</row>
    <row r="111" spans="1:38" x14ac:dyDescent="0.35">
      <c r="A111" s="2">
        <v>45030</v>
      </c>
      <c r="B111" s="33">
        <v>1.6820908000000002E-2</v>
      </c>
      <c r="C111" s="33">
        <v>2.5236607000000001E-2</v>
      </c>
      <c r="D111" s="33">
        <v>0.10154831</v>
      </c>
      <c r="E111" s="33">
        <v>1.1472702E-3</v>
      </c>
      <c r="F111" s="33">
        <v>9.6646900000000008E-2</v>
      </c>
      <c r="G111" s="33">
        <v>7.3145985999999996E-2</v>
      </c>
      <c r="H111" s="33">
        <v>5.1221848E-2</v>
      </c>
      <c r="I111" s="33">
        <v>2.6854752999999999E-2</v>
      </c>
      <c r="J111" s="33">
        <v>5.7420489999999998E-2</v>
      </c>
      <c r="K111" s="33">
        <v>8.7740310000000002E-2</v>
      </c>
      <c r="L111" s="33">
        <v>0.10168862000000001</v>
      </c>
      <c r="M111" s="33">
        <v>7.3835490000000004E-2</v>
      </c>
      <c r="N111" s="33">
        <v>2.9703020000000004E-2</v>
      </c>
      <c r="O111" s="33">
        <v>3.3187627999999997E-2</v>
      </c>
      <c r="P111" s="33">
        <v>3.059721E-2</v>
      </c>
      <c r="Q111" s="33">
        <v>1.4508963E-2</v>
      </c>
      <c r="R111" s="33">
        <v>4.5134543999999999E-2</v>
      </c>
      <c r="S111" s="33">
        <v>-3.1848966999999999E-2</v>
      </c>
      <c r="T111" s="33">
        <v>4.571426E-2</v>
      </c>
      <c r="U111" s="33">
        <v>4.0482400000000002E-2</v>
      </c>
      <c r="V111" s="33">
        <v>9.0686210000000003E-2</v>
      </c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</row>
    <row r="112" spans="1:38" x14ac:dyDescent="0.35">
      <c r="A112" s="2">
        <v>45058</v>
      </c>
      <c r="B112" s="33">
        <v>-5.5698869999999998E-2</v>
      </c>
      <c r="C112" s="33">
        <v>3.7264943000000002E-2</v>
      </c>
      <c r="D112" s="33">
        <v>-2.6043891999999999E-2</v>
      </c>
      <c r="E112" s="33">
        <v>5.7295560000000002E-3</v>
      </c>
      <c r="F112" s="33">
        <v>6.4748169999999994E-2</v>
      </c>
      <c r="G112" s="33">
        <v>-4.2915764000000002E-2</v>
      </c>
      <c r="H112" s="33">
        <v>-3.1291962E-2</v>
      </c>
      <c r="I112" s="33">
        <v>-4.0115175000000003E-2</v>
      </c>
      <c r="J112" s="33">
        <v>3.7928103999999997E-2</v>
      </c>
      <c r="K112" s="33">
        <v>-6.4404070000000008E-2</v>
      </c>
      <c r="L112" s="33">
        <v>1.4986276999999999E-2</v>
      </c>
      <c r="M112" s="33">
        <v>-9.5754569999999997E-2</v>
      </c>
      <c r="N112" s="33">
        <v>-9.3052389999999999E-3</v>
      </c>
      <c r="O112" s="33">
        <v>2.8884409999999999E-2</v>
      </c>
      <c r="P112" s="33">
        <v>-5.3644540000000004E-2</v>
      </c>
      <c r="Q112" s="33">
        <v>5.8305860000000001E-2</v>
      </c>
      <c r="R112" s="33">
        <v>-1.9665122E-2</v>
      </c>
      <c r="S112" s="33">
        <v>-5.6477427000000004E-2</v>
      </c>
      <c r="T112" s="33">
        <v>1.0928987999999999E-2</v>
      </c>
      <c r="U112" s="33">
        <v>3.3940433999999998E-2</v>
      </c>
      <c r="V112" s="33">
        <v>2.147317E-2</v>
      </c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</row>
    <row r="113" spans="1:38" x14ac:dyDescent="0.35">
      <c r="A113" s="2">
        <v>45091</v>
      </c>
      <c r="B113" s="33">
        <v>-4.0447290000000004E-2</v>
      </c>
      <c r="C113" s="33">
        <v>-9.1452599999999988E-3</v>
      </c>
      <c r="D113" s="33">
        <v>1.6401171999999999E-2</v>
      </c>
      <c r="E113" s="33">
        <v>-2.3273229999999999E-2</v>
      </c>
      <c r="F113" s="33">
        <v>6.7004560000000005E-2</v>
      </c>
      <c r="G113" s="33">
        <v>4.5926094000000001E-2</v>
      </c>
      <c r="H113" s="33">
        <v>-4.3456020000000005E-2</v>
      </c>
      <c r="I113" s="33">
        <v>0.12306618999999999</v>
      </c>
      <c r="J113" s="33">
        <v>3.9187431000000002E-2</v>
      </c>
      <c r="K113" s="33">
        <v>0.12839544</v>
      </c>
      <c r="L113" s="33">
        <v>0.1153096</v>
      </c>
      <c r="M113" s="33">
        <v>8.8221910000000001E-2</v>
      </c>
      <c r="N113" s="33">
        <v>0.14026296999999999</v>
      </c>
      <c r="O113" s="33">
        <v>3.7292361000000003E-2</v>
      </c>
      <c r="P113" s="33">
        <v>2.3075222999999999E-2</v>
      </c>
      <c r="Q113" s="33">
        <v>-1.528871E-2</v>
      </c>
      <c r="R113" s="33">
        <v>-1.2809038E-4</v>
      </c>
      <c r="S113" s="33">
        <v>-7.7502250000000009E-2</v>
      </c>
      <c r="T113" s="33">
        <v>-1.2410879E-3</v>
      </c>
      <c r="U113" s="33">
        <v>6.0047984000000006E-2</v>
      </c>
      <c r="V113" s="33">
        <v>3.3887743999999997E-2</v>
      </c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</row>
    <row r="114" spans="1:38" x14ac:dyDescent="0.35">
      <c r="A114" s="2">
        <v>45121</v>
      </c>
      <c r="B114" s="33">
        <v>8.3618163999999995E-3</v>
      </c>
      <c r="C114" s="33">
        <v>6.2953949999999995E-2</v>
      </c>
      <c r="D114" s="33">
        <v>6.3939095000000003E-3</v>
      </c>
      <c r="E114" s="33">
        <v>6.1393139999999999E-2</v>
      </c>
      <c r="F114" s="33">
        <v>7.3878646000000006E-2</v>
      </c>
      <c r="G114" s="33">
        <v>4.7091602999999996E-2</v>
      </c>
      <c r="H114" s="33">
        <v>3.5363435999999998E-2</v>
      </c>
      <c r="I114" s="33">
        <v>1.2335777E-3</v>
      </c>
      <c r="J114" s="33">
        <v>-2.6529429999999996E-3</v>
      </c>
      <c r="K114" s="33">
        <v>4.4857263999999999E-3</v>
      </c>
      <c r="L114" s="33">
        <v>-5.8569309999999992E-3</v>
      </c>
      <c r="M114" s="33">
        <v>1.1450409999999999E-2</v>
      </c>
      <c r="N114" s="33">
        <v>7.7957869999999999E-2</v>
      </c>
      <c r="O114" s="33">
        <v>3.4595608999999999E-2</v>
      </c>
      <c r="P114" s="33">
        <v>-4.2698979999999994E-3</v>
      </c>
      <c r="Q114" s="33">
        <v>-1.5359223E-2</v>
      </c>
      <c r="R114" s="33">
        <v>-2.7691126E-2</v>
      </c>
      <c r="S114" s="33">
        <v>8.4199540000000003E-2</v>
      </c>
      <c r="T114" s="33">
        <v>4.5865179999999998E-2</v>
      </c>
      <c r="U114" s="33">
        <v>6.1178327000000005E-2</v>
      </c>
      <c r="V114" s="33">
        <v>1.435411E-2</v>
      </c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</row>
    <row r="115" spans="1:38" x14ac:dyDescent="0.35">
      <c r="A115" s="2">
        <v>45152</v>
      </c>
      <c r="B115" s="33">
        <v>-2.327299E-2</v>
      </c>
      <c r="C115" s="33">
        <v>-4.978842E-2</v>
      </c>
      <c r="D115" s="33">
        <v>-2.4989425999999999E-2</v>
      </c>
      <c r="E115" s="33">
        <v>-7.5639544000000003E-2</v>
      </c>
      <c r="F115" s="33">
        <v>-1.9164680999999999E-2</v>
      </c>
      <c r="G115" s="33">
        <v>-7.2133539999999995E-4</v>
      </c>
      <c r="H115" s="33">
        <v>8.5389613999999996E-3</v>
      </c>
      <c r="I115" s="33">
        <v>-6.5092443999999999E-2</v>
      </c>
      <c r="J115" s="33">
        <v>-3.004223E-2</v>
      </c>
      <c r="K115" s="33">
        <v>-6.8770466000000002E-2</v>
      </c>
      <c r="L115" s="33">
        <v>-4.0620146000000003E-2</v>
      </c>
      <c r="M115" s="33">
        <v>-5.2830219999999997E-2</v>
      </c>
      <c r="N115" s="33">
        <v>-4.5093479999999998E-2</v>
      </c>
      <c r="O115" s="33">
        <v>-1.7849027999999999E-2</v>
      </c>
      <c r="P115" s="33">
        <v>-2.4228155999999997E-2</v>
      </c>
      <c r="Q115" s="33">
        <v>3.6211730000000004E-2</v>
      </c>
      <c r="R115" s="33">
        <v>1.1357664999999999E-2</v>
      </c>
      <c r="S115" s="33">
        <v>0.15500153</v>
      </c>
      <c r="T115" s="33">
        <v>9.9667309999999995E-3</v>
      </c>
      <c r="U115" s="33">
        <v>0.10249102</v>
      </c>
      <c r="V115" s="33">
        <v>-3.3962310000000002E-2</v>
      </c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</row>
    <row r="116" spans="1:38" x14ac:dyDescent="0.35">
      <c r="A116" s="2">
        <v>45183</v>
      </c>
      <c r="B116" s="33">
        <v>-3.0845284000000001E-2</v>
      </c>
      <c r="C116" s="33">
        <v>-7.0205507E-2</v>
      </c>
      <c r="D116" s="33">
        <v>-1.2163341000000001E-2</v>
      </c>
      <c r="E116" s="33">
        <v>-1.2835920000000001E-2</v>
      </c>
      <c r="F116" s="33">
        <v>-0.11047095000000001</v>
      </c>
      <c r="G116" s="33">
        <v>-2.4367630000000001E-2</v>
      </c>
      <c r="H116" s="33">
        <v>-4.7037004999999996E-3</v>
      </c>
      <c r="I116" s="33">
        <v>1.6033411000000001E-2</v>
      </c>
      <c r="J116" s="33">
        <v>-2.7746439999999997E-2</v>
      </c>
      <c r="K116" s="33">
        <v>4.4757128E-3</v>
      </c>
      <c r="L116" s="33">
        <v>4.7188163000000005E-2</v>
      </c>
      <c r="M116" s="33">
        <v>-3.7101625999999999E-2</v>
      </c>
      <c r="N116" s="33">
        <v>-7.6469064000000003E-2</v>
      </c>
      <c r="O116" s="33">
        <v>4.0832759999999996E-2</v>
      </c>
      <c r="P116" s="33">
        <v>-2.1973193000000002E-2</v>
      </c>
      <c r="Q116" s="33">
        <v>-4.5698939999999993E-2</v>
      </c>
      <c r="R116" s="33">
        <v>6.5009594000000007E-3</v>
      </c>
      <c r="S116" s="33">
        <v>5.7277202999999999E-2</v>
      </c>
      <c r="T116" s="33">
        <v>6.5791609999999996E-4</v>
      </c>
      <c r="U116" s="33">
        <v>-2.7759789999999999E-2</v>
      </c>
      <c r="V116" s="33">
        <v>-3.0029297E-2</v>
      </c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</row>
    <row r="117" spans="1:38" x14ac:dyDescent="0.35">
      <c r="A117" s="2">
        <v>45212</v>
      </c>
      <c r="B117" s="33">
        <v>-2.7958512000000001E-2</v>
      </c>
      <c r="C117" s="33">
        <v>-8.1767920000000008E-2</v>
      </c>
      <c r="D117" s="33">
        <v>-4.4415116000000004E-2</v>
      </c>
      <c r="E117" s="33">
        <v>2.8443336000000003E-3</v>
      </c>
      <c r="F117" s="33">
        <v>8.7299347000000006E-3</v>
      </c>
      <c r="G117" s="33">
        <v>-7.9355000000000009E-2</v>
      </c>
      <c r="H117" s="33">
        <v>-1.5122831000000002E-2</v>
      </c>
      <c r="I117" s="33">
        <v>-1.6212702000000002E-2</v>
      </c>
      <c r="J117" s="33">
        <v>-9.0094569999999999E-2</v>
      </c>
      <c r="K117" s="33">
        <v>-6.492680499999999E-2</v>
      </c>
      <c r="L117" s="33">
        <v>-6.6975355E-2</v>
      </c>
      <c r="M117" s="33">
        <v>-5.1718949999999993E-3</v>
      </c>
      <c r="N117" s="33">
        <v>-5.7524680000000002E-2</v>
      </c>
      <c r="O117" s="33">
        <v>-1.7349958000000002E-2</v>
      </c>
      <c r="P117" s="33">
        <v>-3.0105590000000002E-2</v>
      </c>
      <c r="Q117" s="33">
        <v>-3.8309872000000002E-2</v>
      </c>
      <c r="R117" s="33">
        <v>-6.1088323999999999E-2</v>
      </c>
      <c r="S117" s="33">
        <v>-2.250719E-2</v>
      </c>
      <c r="T117" s="33">
        <v>-6.1143994E-2</v>
      </c>
      <c r="U117" s="33">
        <v>-9.0305510000000005E-2</v>
      </c>
      <c r="V117" s="33">
        <v>-7.6264739999999998E-2</v>
      </c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</row>
    <row r="118" spans="1:38" x14ac:dyDescent="0.35">
      <c r="A118" s="2">
        <v>45244</v>
      </c>
      <c r="B118" s="33">
        <v>8.5022450000000003E-3</v>
      </c>
      <c r="C118" s="33">
        <v>3.4496665000000003E-2</v>
      </c>
      <c r="D118" s="33">
        <v>-7.3630810000000005E-3</v>
      </c>
      <c r="E118" s="33">
        <v>-4.0519237999999996E-4</v>
      </c>
      <c r="F118" s="33">
        <v>0.20044671999999999</v>
      </c>
      <c r="G118" s="33">
        <v>2.9069303999999997E-2</v>
      </c>
      <c r="H118" s="33">
        <v>3.1669854999999997E-2</v>
      </c>
      <c r="I118" s="33">
        <v>3.6914945000000005E-2</v>
      </c>
      <c r="J118" s="33">
        <v>0.12016773</v>
      </c>
      <c r="K118" s="33">
        <v>5.3267599999999998E-2</v>
      </c>
      <c r="L118" s="33">
        <v>0.10420120000000001</v>
      </c>
      <c r="M118" s="33">
        <v>6.0046673000000002E-2</v>
      </c>
      <c r="N118" s="33">
        <v>0.12083853</v>
      </c>
      <c r="O118" s="33">
        <v>1.3945222E-2</v>
      </c>
      <c r="P118" s="33">
        <v>1.8299818000000002E-2</v>
      </c>
      <c r="Q118" s="33">
        <v>1.5231371E-2</v>
      </c>
      <c r="R118" s="33">
        <v>-4.4604483E-2</v>
      </c>
      <c r="S118" s="33">
        <v>-8.1659974999999996E-2</v>
      </c>
      <c r="T118" s="33">
        <v>3.5014033E-2</v>
      </c>
      <c r="U118" s="33">
        <v>-2.4087608E-2</v>
      </c>
      <c r="V118" s="33">
        <v>6.5940022000000001E-2</v>
      </c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</row>
    <row r="119" spans="1:38" x14ac:dyDescent="0.35">
      <c r="A119" s="2">
        <v>45274</v>
      </c>
      <c r="B119" s="33">
        <v>-4.4304967000000001E-2</v>
      </c>
      <c r="C119" s="33">
        <v>0.10779369000000001</v>
      </c>
      <c r="D119" s="33">
        <v>2.2716759999999999E-2</v>
      </c>
      <c r="E119" s="33">
        <v>4.2156459999999993E-2</v>
      </c>
      <c r="F119" s="33">
        <v>7.6744199999999999E-2</v>
      </c>
      <c r="G119" s="33">
        <v>9.3007199999999998E-2</v>
      </c>
      <c r="H119" s="33">
        <v>-3.7209392000000004E-3</v>
      </c>
      <c r="I119" s="33">
        <v>6.2937140000000003E-2</v>
      </c>
      <c r="J119" s="33">
        <v>0.10402082999999999</v>
      </c>
      <c r="K119" s="33">
        <v>4.4595240000000001E-2</v>
      </c>
      <c r="L119" s="33">
        <v>5.0329566000000006E-2</v>
      </c>
      <c r="M119" s="33">
        <v>3.1142712000000003E-2</v>
      </c>
      <c r="N119" s="33">
        <v>4.5104503999999997E-2</v>
      </c>
      <c r="O119" s="33">
        <v>7.2537660000000004E-2</v>
      </c>
      <c r="P119" s="33">
        <v>-5.9827029999999996E-2</v>
      </c>
      <c r="Q119" s="33">
        <v>-1.0386645999999999E-2</v>
      </c>
      <c r="R119" s="33">
        <v>-5.1226020000000004E-3</v>
      </c>
      <c r="S119" s="33">
        <v>3.4985541999999997E-3</v>
      </c>
      <c r="T119" s="33">
        <v>-8.7956786000000006E-3</v>
      </c>
      <c r="U119" s="33">
        <v>-5.2355529999999996E-3</v>
      </c>
      <c r="V119" s="33">
        <v>5.8537840000000001E-2</v>
      </c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</row>
    <row r="120" spans="1:38" x14ac:dyDescent="0.35">
      <c r="A120" s="2">
        <v>45303</v>
      </c>
      <c r="B120" s="33">
        <v>-4.1809079999999998E-2</v>
      </c>
      <c r="C120" s="33">
        <v>-8.1633859999999989E-2</v>
      </c>
      <c r="D120" s="33">
        <v>3.4588695000000003E-2</v>
      </c>
      <c r="E120" s="33">
        <v>4.3505073000000005E-2</v>
      </c>
      <c r="F120" s="33">
        <v>-3.9235353000000001E-2</v>
      </c>
      <c r="G120" s="33">
        <v>5.9811709999999997E-2</v>
      </c>
      <c r="H120" s="33">
        <v>1.6249657000000001E-2</v>
      </c>
      <c r="I120" s="33">
        <v>-8.9267490000000012E-3</v>
      </c>
      <c r="J120" s="33">
        <v>-6.5761804999999998E-3</v>
      </c>
      <c r="K120" s="33">
        <v>-2.6063619999999999E-2</v>
      </c>
      <c r="L120" s="33">
        <v>1.4866114E-2</v>
      </c>
      <c r="M120" s="33">
        <v>-4.6750902999999996E-2</v>
      </c>
      <c r="N120" s="33">
        <v>4.7648549999999998E-2</v>
      </c>
      <c r="O120" s="33">
        <v>3.3298849999999998E-2</v>
      </c>
      <c r="P120" s="33">
        <v>-3.7951289999999999E-2</v>
      </c>
      <c r="Q120" s="33">
        <v>4.9562692999999998E-2</v>
      </c>
      <c r="R120" s="33">
        <v>2.5084496000000001E-2</v>
      </c>
      <c r="S120" s="33">
        <v>-7.3102117000000003E-3</v>
      </c>
      <c r="T120" s="33">
        <v>4.5005800000000006E-2</v>
      </c>
      <c r="U120" s="33">
        <v>9.2121359999999992E-3</v>
      </c>
      <c r="V120" s="33">
        <v>4.6307682999999995E-2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</row>
    <row r="121" spans="1:38" x14ac:dyDescent="0.35">
      <c r="A121" s="2">
        <v>45336</v>
      </c>
      <c r="B121" s="33">
        <v>1.7343402000000001E-2</v>
      </c>
      <c r="C121" s="33">
        <v>-3.7207483999999999E-2</v>
      </c>
      <c r="D121" s="33">
        <v>2.6502609999999997E-3</v>
      </c>
      <c r="E121" s="33">
        <v>2.9687999999999999E-2</v>
      </c>
      <c r="F121" s="33">
        <v>3.7482620000000001E-2</v>
      </c>
      <c r="G121" s="33">
        <v>-4.9999355999999998E-3</v>
      </c>
      <c r="H121" s="33">
        <v>-3.7400723000000002E-3</v>
      </c>
      <c r="I121" s="33">
        <v>5.0113440000000002E-2</v>
      </c>
      <c r="J121" s="33">
        <v>1.4619470000000001E-2</v>
      </c>
      <c r="K121" s="33">
        <v>4.0906070000000003E-2</v>
      </c>
      <c r="L121" s="33">
        <v>-5.2125810000000002E-2</v>
      </c>
      <c r="M121" s="33">
        <v>-4.2940139999999995E-2</v>
      </c>
      <c r="N121" s="33">
        <v>2.3833989999999999E-2</v>
      </c>
      <c r="O121" s="33">
        <v>1.7013668999999999E-2</v>
      </c>
      <c r="P121" s="33">
        <v>-1.7792642000000001E-2</v>
      </c>
      <c r="Q121" s="33">
        <v>-2.6111065999999999E-2</v>
      </c>
      <c r="R121" s="33">
        <v>-2.0105719999999997E-2</v>
      </c>
      <c r="S121" s="33">
        <v>0.109730835</v>
      </c>
      <c r="T121" s="33">
        <v>-2.8270900000000002E-2</v>
      </c>
      <c r="U121" s="33">
        <v>2.3566364999999999E-2</v>
      </c>
      <c r="V121" s="33">
        <v>3.0168414000000001E-2</v>
      </c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</row>
    <row r="122" spans="1:38" x14ac:dyDescent="0.35">
      <c r="A122" s="2">
        <v>45365</v>
      </c>
      <c r="B122" s="33">
        <v>5.9145570000000001E-2</v>
      </c>
      <c r="C122" s="33">
        <v>8.0478079999999994E-2</v>
      </c>
      <c r="D122" s="33">
        <v>1.1013269999999999E-2</v>
      </c>
      <c r="E122" s="33">
        <v>2.0802854999999999E-2</v>
      </c>
      <c r="F122" s="33">
        <v>5.3523660000000001E-2</v>
      </c>
      <c r="G122" s="33">
        <v>0.13434516999999999</v>
      </c>
      <c r="H122" s="33">
        <v>3.0971407999999999E-2</v>
      </c>
      <c r="I122" s="33">
        <v>4.7074079999999997E-2</v>
      </c>
      <c r="J122" s="33">
        <v>-7.4279309999999998E-4</v>
      </c>
      <c r="K122" s="33">
        <v>4.9788712999999998E-2</v>
      </c>
      <c r="L122" s="33">
        <v>-4.6082140000000002E-3</v>
      </c>
      <c r="M122" s="33">
        <v>2.2961140000000001E-2</v>
      </c>
      <c r="N122" s="33">
        <v>9.5119476000000008E-3</v>
      </c>
      <c r="O122" s="33">
        <v>-1.9681454000000003E-3</v>
      </c>
      <c r="P122" s="33">
        <v>5.4607509999999998E-2</v>
      </c>
      <c r="Q122" s="33">
        <v>2.5099754000000002E-2</v>
      </c>
      <c r="R122" s="33">
        <v>7.0897339999999994E-3</v>
      </c>
      <c r="S122" s="33">
        <v>-6.3166260000000002E-2</v>
      </c>
      <c r="T122" s="33">
        <v>-1.3531804000000001E-2</v>
      </c>
      <c r="U122" s="33">
        <v>4.0291667000000003E-2</v>
      </c>
      <c r="V122" s="33">
        <v>9.0806484000000003E-3</v>
      </c>
      <c r="W122" s="33"/>
      <c r="X122" s="33"/>
      <c r="Y122" s="33"/>
    </row>
    <row r="123" spans="1:38" x14ac:dyDescent="0.35">
      <c r="A123" s="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38" x14ac:dyDescent="0.35">
      <c r="A124" s="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38" x14ac:dyDescent="0.35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38" x14ac:dyDescent="0.35">
      <c r="A126" t="s">
        <v>813</v>
      </c>
      <c r="B126" s="33" cm="1">
        <f t="array" ref="B126">MAX(_xlfn._xlws.FILTER(B1:B122, ISNUMBER(B1:B122)))</f>
        <v>0.24593019999999999</v>
      </c>
      <c r="C126" s="33" cm="1">
        <f t="array" ref="C126">MAX(_xlfn._xlws.FILTER(C1:C122, ISNUMBER(C1:C122)))</f>
        <v>0.27086151000000003</v>
      </c>
      <c r="D126" s="33" cm="1">
        <f t="array" ref="D126">MAX(_xlfn._xlws.FILTER(D1:D122, ISNUMBER(D1:D122)))</f>
        <v>0.15789472999999998</v>
      </c>
      <c r="E126" s="33" cm="1">
        <f t="array" ref="E126">MAX(_xlfn._xlws.FILTER(E1:E122, ISNUMBER(E1:E122)))</f>
        <v>0.19515884</v>
      </c>
      <c r="F126" s="33" cm="1">
        <f t="array" ref="F126">MAX(_xlfn._xlws.FILTER(F1:F122, ISNUMBER(F1:F122)))</f>
        <v>0.32936860000000001</v>
      </c>
      <c r="G126" s="33" cm="1">
        <f t="array" ref="G126">MAX(_xlfn._xlws.FILTER(G1:G122, ISNUMBER(G1:G122)))</f>
        <v>0.21254993</v>
      </c>
      <c r="H126" s="33" cm="1">
        <f t="array" ref="H126">MAX(_xlfn._xlws.FILTER(H1:H122, ISNUMBER(H1:H122)))</f>
        <v>0.12195122</v>
      </c>
      <c r="I126" s="33" cm="1">
        <f t="array" ref="I126">MAX(_xlfn._xlws.FILTER(I1:I122, ISNUMBER(I1:I122)))</f>
        <v>0.14813924000000001</v>
      </c>
      <c r="J126" s="33" cm="1">
        <f t="array" ref="J126">MAX(_xlfn._xlws.FILTER(J1:J122, ISNUMBER(J1:J122)))</f>
        <v>0.18513607000000001</v>
      </c>
      <c r="K126" s="33" cm="1">
        <f t="array" ref="K126">MAX(_xlfn._xlws.FILTER(K1:K122, ISNUMBER(K1:K122)))</f>
        <v>0.22546804000000001</v>
      </c>
      <c r="L126" s="33" cm="1">
        <f t="array" ref="L126">MAX(_xlfn._xlws.FILTER(L1:L122, ISNUMBER(L1:L122)))</f>
        <v>0.34290767999999999</v>
      </c>
      <c r="M126" s="33" cm="1">
        <f t="array" ref="M126">MAX(_xlfn._xlws.FILTER(M1:M122, ISNUMBER(M1:M122)))</f>
        <v>0.20350288</v>
      </c>
      <c r="N126" s="33" cm="1">
        <f t="array" ref="N126">MAX(_xlfn._xlws.FILTER(N1:N122, ISNUMBER(N1:N122)))</f>
        <v>0.25938559</v>
      </c>
      <c r="O126" s="33" cm="1">
        <f t="array" ref="O126">MAX(_xlfn._xlws.FILTER(O1:O122, ISNUMBER(O1:O122)))</f>
        <v>0.1015625</v>
      </c>
      <c r="P126" s="33" cm="1">
        <f t="array" ref="P126">MAX(_xlfn._xlws.FILTER(P1:P122, ISNUMBER(P1:P122)))</f>
        <v>0.22124062999999999</v>
      </c>
      <c r="Q126" s="33" cm="1">
        <f t="array" ref="Q126">MAX(_xlfn._xlws.FILTER(Q1:Q122, ISNUMBER(Q1:Q122)))</f>
        <v>0.16096830000000001</v>
      </c>
      <c r="R126" s="33" cm="1">
        <f t="array" ref="R126">MAX(_xlfn._xlws.FILTER(R1:R122, ISNUMBER(R1:R122)))</f>
        <v>0.11288762000000001</v>
      </c>
      <c r="S126" s="33" cm="1">
        <f t="array" ref="S126">MAX(_xlfn._xlws.FILTER(S1:S122, ISNUMBER(S1:S122)))</f>
        <v>0.23110938999999997</v>
      </c>
      <c r="T126" s="33" cm="1">
        <f t="array" ref="T126">MAX(_xlfn._xlws.FILTER(T1:T122, ISNUMBER(T1:T122)))</f>
        <v>0.12195122</v>
      </c>
      <c r="U126" s="33" cm="1">
        <f t="array" ref="U126">MAX(_xlfn._xlws.FILTER(U1:U122, ISNUMBER(U1:U122)))</f>
        <v>0.15904940000000001</v>
      </c>
      <c r="V126" s="33" cm="1">
        <f t="array" ref="V126">MAX(_xlfn._xlws.FILTER(V1:V122, ISNUMBER(V1:V122)))</f>
        <v>0.13954638999999999</v>
      </c>
    </row>
    <row r="127" spans="1:38" x14ac:dyDescent="0.35">
      <c r="A127" t="s">
        <v>89</v>
      </c>
      <c r="B127" s="33" cm="1">
        <f t="array" ref="B127">MIN(_xlfn._xlws.FILTER(B2:B122, ISNUMBER(B2:B122)))</f>
        <v>-0.14531827</v>
      </c>
      <c r="C127" s="33" cm="1">
        <f t="array" ref="C127">MIN(_xlfn._xlws.FILTER(C2:C122, ISNUMBER(C2:C122)))</f>
        <v>-0.24767702</v>
      </c>
      <c r="D127" s="33" cm="1">
        <f t="array" ref="D127">MIN(_xlfn._xlws.FILTER(D2:D122, ISNUMBER(D2:D122)))</f>
        <v>-0.25031137000000003</v>
      </c>
      <c r="E127" s="33" cm="1">
        <f t="array" ref="E127">MIN(_xlfn._xlws.FILTER(E2:E122, ISNUMBER(E2:E122)))</f>
        <v>-0.23558742999999999</v>
      </c>
      <c r="F127" s="33" cm="1">
        <f t="array" ref="F127">MIN(_xlfn._xlws.FILTER(F2:F122, ISNUMBER(F2:F122)))</f>
        <v>-0.32687527000000005</v>
      </c>
      <c r="G127" s="33" cm="1">
        <f t="array" ref="G127">MIN(_xlfn._xlws.FILTER(G2:G122, ISNUMBER(G2:G122)))</f>
        <v>-0.26236623999999997</v>
      </c>
      <c r="H127" s="33" cm="1">
        <f t="array" ref="H127">MIN(_xlfn._xlws.FILTER(H2:H122, ISNUMBER(H2:H122)))</f>
        <v>-0.17338259</v>
      </c>
      <c r="I127" s="33" cm="1">
        <f t="array" ref="I127">MIN(_xlfn._xlws.FILTER(I2:I122, ISNUMBER(I2:I122)))</f>
        <v>-0.13732390999999999</v>
      </c>
      <c r="J127" s="33" cm="1">
        <f t="array" ref="J127">MIN(_xlfn._xlws.FILTER(J2:J122, ISNUMBER(J2:J122)))</f>
        <v>-0.27981556000000002</v>
      </c>
      <c r="K127" s="33" cm="1">
        <f t="array" ref="K127">MIN(_xlfn._xlws.FILTER(K2:K122, ISNUMBER(K2:K122)))</f>
        <v>-0.19906586000000001</v>
      </c>
      <c r="L127" s="33" cm="1">
        <f t="array" ref="L127">MIN(_xlfn._xlws.FILTER(L2:L122, ISNUMBER(L2:L122)))</f>
        <v>-0.33652529999999997</v>
      </c>
      <c r="M127" s="33" cm="1">
        <f t="array" ref="M127">MIN(_xlfn._xlws.FILTER(M2:M122, ISNUMBER(M2:M122)))</f>
        <v>-0.28219944000000002</v>
      </c>
      <c r="N127" s="33" cm="1">
        <f t="array" ref="N127">MIN(_xlfn._xlws.FILTER(N2:N122, ISNUMBER(N2:N122)))</f>
        <v>-0.37152035</v>
      </c>
      <c r="O127" s="33" cm="1">
        <f t="array" ref="O127">MIN(_xlfn._xlws.FILTER(O2:O122, ISNUMBER(O2:O122)))</f>
        <v>-0.19367705999999998</v>
      </c>
      <c r="P127" s="33" cm="1">
        <f t="array" ref="P127">MIN(_xlfn._xlws.FILTER(P2:P122, ISNUMBER(P2:P122)))</f>
        <v>-0.26190477000000001</v>
      </c>
      <c r="Q127" s="33" cm="1">
        <f t="array" ref="Q127">MIN(_xlfn._xlws.FILTER(Q2:Q122, ISNUMBER(Q2:Q122)))</f>
        <v>-0.1760584</v>
      </c>
      <c r="R127" s="33" cm="1">
        <f t="array" ref="R127">MIN(_xlfn._xlws.FILTER(R2:R122, ISNUMBER(R2:R122)))</f>
        <v>-0.26036166999999999</v>
      </c>
      <c r="S127" s="33" cm="1">
        <f t="array" ref="S127">MIN(_xlfn._xlws.FILTER(S2:S122, ISNUMBER(S2:S122)))</f>
        <v>-0.22740417000000002</v>
      </c>
      <c r="T127" s="33" cm="1">
        <f t="array" ref="T127">MIN(_xlfn._xlws.FILTER(T2:T122, ISNUMBER(T2:T122)))</f>
        <v>-0.26410658000000004</v>
      </c>
      <c r="U127" s="33" cm="1">
        <f t="array" ref="U127">MIN(_xlfn._xlws.FILTER(U2:U122, ISNUMBER(U2:U122)))</f>
        <v>-0.26653569999999999</v>
      </c>
      <c r="V127" s="33" cm="1">
        <f t="array" ref="V127">MIN(_xlfn._xlws.FILTER(V2:V122, ISNUMBER(V2:V122)))</f>
        <v>-0.21045297999999998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</row>
    <row r="129" spans="1:29" x14ac:dyDescent="0.35">
      <c r="A129" t="s">
        <v>91</v>
      </c>
      <c r="B129">
        <f>COUNTIF(B2:B122, "&lt;"&amp;Assumption!$E$49)</f>
        <v>13</v>
      </c>
      <c r="C129">
        <f>COUNTIF(C2:C122, "&lt;"&amp;Assumption!$E$49)</f>
        <v>30</v>
      </c>
      <c r="D129">
        <f>COUNTIF(D2:D122, "&lt;"&amp;Assumption!$E$49)</f>
        <v>23</v>
      </c>
      <c r="E129">
        <f>COUNTIF(E2:E122, "&lt;"&amp;Assumption!$E$49)</f>
        <v>23</v>
      </c>
      <c r="F129">
        <f>COUNTIF(F2:F122, "&lt;"&amp;Assumption!$E$49)</f>
        <v>27</v>
      </c>
      <c r="G129">
        <f>COUNTIF(G2:G122, "&lt;"&amp;Assumption!$E$49)</f>
        <v>28</v>
      </c>
      <c r="H129">
        <f>COUNTIF(H2:H122, "&lt;"&amp;Assumption!$E$49)</f>
        <v>13</v>
      </c>
      <c r="I129">
        <f>COUNTIF(I2:I122, "&lt;"&amp;Assumption!$E$49)</f>
        <v>15</v>
      </c>
      <c r="J129">
        <f>COUNTIF(J2:J122, "&lt;"&amp;Assumption!$E$49)</f>
        <v>21</v>
      </c>
      <c r="K129">
        <f>COUNTIF(K2:K122, "&lt;"&amp;Assumption!$E$49)</f>
        <v>24</v>
      </c>
      <c r="L129">
        <f>COUNTIF(L2:L122, "&lt;"&amp;Assumption!$E$49)</f>
        <v>34</v>
      </c>
      <c r="M129">
        <f>COUNTIF(M2:M122, "&lt;"&amp;Assumption!$E$49)</f>
        <v>31</v>
      </c>
      <c r="N129">
        <f>COUNTIF(N2:N122, "&lt;"&amp;Assumption!$E$49)</f>
        <v>35</v>
      </c>
      <c r="O129">
        <f>COUNTIF(O2:O122, "&lt;"&amp;Assumption!$E$49)</f>
        <v>17</v>
      </c>
      <c r="P129">
        <f>COUNTIF(P2:P122, "&lt;"&amp;Assumption!$E$49)</f>
        <v>25</v>
      </c>
      <c r="Q129">
        <f>COUNTIF(Q2:Q122, "&lt;"&amp;Assumption!$E$49)</f>
        <v>21</v>
      </c>
      <c r="R129">
        <f>COUNTIF(R2:R122, "&lt;"&amp;Assumption!$E$49)</f>
        <v>9</v>
      </c>
      <c r="S129">
        <f>COUNTIF(S2:S122, "&lt;"&amp;Assumption!$E$49)</f>
        <v>38</v>
      </c>
      <c r="T129">
        <f>COUNTIF(T2:T122, "&lt;"&amp;Assumption!$E$49)</f>
        <v>20</v>
      </c>
      <c r="U129">
        <f>COUNTIF(U2:U122, "&lt;"&amp;Assumption!$E$49)</f>
        <v>23</v>
      </c>
      <c r="V129">
        <f>COUNTIF(V2:V122, "&lt;"&amp;Assumption!$E$49)</f>
        <v>16</v>
      </c>
    </row>
    <row r="130" spans="1:29" x14ac:dyDescent="0.35">
      <c r="A130" t="s">
        <v>90</v>
      </c>
      <c r="B130">
        <f>COUNT(B1:B122)</f>
        <v>92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118</v>
      </c>
      <c r="R130">
        <f t="shared" si="0"/>
        <v>121</v>
      </c>
      <c r="S130">
        <f t="shared" si="0"/>
        <v>121</v>
      </c>
      <c r="T130">
        <f t="shared" si="0"/>
        <v>118</v>
      </c>
      <c r="U130">
        <f t="shared" si="0"/>
        <v>121</v>
      </c>
      <c r="V130">
        <f t="shared" si="0"/>
        <v>101</v>
      </c>
    </row>
    <row r="132" spans="1:29" x14ac:dyDescent="0.35">
      <c r="A132" t="s">
        <v>92</v>
      </c>
      <c r="B132" s="9">
        <f t="shared" ref="B132:V132" si="1">B129/B130</f>
        <v>0.14130434782608695</v>
      </c>
      <c r="C132" s="9">
        <f t="shared" si="1"/>
        <v>0.24793388429752067</v>
      </c>
      <c r="D132" s="9">
        <f t="shared" si="1"/>
        <v>0.19008264462809918</v>
      </c>
      <c r="E132" s="9">
        <f t="shared" si="1"/>
        <v>0.19008264462809918</v>
      </c>
      <c r="F132" s="9">
        <f t="shared" si="1"/>
        <v>0.2231404958677686</v>
      </c>
      <c r="G132" s="9">
        <f t="shared" si="1"/>
        <v>0.23140495867768596</v>
      </c>
      <c r="H132" s="9">
        <f t="shared" si="1"/>
        <v>0.10743801652892562</v>
      </c>
      <c r="I132" s="9">
        <f t="shared" si="1"/>
        <v>0.12396694214876033</v>
      </c>
      <c r="J132" s="9">
        <f t="shared" si="1"/>
        <v>0.17355371900826447</v>
      </c>
      <c r="K132" s="9">
        <f t="shared" si="1"/>
        <v>0.19834710743801653</v>
      </c>
      <c r="L132" s="9">
        <f t="shared" si="1"/>
        <v>0.28099173553719009</v>
      </c>
      <c r="M132" s="9">
        <f t="shared" si="1"/>
        <v>0.256198347107438</v>
      </c>
      <c r="N132" s="9">
        <f t="shared" si="1"/>
        <v>0.28925619834710742</v>
      </c>
      <c r="O132" s="9">
        <f t="shared" si="1"/>
        <v>0.14049586776859505</v>
      </c>
      <c r="P132" s="9">
        <f t="shared" si="1"/>
        <v>0.20661157024793389</v>
      </c>
      <c r="Q132" s="9">
        <f t="shared" si="1"/>
        <v>0.17796610169491525</v>
      </c>
      <c r="R132" s="9">
        <f t="shared" si="1"/>
        <v>7.43801652892562E-2</v>
      </c>
      <c r="S132" s="9">
        <f t="shared" si="1"/>
        <v>0.31404958677685951</v>
      </c>
      <c r="T132" s="9">
        <f t="shared" si="1"/>
        <v>0.16949152542372881</v>
      </c>
      <c r="U132" s="9">
        <f t="shared" si="1"/>
        <v>0.19008264462809918</v>
      </c>
      <c r="V132" s="9">
        <f t="shared" si="1"/>
        <v>0.15841584158415842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99</v>
      </c>
      <c r="B134" s="9" cm="1">
        <f t="array" ref="B134">_xlfn.PERCENTRANK.EXC(_xlfn._xlws.FILTER(B2:B122, ISNUMBER(B2:B122)),B122)</f>
        <v>0.84899999999999998</v>
      </c>
      <c r="C134" s="9" cm="1">
        <f t="array" ref="C134">_xlfn.PERCENTRANK.EXC(_xlfn._xlws.FILTER(C2:C122, ISNUMBER(C2:C122)),C122)</f>
        <v>0.86</v>
      </c>
      <c r="D134" s="9" cm="1">
        <f t="array" ref="D134">_xlfn.PERCENTRANK.EXC(_xlfn._xlws.FILTER(D2:D122, ISNUMBER(D2:D122)),D122)</f>
        <v>0.54900000000000004</v>
      </c>
      <c r="E134" s="9" cm="1">
        <f t="array" ref="E134">_xlfn.PERCENTRANK.EXC(_xlfn._xlws.FILTER(E2:E122, ISNUMBER(E2:E122)),E122)</f>
        <v>0.64700000000000002</v>
      </c>
      <c r="F134" s="9" cm="1">
        <f t="array" ref="F134">_xlfn.PERCENTRANK.EXC(_xlfn._xlws.FILTER(F2:F122, ISNUMBER(F2:F122)),F122)</f>
        <v>0.72099999999999997</v>
      </c>
      <c r="G134" s="9" cm="1">
        <f t="array" ref="G134">_xlfn.PERCENTRANK.EXC(_xlfn._xlws.FILTER(G2:G122, ISNUMBER(G2:G122)),G122)</f>
        <v>0.91800000000000004</v>
      </c>
      <c r="H134" s="9" cm="1">
        <f t="array" ref="H134">_xlfn.PERCENTRANK.EXC(_xlfn._xlws.FILTER(H2:H122, ISNUMBER(H2:H122)),H122)</f>
        <v>0.77</v>
      </c>
      <c r="I134" s="9" cm="1">
        <f t="array" ref="I134">_xlfn.PERCENTRANK.EXC(_xlfn._xlws.FILTER(I2:I122, ISNUMBER(I2:I122)),I122)</f>
        <v>0.745</v>
      </c>
      <c r="J134" s="9" cm="1">
        <f t="array" ref="J134">_xlfn.PERCENTRANK.EXC(_xlfn._xlws.FILTER(J2:J122, ISNUMBER(J2:J122)),J122)</f>
        <v>0.45900000000000002</v>
      </c>
      <c r="K134" s="9" cm="1">
        <f t="array" ref="K134">_xlfn.PERCENTRANK.EXC(_xlfn._xlws.FILTER(K2:K122, ISNUMBER(K2:K122)),K122)</f>
        <v>0.77</v>
      </c>
      <c r="L134" s="9" cm="1">
        <f t="array" ref="L134">_xlfn.PERCENTRANK.EXC(_xlfn._xlws.FILTER(L2:L122, ISNUMBER(L2:L122)),L122)</f>
        <v>0.49099999999999999</v>
      </c>
      <c r="M134" s="9" cm="1">
        <f t="array" ref="M134">_xlfn.PERCENTRANK.EXC(_xlfn._xlws.FILTER(M2:M122, ISNUMBER(M2:M122)),M122)</f>
        <v>0.60599999999999998</v>
      </c>
      <c r="N134" s="9" cm="1">
        <f t="array" ref="N134">_xlfn.PERCENTRANK.EXC(_xlfn._xlws.FILTER(N2:N122, ISNUMBER(N2:N122)),N122)</f>
        <v>0.53200000000000003</v>
      </c>
      <c r="O134" s="9" cm="1">
        <f t="array" ref="O134">_xlfn.PERCENTRANK.EXC(_xlfn._xlws.FILTER(O2:O122, ISNUMBER(O2:O122)),O122)</f>
        <v>0.377</v>
      </c>
      <c r="P134" s="9" cm="1">
        <f t="array" ref="P134">_xlfn.PERCENTRANK.EXC(_xlfn._xlws.FILTER(P2:P122, ISNUMBER(P2:P122)),P122)</f>
        <v>0.77</v>
      </c>
      <c r="Q134" s="9" cm="1">
        <f t="array" ref="Q134">_xlfn.PERCENTRANK.EXC(_xlfn._xlws.FILTER(Q2:Q122, ISNUMBER(Q2:Q122)),Q122)</f>
        <v>0.67200000000000004</v>
      </c>
      <c r="R134" s="9" cm="1">
        <f t="array" ref="R134">_xlfn.PERCENTRANK.EXC(_xlfn._xlws.FILTER(R2:R122, ISNUMBER(R2:R122)),R122)</f>
        <v>0.54900000000000004</v>
      </c>
      <c r="S134" s="9" cm="1">
        <f t="array" ref="S134">_xlfn.PERCENTRANK.EXC(_xlfn._xlws.FILTER(S2:S122, ISNUMBER(S2:S122)),S122)</f>
        <v>0.245</v>
      </c>
      <c r="T134" s="9" cm="1">
        <f t="array" ref="T134">_xlfn.PERCENTRANK.EXC(_xlfn._xlws.FILTER(T2:T122, ISNUMBER(T2:T122)),T122)</f>
        <v>0.38600000000000001</v>
      </c>
      <c r="U134" s="9" cm="1">
        <f t="array" ref="U134">_xlfn.PERCENTRANK.EXC(_xlfn._xlws.FILTER(U2:U122, ISNUMBER(U2:U122)),U122)</f>
        <v>0.745</v>
      </c>
      <c r="V134" s="9" cm="1">
        <f t="array" ref="V134">_xlfn.PERCENTRANK.EXC(_xlfn._xlws.FILTER(V2:V122, ISNUMBER(V2:V122)),V122)</f>
        <v>0.45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0.20399999999999999</v>
      </c>
      <c r="C136" s="9" cm="1">
        <f t="array" ref="C136">_xlfn.PERCENTRANK.EXC(_xlfn._xlws.FILTER(C4:C125, ISNUMBER(C4:C125)),C113)</f>
        <v>0.47499999999999998</v>
      </c>
      <c r="D136" s="9" cm="1">
        <f t="array" ref="D136">_xlfn.PERCENTRANK.EXC(_xlfn._xlws.FILTER(D4:D125, ISNUMBER(D4:D125)),D113)</f>
        <v>0.59099999999999997</v>
      </c>
      <c r="E136" s="9" cm="1">
        <f t="array" ref="E136">_xlfn.PERCENTRANK.EXC(_xlfn._xlws.FILTER(E4:E125, ISNUMBER(E4:E125)),E113)</f>
        <v>0.308</v>
      </c>
      <c r="F136" s="9" cm="1">
        <f t="array" ref="F136">_xlfn.PERCENTRANK.EXC(_xlfn._xlws.FILTER(F4:F125, ISNUMBER(F4:F125)),F113)</f>
        <v>0.78300000000000003</v>
      </c>
      <c r="G136" s="9" cm="1">
        <f t="array" ref="G136">_xlfn.PERCENTRANK.EXC(_xlfn._xlws.FILTER(G4:G125, ISNUMBER(G4:G125)),G113)</f>
        <v>0.73299999999999998</v>
      </c>
      <c r="H136" s="9" cm="1">
        <f t="array" ref="H136">_xlfn.PERCENTRANK.EXC(_xlfn._xlws.FILTER(H4:H125, ISNUMBER(H4:H125)),H113)</f>
        <v>0.191</v>
      </c>
      <c r="I136" s="9" cm="1">
        <f t="array" ref="I136">_xlfn.PERCENTRANK.EXC(_xlfn._xlws.FILTER(I4:I125, ISNUMBER(I4:I125)),I113)</f>
        <v>0.96599999999999997</v>
      </c>
      <c r="J136" s="9" cm="1">
        <f t="array" ref="J136">_xlfn.PERCENTRANK.EXC(_xlfn._xlws.FILTER(J4:J125, ISNUMBER(J4:J125)),J113)</f>
        <v>0.71599999999999997</v>
      </c>
      <c r="K136" s="9" cm="1">
        <f t="array" ref="K136">_xlfn.PERCENTRANK.EXC(_xlfn._xlws.FILTER(K4:K125, ISNUMBER(K4:K125)),K113)</f>
        <v>0.95799999999999996</v>
      </c>
      <c r="L136" s="9" cm="1">
        <f t="array" ref="L136">_xlfn.PERCENTRANK.EXC(_xlfn._xlws.FILTER(L4:L125, ISNUMBER(L4:L125)),L113)</f>
        <v>0.86599999999999999</v>
      </c>
      <c r="M136" s="9" cm="1">
        <f t="array" ref="M136">_xlfn.PERCENTRANK.EXC(_xlfn._xlws.FILTER(M4:M125, ISNUMBER(M4:M125)),M113)</f>
        <v>0.85</v>
      </c>
      <c r="N136" s="9" cm="1">
        <f t="array" ref="N136">_xlfn.PERCENTRANK.EXC(_xlfn._xlws.FILTER(N4:N125, ISNUMBER(N4:N125)),N113)</f>
        <v>0.92500000000000004</v>
      </c>
      <c r="O136" s="9" cm="1">
        <f t="array" ref="O136">_xlfn.PERCENTRANK.EXC(_xlfn._xlws.FILTER(O4:O125, ISNUMBER(O4:O125)),O113)</f>
        <v>0.71599999999999997</v>
      </c>
      <c r="P136" s="9" cm="1">
        <f t="array" ref="P136">_xlfn.PERCENTRANK.EXC(_xlfn._xlws.FILTER(P4:P125, ISNUMBER(P4:P125)),P113)</f>
        <v>0.60799999999999998</v>
      </c>
      <c r="Q136" s="9" cm="1">
        <f t="array" ref="Q136">_xlfn.PERCENTRANK.EXC(_xlfn._xlws.FILTER(Q4:Q125, ISNUMBER(Q4:Q125)),Q113)</f>
        <v>0.32700000000000001</v>
      </c>
      <c r="R136" s="9" cm="1">
        <f t="array" ref="R136">_xlfn.PERCENTRANK.EXC(_xlfn._xlws.FILTER(R4:R125, ISNUMBER(R4:R125)),R113)</f>
        <v>0.47499999999999998</v>
      </c>
      <c r="S136" s="9" cm="1">
        <f t="array" ref="S136">_xlfn.PERCENTRANK.EXC(_xlfn._xlws.FILTER(S4:S125, ISNUMBER(S4:S125)),S113)</f>
        <v>0.191</v>
      </c>
      <c r="T136" s="9" cm="1">
        <f t="array" ref="T136">_xlfn.PERCENTRANK.EXC(_xlfn._xlws.FILTER(T4:T125, ISNUMBER(T4:T125)),T113)</f>
        <v>0.45300000000000001</v>
      </c>
      <c r="U136" s="9" cm="1">
        <f t="array" ref="U136">_xlfn.PERCENTRANK.EXC(_xlfn._xlws.FILTER(U4:U125, ISNUMBER(U4:U125)),U113)</f>
        <v>0.84099999999999997</v>
      </c>
      <c r="V136" s="9" cm="1">
        <f t="array" ref="V136">_xlfn.PERCENTRANK.EXC(_xlfn._xlws.FILTER(V4:V125, ISNUMBER(V4:V125)),V113)</f>
        <v>0.64700000000000002</v>
      </c>
    </row>
    <row r="138" spans="1:29" x14ac:dyDescent="0.35">
      <c r="A138" t="s">
        <v>863</v>
      </c>
      <c r="B138">
        <f>STDEV(B40:B122)</f>
        <v>6.0207946779347897E-2</v>
      </c>
      <c r="C138">
        <f t="shared" ref="C138:V138" si="2">STDEV(C40:C122)</f>
        <v>8.6386469791173995E-2</v>
      </c>
      <c r="D138">
        <f t="shared" si="2"/>
        <v>6.2515124238240544E-2</v>
      </c>
      <c r="E138">
        <f t="shared" si="2"/>
        <v>6.2324303832345877E-2</v>
      </c>
      <c r="F138">
        <f t="shared" si="2"/>
        <v>9.2032612728526225E-2</v>
      </c>
      <c r="G138">
        <f t="shared" si="2"/>
        <v>7.7618551343623138E-2</v>
      </c>
      <c r="H138">
        <f t="shared" si="2"/>
        <v>4.4470367157266787E-2</v>
      </c>
      <c r="I138">
        <f t="shared" si="2"/>
        <v>5.4811131328500247E-2</v>
      </c>
      <c r="J138">
        <f t="shared" si="2"/>
        <v>7.2909699691366639E-2</v>
      </c>
      <c r="K138">
        <f t="shared" si="2"/>
        <v>7.131325166525361E-2</v>
      </c>
      <c r="L138">
        <f t="shared" si="2"/>
        <v>0.10062608802238458</v>
      </c>
      <c r="M138">
        <f t="shared" si="2"/>
        <v>7.722662033314466E-2</v>
      </c>
      <c r="N138">
        <f t="shared" si="2"/>
        <v>8.6844551029523737E-2</v>
      </c>
      <c r="O138">
        <f t="shared" si="2"/>
        <v>5.0718237570786057E-2</v>
      </c>
      <c r="P138">
        <f t="shared" si="2"/>
        <v>7.0581658231419278E-2</v>
      </c>
      <c r="Q138">
        <f t="shared" si="2"/>
        <v>5.6585323648419603E-2</v>
      </c>
      <c r="R138">
        <f t="shared" si="2"/>
        <v>4.6377708240569103E-2</v>
      </c>
      <c r="S138">
        <f t="shared" si="2"/>
        <v>9.4193145033213938E-2</v>
      </c>
      <c r="T138">
        <f t="shared" si="2"/>
        <v>5.4450677828942272E-2</v>
      </c>
      <c r="U138">
        <f t="shared" si="2"/>
        <v>6.6054519416245683E-2</v>
      </c>
      <c r="V138">
        <f t="shared" si="2"/>
        <v>5.7409989072819009E-2</v>
      </c>
    </row>
    <row r="139" spans="1:29" x14ac:dyDescent="0.35">
      <c r="A139" t="s">
        <v>864</v>
      </c>
      <c r="B139" s="87">
        <f>B138*SQRT(12)</f>
        <v>0.20856644568246702</v>
      </c>
      <c r="C139" s="87">
        <f t="shared" ref="C139:V139" si="3">C138*SQRT(12)</f>
        <v>0.29925150952965468</v>
      </c>
      <c r="D139" s="87">
        <f t="shared" si="3"/>
        <v>0.21655874284422644</v>
      </c>
      <c r="E139" s="87">
        <f t="shared" si="3"/>
        <v>0.21589772156796549</v>
      </c>
      <c r="F139" s="87">
        <f t="shared" si="3"/>
        <v>0.31881032239823515</v>
      </c>
      <c r="G139" s="87">
        <f t="shared" si="3"/>
        <v>0.26887854907409764</v>
      </c>
      <c r="H139" s="87">
        <f t="shared" si="3"/>
        <v>0.15404987069525683</v>
      </c>
      <c r="I139" s="87">
        <f t="shared" si="3"/>
        <v>0.18987132856258526</v>
      </c>
      <c r="J139" s="87">
        <f t="shared" si="3"/>
        <v>0.25256660846007178</v>
      </c>
      <c r="K139" s="87">
        <f t="shared" si="3"/>
        <v>0.24703635027433019</v>
      </c>
      <c r="L139" s="87">
        <f t="shared" si="3"/>
        <v>0.34857899404333625</v>
      </c>
      <c r="M139" s="87">
        <f t="shared" si="3"/>
        <v>0.26752086022767657</v>
      </c>
      <c r="N139" s="87">
        <f t="shared" si="3"/>
        <v>0.30083834948728633</v>
      </c>
      <c r="O139" s="87">
        <f t="shared" si="3"/>
        <v>0.17569312868590031</v>
      </c>
      <c r="P139" s="87">
        <f t="shared" si="3"/>
        <v>0.24450203627856049</v>
      </c>
      <c r="Q139" s="87">
        <f t="shared" si="3"/>
        <v>0.19601731104358291</v>
      </c>
      <c r="R139" s="87">
        <f t="shared" si="3"/>
        <v>0.16065709402254297</v>
      </c>
      <c r="S139" s="87">
        <f t="shared" si="3"/>
        <v>0.32629462584446117</v>
      </c>
      <c r="T139" s="87">
        <f t="shared" si="3"/>
        <v>0.18862268101258445</v>
      </c>
      <c r="U139" s="87">
        <f t="shared" si="3"/>
        <v>0.22881956739696482</v>
      </c>
      <c r="V139" s="87">
        <f t="shared" si="3"/>
        <v>0.19887403587219316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topLeftCell="I1" zoomScaleNormal="100" workbookViewId="0">
      <pane ySplit="1" topLeftCell="A41" activePane="bottomLeft" state="frozen"/>
      <selection pane="bottomLeft" activeCell="W1" sqref="W1:AF1048576"/>
    </sheetView>
  </sheetViews>
  <sheetFormatPr defaultRowHeight="14.5" x14ac:dyDescent="0.35"/>
  <cols>
    <col min="1" max="1" width="24.6328125" customWidth="1"/>
    <col min="2" max="2" width="10.6328125" customWidth="1"/>
    <col min="22" max="22" width="9.08984375" style="1"/>
  </cols>
  <sheetData>
    <row r="1" spans="1:23" x14ac:dyDescent="0.35">
      <c r="A1" s="2" t="s">
        <v>394</v>
      </c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63" t="s">
        <v>36</v>
      </c>
    </row>
    <row r="2" spans="1:23" x14ac:dyDescent="0.35">
      <c r="A2" s="2" cm="1">
        <f t="array" ref="A2:A122">_xll.FDS(C1,"JULIAN(P_PRICE_RETURNS_PR('52W',2,-10AY,0,AM).dates)")</f>
        <v>41712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-34.863841999999998</v>
      </c>
      <c r="D2" s="7" cm="1">
        <f t="array" ref="D2:D122">_xll.FDS(D1,"P_PRICE_RETURNS_PR('52W',2,-10AY,0,AM)")</f>
        <v>-15.535216999999999</v>
      </c>
      <c r="E2" s="7" cm="1">
        <f t="array" ref="E2:E122">_xll.FDS(E1,"P_PRICE_RETURNS_PR('52W',2,-10AY,0,AM)")</f>
        <v>-15.679634</v>
      </c>
      <c r="F2" s="7" cm="1">
        <f t="array" ref="F2:F122">_xll.FDS(F1,"P_PRICE_RETURNS_PR('52W',2,-10AY,0,AM)")</f>
        <v>6.8096160000000001</v>
      </c>
      <c r="G2" s="7" cm="1">
        <f t="array" ref="G2:G122">_xll.FDS(G1,"P_PRICE_RETURNS_PR('52W',2,-10AY,0,AM)")</f>
        <v>-25.431799999999999</v>
      </c>
      <c r="H2" s="7" cm="1">
        <f t="array" ref="H2:H122">_xll.FDS(H1,"P_PRICE_RETURNS_PR('52W',2,-10AY,0,AM)")</f>
        <v>6.8627476999999999</v>
      </c>
      <c r="I2" s="7" cm="1">
        <f t="array" ref="I2:I122">_xll.FDS(I1,"P_PRICE_RETURNS_PR('52W',2,-10AY,0,AM)")</f>
        <v>6.4558625000000003</v>
      </c>
      <c r="J2" s="7" cm="1">
        <f t="array" ref="J2:J122">_xll.FDS(J1,"P_PRICE_RETURNS_PR('52W',2,-10AY,0,AM)")</f>
        <v>-16.200918000000001</v>
      </c>
      <c r="K2" s="7" cm="1">
        <f t="array" ref="K2:K122">_xll.FDS(K1,"P_PRICE_RETURNS_PR('52W',2,-10AY,0,AM)")</f>
        <v>-0.54185987000000002</v>
      </c>
      <c r="L2" s="7" cm="1">
        <f t="array" ref="L2:L122">_xll.FDS(L1,"P_PRICE_RETURNS_PR('52W',2,-10AY,0,AM)")</f>
        <v>-27.905280000000001</v>
      </c>
      <c r="M2" s="7" cm="1">
        <f t="array" ref="M2:M122">_xll.FDS(M1,"P_PRICE_RETURNS_PR('52W',2,-10AY,0,AM)")</f>
        <v>0.40445328000000003</v>
      </c>
      <c r="N2" s="7" cm="1">
        <f t="array" ref="N2:N122">_xll.FDS(N1,"P_PRICE_RETURNS_PR('52W',2,-10AY,0,AM)")</f>
        <v>42.533133999999997</v>
      </c>
      <c r="O2" s="7" cm="1">
        <f t="array" ref="O2:O122">_xll.FDS(O1,"P_PRICE_RETURNS_PR('52W',2,-10AY,0,AM)")</f>
        <v>-4.0068808000000002</v>
      </c>
      <c r="P2" s="7" cm="1">
        <f t="array" ref="P2:P122">_xll.FDS(P1,"P_PRICE_RETURNS_PR('52W',2,-10AY,0,AM)")</f>
        <v>-5.8262166999999998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-13.524789</v>
      </c>
      <c r="S2" s="7" cm="1">
        <f t="array" ref="S2:S122">_xll.FDS(S1,"P_PRICE_RETURNS_PR('52W',2,-10AY,0,AM)")</f>
        <v>-36.074223000000003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11.115252999999999</v>
      </c>
      <c r="V2" s="164" t="e" cm="1">
        <f t="array" ref="V2:V122">_xll.FDS(V1,"P_PRICE_RETURNS_PR('52W',2,-10AY,0,AM)")</f>
        <v>#N/A</v>
      </c>
      <c r="W2" s="33"/>
    </row>
    <row r="3" spans="1:23" x14ac:dyDescent="0.35">
      <c r="A3" s="2">
        <v>41743</v>
      </c>
      <c r="B3" s="7" t="e">
        <v>#N/A</v>
      </c>
      <c r="C3" s="7">
        <v>-24.82</v>
      </c>
      <c r="D3" s="49">
        <v>-17.106987</v>
      </c>
      <c r="E3" s="49">
        <v>-12.114364</v>
      </c>
      <c r="F3" s="49">
        <v>14.914059999999999</v>
      </c>
      <c r="G3" s="49">
        <v>-20.642493999999999</v>
      </c>
      <c r="H3" s="49">
        <v>5.7808520000000003</v>
      </c>
      <c r="I3" s="49">
        <v>14.401579</v>
      </c>
      <c r="J3" s="49">
        <v>-13.219279</v>
      </c>
      <c r="K3" s="49">
        <v>16.919505999999998</v>
      </c>
      <c r="L3" s="49">
        <v>-11.252564</v>
      </c>
      <c r="M3" s="49">
        <v>7.1364163999999999</v>
      </c>
      <c r="N3" s="49">
        <v>34.732320000000001</v>
      </c>
      <c r="O3" s="49">
        <v>10.62665</v>
      </c>
      <c r="P3" s="49">
        <v>6.4556003000000004</v>
      </c>
      <c r="Q3" s="49" t="e">
        <v>#N/A</v>
      </c>
      <c r="R3" s="49">
        <v>-8.4156879999999994</v>
      </c>
      <c r="S3" s="49">
        <v>-25.554455000000001</v>
      </c>
      <c r="T3" s="49" t="e">
        <v>#N/A</v>
      </c>
      <c r="U3" s="49">
        <v>10.42651</v>
      </c>
      <c r="V3" s="165" t="e">
        <v>#N/A</v>
      </c>
      <c r="W3" s="33"/>
    </row>
    <row r="4" spans="1:23" x14ac:dyDescent="0.35">
      <c r="A4" s="2">
        <v>41773</v>
      </c>
      <c r="B4" s="7" t="e">
        <v>#N/A</v>
      </c>
      <c r="C4" s="7">
        <v>-22.137986999999999</v>
      </c>
      <c r="D4" s="49">
        <v>-16.695494</v>
      </c>
      <c r="E4" s="49">
        <v>-12.639540999999999</v>
      </c>
      <c r="F4" s="49">
        <v>16.137160000000002</v>
      </c>
      <c r="G4" s="49">
        <v>-12.162751</v>
      </c>
      <c r="H4" s="49">
        <v>-1.1349738</v>
      </c>
      <c r="I4" s="49">
        <v>6.6449879999999997</v>
      </c>
      <c r="J4" s="49">
        <v>-5.3651213999999996</v>
      </c>
      <c r="K4" s="49">
        <v>13.249003999999999</v>
      </c>
      <c r="L4" s="49">
        <v>-5.693549</v>
      </c>
      <c r="M4" s="49">
        <v>11.723936</v>
      </c>
      <c r="N4" s="49">
        <v>8.0651279999999996</v>
      </c>
      <c r="O4" s="49">
        <v>7.2507260000000002</v>
      </c>
      <c r="P4" s="49">
        <v>-0.81500410000000001</v>
      </c>
      <c r="Q4" s="49" t="e">
        <v>#N/A</v>
      </c>
      <c r="R4" s="49">
        <v>-14.010024</v>
      </c>
      <c r="S4" s="49">
        <v>-26.090622</v>
      </c>
      <c r="T4" s="49" t="e">
        <v>#N/A</v>
      </c>
      <c r="U4" s="49">
        <v>0.82589389999999996</v>
      </c>
      <c r="V4" s="165" t="e">
        <v>#N/A</v>
      </c>
      <c r="W4" s="33"/>
    </row>
    <row r="5" spans="1:23" x14ac:dyDescent="0.35">
      <c r="A5" s="2">
        <v>41803</v>
      </c>
      <c r="B5" s="7" t="e">
        <v>#N/A</v>
      </c>
      <c r="C5" s="7">
        <v>-16.644955</v>
      </c>
      <c r="D5" s="49">
        <v>-11.984735499999999</v>
      </c>
      <c r="E5" s="49">
        <v>5.2444100000000002</v>
      </c>
      <c r="F5" s="49">
        <v>11.731147999999999</v>
      </c>
      <c r="G5" s="49">
        <v>-2.8574586000000002</v>
      </c>
      <c r="H5" s="49">
        <v>4.2644260000000003</v>
      </c>
      <c r="I5" s="49">
        <v>16.166602999999999</v>
      </c>
      <c r="J5" s="49">
        <v>4.9180983999999999</v>
      </c>
      <c r="K5" s="49">
        <v>18.650234000000001</v>
      </c>
      <c r="L5" s="49">
        <v>6.1972379999999996</v>
      </c>
      <c r="M5" s="49">
        <v>22.68008</v>
      </c>
      <c r="N5" s="49">
        <v>42.505740000000003</v>
      </c>
      <c r="O5" s="49">
        <v>25.675892000000001</v>
      </c>
      <c r="P5" s="49">
        <v>12.193192</v>
      </c>
      <c r="Q5" s="49" t="e">
        <v>#N/A</v>
      </c>
      <c r="R5" s="49">
        <v>3.7590742000000001</v>
      </c>
      <c r="S5" s="49">
        <v>-9.5444379999999995</v>
      </c>
      <c r="T5" s="49" t="e">
        <v>#N/A</v>
      </c>
      <c r="U5" s="49">
        <v>4.8440336999999998</v>
      </c>
      <c r="V5" s="165" t="e">
        <v>#N/A</v>
      </c>
      <c r="W5" s="33"/>
    </row>
    <row r="6" spans="1:23" x14ac:dyDescent="0.35">
      <c r="A6" s="2">
        <v>41834</v>
      </c>
      <c r="B6" s="7" t="e">
        <v>#N/A</v>
      </c>
      <c r="C6" s="7">
        <v>-5.3252993000000002</v>
      </c>
      <c r="D6" s="49">
        <v>-4.5137999999999998</v>
      </c>
      <c r="E6" s="49">
        <v>5.0354957999999996</v>
      </c>
      <c r="F6" s="49">
        <v>17.882560000000002</v>
      </c>
      <c r="G6" s="49">
        <v>15.476454</v>
      </c>
      <c r="H6" s="49">
        <v>6.0799479999999999</v>
      </c>
      <c r="I6" s="49">
        <v>20.230937999999998</v>
      </c>
      <c r="J6" s="49">
        <v>8.9214210000000005</v>
      </c>
      <c r="K6" s="49">
        <v>19.757031999999999</v>
      </c>
      <c r="L6" s="49">
        <v>21.690249999999999</v>
      </c>
      <c r="M6" s="49">
        <v>20.562422000000002</v>
      </c>
      <c r="N6" s="49">
        <v>45.706592999999998</v>
      </c>
      <c r="O6" s="49">
        <v>23.501598000000001</v>
      </c>
      <c r="P6" s="49">
        <v>18.021011000000001</v>
      </c>
      <c r="Q6" s="49" t="e">
        <v>#N/A</v>
      </c>
      <c r="R6" s="49">
        <v>5.1949860000000001</v>
      </c>
      <c r="S6" s="49">
        <v>2.5316358000000001</v>
      </c>
      <c r="T6" s="49" t="e">
        <v>#N/A</v>
      </c>
      <c r="U6" s="49">
        <v>15.959894</v>
      </c>
      <c r="V6" s="165" t="e">
        <v>#N/A</v>
      </c>
      <c r="W6" s="33"/>
    </row>
    <row r="7" spans="1:23" x14ac:dyDescent="0.35">
      <c r="A7" s="2">
        <v>41865</v>
      </c>
      <c r="B7" s="7" t="e">
        <v>#N/A</v>
      </c>
      <c r="C7" s="7">
        <v>-10.264188000000001</v>
      </c>
      <c r="D7" s="49">
        <v>-0.99014639999999998</v>
      </c>
      <c r="E7" s="49">
        <v>8.3240750000000006</v>
      </c>
      <c r="F7" s="49">
        <v>4.0502190000000002</v>
      </c>
      <c r="G7" s="49">
        <v>5.5600759999999996</v>
      </c>
      <c r="H7" s="49">
        <v>8.7413070000000008</v>
      </c>
      <c r="I7" s="49">
        <v>22.174942000000001</v>
      </c>
      <c r="J7" s="49">
        <v>3.9251566000000002</v>
      </c>
      <c r="K7" s="49">
        <v>19.268702999999999</v>
      </c>
      <c r="L7" s="49">
        <v>13.361418</v>
      </c>
      <c r="M7" s="49">
        <v>19.280577000000001</v>
      </c>
      <c r="N7" s="49">
        <v>15.329563</v>
      </c>
      <c r="O7" s="49">
        <v>35.043537000000001</v>
      </c>
      <c r="P7" s="49">
        <v>15.040958</v>
      </c>
      <c r="Q7" s="49" t="e">
        <v>#N/A</v>
      </c>
      <c r="R7" s="49">
        <v>5.5688259999999996</v>
      </c>
      <c r="S7" s="49">
        <v>-6.3758907000000002</v>
      </c>
      <c r="T7" s="49" t="e">
        <v>#N/A</v>
      </c>
      <c r="U7" s="49">
        <v>21.583819999999999</v>
      </c>
      <c r="V7" s="165" t="e">
        <v>#N/A</v>
      </c>
      <c r="W7" s="33"/>
    </row>
    <row r="8" spans="1:23" x14ac:dyDescent="0.35">
      <c r="A8" s="2">
        <v>41894</v>
      </c>
      <c r="B8" s="7" t="e">
        <v>#N/A</v>
      </c>
      <c r="C8" s="7">
        <v>-13.185530999999999</v>
      </c>
      <c r="D8" s="49">
        <v>15.896106</v>
      </c>
      <c r="E8" s="49">
        <v>17.837513000000001</v>
      </c>
      <c r="F8" s="49">
        <v>4.9848319999999999</v>
      </c>
      <c r="G8" s="49">
        <v>6.0434700000000001</v>
      </c>
      <c r="H8" s="49">
        <v>8.5560559999999999</v>
      </c>
      <c r="I8" s="49">
        <v>16.093730000000001</v>
      </c>
      <c r="J8" s="49">
        <v>11.207283</v>
      </c>
      <c r="K8" s="49">
        <v>5.2925943999999996</v>
      </c>
      <c r="L8" s="49">
        <v>6.7783949999999997</v>
      </c>
      <c r="M8" s="49">
        <v>10.117245</v>
      </c>
      <c r="N8" s="49">
        <v>9.8845480000000006</v>
      </c>
      <c r="O8" s="49">
        <v>39.800476000000003</v>
      </c>
      <c r="P8" s="49">
        <v>10.096560999999999</v>
      </c>
      <c r="Q8" s="49" t="e">
        <v>#N/A</v>
      </c>
      <c r="R8" s="49">
        <v>13.123965</v>
      </c>
      <c r="S8" s="49">
        <v>-0.65842867000000005</v>
      </c>
      <c r="T8" s="49" t="e">
        <v>#N/A</v>
      </c>
      <c r="U8" s="49">
        <v>30.887245</v>
      </c>
      <c r="V8" s="165" t="e">
        <v>#N/A</v>
      </c>
      <c r="W8" s="33"/>
    </row>
    <row r="9" spans="1:23" x14ac:dyDescent="0.35">
      <c r="A9" s="2">
        <v>41926</v>
      </c>
      <c r="B9" s="7" t="e">
        <v>#N/A</v>
      </c>
      <c r="C9" s="7">
        <v>-18.068272</v>
      </c>
      <c r="D9" s="49">
        <v>-2.2579669999999998</v>
      </c>
      <c r="E9" s="49">
        <v>4.2286158</v>
      </c>
      <c r="F9" s="49">
        <v>-8.9085819999999991</v>
      </c>
      <c r="G9" s="49">
        <v>1.2713432</v>
      </c>
      <c r="H9" s="49">
        <v>-2.7749657999999999</v>
      </c>
      <c r="I9" s="49">
        <v>6.1545610000000002</v>
      </c>
      <c r="J9" s="49">
        <v>1.8652439000000001</v>
      </c>
      <c r="K9" s="49">
        <v>-9.5129429999999999</v>
      </c>
      <c r="L9" s="49">
        <v>-3.0531228000000001</v>
      </c>
      <c r="M9" s="49">
        <v>-0.16487837</v>
      </c>
      <c r="N9" s="49">
        <v>-22.649742</v>
      </c>
      <c r="O9" s="49">
        <v>22.875309000000001</v>
      </c>
      <c r="P9" s="49">
        <v>0.14001131</v>
      </c>
      <c r="Q9" s="49" t="e">
        <v>#N/A</v>
      </c>
      <c r="R9" s="49">
        <v>5.9554460000000002</v>
      </c>
      <c r="S9" s="49">
        <v>-14.598876000000001</v>
      </c>
      <c r="T9" s="49" t="e">
        <v>#N/A</v>
      </c>
      <c r="U9" s="49">
        <v>17.611622000000001</v>
      </c>
      <c r="V9" s="165" t="e">
        <v>#N/A</v>
      </c>
      <c r="W9" s="33"/>
    </row>
    <row r="10" spans="1:23" x14ac:dyDescent="0.35">
      <c r="A10" s="2">
        <v>41957</v>
      </c>
      <c r="B10" s="7" t="e">
        <v>#N/A</v>
      </c>
      <c r="C10" s="7">
        <v>-12.160277000000001</v>
      </c>
      <c r="D10" s="49">
        <v>11.958086</v>
      </c>
      <c r="E10" s="49">
        <v>13.575851</v>
      </c>
      <c r="F10" s="49">
        <v>-8.7666450000000005</v>
      </c>
      <c r="G10" s="49">
        <v>1.484251</v>
      </c>
      <c r="H10" s="49">
        <v>-2.9180288000000001</v>
      </c>
      <c r="I10" s="49">
        <v>14.523077000000001</v>
      </c>
      <c r="J10" s="49">
        <v>3.1242131999999998</v>
      </c>
      <c r="K10" s="49">
        <v>-7.6611339999999997</v>
      </c>
      <c r="L10" s="49">
        <v>-15.363740999999999</v>
      </c>
      <c r="M10" s="49">
        <v>12.129235</v>
      </c>
      <c r="N10" s="49">
        <v>-28.499348000000001</v>
      </c>
      <c r="O10" s="49">
        <v>36.704265999999997</v>
      </c>
      <c r="P10" s="49">
        <v>10.174666999999999</v>
      </c>
      <c r="Q10" s="49" t="e">
        <v>#N/A</v>
      </c>
      <c r="R10" s="49">
        <v>11.315334</v>
      </c>
      <c r="S10" s="49">
        <v>0.42189359999999998</v>
      </c>
      <c r="T10" s="49" t="e">
        <v>#N/A</v>
      </c>
      <c r="U10" s="49">
        <v>14.335799</v>
      </c>
      <c r="V10" s="165" t="e">
        <v>#N/A</v>
      </c>
      <c r="W10" s="33"/>
    </row>
    <row r="11" spans="1:23" x14ac:dyDescent="0.35">
      <c r="A11" s="2">
        <v>41985</v>
      </c>
      <c r="B11" s="7" t="e">
        <v>#N/A</v>
      </c>
      <c r="C11" s="7">
        <v>-13.351482000000001</v>
      </c>
      <c r="D11" s="49">
        <v>20.373714</v>
      </c>
      <c r="E11" s="49">
        <v>26.051390000000001</v>
      </c>
      <c r="F11" s="49">
        <v>-10.115284000000001</v>
      </c>
      <c r="G11" s="49">
        <v>1.1151074999999999</v>
      </c>
      <c r="H11" s="49">
        <v>-12.546987</v>
      </c>
      <c r="I11" s="49">
        <v>8.0456020000000006</v>
      </c>
      <c r="J11" s="49">
        <v>-14.284782999999999</v>
      </c>
      <c r="K11" s="49">
        <v>-10.409552</v>
      </c>
      <c r="L11" s="49">
        <v>-17.138217999999998</v>
      </c>
      <c r="M11" s="49">
        <v>3.2075762999999999</v>
      </c>
      <c r="N11" s="49">
        <v>-38.980730000000001</v>
      </c>
      <c r="O11" s="49">
        <v>24.729156</v>
      </c>
      <c r="P11" s="49">
        <v>2.6687740999999998</v>
      </c>
      <c r="Q11" s="49" t="e">
        <v>#N/A</v>
      </c>
      <c r="R11" s="49">
        <v>11.704672</v>
      </c>
      <c r="S11" s="49">
        <v>1.1095762</v>
      </c>
      <c r="T11" s="49" t="e">
        <v>#N/A</v>
      </c>
      <c r="U11" s="49">
        <v>6.0564280000000004</v>
      </c>
      <c r="V11" s="165" t="e">
        <v>#N/A</v>
      </c>
      <c r="W11" s="33"/>
    </row>
    <row r="12" spans="1:23" x14ac:dyDescent="0.35">
      <c r="A12" s="2">
        <v>42018</v>
      </c>
      <c r="B12" s="7" t="e">
        <v>#N/A</v>
      </c>
      <c r="C12" s="7">
        <v>-14.791214</v>
      </c>
      <c r="D12" s="49">
        <v>14.447820999999999</v>
      </c>
      <c r="E12" s="49">
        <v>28.872309999999999</v>
      </c>
      <c r="F12" s="49">
        <v>-16.123360000000002</v>
      </c>
      <c r="G12" s="49">
        <v>-8.6624149999999993</v>
      </c>
      <c r="H12" s="49">
        <v>-12.983948</v>
      </c>
      <c r="I12" s="49">
        <v>7.2131515000000004</v>
      </c>
      <c r="J12" s="49">
        <v>-11.850661000000001</v>
      </c>
      <c r="K12" s="49">
        <v>-6.5610049999999998</v>
      </c>
      <c r="L12" s="49">
        <v>-12.728196000000001</v>
      </c>
      <c r="M12" s="49">
        <v>8.0367564999999992</v>
      </c>
      <c r="N12" s="49">
        <v>-45.185203999999999</v>
      </c>
      <c r="O12" s="49">
        <v>24.216366000000001</v>
      </c>
      <c r="P12" s="49">
        <v>13.133656999999999</v>
      </c>
      <c r="Q12" s="49" t="e">
        <v>#N/A</v>
      </c>
      <c r="R12" s="49">
        <v>17.545736000000002</v>
      </c>
      <c r="S12" s="49">
        <v>23.264063</v>
      </c>
      <c r="T12" s="49" t="e">
        <v>#N/A</v>
      </c>
      <c r="U12" s="49">
        <v>-2.1839738</v>
      </c>
      <c r="V12" s="165" t="e">
        <v>#N/A</v>
      </c>
      <c r="W12" s="33"/>
    </row>
    <row r="13" spans="1:23" x14ac:dyDescent="0.35">
      <c r="A13" s="2">
        <v>42048</v>
      </c>
      <c r="B13" s="7" t="e">
        <v>#N/A</v>
      </c>
      <c r="C13" s="7">
        <v>-4.3183683999999998</v>
      </c>
      <c r="D13" s="49">
        <v>14.120221000000001</v>
      </c>
      <c r="E13" s="49">
        <v>31.442822</v>
      </c>
      <c r="F13" s="49">
        <v>-20.296859999999999</v>
      </c>
      <c r="G13" s="49">
        <v>-6.8629559999999996</v>
      </c>
      <c r="H13" s="49">
        <v>-5.5847525999999998</v>
      </c>
      <c r="I13" s="49">
        <v>17.895592000000001</v>
      </c>
      <c r="J13" s="49">
        <v>-4.6751620000000003</v>
      </c>
      <c r="K13" s="49">
        <v>-5.1952543000000002</v>
      </c>
      <c r="L13" s="49">
        <v>-10.717307999999999</v>
      </c>
      <c r="M13" s="49">
        <v>19.909405</v>
      </c>
      <c r="N13" s="49">
        <v>-41.837513000000001</v>
      </c>
      <c r="O13" s="49">
        <v>41.171993000000001</v>
      </c>
      <c r="P13" s="49">
        <v>18.596184000000001</v>
      </c>
      <c r="Q13" s="49" t="e">
        <v>#N/A</v>
      </c>
      <c r="R13" s="49">
        <v>23.17455</v>
      </c>
      <c r="S13" s="49">
        <v>19.671785</v>
      </c>
      <c r="T13" s="49" t="e">
        <v>#N/A</v>
      </c>
      <c r="U13" s="49">
        <v>-12.173325</v>
      </c>
      <c r="V13" s="165" t="e">
        <v>#N/A</v>
      </c>
      <c r="W13" s="33"/>
    </row>
    <row r="14" spans="1:23" x14ac:dyDescent="0.35">
      <c r="A14" s="2">
        <v>42076</v>
      </c>
      <c r="B14" s="7" t="e">
        <v>#N/A</v>
      </c>
      <c r="C14" s="7">
        <v>-7.2738529999999999</v>
      </c>
      <c r="D14" s="49">
        <v>1.0541438999999999</v>
      </c>
      <c r="E14" s="49">
        <v>24.027274999999999</v>
      </c>
      <c r="F14" s="49">
        <v>-19.960647999999999</v>
      </c>
      <c r="G14" s="49">
        <v>-9.4803809999999995</v>
      </c>
      <c r="H14" s="49">
        <v>-11.775570999999999</v>
      </c>
      <c r="I14" s="49">
        <v>12.893176</v>
      </c>
      <c r="J14" s="49">
        <v>-1.9726276</v>
      </c>
      <c r="K14" s="49">
        <v>-5.6367636000000001</v>
      </c>
      <c r="L14" s="49">
        <v>-22.864038000000001</v>
      </c>
      <c r="M14" s="49">
        <v>2.8957009999999999</v>
      </c>
      <c r="N14" s="49">
        <v>-55.816504999999999</v>
      </c>
      <c r="O14" s="49">
        <v>29.199445999999998</v>
      </c>
      <c r="P14" s="49">
        <v>22.950958</v>
      </c>
      <c r="Q14" s="49" t="e">
        <v>#N/A</v>
      </c>
      <c r="R14" s="49">
        <v>12.480855</v>
      </c>
      <c r="S14" s="49">
        <v>3.7468314</v>
      </c>
      <c r="T14" s="49" t="e">
        <v>#N/A</v>
      </c>
      <c r="U14" s="49">
        <v>-14.244479</v>
      </c>
      <c r="V14" s="165" t="e">
        <v>#N/A</v>
      </c>
      <c r="W14" s="33"/>
    </row>
    <row r="15" spans="1:23" x14ac:dyDescent="0.35">
      <c r="A15" s="2">
        <v>42108</v>
      </c>
      <c r="B15" s="7" t="e">
        <v>#N/A</v>
      </c>
      <c r="C15" s="7">
        <v>-9.4540179999999996</v>
      </c>
      <c r="D15" s="49">
        <v>-0.34986138</v>
      </c>
      <c r="E15" s="49">
        <v>20.776986999999998</v>
      </c>
      <c r="F15" s="49">
        <v>-16.719650000000001</v>
      </c>
      <c r="G15" s="49">
        <v>-11.007588999999999</v>
      </c>
      <c r="H15" s="49">
        <v>-12.117319999999999</v>
      </c>
      <c r="I15" s="49">
        <v>9.7548600000000008</v>
      </c>
      <c r="J15" s="49">
        <v>-6.0440659999999999</v>
      </c>
      <c r="K15" s="49">
        <v>-3.7048994999999998</v>
      </c>
      <c r="L15" s="49">
        <v>-24.897783</v>
      </c>
      <c r="M15" s="49">
        <v>8.5563420000000008</v>
      </c>
      <c r="N15" s="49">
        <v>-52.13496</v>
      </c>
      <c r="O15" s="49">
        <v>25.091063999999999</v>
      </c>
      <c r="P15" s="49">
        <v>39.025449999999999</v>
      </c>
      <c r="Q15" s="49" t="e">
        <v>#N/A</v>
      </c>
      <c r="R15" s="49">
        <v>11.389923</v>
      </c>
      <c r="S15" s="49">
        <v>-10.800509999999999</v>
      </c>
      <c r="T15" s="49" t="e">
        <v>#N/A</v>
      </c>
      <c r="U15" s="49">
        <v>-15.413349999999999</v>
      </c>
      <c r="V15" s="165" t="e">
        <v>#N/A</v>
      </c>
      <c r="W15" s="33"/>
    </row>
    <row r="16" spans="1:23" x14ac:dyDescent="0.35">
      <c r="A16" s="2">
        <v>42138</v>
      </c>
      <c r="B16" s="7" t="e">
        <v>#N/A</v>
      </c>
      <c r="C16" s="7">
        <v>-6.0014605999999997</v>
      </c>
      <c r="D16" s="49">
        <v>-9.1241599999999998</v>
      </c>
      <c r="E16" s="49">
        <v>11.758971000000001</v>
      </c>
      <c r="F16" s="49">
        <v>-8.3832319999999996</v>
      </c>
      <c r="G16" s="49">
        <v>-8.6442709999999998</v>
      </c>
      <c r="H16" s="49">
        <v>-11.597931000000001</v>
      </c>
      <c r="I16" s="49">
        <v>13.341557999999999</v>
      </c>
      <c r="J16" s="49">
        <v>-8.5041100000000007</v>
      </c>
      <c r="K16" s="49">
        <v>-5.4300547000000003</v>
      </c>
      <c r="L16" s="49">
        <v>-23.522627</v>
      </c>
      <c r="M16" s="49">
        <v>0.77577830000000003</v>
      </c>
      <c r="N16" s="49">
        <v>-40.895200000000003</v>
      </c>
      <c r="O16" s="49">
        <v>8.8964459999999992</v>
      </c>
      <c r="P16" s="49">
        <v>38.787697000000001</v>
      </c>
      <c r="Q16" s="49">
        <v>-4.5538243999999999</v>
      </c>
      <c r="R16" s="49">
        <v>7.2613000000000003</v>
      </c>
      <c r="S16" s="49">
        <v>-7.2955490000000003</v>
      </c>
      <c r="T16" s="49">
        <v>-17.931191999999999</v>
      </c>
      <c r="U16" s="49">
        <v>-10.811937</v>
      </c>
      <c r="V16" s="165" t="e">
        <v>#N/A</v>
      </c>
      <c r="W16" s="33"/>
    </row>
    <row r="17" spans="1:23" x14ac:dyDescent="0.35">
      <c r="A17" s="2">
        <v>42167</v>
      </c>
      <c r="B17" s="7" t="e">
        <v>#N/A</v>
      </c>
      <c r="C17" s="7">
        <v>-12.130732</v>
      </c>
      <c r="D17" s="49">
        <v>-12.086069</v>
      </c>
      <c r="E17" s="49">
        <v>5.5952190000000002</v>
      </c>
      <c r="F17" s="49">
        <v>-18.975521000000001</v>
      </c>
      <c r="G17" s="49">
        <v>-13.015729</v>
      </c>
      <c r="H17" s="49">
        <v>-19.337273</v>
      </c>
      <c r="I17" s="49">
        <v>4.2370559999999999</v>
      </c>
      <c r="J17" s="49">
        <v>-12.844151500000001</v>
      </c>
      <c r="K17" s="49">
        <v>-13.730335</v>
      </c>
      <c r="L17" s="49">
        <v>-30.198687</v>
      </c>
      <c r="M17" s="49">
        <v>-5.5930613999999998</v>
      </c>
      <c r="N17" s="49">
        <v>-50.14141</v>
      </c>
      <c r="O17" s="49">
        <v>-4.9166259999999999</v>
      </c>
      <c r="P17" s="49">
        <v>30.668019999999999</v>
      </c>
      <c r="Q17" s="49">
        <v>-7.6449394000000002</v>
      </c>
      <c r="R17" s="49">
        <v>3.514707</v>
      </c>
      <c r="S17" s="49">
        <v>-19.992996000000002</v>
      </c>
      <c r="T17" s="49">
        <v>-14.374637999999999</v>
      </c>
      <c r="U17" s="49">
        <v>-9.9016850000000005</v>
      </c>
      <c r="V17" s="165" t="e">
        <v>#N/A</v>
      </c>
      <c r="W17" s="33"/>
    </row>
    <row r="18" spans="1:23" x14ac:dyDescent="0.35">
      <c r="A18" s="2">
        <v>42199</v>
      </c>
      <c r="B18" s="7" t="e">
        <v>#N/A</v>
      </c>
      <c r="C18" s="7">
        <v>-17.016161</v>
      </c>
      <c r="D18" s="49">
        <v>-15.630459999999999</v>
      </c>
      <c r="E18" s="49">
        <v>5.1617860000000002</v>
      </c>
      <c r="F18" s="49">
        <v>-19.843333999999999</v>
      </c>
      <c r="G18" s="49">
        <v>-20.368935</v>
      </c>
      <c r="H18" s="49">
        <v>-22.204993999999999</v>
      </c>
      <c r="I18" s="49">
        <v>-3.7927449000000002</v>
      </c>
      <c r="J18" s="49">
        <v>-15.603876</v>
      </c>
      <c r="K18" s="49">
        <v>-16.334503000000002</v>
      </c>
      <c r="L18" s="49">
        <v>-32.286715999999998</v>
      </c>
      <c r="M18" s="49">
        <v>-4.8270520000000001</v>
      </c>
      <c r="N18" s="49">
        <v>-54.921978000000003</v>
      </c>
      <c r="O18" s="49">
        <v>6.2327026999999999</v>
      </c>
      <c r="P18" s="49">
        <v>11.650836999999999</v>
      </c>
      <c r="Q18" s="49">
        <v>-6.4428926000000004</v>
      </c>
      <c r="R18" s="49">
        <v>-2.6699662000000002</v>
      </c>
      <c r="S18" s="49">
        <v>-16.771750999999998</v>
      </c>
      <c r="T18" s="49">
        <v>-8.312875</v>
      </c>
      <c r="U18" s="49">
        <v>-5.5813790000000001</v>
      </c>
      <c r="V18" s="165" t="e">
        <v>#N/A</v>
      </c>
      <c r="W18" s="33"/>
    </row>
    <row r="19" spans="1:23" x14ac:dyDescent="0.35">
      <c r="A19" s="2">
        <v>42230</v>
      </c>
      <c r="B19" s="7" t="e">
        <v>#N/A</v>
      </c>
      <c r="C19" s="7">
        <v>-20.263863000000001</v>
      </c>
      <c r="D19" s="49">
        <v>-27.14873</v>
      </c>
      <c r="E19" s="49">
        <v>-2.9036582000000002</v>
      </c>
      <c r="F19" s="49">
        <v>-20.394444</v>
      </c>
      <c r="G19" s="49">
        <v>-32.769913000000003</v>
      </c>
      <c r="H19" s="49">
        <v>-33.054989999999997</v>
      </c>
      <c r="I19" s="49">
        <v>-12.361204000000001</v>
      </c>
      <c r="J19" s="49">
        <v>-22.033745</v>
      </c>
      <c r="K19" s="49">
        <v>-25.153220000000001</v>
      </c>
      <c r="L19" s="49">
        <v>-44.014156</v>
      </c>
      <c r="M19" s="49">
        <v>-15.177649499999999</v>
      </c>
      <c r="N19" s="49">
        <v>-51.234999999999999</v>
      </c>
      <c r="O19" s="49">
        <v>0.87201594999999998</v>
      </c>
      <c r="P19" s="49">
        <v>-0.40689707000000003</v>
      </c>
      <c r="Q19" s="49">
        <v>-12.925476</v>
      </c>
      <c r="R19" s="49">
        <v>-8.3043099999999992</v>
      </c>
      <c r="S19" s="49">
        <v>-23.737812000000002</v>
      </c>
      <c r="T19" s="49">
        <v>-13.597578</v>
      </c>
      <c r="U19" s="49">
        <v>-19.640754999999999</v>
      </c>
      <c r="V19" s="165" t="e">
        <v>#N/A</v>
      </c>
      <c r="W19" s="33"/>
    </row>
    <row r="20" spans="1:23" x14ac:dyDescent="0.35">
      <c r="A20" s="2">
        <v>42261</v>
      </c>
      <c r="B20" s="7" t="e">
        <v>#N/A</v>
      </c>
      <c r="C20" s="7">
        <v>-19.16949</v>
      </c>
      <c r="D20" s="49">
        <v>-31.257373999999999</v>
      </c>
      <c r="E20" s="49">
        <v>-8.5604370000000003</v>
      </c>
      <c r="F20" s="49">
        <v>-20.252865</v>
      </c>
      <c r="G20" s="49">
        <v>-35.211796</v>
      </c>
      <c r="H20" s="49">
        <v>-33.661430000000003</v>
      </c>
      <c r="I20" s="49">
        <v>-13.199275999999999</v>
      </c>
      <c r="J20" s="49">
        <v>-25.169682000000002</v>
      </c>
      <c r="K20" s="49">
        <v>-23.496002000000001</v>
      </c>
      <c r="L20" s="49">
        <v>-48.745365</v>
      </c>
      <c r="M20" s="49">
        <v>-17.596381999999998</v>
      </c>
      <c r="N20" s="49">
        <v>-49.922530000000002</v>
      </c>
      <c r="O20" s="49">
        <v>-10.427021999999999</v>
      </c>
      <c r="P20" s="49">
        <v>-10.222912000000001</v>
      </c>
      <c r="Q20" s="49">
        <v>-14.384472000000001</v>
      </c>
      <c r="R20" s="49">
        <v>-12.913567</v>
      </c>
      <c r="S20" s="49">
        <v>-32.119520000000001</v>
      </c>
      <c r="T20" s="49">
        <v>-24.702465</v>
      </c>
      <c r="U20" s="49">
        <v>-30.102032000000001</v>
      </c>
      <c r="V20" s="165" t="e">
        <v>#N/A</v>
      </c>
      <c r="W20" s="33"/>
    </row>
    <row r="21" spans="1:23" x14ac:dyDescent="0.35">
      <c r="A21" s="2">
        <v>42291</v>
      </c>
      <c r="B21" s="49" t="e">
        <v>#N/A</v>
      </c>
      <c r="C21" s="49">
        <v>-14.501322</v>
      </c>
      <c r="D21" s="49">
        <v>-18.856632000000001</v>
      </c>
      <c r="E21" s="49">
        <v>-1.8071234</v>
      </c>
      <c r="F21" s="49">
        <v>-16.185219</v>
      </c>
      <c r="G21" s="49">
        <v>-27.754318000000001</v>
      </c>
      <c r="H21" s="49">
        <v>-24.206543</v>
      </c>
      <c r="I21" s="49">
        <v>-4.9135739999999997</v>
      </c>
      <c r="J21" s="49">
        <v>-16.345483999999999</v>
      </c>
      <c r="K21" s="49">
        <v>-5.9875069999999999</v>
      </c>
      <c r="L21" s="49">
        <v>-48.476050000000001</v>
      </c>
      <c r="M21" s="49">
        <v>-5.675745</v>
      </c>
      <c r="N21" s="49">
        <v>-39.119169999999997</v>
      </c>
      <c r="O21" s="49">
        <v>-3.2008529000000001</v>
      </c>
      <c r="P21" s="49">
        <v>1.824975</v>
      </c>
      <c r="Q21" s="49">
        <v>-11.983479000000001</v>
      </c>
      <c r="R21" s="49">
        <v>-9.1609719999999992</v>
      </c>
      <c r="S21" s="49">
        <v>-16.217274</v>
      </c>
      <c r="T21" s="49">
        <v>-13.800568</v>
      </c>
      <c r="U21" s="49">
        <v>-17.574024000000001</v>
      </c>
      <c r="V21" s="165" t="e">
        <v>#N/A</v>
      </c>
      <c r="W21" s="33"/>
    </row>
    <row r="22" spans="1:23" x14ac:dyDescent="0.35">
      <c r="A22" s="2">
        <v>42321</v>
      </c>
      <c r="B22" s="49" t="e">
        <v>#N/A</v>
      </c>
      <c r="C22" s="49">
        <v>-19.379162000000001</v>
      </c>
      <c r="D22" s="49">
        <v>-24.523342</v>
      </c>
      <c r="E22" s="49">
        <v>-11.664939</v>
      </c>
      <c r="F22" s="49">
        <v>-24.549562000000002</v>
      </c>
      <c r="G22" s="49">
        <v>-31.453312</v>
      </c>
      <c r="H22" s="49">
        <v>-30.267876000000001</v>
      </c>
      <c r="I22" s="49">
        <v>-12.663555000000001</v>
      </c>
      <c r="J22" s="49">
        <v>-18.214034999999999</v>
      </c>
      <c r="K22" s="49">
        <v>-9.086138</v>
      </c>
      <c r="L22" s="49">
        <v>-39.599060000000001</v>
      </c>
      <c r="M22" s="49">
        <v>-21.867937000000001</v>
      </c>
      <c r="N22" s="49">
        <v>-38.651974000000003</v>
      </c>
      <c r="O22" s="49">
        <v>-14.538866000000001</v>
      </c>
      <c r="P22" s="49">
        <v>-3.9097667</v>
      </c>
      <c r="Q22" s="49">
        <v>-20.323699999999999</v>
      </c>
      <c r="R22" s="49">
        <v>-12.347752</v>
      </c>
      <c r="S22" s="49">
        <v>-19.271087999999999</v>
      </c>
      <c r="T22" s="49">
        <v>-27.901823</v>
      </c>
      <c r="U22" s="49">
        <v>-20.392821999999999</v>
      </c>
      <c r="V22" s="165" t="e">
        <v>#N/A</v>
      </c>
      <c r="W22" s="33"/>
    </row>
    <row r="23" spans="1:23" x14ac:dyDescent="0.35">
      <c r="A23" s="2">
        <v>42352</v>
      </c>
      <c r="B23" s="49" t="e">
        <v>#N/A</v>
      </c>
      <c r="C23" s="49">
        <v>-19.423939000000001</v>
      </c>
      <c r="D23" s="49">
        <v>-25.045186999999999</v>
      </c>
      <c r="E23" s="49">
        <v>-11.783737</v>
      </c>
      <c r="F23" s="49">
        <v>-32.208860000000001</v>
      </c>
      <c r="G23" s="49">
        <v>-35.230601999999998</v>
      </c>
      <c r="H23" s="49">
        <v>-21.599186</v>
      </c>
      <c r="I23" s="49">
        <v>-11.997562</v>
      </c>
      <c r="J23" s="49">
        <v>-10.860580000000001</v>
      </c>
      <c r="K23" s="49">
        <v>-7.5585183999999996</v>
      </c>
      <c r="L23" s="49">
        <v>-35.253357000000001</v>
      </c>
      <c r="M23" s="49">
        <v>-22.189240999999999</v>
      </c>
      <c r="N23" s="49">
        <v>-41.030790000000003</v>
      </c>
      <c r="O23" s="49">
        <v>-10.882622</v>
      </c>
      <c r="P23" s="49">
        <v>-6.3699244999999998</v>
      </c>
      <c r="Q23" s="49">
        <v>-16.622824000000001</v>
      </c>
      <c r="R23" s="49">
        <v>-16.326612000000001</v>
      </c>
      <c r="S23" s="49">
        <v>-33.000214</v>
      </c>
      <c r="T23" s="49">
        <v>-15.902156</v>
      </c>
      <c r="U23" s="49">
        <v>-22.445744000000001</v>
      </c>
      <c r="V23" s="165" t="e">
        <v>#N/A</v>
      </c>
      <c r="W23" s="33"/>
    </row>
    <row r="24" spans="1:23" x14ac:dyDescent="0.35">
      <c r="A24" s="2">
        <v>42383</v>
      </c>
      <c r="B24" s="49" t="e">
        <v>#N/A</v>
      </c>
      <c r="C24" s="49">
        <v>-18.457138</v>
      </c>
      <c r="D24" s="49">
        <v>-20.137982999999998</v>
      </c>
      <c r="E24" s="49">
        <v>-21.908204999999999</v>
      </c>
      <c r="F24" s="49">
        <v>-27.524448</v>
      </c>
      <c r="G24" s="49">
        <v>-37.070520000000002</v>
      </c>
      <c r="H24" s="49">
        <v>-21.322744</v>
      </c>
      <c r="I24" s="49">
        <v>-17.109531</v>
      </c>
      <c r="J24" s="49">
        <v>-18.174643</v>
      </c>
      <c r="K24" s="49">
        <v>-13.524264000000001</v>
      </c>
      <c r="L24" s="49">
        <v>-45.592444999999998</v>
      </c>
      <c r="M24" s="49">
        <v>-34.685696</v>
      </c>
      <c r="N24" s="49">
        <v>-41.761406000000001</v>
      </c>
      <c r="O24" s="49">
        <v>-14.104176000000001</v>
      </c>
      <c r="P24" s="49">
        <v>-20.354382999999999</v>
      </c>
      <c r="Q24" s="49">
        <v>-23.811363</v>
      </c>
      <c r="R24" s="49">
        <v>-17.065598000000001</v>
      </c>
      <c r="S24" s="49">
        <v>-36.556618</v>
      </c>
      <c r="T24" s="49">
        <v>-22.602070000000001</v>
      </c>
      <c r="U24" s="49">
        <v>-24.077397999999999</v>
      </c>
      <c r="V24" s="165" t="e">
        <v>#N/A</v>
      </c>
      <c r="W24" s="33"/>
    </row>
    <row r="25" spans="1:23" x14ac:dyDescent="0.35">
      <c r="A25" s="2">
        <v>42412</v>
      </c>
      <c r="B25" s="49" t="e">
        <v>#N/A</v>
      </c>
      <c r="C25" s="49">
        <v>-17.592358000000001</v>
      </c>
      <c r="D25" s="49">
        <v>-16.722232999999999</v>
      </c>
      <c r="E25" s="49">
        <v>-20.975489</v>
      </c>
      <c r="F25" s="49">
        <v>-24.603974999999998</v>
      </c>
      <c r="G25" s="49">
        <v>-29.036633999999999</v>
      </c>
      <c r="H25" s="49">
        <v>-18.932269999999999</v>
      </c>
      <c r="I25" s="49">
        <v>-20.841276000000001</v>
      </c>
      <c r="J25" s="49">
        <v>-21.426874000000002</v>
      </c>
      <c r="K25" s="49">
        <v>-14.407228999999999</v>
      </c>
      <c r="L25" s="49">
        <v>-42.21707</v>
      </c>
      <c r="M25" s="49">
        <v>-33.545493999999998</v>
      </c>
      <c r="N25" s="49">
        <v>-54.217033000000001</v>
      </c>
      <c r="O25" s="49">
        <v>-25.462992</v>
      </c>
      <c r="P25" s="49">
        <v>-27.705335999999999</v>
      </c>
      <c r="Q25" s="49">
        <v>-24.929165000000001</v>
      </c>
      <c r="R25" s="49">
        <v>-20.881992</v>
      </c>
      <c r="S25" s="49">
        <v>-29.033237</v>
      </c>
      <c r="T25" s="49">
        <v>-21.901147999999999</v>
      </c>
      <c r="U25" s="49">
        <v>-29.499275000000001</v>
      </c>
      <c r="V25" s="165" t="e">
        <v>#N/A</v>
      </c>
      <c r="W25" s="33"/>
    </row>
    <row r="26" spans="1:23" x14ac:dyDescent="0.35">
      <c r="A26" s="2">
        <v>42443</v>
      </c>
      <c r="B26" s="49" t="e">
        <v>#N/A</v>
      </c>
      <c r="C26" s="49">
        <v>-5.0879836000000003</v>
      </c>
      <c r="D26" s="49">
        <v>-8.0368809999999993</v>
      </c>
      <c r="E26" s="49">
        <v>-13.644916</v>
      </c>
      <c r="F26" s="49">
        <v>-11.225289</v>
      </c>
      <c r="G26" s="49">
        <v>-10.531831</v>
      </c>
      <c r="H26" s="49">
        <v>-11.272209999999999</v>
      </c>
      <c r="I26" s="49">
        <v>-9.846705</v>
      </c>
      <c r="J26" s="49">
        <v>-9.1831259999999997</v>
      </c>
      <c r="K26" s="49">
        <v>-6.1290383000000004</v>
      </c>
      <c r="L26" s="49">
        <v>-10.725331000000001</v>
      </c>
      <c r="M26" s="49">
        <v>-20.233481999999999</v>
      </c>
      <c r="N26" s="49">
        <v>-29.870539999999998</v>
      </c>
      <c r="O26" s="49">
        <v>-17.181992000000001</v>
      </c>
      <c r="P26" s="49">
        <v>-16.877210000000002</v>
      </c>
      <c r="Q26" s="49">
        <v>-14.624929</v>
      </c>
      <c r="R26" s="49">
        <v>-9.5540230000000008</v>
      </c>
      <c r="S26" s="49">
        <v>-1.4461279</v>
      </c>
      <c r="T26" s="49">
        <v>-8.0381809999999998</v>
      </c>
      <c r="U26" s="49">
        <v>-19.488222</v>
      </c>
      <c r="V26" s="165" t="e">
        <v>#N/A</v>
      </c>
      <c r="W26" s="33"/>
    </row>
    <row r="27" spans="1:23" x14ac:dyDescent="0.35">
      <c r="A27" s="2">
        <v>42474</v>
      </c>
      <c r="B27" s="49" t="e">
        <v>#N/A</v>
      </c>
      <c r="C27" s="49">
        <v>-9.5263779999999993</v>
      </c>
      <c r="D27" s="49">
        <v>-13.224964999999999</v>
      </c>
      <c r="E27" s="49">
        <v>-11.262428</v>
      </c>
      <c r="F27" s="49">
        <v>-17.523686999999999</v>
      </c>
      <c r="G27" s="49">
        <v>-1.2998103999999999</v>
      </c>
      <c r="H27" s="49">
        <v>-7.9589962999999999</v>
      </c>
      <c r="I27" s="49">
        <v>-11.321365</v>
      </c>
      <c r="J27" s="49">
        <v>-9.0199230000000004</v>
      </c>
      <c r="K27" s="49">
        <v>-10.360645999999999</v>
      </c>
      <c r="L27" s="49">
        <v>-14.451860999999999</v>
      </c>
      <c r="M27" s="49">
        <v>-20.279736</v>
      </c>
      <c r="N27" s="49">
        <v>-31.578869000000001</v>
      </c>
      <c r="O27" s="49">
        <v>-16.652774999999998</v>
      </c>
      <c r="P27" s="49">
        <v>-27.489298000000002</v>
      </c>
      <c r="Q27" s="49">
        <v>-13.158761999999999</v>
      </c>
      <c r="R27" s="49">
        <v>-10.492748000000001</v>
      </c>
      <c r="S27" s="49">
        <v>0.79898833999999996</v>
      </c>
      <c r="T27" s="49">
        <v>-8.2533180000000002</v>
      </c>
      <c r="U27" s="49">
        <v>-15.845435999999999</v>
      </c>
      <c r="V27" s="165" t="e">
        <v>#N/A</v>
      </c>
      <c r="W27" s="33"/>
    </row>
    <row r="28" spans="1:23" x14ac:dyDescent="0.35">
      <c r="A28" s="2">
        <v>42503</v>
      </c>
      <c r="B28" s="49" t="e">
        <v>#N/A</v>
      </c>
      <c r="C28" s="49">
        <v>-16.27345</v>
      </c>
      <c r="D28" s="49">
        <v>-12.986058</v>
      </c>
      <c r="E28" s="49">
        <v>-8.2662700000000005</v>
      </c>
      <c r="F28" s="49">
        <v>-30.36843</v>
      </c>
      <c r="G28" s="49">
        <v>-1.7022431</v>
      </c>
      <c r="H28" s="49">
        <v>-17.673748</v>
      </c>
      <c r="I28" s="49">
        <v>-22.49521</v>
      </c>
      <c r="J28" s="49">
        <v>-12.774599</v>
      </c>
      <c r="K28" s="49">
        <v>-14.895636</v>
      </c>
      <c r="L28" s="49">
        <v>-20.668077</v>
      </c>
      <c r="M28" s="49">
        <v>-27.382576</v>
      </c>
      <c r="N28" s="49">
        <v>-31.623792999999999</v>
      </c>
      <c r="O28" s="49">
        <v>-10.242134</v>
      </c>
      <c r="P28" s="49">
        <v>-33.098125000000003</v>
      </c>
      <c r="Q28" s="49">
        <v>-19.255631999999999</v>
      </c>
      <c r="R28" s="49">
        <v>-6.768942</v>
      </c>
      <c r="S28" s="49">
        <v>-18.801217999999999</v>
      </c>
      <c r="T28" s="49">
        <v>-18.556481999999999</v>
      </c>
      <c r="U28" s="49">
        <v>-14.0113535</v>
      </c>
      <c r="V28" s="165" t="e">
        <v>#N/A</v>
      </c>
      <c r="W28" s="33"/>
    </row>
    <row r="29" spans="1:23" x14ac:dyDescent="0.35">
      <c r="A29" s="2">
        <v>42535</v>
      </c>
      <c r="B29" s="49" t="e">
        <v>#N/A</v>
      </c>
      <c r="C29" s="49">
        <v>-9.6246360000000006</v>
      </c>
      <c r="D29" s="49">
        <v>-2.2753774999999998</v>
      </c>
      <c r="E29" s="49">
        <v>-1.7301023</v>
      </c>
      <c r="F29" s="49">
        <v>-27.734446999999999</v>
      </c>
      <c r="G29" s="49">
        <v>5.6624413000000004E-3</v>
      </c>
      <c r="H29" s="49">
        <v>-11.764860000000001</v>
      </c>
      <c r="I29" s="49">
        <v>-11.291009000000001</v>
      </c>
      <c r="J29" s="49">
        <v>-16.456340000000001</v>
      </c>
      <c r="K29" s="49">
        <v>-7.0500670000000003</v>
      </c>
      <c r="L29" s="49">
        <v>-18.413723000000001</v>
      </c>
      <c r="M29" s="49">
        <v>-19.13945</v>
      </c>
      <c r="N29" s="49">
        <v>-35.095779999999998</v>
      </c>
      <c r="O29" s="49">
        <v>-3.2352029999999998</v>
      </c>
      <c r="P29" s="49">
        <v>-29.660923</v>
      </c>
      <c r="Q29" s="49">
        <v>-17.557680000000001</v>
      </c>
      <c r="R29" s="49">
        <v>-5.3128479999999998</v>
      </c>
      <c r="S29" s="49">
        <v>-10.737311999999999</v>
      </c>
      <c r="T29" s="49">
        <v>-15.235996</v>
      </c>
      <c r="U29" s="49">
        <v>-16.433351999999999</v>
      </c>
      <c r="V29" s="165" t="e">
        <v>#N/A</v>
      </c>
      <c r="W29" s="33"/>
    </row>
    <row r="30" spans="1:23" x14ac:dyDescent="0.35">
      <c r="A30" s="2">
        <v>42565</v>
      </c>
      <c r="B30" s="49" t="e">
        <v>#N/A</v>
      </c>
      <c r="C30" s="49">
        <v>2.5247931000000001</v>
      </c>
      <c r="D30" s="49">
        <v>7.9582689999999996</v>
      </c>
      <c r="E30" s="49">
        <v>4.2296170000000002</v>
      </c>
      <c r="F30" s="49">
        <v>-24.136538000000002</v>
      </c>
      <c r="G30" s="49">
        <v>16.90296</v>
      </c>
      <c r="H30" s="49">
        <v>-3.4213065999999999</v>
      </c>
      <c r="I30" s="49">
        <v>-2.6973723999999999</v>
      </c>
      <c r="J30" s="49">
        <v>-9.9802379999999999</v>
      </c>
      <c r="K30" s="49">
        <v>4.8354983000000002</v>
      </c>
      <c r="L30" s="49">
        <v>-0.33543706000000001</v>
      </c>
      <c r="M30" s="49">
        <v>-11.076916000000001</v>
      </c>
      <c r="N30" s="49">
        <v>-24.038898</v>
      </c>
      <c r="O30" s="49">
        <v>-4.579777</v>
      </c>
      <c r="P30" s="49">
        <v>-14.552784000000001</v>
      </c>
      <c r="Q30" s="49">
        <v>-12.556023</v>
      </c>
      <c r="R30" s="49">
        <v>1.9478797999999999E-2</v>
      </c>
      <c r="S30" s="49">
        <v>-6.2927302999999997</v>
      </c>
      <c r="T30" s="49">
        <v>-10.796392000000001</v>
      </c>
      <c r="U30" s="49">
        <v>-18.81352</v>
      </c>
      <c r="V30" s="165" t="e">
        <v>#N/A</v>
      </c>
      <c r="W30" s="33"/>
    </row>
    <row r="31" spans="1:23" x14ac:dyDescent="0.35">
      <c r="A31" s="2">
        <v>42594</v>
      </c>
      <c r="B31" s="49" t="e">
        <v>#N/A</v>
      </c>
      <c r="C31" s="49">
        <v>13.194979</v>
      </c>
      <c r="D31" s="49">
        <v>31.269884000000001</v>
      </c>
      <c r="E31" s="49">
        <v>7.0713400000000002</v>
      </c>
      <c r="F31" s="49">
        <v>-13.874668</v>
      </c>
      <c r="G31" s="49">
        <v>39.129424999999998</v>
      </c>
      <c r="H31" s="49">
        <v>8.7773559999999993</v>
      </c>
      <c r="I31" s="49">
        <v>16.869247000000001</v>
      </c>
      <c r="J31" s="49">
        <v>-1.1072993</v>
      </c>
      <c r="K31" s="49">
        <v>19.598234000000001</v>
      </c>
      <c r="L31" s="49">
        <v>31.091953</v>
      </c>
      <c r="M31" s="49">
        <v>4.4117689999999996</v>
      </c>
      <c r="N31" s="49">
        <v>-27.409141999999999</v>
      </c>
      <c r="O31" s="49">
        <v>0.87521075999999998</v>
      </c>
      <c r="P31" s="49">
        <v>-3.6382734999999999</v>
      </c>
      <c r="Q31" s="49">
        <v>-4.7095536999999998</v>
      </c>
      <c r="R31" s="49">
        <v>10.247671</v>
      </c>
      <c r="S31" s="49">
        <v>-3.4097493000000001</v>
      </c>
      <c r="T31" s="49">
        <v>-9.8565939999999994</v>
      </c>
      <c r="U31" s="49">
        <v>-10.626918</v>
      </c>
      <c r="V31" s="165" t="e">
        <v>#N/A</v>
      </c>
      <c r="W31" s="33"/>
    </row>
    <row r="32" spans="1:23" x14ac:dyDescent="0.35">
      <c r="A32" s="2">
        <v>42627</v>
      </c>
      <c r="B32" s="49" t="e">
        <v>#N/A</v>
      </c>
      <c r="C32" s="49">
        <v>7.5299620000000003</v>
      </c>
      <c r="D32" s="49">
        <v>31.600380000000001</v>
      </c>
      <c r="E32" s="49">
        <v>6.0494659999999998</v>
      </c>
      <c r="F32" s="49">
        <v>-17.756599999999999</v>
      </c>
      <c r="G32" s="49">
        <v>45.655284999999999</v>
      </c>
      <c r="H32" s="49">
        <v>9.1510180000000005</v>
      </c>
      <c r="I32" s="49">
        <v>12.784279</v>
      </c>
      <c r="J32" s="49">
        <v>-6.1891259999999999</v>
      </c>
      <c r="K32" s="49">
        <v>16.696476000000001</v>
      </c>
      <c r="L32" s="49">
        <v>37.020240000000001</v>
      </c>
      <c r="M32" s="49">
        <v>3.3601999999999999</v>
      </c>
      <c r="N32" s="49">
        <v>-30.077044999999998</v>
      </c>
      <c r="O32" s="49">
        <v>7.5780630000000002</v>
      </c>
      <c r="P32" s="49">
        <v>9.2590570000000003</v>
      </c>
      <c r="Q32" s="49">
        <v>-8.9328529999999997</v>
      </c>
      <c r="R32" s="49">
        <v>5.8846116000000004</v>
      </c>
      <c r="S32" s="49">
        <v>10.086929</v>
      </c>
      <c r="T32" s="49">
        <v>-0.62326190000000004</v>
      </c>
      <c r="U32" s="49">
        <v>-4.1966020000000004</v>
      </c>
      <c r="V32" s="165" t="e">
        <v>#N/A</v>
      </c>
      <c r="W32" s="33"/>
    </row>
    <row r="33" spans="1:23" x14ac:dyDescent="0.35">
      <c r="A33" s="2">
        <v>42657</v>
      </c>
      <c r="B33" s="49" t="e">
        <v>#N/A</v>
      </c>
      <c r="C33" s="49">
        <v>8.7132339999999999</v>
      </c>
      <c r="D33" s="49">
        <v>27.797377000000001</v>
      </c>
      <c r="E33" s="49">
        <v>9.8013879999999998E-2</v>
      </c>
      <c r="F33" s="49">
        <v>-18.702542999999999</v>
      </c>
      <c r="G33" s="49">
        <v>35.613143999999998</v>
      </c>
      <c r="H33" s="49">
        <v>-0.19113421</v>
      </c>
      <c r="I33" s="49">
        <v>13.273251</v>
      </c>
      <c r="J33" s="49">
        <v>-5.659497</v>
      </c>
      <c r="K33" s="49">
        <v>6.7295074000000001</v>
      </c>
      <c r="L33" s="49">
        <v>55.290709999999997</v>
      </c>
      <c r="M33" s="49">
        <v>-8.6807309999999998</v>
      </c>
      <c r="N33" s="49">
        <v>-26.153738000000001</v>
      </c>
      <c r="O33" s="49">
        <v>2.0154595</v>
      </c>
      <c r="P33" s="49">
        <v>3.7186265000000001</v>
      </c>
      <c r="Q33" s="49">
        <v>-7.2928905000000004</v>
      </c>
      <c r="R33" s="49">
        <v>5.1619887000000002</v>
      </c>
      <c r="S33" s="49">
        <v>-6.1787367</v>
      </c>
      <c r="T33" s="49">
        <v>-7.8799780000000004</v>
      </c>
      <c r="U33" s="49">
        <v>-10.558598999999999</v>
      </c>
      <c r="V33" s="165">
        <v>-19.855250000000002</v>
      </c>
      <c r="W33" s="33"/>
    </row>
    <row r="34" spans="1:23" x14ac:dyDescent="0.35">
      <c r="A34" s="2">
        <v>42688</v>
      </c>
      <c r="B34" s="49" t="e">
        <v>#N/A</v>
      </c>
      <c r="C34" s="49">
        <v>12.605370000000001</v>
      </c>
      <c r="D34" s="49">
        <v>17.797481999999999</v>
      </c>
      <c r="E34" s="49">
        <v>-1.7708957000000001</v>
      </c>
      <c r="F34" s="49">
        <v>-10.071278</v>
      </c>
      <c r="G34" s="49">
        <v>48.199905000000001</v>
      </c>
      <c r="H34" s="49">
        <v>2.4038195999999998</v>
      </c>
      <c r="I34" s="49">
        <v>13.660145</v>
      </c>
      <c r="J34" s="49">
        <v>-14.520377</v>
      </c>
      <c r="K34" s="49">
        <v>4.5093417000000002</v>
      </c>
      <c r="L34" s="49">
        <v>41.99859</v>
      </c>
      <c r="M34" s="49">
        <v>-2.5358320000000001</v>
      </c>
      <c r="N34" s="49">
        <v>-20.7331</v>
      </c>
      <c r="O34" s="49">
        <v>0.14554262000000001</v>
      </c>
      <c r="P34" s="49">
        <v>-1.3791024999999999</v>
      </c>
      <c r="Q34" s="49">
        <v>-6.368989</v>
      </c>
      <c r="R34" s="49">
        <v>6.2764882999999996</v>
      </c>
      <c r="S34" s="49">
        <v>-19.330300000000001</v>
      </c>
      <c r="T34" s="49">
        <v>2.3233533</v>
      </c>
      <c r="U34" s="49">
        <v>-13.3178</v>
      </c>
      <c r="V34" s="165">
        <v>-0.28142333000000003</v>
      </c>
      <c r="W34" s="33"/>
    </row>
    <row r="35" spans="1:23" x14ac:dyDescent="0.35">
      <c r="A35" s="2">
        <v>42718</v>
      </c>
      <c r="B35" s="49" t="e">
        <v>#N/A</v>
      </c>
      <c r="C35" s="49">
        <v>27.140785000000001</v>
      </c>
      <c r="D35" s="49">
        <v>23.299503000000001</v>
      </c>
      <c r="E35" s="49">
        <v>-2.4963557999999999</v>
      </c>
      <c r="F35" s="49">
        <v>5.7685256000000003</v>
      </c>
      <c r="G35" s="49">
        <v>61.688209999999998</v>
      </c>
      <c r="H35" s="49">
        <v>0.19526482000000001</v>
      </c>
      <c r="I35" s="49">
        <v>21.80705</v>
      </c>
      <c r="J35" s="49">
        <v>-6.3781204000000002</v>
      </c>
      <c r="K35" s="49">
        <v>10.39803</v>
      </c>
      <c r="L35" s="49">
        <v>43.32694</v>
      </c>
      <c r="M35" s="49">
        <v>15.728569</v>
      </c>
      <c r="N35" s="49">
        <v>-2.9243826999999998</v>
      </c>
      <c r="O35" s="49">
        <v>2.8111576999999999</v>
      </c>
      <c r="P35" s="49">
        <v>3.7997127000000002</v>
      </c>
      <c r="Q35" s="49">
        <v>8.2545640000000002</v>
      </c>
      <c r="R35" s="49">
        <v>20.009315000000001</v>
      </c>
      <c r="S35" s="49">
        <v>-7.6186600000000002</v>
      </c>
      <c r="T35" s="49">
        <v>19.788097</v>
      </c>
      <c r="U35" s="49">
        <v>-8.0175219999999996</v>
      </c>
      <c r="V35" s="165">
        <v>6.9595099999999999</v>
      </c>
      <c r="W35" s="33"/>
    </row>
    <row r="36" spans="1:23" x14ac:dyDescent="0.35">
      <c r="A36" s="2">
        <v>42748</v>
      </c>
      <c r="B36" s="49" t="e">
        <v>#N/A</v>
      </c>
      <c r="C36" s="49">
        <v>30.777667999999998</v>
      </c>
      <c r="D36" s="49">
        <v>20.936954</v>
      </c>
      <c r="E36" s="49">
        <v>12.847746000000001</v>
      </c>
      <c r="F36" s="49">
        <v>16.132652</v>
      </c>
      <c r="G36" s="49">
        <v>86.399439999999998</v>
      </c>
      <c r="H36" s="49">
        <v>5.5543065</v>
      </c>
      <c r="I36" s="49">
        <v>35.396895999999998</v>
      </c>
      <c r="J36" s="49">
        <v>-5.7915688000000003</v>
      </c>
      <c r="K36" s="49">
        <v>22.128140999999999</v>
      </c>
      <c r="L36" s="49">
        <v>97.338170000000005</v>
      </c>
      <c r="M36" s="49">
        <v>41.721449999999997</v>
      </c>
      <c r="N36" s="49">
        <v>11.850775000000001</v>
      </c>
      <c r="O36" s="49">
        <v>8.4199310000000001</v>
      </c>
      <c r="P36" s="49">
        <v>20.583773000000001</v>
      </c>
      <c r="Q36" s="49">
        <v>19.945357999999999</v>
      </c>
      <c r="R36" s="49">
        <v>23.199414999999998</v>
      </c>
      <c r="S36" s="49">
        <v>-4.4052243000000004</v>
      </c>
      <c r="T36" s="49">
        <v>27.185165000000001</v>
      </c>
      <c r="U36" s="49">
        <v>1.7103672000000001</v>
      </c>
      <c r="V36" s="165">
        <v>20.941210000000002</v>
      </c>
      <c r="W36" s="33"/>
    </row>
    <row r="37" spans="1:23" x14ac:dyDescent="0.35">
      <c r="A37" s="2">
        <v>42780</v>
      </c>
      <c r="B37" s="49" t="e">
        <v>#N/A</v>
      </c>
      <c r="C37" s="49">
        <v>28.262101999999999</v>
      </c>
      <c r="D37" s="49">
        <v>11.799192</v>
      </c>
      <c r="E37" s="49">
        <v>5.3538680000000003</v>
      </c>
      <c r="F37" s="49">
        <v>23.613548000000002</v>
      </c>
      <c r="G37" s="49">
        <v>71.324005</v>
      </c>
      <c r="H37" s="49">
        <v>-0.33368468000000001</v>
      </c>
      <c r="I37" s="49">
        <v>37.451923000000001</v>
      </c>
      <c r="J37" s="49">
        <v>4.2615175000000001</v>
      </c>
      <c r="K37" s="49">
        <v>26.626528</v>
      </c>
      <c r="L37" s="49">
        <v>105.61942999999999</v>
      </c>
      <c r="M37" s="49">
        <v>32.280422000000002</v>
      </c>
      <c r="N37" s="49">
        <v>33.470300000000002</v>
      </c>
      <c r="O37" s="49">
        <v>23.011827</v>
      </c>
      <c r="P37" s="49">
        <v>35.366819999999997</v>
      </c>
      <c r="Q37" s="49">
        <v>17.025995000000002</v>
      </c>
      <c r="R37" s="49">
        <v>23.169004000000001</v>
      </c>
      <c r="S37" s="49">
        <v>0.70115329999999998</v>
      </c>
      <c r="T37" s="49">
        <v>23.077809999999999</v>
      </c>
      <c r="U37" s="49">
        <v>8.0142609999999994</v>
      </c>
      <c r="V37" s="165">
        <v>26.112090999999999</v>
      </c>
      <c r="W37" s="33"/>
    </row>
    <row r="38" spans="1:23" x14ac:dyDescent="0.35">
      <c r="A38" s="2">
        <v>42808</v>
      </c>
      <c r="B38" s="49" t="e">
        <v>#N/A</v>
      </c>
      <c r="C38" s="49">
        <v>17.232143000000001</v>
      </c>
      <c r="D38" s="49">
        <v>4.8772573000000001</v>
      </c>
      <c r="E38" s="49">
        <v>-3.1762838000000002</v>
      </c>
      <c r="F38" s="49">
        <v>15.979683</v>
      </c>
      <c r="G38" s="49">
        <v>31.013584000000002</v>
      </c>
      <c r="H38" s="49">
        <v>-3.5547792999999999</v>
      </c>
      <c r="I38" s="49">
        <v>20.733250000000002</v>
      </c>
      <c r="J38" s="49">
        <v>-5.6789874999999999</v>
      </c>
      <c r="K38" s="49">
        <v>19.562065</v>
      </c>
      <c r="L38" s="49">
        <v>47.203803999999998</v>
      </c>
      <c r="M38" s="49">
        <v>19.998073999999999</v>
      </c>
      <c r="N38" s="49">
        <v>7.0858955000000003</v>
      </c>
      <c r="O38" s="49">
        <v>18.719291999999999</v>
      </c>
      <c r="P38" s="49">
        <v>20.851158000000002</v>
      </c>
      <c r="Q38" s="49">
        <v>1.8949151</v>
      </c>
      <c r="R38" s="49">
        <v>10.677994</v>
      </c>
      <c r="S38" s="49">
        <v>-13.894743</v>
      </c>
      <c r="T38" s="49">
        <v>5.5675387000000001</v>
      </c>
      <c r="U38" s="49">
        <v>-3.1650483999999999</v>
      </c>
      <c r="V38" s="165">
        <v>11.820925000000001</v>
      </c>
      <c r="W38" s="33"/>
    </row>
    <row r="39" spans="1:23" x14ac:dyDescent="0.35">
      <c r="A39" s="2">
        <v>42838</v>
      </c>
      <c r="B39" s="49" t="e">
        <v>#N/A</v>
      </c>
      <c r="C39" s="49">
        <v>24.771477000000001</v>
      </c>
      <c r="D39" s="49">
        <v>10.868061000000001</v>
      </c>
      <c r="E39" s="49">
        <v>-2.7320324999999999</v>
      </c>
      <c r="F39" s="49">
        <v>13.114762000000001</v>
      </c>
      <c r="G39" s="49">
        <v>17.719162000000001</v>
      </c>
      <c r="H39" s="49">
        <v>-9.2333975000000006</v>
      </c>
      <c r="I39" s="49">
        <v>23.87706</v>
      </c>
      <c r="J39" s="49">
        <v>-1.6735553999999999</v>
      </c>
      <c r="K39" s="49">
        <v>14.29491</v>
      </c>
      <c r="L39" s="49">
        <v>27.311419999999998</v>
      </c>
      <c r="M39" s="49">
        <v>8.6358549999999994</v>
      </c>
      <c r="N39" s="49">
        <v>14.204537999999999</v>
      </c>
      <c r="O39" s="49">
        <v>16.061354000000001</v>
      </c>
      <c r="P39" s="49">
        <v>15.243684999999999</v>
      </c>
      <c r="Q39" s="49">
        <v>4.6308756000000004</v>
      </c>
      <c r="R39" s="49">
        <v>14.730549</v>
      </c>
      <c r="S39" s="49">
        <v>-17.764693999999999</v>
      </c>
      <c r="T39" s="49">
        <v>1.9815206999999999</v>
      </c>
      <c r="U39" s="49">
        <v>1.0605931</v>
      </c>
      <c r="V39" s="165">
        <v>14.986753</v>
      </c>
      <c r="W39" s="33"/>
    </row>
    <row r="40" spans="1:23" x14ac:dyDescent="0.35">
      <c r="A40" s="2">
        <v>42867</v>
      </c>
      <c r="B40" s="49" t="e">
        <v>#N/A</v>
      </c>
      <c r="C40" s="49">
        <v>20.456291</v>
      </c>
      <c r="D40" s="49">
        <v>19.399570000000001</v>
      </c>
      <c r="E40" s="49">
        <v>0.39803981999999999</v>
      </c>
      <c r="F40" s="49">
        <v>36.830756999999998</v>
      </c>
      <c r="G40" s="49">
        <v>18.611336000000001</v>
      </c>
      <c r="H40" s="49">
        <v>3.804624</v>
      </c>
      <c r="I40" s="49">
        <v>41.027926999999998</v>
      </c>
      <c r="J40" s="49">
        <v>2.7748227000000001</v>
      </c>
      <c r="K40" s="49">
        <v>31.824780000000001</v>
      </c>
      <c r="L40" s="49">
        <v>39.607917999999998</v>
      </c>
      <c r="M40" s="49">
        <v>22.898244999999999</v>
      </c>
      <c r="N40" s="49">
        <v>14.420855</v>
      </c>
      <c r="O40" s="49">
        <v>21.416128</v>
      </c>
      <c r="P40" s="49">
        <v>33.226906</v>
      </c>
      <c r="Q40" s="49">
        <v>3.7842989999999999</v>
      </c>
      <c r="R40" s="49">
        <v>10.335803</v>
      </c>
      <c r="S40" s="49">
        <v>2.1202207</v>
      </c>
      <c r="T40" s="49">
        <v>8.8985199999999995</v>
      </c>
      <c r="U40" s="49">
        <v>0.38090943999999999</v>
      </c>
      <c r="V40" s="165">
        <v>7.0162177000000003</v>
      </c>
      <c r="W40" s="33"/>
    </row>
    <row r="41" spans="1:23" x14ac:dyDescent="0.35">
      <c r="A41" s="2">
        <v>42900</v>
      </c>
      <c r="B41" s="49" t="e">
        <v>#N/A</v>
      </c>
      <c r="C41" s="49">
        <v>26.228369000000001</v>
      </c>
      <c r="D41" s="49">
        <v>21.724546</v>
      </c>
      <c r="E41" s="49">
        <v>0.13606547999999999</v>
      </c>
      <c r="F41" s="49">
        <v>43.877006999999999</v>
      </c>
      <c r="G41" s="49">
        <v>17.977356</v>
      </c>
      <c r="H41" s="49">
        <v>9.2316149999999997</v>
      </c>
      <c r="I41" s="49">
        <v>30.977297</v>
      </c>
      <c r="J41" s="49">
        <v>15.560663</v>
      </c>
      <c r="K41" s="49">
        <v>37.863326999999998</v>
      </c>
      <c r="L41" s="49">
        <v>32.523598</v>
      </c>
      <c r="M41" s="49">
        <v>23.491085000000002</v>
      </c>
      <c r="N41" s="49">
        <v>31.862164</v>
      </c>
      <c r="O41" s="49">
        <v>21.382952</v>
      </c>
      <c r="P41" s="49">
        <v>35.119354000000001</v>
      </c>
      <c r="Q41" s="49">
        <v>-0.82139969999999995</v>
      </c>
      <c r="R41" s="49">
        <v>10.426437</v>
      </c>
      <c r="S41" s="49">
        <v>11.153257</v>
      </c>
      <c r="T41" s="49">
        <v>9.3919990000000002</v>
      </c>
      <c r="U41" s="49">
        <v>2.1826743999999998</v>
      </c>
      <c r="V41" s="165">
        <v>6.4323186999999997</v>
      </c>
      <c r="W41" s="33"/>
    </row>
    <row r="42" spans="1:23" x14ac:dyDescent="0.35">
      <c r="A42" s="2">
        <v>42930</v>
      </c>
      <c r="B42" s="49">
        <v>11.181855000000001</v>
      </c>
      <c r="C42" s="49">
        <v>18.602454999999999</v>
      </c>
      <c r="D42" s="49">
        <v>9.9850060000000003</v>
      </c>
      <c r="E42" s="49">
        <v>-8.4470329999999993</v>
      </c>
      <c r="F42" s="49">
        <v>52.204610000000002</v>
      </c>
      <c r="G42" s="49">
        <v>6.8163514000000003</v>
      </c>
      <c r="H42" s="49">
        <v>-0.90059040000000001</v>
      </c>
      <c r="I42" s="49">
        <v>28.647482</v>
      </c>
      <c r="J42" s="49">
        <v>13.994574999999999</v>
      </c>
      <c r="K42" s="49">
        <v>30.840720000000001</v>
      </c>
      <c r="L42" s="49">
        <v>17.498529999999999</v>
      </c>
      <c r="M42" s="49">
        <v>10.392284</v>
      </c>
      <c r="N42" s="49">
        <v>49.006045999999998</v>
      </c>
      <c r="O42" s="49">
        <v>17.362749999999998</v>
      </c>
      <c r="P42" s="49">
        <v>33.181106999999997</v>
      </c>
      <c r="Q42" s="49">
        <v>-5.1827135000000002</v>
      </c>
      <c r="R42" s="49">
        <v>5.9851289999999997</v>
      </c>
      <c r="S42" s="49">
        <v>4.4211270000000003</v>
      </c>
      <c r="T42" s="49">
        <v>5.5470705000000002</v>
      </c>
      <c r="U42" s="49">
        <v>-0.5464852</v>
      </c>
      <c r="V42" s="165">
        <v>16.655588000000002</v>
      </c>
      <c r="W42" s="33"/>
    </row>
    <row r="43" spans="1:23" x14ac:dyDescent="0.35">
      <c r="A43" s="2">
        <v>42961</v>
      </c>
      <c r="B43" s="49">
        <v>11.694419999999999</v>
      </c>
      <c r="C43" s="49">
        <v>18.733523999999999</v>
      </c>
      <c r="D43" s="49">
        <v>3.3394694</v>
      </c>
      <c r="E43" s="49">
        <v>-10.213417</v>
      </c>
      <c r="F43" s="49">
        <v>37.380825000000002</v>
      </c>
      <c r="G43" s="49">
        <v>4.1133164999999998</v>
      </c>
      <c r="H43" s="49">
        <v>0.43333769999999999</v>
      </c>
      <c r="I43" s="49">
        <v>19.983899999999998</v>
      </c>
      <c r="J43" s="49">
        <v>8.7577820000000006</v>
      </c>
      <c r="K43" s="49">
        <v>19.059895999999998</v>
      </c>
      <c r="L43" s="49">
        <v>12.755585</v>
      </c>
      <c r="M43" s="49">
        <v>2.3678422000000001</v>
      </c>
      <c r="N43" s="49">
        <v>45.078434000000001</v>
      </c>
      <c r="O43" s="49">
        <v>13.931823</v>
      </c>
      <c r="P43" s="49">
        <v>29.249047999999998</v>
      </c>
      <c r="Q43" s="49">
        <v>-11.067367000000001</v>
      </c>
      <c r="R43" s="49">
        <v>0.55841209999999997</v>
      </c>
      <c r="S43" s="49">
        <v>17.164755</v>
      </c>
      <c r="T43" s="49">
        <v>4.5256020000000001</v>
      </c>
      <c r="U43" s="49">
        <v>-2.6260197000000001</v>
      </c>
      <c r="V43" s="165">
        <v>13.475609</v>
      </c>
      <c r="W43" s="33"/>
    </row>
    <row r="44" spans="1:23" x14ac:dyDescent="0.35">
      <c r="A44" s="2">
        <v>42992</v>
      </c>
      <c r="B44" s="49">
        <v>21.91</v>
      </c>
      <c r="C44" s="49">
        <v>36.187016</v>
      </c>
      <c r="D44" s="49">
        <v>10.793316000000001</v>
      </c>
      <c r="E44" s="49">
        <v>0.30333996000000002</v>
      </c>
      <c r="F44" s="49">
        <v>55.579532999999998</v>
      </c>
      <c r="G44" s="49">
        <v>18.956482000000001</v>
      </c>
      <c r="H44" s="49">
        <v>8.1548099999999994</v>
      </c>
      <c r="I44" s="49">
        <v>27.638662</v>
      </c>
      <c r="J44" s="49">
        <v>19.565940000000001</v>
      </c>
      <c r="K44" s="49">
        <v>25.908529999999999</v>
      </c>
      <c r="L44" s="49">
        <v>36.262656999999997</v>
      </c>
      <c r="M44" s="49">
        <v>14.468729</v>
      </c>
      <c r="N44" s="49">
        <v>43.636809999999997</v>
      </c>
      <c r="O44" s="49">
        <v>17.906130000000001</v>
      </c>
      <c r="P44" s="49">
        <v>34.463943</v>
      </c>
      <c r="Q44" s="49">
        <v>-13.978153000000001</v>
      </c>
      <c r="R44" s="49">
        <v>13.778043</v>
      </c>
      <c r="S44" s="49">
        <v>25.217665</v>
      </c>
      <c r="T44" s="49">
        <v>10.389519</v>
      </c>
      <c r="U44" s="49">
        <v>6.3903569999999998</v>
      </c>
      <c r="V44" s="165">
        <v>24.980186</v>
      </c>
      <c r="W44" s="33"/>
    </row>
    <row r="45" spans="1:23" x14ac:dyDescent="0.35">
      <c r="A45" s="2">
        <v>43021</v>
      </c>
      <c r="B45" s="49">
        <v>22.624302</v>
      </c>
      <c r="C45" s="49">
        <v>39.741301999999997</v>
      </c>
      <c r="D45" s="49">
        <v>5.2334069999999997</v>
      </c>
      <c r="E45" s="49">
        <v>7.4868917000000001</v>
      </c>
      <c r="F45" s="49">
        <v>55.963768000000002</v>
      </c>
      <c r="G45" s="49">
        <v>32.439304</v>
      </c>
      <c r="H45" s="49">
        <v>7.4929119999999996</v>
      </c>
      <c r="I45" s="49">
        <v>24.652802999999999</v>
      </c>
      <c r="J45" s="49">
        <v>5.5979133000000001</v>
      </c>
      <c r="K45" s="49">
        <v>32.735275000000001</v>
      </c>
      <c r="L45" s="49">
        <v>23.520969999999998</v>
      </c>
      <c r="M45" s="49">
        <v>24.531258000000001</v>
      </c>
      <c r="N45" s="49">
        <v>31.957457999999999</v>
      </c>
      <c r="O45" s="49">
        <v>19.432808000000001</v>
      </c>
      <c r="P45" s="49">
        <v>40.067123000000002</v>
      </c>
      <c r="Q45" s="49">
        <v>-15.870208</v>
      </c>
      <c r="R45" s="49">
        <v>21.782409999999999</v>
      </c>
      <c r="S45" s="49">
        <v>16.23274</v>
      </c>
      <c r="T45" s="49">
        <v>14.899921000000001</v>
      </c>
      <c r="U45" s="49">
        <v>6.0681459999999996</v>
      </c>
      <c r="V45" s="165">
        <v>25.921513000000001</v>
      </c>
      <c r="W45" s="33"/>
    </row>
    <row r="46" spans="1:23" x14ac:dyDescent="0.35">
      <c r="A46" s="2">
        <v>43053</v>
      </c>
      <c r="B46" s="49">
        <v>22.315740000000002</v>
      </c>
      <c r="C46" s="49">
        <v>33.973872999999998</v>
      </c>
      <c r="D46" s="49">
        <v>15.247273</v>
      </c>
      <c r="E46" s="49">
        <v>13.1888275</v>
      </c>
      <c r="F46" s="49">
        <v>59.838963</v>
      </c>
      <c r="G46" s="49">
        <v>28.389990000000001</v>
      </c>
      <c r="H46" s="49">
        <v>13.932715999999999</v>
      </c>
      <c r="I46" s="49">
        <v>30.102325</v>
      </c>
      <c r="J46" s="49">
        <v>13.720858</v>
      </c>
      <c r="K46" s="49">
        <v>43.797910000000002</v>
      </c>
      <c r="L46" s="49">
        <v>19.021023</v>
      </c>
      <c r="M46" s="49">
        <v>23.843813000000001</v>
      </c>
      <c r="N46" s="49">
        <v>25.866758000000001</v>
      </c>
      <c r="O46" s="49">
        <v>29.070366</v>
      </c>
      <c r="P46" s="49">
        <v>51.184784000000001</v>
      </c>
      <c r="Q46" s="49">
        <v>-19.793236</v>
      </c>
      <c r="R46" s="49">
        <v>15.885878</v>
      </c>
      <c r="S46" s="49">
        <v>25.593685000000001</v>
      </c>
      <c r="T46" s="49">
        <v>14.740467000000001</v>
      </c>
      <c r="U46" s="49">
        <v>23.166656</v>
      </c>
      <c r="V46" s="165">
        <v>7.8711867</v>
      </c>
      <c r="W46" s="33"/>
    </row>
    <row r="47" spans="1:23" x14ac:dyDescent="0.35">
      <c r="A47" s="2">
        <v>43083</v>
      </c>
      <c r="B47" s="49">
        <v>23.586119</v>
      </c>
      <c r="C47" s="49">
        <v>23.283493</v>
      </c>
      <c r="D47" s="49">
        <v>16.670406</v>
      </c>
      <c r="E47" s="49">
        <v>18.213760000000001</v>
      </c>
      <c r="F47" s="49">
        <v>50.005485999999998</v>
      </c>
      <c r="G47" s="49">
        <v>19.506979000000001</v>
      </c>
      <c r="H47" s="49">
        <v>20.694946000000002</v>
      </c>
      <c r="I47" s="49">
        <v>21.978210000000001</v>
      </c>
      <c r="J47" s="49">
        <v>12.546194</v>
      </c>
      <c r="K47" s="49">
        <v>40.544130000000003</v>
      </c>
      <c r="L47" s="49">
        <v>24.193895000000001</v>
      </c>
      <c r="M47" s="49">
        <v>22.109245000000001</v>
      </c>
      <c r="N47" s="49">
        <v>30.049216999999999</v>
      </c>
      <c r="O47" s="49">
        <v>32.71631</v>
      </c>
      <c r="P47" s="49">
        <v>48.269188</v>
      </c>
      <c r="Q47" s="49">
        <v>-14.512067999999999</v>
      </c>
      <c r="R47" s="49">
        <v>12.735581</v>
      </c>
      <c r="S47" s="49">
        <v>30.629276000000001</v>
      </c>
      <c r="T47" s="49">
        <v>0.95089674000000002</v>
      </c>
      <c r="U47" s="49">
        <v>31.884098000000002</v>
      </c>
      <c r="V47" s="165">
        <v>4.3983460000000001</v>
      </c>
      <c r="W47" s="33"/>
    </row>
    <row r="48" spans="1:23" x14ac:dyDescent="0.35">
      <c r="A48" s="2">
        <v>43112</v>
      </c>
      <c r="B48" s="49">
        <v>34.523463999999997</v>
      </c>
      <c r="C48" s="49">
        <v>45.744166999999997</v>
      </c>
      <c r="D48" s="49">
        <v>20.947765</v>
      </c>
      <c r="E48" s="49">
        <v>15.021515000000001</v>
      </c>
      <c r="F48" s="49">
        <v>50.948394999999998</v>
      </c>
      <c r="G48" s="49">
        <v>31.720924</v>
      </c>
      <c r="H48" s="49">
        <v>25.516558</v>
      </c>
      <c r="I48" s="49">
        <v>25.134933</v>
      </c>
      <c r="J48" s="49">
        <v>23.189616999999998</v>
      </c>
      <c r="K48" s="49">
        <v>41.444110000000002</v>
      </c>
      <c r="L48" s="49">
        <v>20.977795</v>
      </c>
      <c r="M48" s="49">
        <v>28.82105</v>
      </c>
      <c r="N48" s="49">
        <v>36.642277</v>
      </c>
      <c r="O48" s="49">
        <v>35.772469999999998</v>
      </c>
      <c r="P48" s="49">
        <v>58.506714000000002</v>
      </c>
      <c r="Q48" s="49">
        <v>-9.150112</v>
      </c>
      <c r="R48" s="49">
        <v>15.383983000000001</v>
      </c>
      <c r="S48" s="49">
        <v>43.681885000000001</v>
      </c>
      <c r="T48" s="49">
        <v>5.4282903999999998</v>
      </c>
      <c r="U48" s="49">
        <v>42.749274999999997</v>
      </c>
      <c r="V48" s="165">
        <v>16.664086999999999</v>
      </c>
      <c r="W48" s="33"/>
    </row>
    <row r="49" spans="1:23" x14ac:dyDescent="0.35">
      <c r="A49" s="2">
        <v>43145</v>
      </c>
      <c r="B49" s="49">
        <v>25.534927</v>
      </c>
      <c r="C49" s="49">
        <v>32.956898000000002</v>
      </c>
      <c r="D49" s="49">
        <v>20.279084999999998</v>
      </c>
      <c r="E49" s="49">
        <v>9.6543430000000008</v>
      </c>
      <c r="F49" s="49">
        <v>36.811709999999998</v>
      </c>
      <c r="G49" s="49">
        <v>20.780909000000001</v>
      </c>
      <c r="H49" s="49">
        <v>25.240648</v>
      </c>
      <c r="I49" s="49">
        <v>16.963242999999999</v>
      </c>
      <c r="J49" s="49">
        <v>13.512468</v>
      </c>
      <c r="K49" s="49">
        <v>30.868590000000001</v>
      </c>
      <c r="L49" s="49">
        <v>18.157374999999998</v>
      </c>
      <c r="M49" s="49">
        <v>30.119823</v>
      </c>
      <c r="N49" s="49">
        <v>43.554127000000001</v>
      </c>
      <c r="O49" s="49">
        <v>23.194514999999999</v>
      </c>
      <c r="P49" s="49">
        <v>45.862316</v>
      </c>
      <c r="Q49" s="49">
        <v>-14.040374999999999</v>
      </c>
      <c r="R49" s="49">
        <v>13.983238</v>
      </c>
      <c r="S49" s="49">
        <v>26.525414000000001</v>
      </c>
      <c r="T49" s="49">
        <v>2.6264668000000002</v>
      </c>
      <c r="U49" s="49">
        <v>34.222557000000002</v>
      </c>
      <c r="V49" s="165">
        <v>10.298931</v>
      </c>
      <c r="W49" s="33"/>
    </row>
    <row r="50" spans="1:23" x14ac:dyDescent="0.35">
      <c r="A50" s="2">
        <v>43173</v>
      </c>
      <c r="B50" s="49">
        <v>26.697517000000001</v>
      </c>
      <c r="C50" s="49">
        <v>34.000109999999999</v>
      </c>
      <c r="D50" s="49">
        <v>14.021921000000001</v>
      </c>
      <c r="E50" s="49">
        <v>5.5902123000000001</v>
      </c>
      <c r="F50" s="49">
        <v>26.174831000000001</v>
      </c>
      <c r="G50" s="49">
        <v>33.353867000000001</v>
      </c>
      <c r="H50" s="49">
        <v>24.812066999999999</v>
      </c>
      <c r="I50" s="49">
        <v>22.90907</v>
      </c>
      <c r="J50" s="49">
        <v>11.594533999999999</v>
      </c>
      <c r="K50" s="49">
        <v>32.590719999999997</v>
      </c>
      <c r="L50" s="49">
        <v>27.087413999999999</v>
      </c>
      <c r="M50" s="49">
        <v>30.990611999999999</v>
      </c>
      <c r="N50" s="49">
        <v>36.141620000000003</v>
      </c>
      <c r="O50" s="49">
        <v>14.061975500000001</v>
      </c>
      <c r="P50" s="49">
        <v>48.479416000000001</v>
      </c>
      <c r="Q50" s="49">
        <v>-11.425388</v>
      </c>
      <c r="R50" s="49">
        <v>17.512882000000001</v>
      </c>
      <c r="S50" s="49">
        <v>28.112804000000001</v>
      </c>
      <c r="T50" s="49">
        <v>3.3395648000000002</v>
      </c>
      <c r="U50" s="49">
        <v>43.210613000000002</v>
      </c>
      <c r="V50" s="165">
        <v>21.738803999999998</v>
      </c>
      <c r="W50" s="33"/>
    </row>
    <row r="51" spans="1:23" x14ac:dyDescent="0.35">
      <c r="A51" s="2">
        <v>43203</v>
      </c>
      <c r="B51" s="49">
        <v>16.55594</v>
      </c>
      <c r="C51" s="49">
        <v>23.298418000000002</v>
      </c>
      <c r="D51" s="49">
        <v>6.4383625999999996</v>
      </c>
      <c r="E51" s="49">
        <v>-4.772621</v>
      </c>
      <c r="F51" s="49">
        <v>24.29862</v>
      </c>
      <c r="G51" s="49">
        <v>33.173454</v>
      </c>
      <c r="H51" s="49">
        <v>24.423717</v>
      </c>
      <c r="I51" s="49">
        <v>17.430378000000001</v>
      </c>
      <c r="J51" s="49">
        <v>7.491231</v>
      </c>
      <c r="K51" s="49">
        <v>27.771616000000002</v>
      </c>
      <c r="L51" s="49">
        <v>19.824743000000002</v>
      </c>
      <c r="M51" s="49">
        <v>19.645154999999999</v>
      </c>
      <c r="N51" s="49">
        <v>27.324152000000002</v>
      </c>
      <c r="O51" s="49">
        <v>11.563599</v>
      </c>
      <c r="P51" s="49">
        <v>37.99006</v>
      </c>
      <c r="Q51" s="49">
        <v>-11.261134999999999</v>
      </c>
      <c r="R51" s="49">
        <v>11.177731</v>
      </c>
      <c r="S51" s="49">
        <v>9.6897599999999997</v>
      </c>
      <c r="T51" s="49">
        <v>1.1629343000000001</v>
      </c>
      <c r="U51" s="49">
        <v>41.032265000000002</v>
      </c>
      <c r="V51" s="165">
        <v>17.326450000000001</v>
      </c>
      <c r="W51" s="33"/>
    </row>
    <row r="52" spans="1:23" x14ac:dyDescent="0.35">
      <c r="A52" s="2">
        <v>43234</v>
      </c>
      <c r="B52" s="49">
        <v>26.167822000000001</v>
      </c>
      <c r="C52" s="49">
        <v>24.678982000000001</v>
      </c>
      <c r="D52" s="49">
        <v>-4.3984413</v>
      </c>
      <c r="E52" s="49">
        <v>-7.5261060000000004</v>
      </c>
      <c r="F52" s="49">
        <v>6.1124682000000004</v>
      </c>
      <c r="G52" s="49">
        <v>29.624234999999999</v>
      </c>
      <c r="H52" s="49">
        <v>14.262236</v>
      </c>
      <c r="I52" s="49">
        <v>11.969053000000001</v>
      </c>
      <c r="J52" s="49">
        <v>-7.0548114999999996</v>
      </c>
      <c r="K52" s="49">
        <v>16.462564</v>
      </c>
      <c r="L52" s="49">
        <v>4.254067</v>
      </c>
      <c r="M52" s="49">
        <v>16.009664999999998</v>
      </c>
      <c r="N52" s="49">
        <v>7.5880169999999998</v>
      </c>
      <c r="O52" s="49">
        <v>5.3709984000000004</v>
      </c>
      <c r="P52" s="49">
        <v>36.434269999999998</v>
      </c>
      <c r="Q52" s="49">
        <v>-8.0362259999999992</v>
      </c>
      <c r="R52" s="49">
        <v>14.842546</v>
      </c>
      <c r="S52" s="49">
        <v>-10.899716</v>
      </c>
      <c r="T52" s="49">
        <v>-4.6429989999999997</v>
      </c>
      <c r="U52" s="49">
        <v>31.185759000000001</v>
      </c>
      <c r="V52" s="165">
        <v>24.097252000000001</v>
      </c>
      <c r="W52" s="33"/>
    </row>
    <row r="53" spans="1:23" x14ac:dyDescent="0.35">
      <c r="A53" s="2">
        <v>43265</v>
      </c>
      <c r="B53" s="49">
        <v>14.180111999999999</v>
      </c>
      <c r="C53" s="49">
        <v>15.331554000000001</v>
      </c>
      <c r="D53" s="49">
        <v>-6.2293234000000002</v>
      </c>
      <c r="E53" s="49">
        <v>-15.090984000000001</v>
      </c>
      <c r="F53" s="49">
        <v>-1.2918829999999999</v>
      </c>
      <c r="G53" s="49">
        <v>27.420269999999999</v>
      </c>
      <c r="H53" s="49">
        <v>6.4524173999999999</v>
      </c>
      <c r="I53" s="49">
        <v>10.119401999999999</v>
      </c>
      <c r="J53" s="49">
        <v>-15.411443</v>
      </c>
      <c r="K53" s="49">
        <v>7.7962756000000004</v>
      </c>
      <c r="L53" s="49">
        <v>-2.9501019999999998</v>
      </c>
      <c r="M53" s="49">
        <v>3.1273602999999999</v>
      </c>
      <c r="N53" s="49">
        <v>-1.5273749999999999</v>
      </c>
      <c r="O53" s="49">
        <v>3.9430141000000001</v>
      </c>
      <c r="P53" s="49">
        <v>31.691859999999998</v>
      </c>
      <c r="Q53" s="49">
        <v>3.0342102</v>
      </c>
      <c r="R53" s="49">
        <v>8.4248539999999998</v>
      </c>
      <c r="S53" s="49">
        <v>-28.634792000000001</v>
      </c>
      <c r="T53" s="49">
        <v>-0.85393786000000005</v>
      </c>
      <c r="U53" s="49">
        <v>17.967403000000001</v>
      </c>
      <c r="V53" s="165">
        <v>29.285108999999999</v>
      </c>
      <c r="W53" s="33"/>
    </row>
    <row r="54" spans="1:23" x14ac:dyDescent="0.35">
      <c r="A54" s="2">
        <v>43294</v>
      </c>
      <c r="B54" s="49">
        <v>-2.4220228000000001</v>
      </c>
      <c r="C54" s="49">
        <v>6.7645790000000003</v>
      </c>
      <c r="D54" s="49">
        <v>-11.439568</v>
      </c>
      <c r="E54" s="49">
        <v>-14.537966000000001</v>
      </c>
      <c r="F54" s="49">
        <v>-8.2578600000000009</v>
      </c>
      <c r="G54" s="49">
        <v>16.591190000000001</v>
      </c>
      <c r="H54" s="49">
        <v>6.7514180000000001</v>
      </c>
      <c r="I54" s="49">
        <v>2.5213003</v>
      </c>
      <c r="J54" s="49">
        <v>-8.7441390000000006</v>
      </c>
      <c r="K54" s="49">
        <v>-1.3491808999999999</v>
      </c>
      <c r="L54" s="49">
        <v>-4.3171286999999996</v>
      </c>
      <c r="M54" s="49">
        <v>4.209149</v>
      </c>
      <c r="N54" s="49">
        <v>-11.262411</v>
      </c>
      <c r="O54" s="49">
        <v>2.0915865999999999</v>
      </c>
      <c r="P54" s="49">
        <v>15.460098</v>
      </c>
      <c r="Q54" s="49">
        <v>-0.64285400000000004</v>
      </c>
      <c r="R54" s="49">
        <v>4.0591119999999998</v>
      </c>
      <c r="S54" s="49">
        <v>-35.369860000000003</v>
      </c>
      <c r="T54" s="49">
        <v>-6.5105557000000003</v>
      </c>
      <c r="U54" s="49">
        <v>7.2837829999999997</v>
      </c>
      <c r="V54" s="165">
        <v>20.041180000000001</v>
      </c>
      <c r="W54" s="33"/>
    </row>
    <row r="55" spans="1:23" x14ac:dyDescent="0.35">
      <c r="A55" s="2">
        <v>43326</v>
      </c>
      <c r="B55" s="49">
        <v>-10.184913999999999</v>
      </c>
      <c r="C55" s="49">
        <v>0.19187926999999999</v>
      </c>
      <c r="D55" s="49">
        <v>-13.909316</v>
      </c>
      <c r="E55" s="49">
        <v>-10.594881000000001</v>
      </c>
      <c r="F55" s="49">
        <v>-8.2785609999999998</v>
      </c>
      <c r="G55" s="49">
        <v>9.5260259999999999</v>
      </c>
      <c r="H55" s="49">
        <v>8.9994189999999996</v>
      </c>
      <c r="I55" s="49">
        <v>4.4144272999999998</v>
      </c>
      <c r="J55" s="49">
        <v>-8.5294485000000009</v>
      </c>
      <c r="K55" s="49">
        <v>-0.93021989999999999</v>
      </c>
      <c r="L55" s="49">
        <v>-6.3345909999999996</v>
      </c>
      <c r="M55" s="49">
        <v>-5.3455709999999996</v>
      </c>
      <c r="N55" s="49">
        <v>-15.440564999999999</v>
      </c>
      <c r="O55" s="49">
        <v>5.7013749999999996</v>
      </c>
      <c r="P55" s="49">
        <v>3.5000323999999998</v>
      </c>
      <c r="Q55" s="49">
        <v>6.5018653999999998</v>
      </c>
      <c r="R55" s="49">
        <v>8.5850950000000008</v>
      </c>
      <c r="S55" s="49">
        <v>-51.196089999999998</v>
      </c>
      <c r="T55" s="49">
        <v>-7.3241529999999999</v>
      </c>
      <c r="U55" s="49">
        <v>16.536856</v>
      </c>
      <c r="V55" s="165">
        <v>16.783595999999999</v>
      </c>
      <c r="W55" s="33"/>
    </row>
    <row r="56" spans="1:23" x14ac:dyDescent="0.35">
      <c r="A56" s="2">
        <v>43357</v>
      </c>
      <c r="B56" s="49">
        <v>-18.897729999999999</v>
      </c>
      <c r="C56" s="49">
        <v>-6.6429320000000001</v>
      </c>
      <c r="D56" s="49">
        <v>-12.905657</v>
      </c>
      <c r="E56" s="49">
        <v>-15.491337</v>
      </c>
      <c r="F56" s="49">
        <v>-13.496942000000001</v>
      </c>
      <c r="G56" s="49">
        <v>-4.6322764999999997</v>
      </c>
      <c r="H56" s="49">
        <v>5.8375954999999999</v>
      </c>
      <c r="I56" s="49">
        <v>2.7209878000000001</v>
      </c>
      <c r="J56" s="49">
        <v>-6.9826245</v>
      </c>
      <c r="K56" s="49">
        <v>0.43936967999999998</v>
      </c>
      <c r="L56" s="49">
        <v>-24.834859999999999</v>
      </c>
      <c r="M56" s="49">
        <v>-13.523102</v>
      </c>
      <c r="N56" s="49">
        <v>-15.574628000000001</v>
      </c>
      <c r="O56" s="49">
        <v>1.3926506000000001</v>
      </c>
      <c r="P56" s="49">
        <v>-6.1819195999999996</v>
      </c>
      <c r="Q56" s="49">
        <v>19.238413000000001</v>
      </c>
      <c r="R56" s="49">
        <v>3.8038729999999998</v>
      </c>
      <c r="S56" s="49">
        <v>-50.025646000000002</v>
      </c>
      <c r="T56" s="49">
        <v>-7.9042015000000001</v>
      </c>
      <c r="U56" s="49">
        <v>12.7776985</v>
      </c>
      <c r="V56" s="165">
        <v>8.2744839999999993</v>
      </c>
      <c r="W56" s="33"/>
    </row>
    <row r="57" spans="1:23" x14ac:dyDescent="0.35">
      <c r="A57" s="2">
        <v>43385</v>
      </c>
      <c r="B57" s="49">
        <v>-21.699916999999999</v>
      </c>
      <c r="C57" s="49">
        <v>-13.474459</v>
      </c>
      <c r="D57" s="49">
        <v>-18.029624999999999</v>
      </c>
      <c r="E57" s="49">
        <v>-22.473782</v>
      </c>
      <c r="F57" s="49">
        <v>-16.522486000000001</v>
      </c>
      <c r="G57" s="49">
        <v>-8.5540409999999998</v>
      </c>
      <c r="H57" s="49">
        <v>2.3578524999999999</v>
      </c>
      <c r="I57" s="49">
        <v>-7.2588800000000004</v>
      </c>
      <c r="J57" s="49">
        <v>-4.9451885000000004</v>
      </c>
      <c r="K57" s="49">
        <v>-11.431794999999999</v>
      </c>
      <c r="L57" s="49">
        <v>-7.2601079999999998</v>
      </c>
      <c r="M57" s="49">
        <v>-16.321193999999998</v>
      </c>
      <c r="N57" s="49">
        <v>-17.37302</v>
      </c>
      <c r="O57" s="49">
        <v>-9.5208169999999992</v>
      </c>
      <c r="P57" s="49">
        <v>-14.279037000000001</v>
      </c>
      <c r="Q57" s="49">
        <v>18.372451999999999</v>
      </c>
      <c r="R57" s="49">
        <v>-0.95300079999999998</v>
      </c>
      <c r="S57" s="49">
        <v>-42.013824</v>
      </c>
      <c r="T57" s="49">
        <v>-11.755836499999999</v>
      </c>
      <c r="U57" s="49">
        <v>3.839445</v>
      </c>
      <c r="V57" s="165">
        <v>11.162197000000001</v>
      </c>
      <c r="W57" s="33"/>
    </row>
    <row r="58" spans="1:23" x14ac:dyDescent="0.35">
      <c r="A58" s="2">
        <v>43418</v>
      </c>
      <c r="B58" s="49">
        <v>-22.998518000000001</v>
      </c>
      <c r="C58" s="49">
        <v>-9.9070129999999992</v>
      </c>
      <c r="D58" s="49">
        <v>-10.209656000000001</v>
      </c>
      <c r="E58" s="49">
        <v>-20.999562999999998</v>
      </c>
      <c r="F58" s="49">
        <v>-13.514882</v>
      </c>
      <c r="G58" s="49">
        <v>-11.941015</v>
      </c>
      <c r="H58" s="49">
        <v>-2.0217895999999999E-2</v>
      </c>
      <c r="I58" s="49">
        <v>-8.9843510000000002</v>
      </c>
      <c r="J58" s="49">
        <v>-15.647202500000001</v>
      </c>
      <c r="K58" s="49">
        <v>-18.108833000000001</v>
      </c>
      <c r="L58" s="49">
        <v>5.9193730000000002</v>
      </c>
      <c r="M58" s="49">
        <v>-12.131966</v>
      </c>
      <c r="N58" s="49">
        <v>-12.864322</v>
      </c>
      <c r="O58" s="49">
        <v>-5.9447229999999998</v>
      </c>
      <c r="P58" s="49">
        <v>-15.783435000000001</v>
      </c>
      <c r="Q58" s="49">
        <v>40.308525000000003</v>
      </c>
      <c r="R58" s="49">
        <v>-2.9560149</v>
      </c>
      <c r="S58" s="49">
        <v>-37.303130000000003</v>
      </c>
      <c r="T58" s="49">
        <v>-6.1649919999999998</v>
      </c>
      <c r="U58" s="49">
        <v>-6.6749153000000003</v>
      </c>
      <c r="V58" s="165">
        <v>16.672229999999999</v>
      </c>
      <c r="W58" s="33"/>
    </row>
    <row r="59" spans="1:23" x14ac:dyDescent="0.35">
      <c r="A59" s="2">
        <v>43448</v>
      </c>
      <c r="B59" s="49">
        <v>-21.619945999999999</v>
      </c>
      <c r="C59" s="49">
        <v>-6.2384250000000003</v>
      </c>
      <c r="D59" s="49">
        <v>-7.546532</v>
      </c>
      <c r="E59" s="49">
        <v>-15.32579</v>
      </c>
      <c r="F59" s="49">
        <v>-10.087465999999999</v>
      </c>
      <c r="G59" s="49">
        <v>-4.9392699999999996</v>
      </c>
      <c r="H59" s="49">
        <v>-5.7383956999999999</v>
      </c>
      <c r="I59" s="49">
        <v>-8.6072740000000003</v>
      </c>
      <c r="J59" s="49">
        <v>-17.613399999999999</v>
      </c>
      <c r="K59" s="49">
        <v>-19.442999</v>
      </c>
      <c r="L59" s="49">
        <v>2.7616619999999998</v>
      </c>
      <c r="M59" s="49">
        <v>-15.552282</v>
      </c>
      <c r="N59" s="49">
        <v>-22.095490000000002</v>
      </c>
      <c r="O59" s="49">
        <v>-7.7425775999999997</v>
      </c>
      <c r="P59" s="49">
        <v>-13.961345</v>
      </c>
      <c r="Q59" s="49">
        <v>31.024550999999999</v>
      </c>
      <c r="R59" s="49">
        <v>-6.1539770000000003</v>
      </c>
      <c r="S59" s="49">
        <v>-37.634639999999997</v>
      </c>
      <c r="T59" s="49">
        <v>-11.308312000000001</v>
      </c>
      <c r="U59" s="49">
        <v>-6.5283480000000003</v>
      </c>
      <c r="V59" s="165">
        <v>17.966937999999999</v>
      </c>
      <c r="W59" s="33"/>
    </row>
    <row r="60" spans="1:23" x14ac:dyDescent="0.35">
      <c r="A60" s="2">
        <v>43479</v>
      </c>
      <c r="B60" s="49">
        <v>-27.835155</v>
      </c>
      <c r="C60" s="49">
        <v>-16.917974000000001</v>
      </c>
      <c r="D60" s="49">
        <v>-8.0921710000000004</v>
      </c>
      <c r="E60" s="49">
        <v>-11.939645000000001</v>
      </c>
      <c r="F60" s="49">
        <v>-15.760666000000001</v>
      </c>
      <c r="G60" s="49">
        <v>-13.484526000000001</v>
      </c>
      <c r="H60" s="49">
        <v>-9.6494079999999993</v>
      </c>
      <c r="I60" s="49">
        <v>-13.480777</v>
      </c>
      <c r="J60" s="49">
        <v>-10.310489</v>
      </c>
      <c r="K60" s="49">
        <v>-23.016446999999999</v>
      </c>
      <c r="L60" s="49">
        <v>2.5760412000000001</v>
      </c>
      <c r="M60" s="49">
        <v>-19.073402000000002</v>
      </c>
      <c r="N60" s="49">
        <v>-32.104182999999999</v>
      </c>
      <c r="O60" s="49">
        <v>-12.237989000000001</v>
      </c>
      <c r="P60" s="49">
        <v>-23.029534999999999</v>
      </c>
      <c r="Q60" s="49">
        <v>18.772327000000001</v>
      </c>
      <c r="R60" s="49">
        <v>-12.5743685</v>
      </c>
      <c r="S60" s="49">
        <v>-42.756439999999998</v>
      </c>
      <c r="T60" s="49">
        <v>-17.435390000000002</v>
      </c>
      <c r="U60" s="49">
        <v>-19.611077999999999</v>
      </c>
      <c r="V60" s="165">
        <v>13.799690999999999</v>
      </c>
      <c r="W60" s="33"/>
    </row>
    <row r="61" spans="1:23" x14ac:dyDescent="0.35">
      <c r="A61" s="2">
        <v>43510</v>
      </c>
      <c r="B61" s="49">
        <v>-16.838837000000002</v>
      </c>
      <c r="C61" s="49">
        <v>-14.122004</v>
      </c>
      <c r="D61" s="49">
        <v>-10.530096</v>
      </c>
      <c r="E61" s="49">
        <v>-7.7039720000000003</v>
      </c>
      <c r="F61" s="49">
        <v>-17.798912000000001</v>
      </c>
      <c r="G61" s="49">
        <v>-9.0610739999999996</v>
      </c>
      <c r="H61" s="49">
        <v>-9.7610770000000002</v>
      </c>
      <c r="I61" s="49">
        <v>-9.1512569999999993</v>
      </c>
      <c r="J61" s="49">
        <v>-13.958055</v>
      </c>
      <c r="K61" s="49">
        <v>-12.818861</v>
      </c>
      <c r="L61" s="49">
        <v>1.0265827000000001</v>
      </c>
      <c r="M61" s="49">
        <v>-24.378592000000001</v>
      </c>
      <c r="N61" s="49">
        <v>-29.957115000000002</v>
      </c>
      <c r="O61" s="49">
        <v>-8.6943035000000002</v>
      </c>
      <c r="P61" s="49">
        <v>-13.968044000000001</v>
      </c>
      <c r="Q61" s="49">
        <v>14.560736</v>
      </c>
      <c r="R61" s="49">
        <v>-7.7814160000000001</v>
      </c>
      <c r="S61" s="49">
        <v>-33.989918000000003</v>
      </c>
      <c r="T61" s="49">
        <v>-16.094828</v>
      </c>
      <c r="U61" s="49">
        <v>-11.372882000000001</v>
      </c>
      <c r="V61" s="165">
        <v>23.39573</v>
      </c>
      <c r="W61" s="33"/>
    </row>
    <row r="62" spans="1:23" x14ac:dyDescent="0.35">
      <c r="A62" s="2">
        <v>43538</v>
      </c>
      <c r="B62" s="49">
        <v>-11.379689000000001</v>
      </c>
      <c r="C62" s="49">
        <v>-15.792923999999999</v>
      </c>
      <c r="D62" s="49">
        <v>-7.6393184999999999</v>
      </c>
      <c r="E62" s="49">
        <v>-6.3734529999999996</v>
      </c>
      <c r="F62" s="49">
        <v>-11.552673</v>
      </c>
      <c r="G62" s="49">
        <v>-5.1465272999999998</v>
      </c>
      <c r="H62" s="49">
        <v>-11.090774</v>
      </c>
      <c r="I62" s="49">
        <v>-10.462956999999999</v>
      </c>
      <c r="J62" s="49">
        <v>-15.716112000000001</v>
      </c>
      <c r="K62" s="49">
        <v>-19.286871000000001</v>
      </c>
      <c r="L62" s="49">
        <v>-2.4487673999999999</v>
      </c>
      <c r="M62" s="49">
        <v>-25.942343000000001</v>
      </c>
      <c r="N62" s="49">
        <v>-20.360136000000001</v>
      </c>
      <c r="O62" s="49">
        <v>0.91897249999999997</v>
      </c>
      <c r="P62" s="49">
        <v>-13.670683</v>
      </c>
      <c r="Q62" s="49">
        <v>14.735567</v>
      </c>
      <c r="R62" s="49">
        <v>-9.7893480000000004</v>
      </c>
      <c r="S62" s="49">
        <v>-36.331910000000001</v>
      </c>
      <c r="T62" s="49">
        <v>-10.328728</v>
      </c>
      <c r="U62" s="49">
        <v>-10.050034500000001</v>
      </c>
      <c r="V62" s="165">
        <v>14.967917999999999</v>
      </c>
      <c r="W62" s="33"/>
    </row>
    <row r="63" spans="1:23" x14ac:dyDescent="0.35">
      <c r="A63" s="2">
        <v>43567</v>
      </c>
      <c r="B63" s="49">
        <v>-0.63149929999999999</v>
      </c>
      <c r="C63" s="49">
        <v>-16.610146</v>
      </c>
      <c r="D63" s="49">
        <v>-4.6860455999999999</v>
      </c>
      <c r="E63" s="49">
        <v>0.43395758000000001</v>
      </c>
      <c r="F63" s="49">
        <v>-7.9708220000000001</v>
      </c>
      <c r="G63" s="49">
        <v>-8.4510799999999993</v>
      </c>
      <c r="H63" s="49">
        <v>-15.716659999999999</v>
      </c>
      <c r="I63" s="49">
        <v>-3.9365709999999998</v>
      </c>
      <c r="J63" s="49">
        <v>-10.973250999999999</v>
      </c>
      <c r="K63" s="49">
        <v>-12.754296999999999</v>
      </c>
      <c r="L63" s="49">
        <v>-3.8390517000000002</v>
      </c>
      <c r="M63" s="49">
        <v>-12.566477000000001</v>
      </c>
      <c r="N63" s="49">
        <v>-11.921072000000001</v>
      </c>
      <c r="O63" s="49">
        <v>2.3352742000000002</v>
      </c>
      <c r="P63" s="49">
        <v>-4.527056</v>
      </c>
      <c r="Q63" s="49">
        <v>16.766666000000001</v>
      </c>
      <c r="R63" s="49">
        <v>-6.0390414999999997</v>
      </c>
      <c r="S63" s="49">
        <v>-36.227775999999999</v>
      </c>
      <c r="T63" s="49">
        <v>-5.6654689999999999</v>
      </c>
      <c r="U63" s="49">
        <v>-12.258362999999999</v>
      </c>
      <c r="V63" s="165">
        <v>21.923065000000001</v>
      </c>
      <c r="W63" s="33"/>
    </row>
    <row r="64" spans="1:23" x14ac:dyDescent="0.35">
      <c r="A64" s="2">
        <v>43599</v>
      </c>
      <c r="B64" s="49">
        <v>-12.638736</v>
      </c>
      <c r="C64" s="49">
        <v>-21.947420000000001</v>
      </c>
      <c r="D64" s="49">
        <v>-3.7678063000000002</v>
      </c>
      <c r="E64" s="49">
        <v>-1.327914</v>
      </c>
      <c r="F64" s="49">
        <v>-12.707364999999999</v>
      </c>
      <c r="G64" s="49">
        <v>-15.298128</v>
      </c>
      <c r="H64" s="49">
        <v>-14.585233000000001</v>
      </c>
      <c r="I64" s="49">
        <v>-6.5914869999999999</v>
      </c>
      <c r="J64" s="49">
        <v>-4.1081190000000003</v>
      </c>
      <c r="K64" s="49">
        <v>-23.176271</v>
      </c>
      <c r="L64" s="49">
        <v>-1.0912776</v>
      </c>
      <c r="M64" s="49">
        <v>-15.803528</v>
      </c>
      <c r="N64" s="49">
        <v>-18.507380000000001</v>
      </c>
      <c r="O64" s="49">
        <v>-0.54083466999999996</v>
      </c>
      <c r="P64" s="49">
        <v>-15.18094</v>
      </c>
      <c r="Q64" s="49">
        <v>9.8494890000000002</v>
      </c>
      <c r="R64" s="49">
        <v>-7.8540444000000003</v>
      </c>
      <c r="S64" s="49">
        <v>-35.424464999999998</v>
      </c>
      <c r="T64" s="49">
        <v>-7.2800454999999999</v>
      </c>
      <c r="U64" s="49">
        <v>-8.9044989999999995</v>
      </c>
      <c r="V64" s="165">
        <v>7.9494357000000004</v>
      </c>
      <c r="W64" s="33"/>
    </row>
    <row r="65" spans="1:23" x14ac:dyDescent="0.35">
      <c r="A65" s="2">
        <v>43630</v>
      </c>
      <c r="B65" s="49">
        <v>-9.6507249999999996</v>
      </c>
      <c r="C65" s="49">
        <v>-18.261707000000001</v>
      </c>
      <c r="D65" s="49">
        <v>1.2218118</v>
      </c>
      <c r="E65" s="49">
        <v>9.4600089999999994</v>
      </c>
      <c r="F65" s="49">
        <v>0.32024384</v>
      </c>
      <c r="G65" s="49">
        <v>-12.260687000000001</v>
      </c>
      <c r="H65" s="49">
        <v>-8.2719509999999996</v>
      </c>
      <c r="I65" s="49">
        <v>-7.1918069999999998</v>
      </c>
      <c r="J65" s="49">
        <v>1.0492802000000001</v>
      </c>
      <c r="K65" s="49">
        <v>-19.955241999999998</v>
      </c>
      <c r="L65" s="49">
        <v>33.354176000000002</v>
      </c>
      <c r="M65" s="49">
        <v>-8.6117559999999997</v>
      </c>
      <c r="N65" s="49">
        <v>1.2518883000000001</v>
      </c>
      <c r="O65" s="49">
        <v>4.9812079999999996</v>
      </c>
      <c r="P65" s="49">
        <v>-19.385635000000001</v>
      </c>
      <c r="Q65" s="49">
        <v>14.401126</v>
      </c>
      <c r="R65" s="49">
        <v>-2.1949171999999999</v>
      </c>
      <c r="S65" s="49">
        <v>-20.800453000000001</v>
      </c>
      <c r="T65" s="49">
        <v>-15.385092</v>
      </c>
      <c r="U65" s="49">
        <v>-3.5105586</v>
      </c>
      <c r="V65" s="165">
        <v>12.534772999999999</v>
      </c>
      <c r="W65" s="33"/>
    </row>
    <row r="66" spans="1:23" x14ac:dyDescent="0.35">
      <c r="A66" s="2">
        <v>43658</v>
      </c>
      <c r="B66" s="49">
        <v>6.5398097000000002</v>
      </c>
      <c r="C66" s="49">
        <v>-10.395712</v>
      </c>
      <c r="D66" s="49">
        <v>13.665366000000001</v>
      </c>
      <c r="E66" s="49">
        <v>18.673658</v>
      </c>
      <c r="F66" s="49">
        <v>5.2976726999999997</v>
      </c>
      <c r="G66" s="49">
        <v>-0.79339146999999999</v>
      </c>
      <c r="H66" s="49">
        <v>-1.4854670000000001</v>
      </c>
      <c r="I66" s="49">
        <v>1.104641</v>
      </c>
      <c r="J66" s="49">
        <v>-11.162644</v>
      </c>
      <c r="K66" s="49">
        <v>-11.410880000000001</v>
      </c>
      <c r="L66" s="49">
        <v>42.621696</v>
      </c>
      <c r="M66" s="49">
        <v>-3.8926482</v>
      </c>
      <c r="N66" s="49">
        <v>5.8150649999999997</v>
      </c>
      <c r="O66" s="49">
        <v>3.1556367999999999</v>
      </c>
      <c r="P66" s="49">
        <v>-7.472664</v>
      </c>
      <c r="Q66" s="49">
        <v>12.290632</v>
      </c>
      <c r="R66" s="49">
        <v>5.5249094999999997</v>
      </c>
      <c r="S66" s="49">
        <v>-4.8522052999999996</v>
      </c>
      <c r="T66" s="49">
        <v>-9.6091750000000005</v>
      </c>
      <c r="U66" s="49">
        <v>6.5213919999999996</v>
      </c>
      <c r="V66" s="165">
        <v>11.238396</v>
      </c>
      <c r="W66" s="33"/>
    </row>
    <row r="67" spans="1:23" x14ac:dyDescent="0.35">
      <c r="A67" s="2">
        <v>43691</v>
      </c>
      <c r="B67" s="49">
        <v>6.6604020000000004</v>
      </c>
      <c r="C67" s="49">
        <v>-17.439865000000001</v>
      </c>
      <c r="D67" s="49">
        <v>9.5606439999999999</v>
      </c>
      <c r="E67" s="49">
        <v>5.3482412999999998</v>
      </c>
      <c r="F67" s="49">
        <v>-10.230947</v>
      </c>
      <c r="G67" s="49">
        <v>-11.485355999999999</v>
      </c>
      <c r="H67" s="49">
        <v>-11.867607</v>
      </c>
      <c r="I67" s="49">
        <v>-6.4598560000000003</v>
      </c>
      <c r="J67" s="49">
        <v>-22.328150000000001</v>
      </c>
      <c r="K67" s="49">
        <v>-19.876217</v>
      </c>
      <c r="L67" s="49">
        <v>22.522472</v>
      </c>
      <c r="M67" s="49">
        <v>-13.800656999999999</v>
      </c>
      <c r="N67" s="49">
        <v>0.99451540000000005</v>
      </c>
      <c r="O67" s="49">
        <v>-8.6227239999999998</v>
      </c>
      <c r="P67" s="49">
        <v>-9.8698669999999993</v>
      </c>
      <c r="Q67" s="49">
        <v>-3.0208468000000002</v>
      </c>
      <c r="R67" s="49">
        <v>-4.4769525999999997</v>
      </c>
      <c r="S67" s="49">
        <v>20.258844</v>
      </c>
      <c r="T67" s="49">
        <v>-8.3606359999999995</v>
      </c>
      <c r="U67" s="49">
        <v>-7.1639480000000004</v>
      </c>
      <c r="V67" s="165">
        <v>11.481904999999999</v>
      </c>
      <c r="W67" s="33"/>
    </row>
    <row r="68" spans="1:23" x14ac:dyDescent="0.35">
      <c r="A68" s="2">
        <v>43721</v>
      </c>
      <c r="B68" s="49">
        <v>19.516945</v>
      </c>
      <c r="C68" s="49">
        <v>-11.565035999999999</v>
      </c>
      <c r="D68" s="49">
        <v>15.052533</v>
      </c>
      <c r="E68" s="49">
        <v>11.642253999999999</v>
      </c>
      <c r="F68" s="49">
        <v>-5.5374980000000003</v>
      </c>
      <c r="G68" s="49">
        <v>1.1433601</v>
      </c>
      <c r="H68" s="49">
        <v>-9.2283670000000004</v>
      </c>
      <c r="I68" s="49">
        <v>2.9263257999999999</v>
      </c>
      <c r="J68" s="49">
        <v>-13.492673999999999</v>
      </c>
      <c r="K68" s="49">
        <v>-11.209583</v>
      </c>
      <c r="L68" s="49">
        <v>41.508830000000003</v>
      </c>
      <c r="M68" s="49">
        <v>5.2620649999999998</v>
      </c>
      <c r="N68" s="49">
        <v>17.824532000000001</v>
      </c>
      <c r="O68" s="49">
        <v>-4.0198983999999998</v>
      </c>
      <c r="P68" s="49">
        <v>3.5427213000000002</v>
      </c>
      <c r="Q68" s="49">
        <v>4.0958642999999997</v>
      </c>
      <c r="R68" s="49">
        <v>-3.2596826999999999</v>
      </c>
      <c r="S68" s="49">
        <v>20.970058000000002</v>
      </c>
      <c r="T68" s="49">
        <v>-5.2978334</v>
      </c>
      <c r="U68" s="49">
        <v>-4.8282090000000002</v>
      </c>
      <c r="V68" s="165">
        <v>8.6333160000000007</v>
      </c>
      <c r="W68" s="33"/>
    </row>
    <row r="69" spans="1:23" x14ac:dyDescent="0.35">
      <c r="A69" s="2">
        <v>43752</v>
      </c>
      <c r="B69" s="49">
        <v>23.571503</v>
      </c>
      <c r="C69" s="49">
        <v>-8.3996530000000007</v>
      </c>
      <c r="D69" s="49">
        <v>15.3476</v>
      </c>
      <c r="E69" s="49">
        <v>19.875336000000001</v>
      </c>
      <c r="F69" s="49">
        <v>-6.2147674999999998</v>
      </c>
      <c r="G69" s="49">
        <v>-2.6978551999999998</v>
      </c>
      <c r="H69" s="49">
        <v>-7.4716034000000002</v>
      </c>
      <c r="I69" s="49">
        <v>14.527702</v>
      </c>
      <c r="J69" s="49">
        <v>-6.6120443</v>
      </c>
      <c r="K69" s="49">
        <v>-6.1878679999999999</v>
      </c>
      <c r="L69" s="49">
        <v>12.191879</v>
      </c>
      <c r="M69" s="49">
        <v>4.3006419999999999</v>
      </c>
      <c r="N69" s="49">
        <v>28.294134</v>
      </c>
      <c r="O69" s="49">
        <v>9.0814590000000006</v>
      </c>
      <c r="P69" s="49">
        <v>6.6591262999999996</v>
      </c>
      <c r="Q69" s="49">
        <v>5.6146501999999998</v>
      </c>
      <c r="R69" s="49">
        <v>-3.3804953000000002</v>
      </c>
      <c r="S69" s="49">
        <v>0.65968037000000002</v>
      </c>
      <c r="T69" s="49">
        <v>-2.6971638000000002</v>
      </c>
      <c r="U69" s="49">
        <v>3.7869334000000001</v>
      </c>
      <c r="V69" s="165">
        <v>4.811871</v>
      </c>
      <c r="W69" s="33"/>
    </row>
    <row r="70" spans="1:23" x14ac:dyDescent="0.35">
      <c r="A70" s="2">
        <v>43783</v>
      </c>
      <c r="B70" s="49">
        <v>22.362041000000001</v>
      </c>
      <c r="C70" s="49">
        <v>-28.33972</v>
      </c>
      <c r="D70" s="49">
        <v>6.8857910000000002</v>
      </c>
      <c r="E70" s="49">
        <v>22.351706</v>
      </c>
      <c r="F70" s="49">
        <v>-2.2087097</v>
      </c>
      <c r="G70" s="49">
        <v>0.33036470000000001</v>
      </c>
      <c r="H70" s="49">
        <v>-1.8645465000000001</v>
      </c>
      <c r="I70" s="49">
        <v>22.959209999999999</v>
      </c>
      <c r="J70" s="49">
        <v>11.484742000000001</v>
      </c>
      <c r="K70" s="49">
        <v>3.443873</v>
      </c>
      <c r="L70" s="49">
        <v>12.222898499999999</v>
      </c>
      <c r="M70" s="49">
        <v>5.5891275</v>
      </c>
      <c r="N70" s="49">
        <v>33.165526999999997</v>
      </c>
      <c r="O70" s="49">
        <v>8.7100139999999993</v>
      </c>
      <c r="P70" s="49">
        <v>8.9459900000000001</v>
      </c>
      <c r="Q70" s="49">
        <v>0.21656752000000001</v>
      </c>
      <c r="R70" s="49">
        <v>-2.5921463999999999</v>
      </c>
      <c r="S70" s="49">
        <v>8.1541650000000008</v>
      </c>
      <c r="T70" s="49">
        <v>-5.0885199999999999</v>
      </c>
      <c r="U70" s="49">
        <v>9.089518</v>
      </c>
      <c r="V70" s="165">
        <v>6.2399744999999998</v>
      </c>
      <c r="W70" s="33"/>
    </row>
    <row r="71" spans="1:23" x14ac:dyDescent="0.35">
      <c r="A71" s="2">
        <v>43812</v>
      </c>
      <c r="B71" s="49">
        <v>21.682762</v>
      </c>
      <c r="C71" s="49">
        <v>-19.551928</v>
      </c>
      <c r="D71" s="49">
        <v>1.6638875</v>
      </c>
      <c r="E71" s="49">
        <v>9.0289000000000001</v>
      </c>
      <c r="F71" s="49">
        <v>-9.5570450000000005</v>
      </c>
      <c r="G71" s="49">
        <v>0.86443424000000002</v>
      </c>
      <c r="H71" s="49">
        <v>-2.1020292999999999</v>
      </c>
      <c r="I71" s="49">
        <v>30.223679000000001</v>
      </c>
      <c r="J71" s="49">
        <v>16.740500999999998</v>
      </c>
      <c r="K71" s="49">
        <v>3.6392570000000002</v>
      </c>
      <c r="L71" s="49">
        <v>20.982754</v>
      </c>
      <c r="M71" s="49">
        <v>2.7632116999999998</v>
      </c>
      <c r="N71" s="49">
        <v>33.442570000000003</v>
      </c>
      <c r="O71" s="49">
        <v>10.520959</v>
      </c>
      <c r="P71" s="49">
        <v>11.989117</v>
      </c>
      <c r="Q71" s="49">
        <v>-4.330641</v>
      </c>
      <c r="R71" s="49">
        <v>-2.5436640000000001</v>
      </c>
      <c r="S71" s="49">
        <v>13.573527</v>
      </c>
      <c r="T71" s="49">
        <v>0.18262862999999999</v>
      </c>
      <c r="U71" s="49">
        <v>2.8617859999999999</v>
      </c>
      <c r="V71" s="165">
        <v>5.0503609999999997</v>
      </c>
      <c r="W71" s="33"/>
    </row>
    <row r="72" spans="1:23" x14ac:dyDescent="0.35">
      <c r="A72" s="2">
        <v>43844</v>
      </c>
      <c r="B72" s="49">
        <v>36.175334999999997</v>
      </c>
      <c r="C72" s="49">
        <v>-22.130006999999999</v>
      </c>
      <c r="D72" s="49">
        <v>2.0498633000000002</v>
      </c>
      <c r="E72" s="49">
        <v>-1.190126</v>
      </c>
      <c r="F72" s="49">
        <v>-6.1699210000000004</v>
      </c>
      <c r="G72" s="49">
        <v>2.7368784000000002</v>
      </c>
      <c r="H72" s="49">
        <v>-3.2049238999999998</v>
      </c>
      <c r="I72" s="49">
        <v>36.236538000000003</v>
      </c>
      <c r="J72" s="49">
        <v>7.524419</v>
      </c>
      <c r="K72" s="49">
        <v>10.300898999999999</v>
      </c>
      <c r="L72" s="49">
        <v>11.950005000000001</v>
      </c>
      <c r="M72" s="49">
        <v>0.26038885000000001</v>
      </c>
      <c r="N72" s="49">
        <v>41.144706999999997</v>
      </c>
      <c r="O72" s="49">
        <v>12.7109165</v>
      </c>
      <c r="P72" s="49">
        <v>24.600327</v>
      </c>
      <c r="Q72" s="49">
        <v>-3.2096982000000001</v>
      </c>
      <c r="R72" s="49">
        <v>0.27360916000000002</v>
      </c>
      <c r="S72" s="49">
        <v>23.523866999999999</v>
      </c>
      <c r="T72" s="49">
        <v>-1.0344207000000001</v>
      </c>
      <c r="U72" s="49">
        <v>6.3232302999999996</v>
      </c>
      <c r="V72" s="165">
        <v>3.0203700000000002</v>
      </c>
      <c r="W72" s="33"/>
    </row>
    <row r="73" spans="1:23" x14ac:dyDescent="0.35">
      <c r="A73" s="2">
        <v>43875</v>
      </c>
      <c r="B73" s="49">
        <v>15.600861</v>
      </c>
      <c r="C73" s="49">
        <v>-29.738785</v>
      </c>
      <c r="D73" s="49">
        <v>-5.5898547000000001</v>
      </c>
      <c r="E73" s="49">
        <v>-5.2402376999999998</v>
      </c>
      <c r="F73" s="49">
        <v>-10.136837</v>
      </c>
      <c r="G73" s="49">
        <v>-5.7203590000000002</v>
      </c>
      <c r="H73" s="49">
        <v>-8.7930379999999992</v>
      </c>
      <c r="I73" s="49">
        <v>26.622152</v>
      </c>
      <c r="J73" s="49">
        <v>13.341581</v>
      </c>
      <c r="K73" s="49">
        <v>-0.17902851</v>
      </c>
      <c r="L73" s="49">
        <v>1.8625379</v>
      </c>
      <c r="M73" s="49">
        <v>0.11396408</v>
      </c>
      <c r="N73" s="49">
        <v>29.651474</v>
      </c>
      <c r="O73" s="49">
        <v>9.8293780000000002</v>
      </c>
      <c r="P73" s="49">
        <v>11.18474</v>
      </c>
      <c r="Q73" s="49">
        <v>-0.67082644000000002</v>
      </c>
      <c r="R73" s="49">
        <v>-7.6447370000000001</v>
      </c>
      <c r="S73" s="49">
        <v>3.0992985000000002</v>
      </c>
      <c r="T73" s="49">
        <v>-3.9087534000000002</v>
      </c>
      <c r="U73" s="49">
        <v>-5.9480133000000004</v>
      </c>
      <c r="V73" s="165">
        <v>-9.2595519999999993</v>
      </c>
      <c r="W73" s="33"/>
    </row>
    <row r="74" spans="1:23" x14ac:dyDescent="0.35">
      <c r="A74" s="2">
        <v>43903</v>
      </c>
      <c r="B74" s="49">
        <v>5.7573319999999999</v>
      </c>
      <c r="C74" s="49">
        <v>-45.998233999999997</v>
      </c>
      <c r="D74" s="49">
        <v>-26.799606000000001</v>
      </c>
      <c r="E74" s="49">
        <v>-26.003426000000001</v>
      </c>
      <c r="F74" s="49">
        <v>-39.981209999999997</v>
      </c>
      <c r="G74" s="49">
        <v>-33.148009999999999</v>
      </c>
      <c r="H74" s="49">
        <v>-24.234480000000001</v>
      </c>
      <c r="I74" s="49">
        <v>6.7186235999999999</v>
      </c>
      <c r="J74" s="49">
        <v>-17.053186</v>
      </c>
      <c r="K74" s="49">
        <v>-17.034233</v>
      </c>
      <c r="L74" s="49">
        <v>-31.644410000000001</v>
      </c>
      <c r="M74" s="49">
        <v>-27.323568000000002</v>
      </c>
      <c r="N74" s="49">
        <v>-24.079388000000002</v>
      </c>
      <c r="O74" s="49">
        <v>-17.234825000000001</v>
      </c>
      <c r="P74" s="49">
        <v>-3.6632717000000001</v>
      </c>
      <c r="Q74" s="49">
        <v>-18.112707</v>
      </c>
      <c r="R74" s="49">
        <v>-31.150167</v>
      </c>
      <c r="S74" s="49">
        <v>-17.069191</v>
      </c>
      <c r="T74" s="49">
        <v>-31.462741999999999</v>
      </c>
      <c r="U74" s="49">
        <v>-34.193910000000002</v>
      </c>
      <c r="V74" s="165">
        <v>-27.752220000000001</v>
      </c>
      <c r="W74" s="33"/>
    </row>
    <row r="75" spans="1:23" x14ac:dyDescent="0.35">
      <c r="A75" s="2">
        <v>43935</v>
      </c>
      <c r="B75" s="49">
        <v>-6.2692046000000001</v>
      </c>
      <c r="C75" s="49">
        <v>-44.150714999999998</v>
      </c>
      <c r="D75" s="49">
        <v>-37.395023000000002</v>
      </c>
      <c r="E75" s="49">
        <v>-28.314156000000001</v>
      </c>
      <c r="F75" s="49">
        <v>-34.679614999999998</v>
      </c>
      <c r="G75" s="49">
        <v>-34.539912999999999</v>
      </c>
      <c r="H75" s="49">
        <v>-18.672239999999999</v>
      </c>
      <c r="I75" s="49">
        <v>2.3881912000000001</v>
      </c>
      <c r="J75" s="49">
        <v>-36.348362000000002</v>
      </c>
      <c r="K75" s="49">
        <v>-20.342366999999999</v>
      </c>
      <c r="L75" s="49">
        <v>-34.240540000000003</v>
      </c>
      <c r="M75" s="49">
        <v>-37.349353999999998</v>
      </c>
      <c r="N75" s="49">
        <v>-26.788532</v>
      </c>
      <c r="O75" s="49">
        <v>-25.905591999999999</v>
      </c>
      <c r="P75" s="49">
        <v>-6.6997765999999999</v>
      </c>
      <c r="Q75" s="49">
        <v>-12.081713000000001</v>
      </c>
      <c r="R75" s="49">
        <v>-24.336773000000001</v>
      </c>
      <c r="S75" s="49">
        <v>-11.468458</v>
      </c>
      <c r="T75" s="49">
        <v>-29.046047000000002</v>
      </c>
      <c r="U75" s="49">
        <v>-29.264671</v>
      </c>
      <c r="V75" s="165">
        <v>-26.228449999999999</v>
      </c>
      <c r="W75" s="33"/>
    </row>
    <row r="76" spans="1:23" x14ac:dyDescent="0.35">
      <c r="A76" s="2">
        <v>43965</v>
      </c>
      <c r="B76" s="49">
        <v>9.9017859999999995</v>
      </c>
      <c r="C76" s="49">
        <v>-39.751305000000002</v>
      </c>
      <c r="D76" s="49">
        <v>-31.523693000000002</v>
      </c>
      <c r="E76" s="49">
        <v>-24.915195000000001</v>
      </c>
      <c r="F76" s="49">
        <v>-30.260355000000001</v>
      </c>
      <c r="G76" s="49">
        <v>-27.228629999999999</v>
      </c>
      <c r="H76" s="49">
        <v>-14.017129000000001</v>
      </c>
      <c r="I76" s="49">
        <v>12.16811</v>
      </c>
      <c r="J76" s="49">
        <v>-31.49823</v>
      </c>
      <c r="K76" s="49">
        <v>-7.9816937000000001</v>
      </c>
      <c r="L76" s="49">
        <v>-40.322136</v>
      </c>
      <c r="M76" s="49">
        <v>-34.576625999999997</v>
      </c>
      <c r="N76" s="49">
        <v>-25.750900000000001</v>
      </c>
      <c r="O76" s="49">
        <v>-19.707716000000001</v>
      </c>
      <c r="P76" s="49">
        <v>5.0504327</v>
      </c>
      <c r="Q76" s="49">
        <v>-6.7781266999999996</v>
      </c>
      <c r="R76" s="49">
        <v>-21.632470000000001</v>
      </c>
      <c r="S76" s="49">
        <v>-2.0028649999999999</v>
      </c>
      <c r="T76" s="49">
        <v>-27.185589</v>
      </c>
      <c r="U76" s="49">
        <v>-20.739263999999999</v>
      </c>
      <c r="V76" s="165">
        <v>-20.379059999999999</v>
      </c>
      <c r="W76" s="33"/>
    </row>
    <row r="77" spans="1:23" x14ac:dyDescent="0.35">
      <c r="A77" s="2">
        <v>43994</v>
      </c>
      <c r="B77" s="49">
        <v>12.662005000000001</v>
      </c>
      <c r="C77" s="49">
        <v>-32.531253999999997</v>
      </c>
      <c r="D77" s="49">
        <v>-26.126158</v>
      </c>
      <c r="E77" s="49">
        <v>-20.98028</v>
      </c>
      <c r="F77" s="49">
        <v>-22.871089999999999</v>
      </c>
      <c r="G77" s="49">
        <v>-18.070250999999999</v>
      </c>
      <c r="H77" s="49">
        <v>-7.2141704999999998</v>
      </c>
      <c r="I77" s="49">
        <v>20.004272</v>
      </c>
      <c r="J77" s="49">
        <v>-24.211925999999998</v>
      </c>
      <c r="K77" s="49">
        <v>2.3640751999999998</v>
      </c>
      <c r="L77" s="49">
        <v>-26.995594000000001</v>
      </c>
      <c r="M77" s="49">
        <v>-23.142242</v>
      </c>
      <c r="N77" s="49">
        <v>-27.399742</v>
      </c>
      <c r="O77" s="49">
        <v>-20.143736000000001</v>
      </c>
      <c r="P77" s="49">
        <v>14.549136000000001</v>
      </c>
      <c r="Q77" s="49">
        <v>-10.187298</v>
      </c>
      <c r="R77" s="49">
        <v>-17.266964000000002</v>
      </c>
      <c r="S77" s="49">
        <v>-5.6636332999999997E-2</v>
      </c>
      <c r="T77" s="49">
        <v>-21.886337000000001</v>
      </c>
      <c r="U77" s="49">
        <v>-14.789253</v>
      </c>
      <c r="V77" s="165">
        <v>-20.459420000000001</v>
      </c>
      <c r="W77" s="33"/>
    </row>
    <row r="78" spans="1:23" x14ac:dyDescent="0.35">
      <c r="A78" s="2">
        <v>44026</v>
      </c>
      <c r="B78" s="49">
        <v>34.767043999999999</v>
      </c>
      <c r="C78" s="49">
        <v>-30.285824000000002</v>
      </c>
      <c r="D78" s="49">
        <v>-25.790417000000001</v>
      </c>
      <c r="E78" s="49">
        <v>-23.803025999999999</v>
      </c>
      <c r="F78" s="49">
        <v>-24.84957</v>
      </c>
      <c r="G78" s="49">
        <v>-21.874624000000001</v>
      </c>
      <c r="H78" s="49">
        <v>-5.5469330000000001</v>
      </c>
      <c r="I78" s="49">
        <v>23.770927</v>
      </c>
      <c r="J78" s="49">
        <v>-26.987463000000002</v>
      </c>
      <c r="K78" s="49">
        <v>4.7219395999999998</v>
      </c>
      <c r="L78" s="49">
        <v>-31.789185</v>
      </c>
      <c r="M78" s="49">
        <v>-20.673846999999999</v>
      </c>
      <c r="N78" s="49">
        <v>-28.786594000000001</v>
      </c>
      <c r="O78" s="49">
        <v>-11.560255</v>
      </c>
      <c r="P78" s="49">
        <v>25.317775999999999</v>
      </c>
      <c r="Q78" s="49">
        <v>-2.9692113</v>
      </c>
      <c r="R78" s="49">
        <v>-22.552686999999999</v>
      </c>
      <c r="S78" s="49">
        <v>-2.1605074000000002</v>
      </c>
      <c r="T78" s="49">
        <v>-20.374573000000002</v>
      </c>
      <c r="U78" s="49">
        <v>-11.807114</v>
      </c>
      <c r="V78" s="165">
        <v>-16.515297</v>
      </c>
      <c r="W78" s="33"/>
    </row>
    <row r="79" spans="1:23" x14ac:dyDescent="0.35">
      <c r="A79" s="2">
        <v>44057</v>
      </c>
      <c r="B79" s="49">
        <v>38.818429999999999</v>
      </c>
      <c r="C79" s="49">
        <v>-25.74823</v>
      </c>
      <c r="D79" s="49">
        <v>-19.265837000000001</v>
      </c>
      <c r="E79" s="49">
        <v>-16.584323999999999</v>
      </c>
      <c r="F79" s="49">
        <v>-5.6397380000000004</v>
      </c>
      <c r="G79" s="49">
        <v>-3.7086665999999999</v>
      </c>
      <c r="H79" s="49">
        <v>2.0052075</v>
      </c>
      <c r="I79" s="49">
        <v>38.232959999999999</v>
      </c>
      <c r="J79" s="49">
        <v>-8.0770789999999995</v>
      </c>
      <c r="K79" s="49">
        <v>31.473171000000001</v>
      </c>
      <c r="L79" s="49">
        <v>-23.698378000000002</v>
      </c>
      <c r="M79" s="49">
        <v>-7.8622339999999999</v>
      </c>
      <c r="N79" s="49">
        <v>-16.148883999999999</v>
      </c>
      <c r="O79" s="49">
        <v>4.5878886999999997</v>
      </c>
      <c r="P79" s="49">
        <v>36.675229999999999</v>
      </c>
      <c r="Q79" s="49">
        <v>9.0371249999999996</v>
      </c>
      <c r="R79" s="49">
        <v>-18.055503999999999</v>
      </c>
      <c r="S79" s="49">
        <v>-17.213266000000001</v>
      </c>
      <c r="T79" s="49">
        <v>-17.513072999999999</v>
      </c>
      <c r="U79" s="49">
        <v>-2.8048456000000002</v>
      </c>
      <c r="V79" s="165">
        <v>-8.2100030000000004</v>
      </c>
      <c r="W79" s="33"/>
    </row>
    <row r="80" spans="1:23" x14ac:dyDescent="0.35">
      <c r="A80" s="2">
        <v>44088</v>
      </c>
      <c r="B80" s="49">
        <v>26.779699999999998</v>
      </c>
      <c r="C80" s="49">
        <v>-32.444633000000003</v>
      </c>
      <c r="D80" s="49">
        <v>-27.241897999999999</v>
      </c>
      <c r="E80" s="49">
        <v>-21.847014999999999</v>
      </c>
      <c r="F80" s="49">
        <v>-16.839272000000001</v>
      </c>
      <c r="G80" s="49">
        <v>-11.188715999999999</v>
      </c>
      <c r="H80" s="49">
        <v>-4.713565</v>
      </c>
      <c r="I80" s="49">
        <v>26.100194999999999</v>
      </c>
      <c r="J80" s="49">
        <v>-19.168800000000001</v>
      </c>
      <c r="K80" s="49">
        <v>15.918540999999999</v>
      </c>
      <c r="L80" s="49">
        <v>-24.526530999999999</v>
      </c>
      <c r="M80" s="49">
        <v>-16.643446000000001</v>
      </c>
      <c r="N80" s="49">
        <v>-21.115666999999998</v>
      </c>
      <c r="O80" s="49">
        <v>5.1487803000000003</v>
      </c>
      <c r="P80" s="49">
        <v>24.969291999999999</v>
      </c>
      <c r="Q80" s="49">
        <v>0.75018406000000004</v>
      </c>
      <c r="R80" s="49">
        <v>-23.443407000000001</v>
      </c>
      <c r="S80" s="49">
        <v>-20.97842</v>
      </c>
      <c r="T80" s="49">
        <v>-19.029903000000001</v>
      </c>
      <c r="U80" s="49">
        <v>-3.8117825999999999</v>
      </c>
      <c r="V80" s="165">
        <v>2.5209427</v>
      </c>
      <c r="W80" s="33"/>
    </row>
    <row r="81" spans="1:23" x14ac:dyDescent="0.35">
      <c r="A81" s="2">
        <v>44118</v>
      </c>
      <c r="B81" s="49">
        <v>34.398470000000003</v>
      </c>
      <c r="C81" s="49">
        <v>-37.550890000000003</v>
      </c>
      <c r="D81" s="49">
        <v>-22.680472999999999</v>
      </c>
      <c r="E81" s="49">
        <v>-22.383673000000002</v>
      </c>
      <c r="F81" s="49">
        <v>-19.577307000000001</v>
      </c>
      <c r="G81" s="49">
        <v>-11.464095</v>
      </c>
      <c r="H81" s="49">
        <v>-0.68074464999999995</v>
      </c>
      <c r="I81" s="49">
        <v>25.734175</v>
      </c>
      <c r="J81" s="49">
        <v>-19.498318000000001</v>
      </c>
      <c r="K81" s="49">
        <v>18.894041000000001</v>
      </c>
      <c r="L81" s="49">
        <v>-28.962755000000001</v>
      </c>
      <c r="M81" s="49">
        <v>-14.970893</v>
      </c>
      <c r="N81" s="49">
        <v>-27.843178000000002</v>
      </c>
      <c r="O81" s="49">
        <v>8.5054510000000008</v>
      </c>
      <c r="P81" s="49">
        <v>35.99633</v>
      </c>
      <c r="Q81" s="49">
        <v>3.5522580000000001</v>
      </c>
      <c r="R81" s="49">
        <v>-22.263836000000001</v>
      </c>
      <c r="S81" s="49">
        <v>-11.241251</v>
      </c>
      <c r="T81" s="49">
        <v>-19.356358</v>
      </c>
      <c r="U81" s="49">
        <v>-4.501563</v>
      </c>
      <c r="V81" s="165">
        <v>11.397421</v>
      </c>
      <c r="W81" s="33"/>
    </row>
    <row r="82" spans="1:23" x14ac:dyDescent="0.35">
      <c r="A82" s="2">
        <v>44148</v>
      </c>
      <c r="B82" s="49">
        <v>38.884903000000001</v>
      </c>
      <c r="C82" s="49">
        <v>-10.323696999999999</v>
      </c>
      <c r="D82" s="49">
        <v>-12.362152</v>
      </c>
      <c r="E82" s="49">
        <v>-9.1952269999999992</v>
      </c>
      <c r="F82" s="49">
        <v>-19.920079999999999</v>
      </c>
      <c r="G82" s="49">
        <v>-8.5365409999999997</v>
      </c>
      <c r="H82" s="49">
        <v>0.3623247</v>
      </c>
      <c r="I82" s="49">
        <v>25.815259999999999</v>
      </c>
      <c r="J82" s="49">
        <v>-9.3376874999999995</v>
      </c>
      <c r="K82" s="49">
        <v>25.790192000000001</v>
      </c>
      <c r="L82" s="49">
        <v>-24.134571000000001</v>
      </c>
      <c r="M82" s="49">
        <v>-5.9530615999999998</v>
      </c>
      <c r="N82" s="49">
        <v>-26.707039999999999</v>
      </c>
      <c r="O82" s="49">
        <v>7.7124715000000004</v>
      </c>
      <c r="P82" s="49">
        <v>37.813580000000002</v>
      </c>
      <c r="Q82" s="49">
        <v>4.6676039999999999</v>
      </c>
      <c r="R82" s="49">
        <v>-16.634475999999999</v>
      </c>
      <c r="S82" s="49">
        <v>-11.615401</v>
      </c>
      <c r="T82" s="49">
        <v>-17.152059999999999</v>
      </c>
      <c r="U82" s="49">
        <v>-4.0942907000000002</v>
      </c>
      <c r="V82" s="165">
        <v>4.5625210000000003</v>
      </c>
      <c r="W82" s="33"/>
    </row>
    <row r="83" spans="1:23" x14ac:dyDescent="0.35">
      <c r="A83" s="2">
        <v>44179</v>
      </c>
      <c r="B83" s="49">
        <v>40.509700000000002</v>
      </c>
      <c r="C83" s="49">
        <v>-14.211188999999999</v>
      </c>
      <c r="D83" s="49">
        <v>-6.0800850000000004</v>
      </c>
      <c r="E83" s="49">
        <v>-3.4851312999999999</v>
      </c>
      <c r="F83" s="49">
        <v>-6.2521814999999998</v>
      </c>
      <c r="G83" s="49">
        <v>-2.1206439000000001</v>
      </c>
      <c r="H83" s="49">
        <v>6.3738704000000004</v>
      </c>
      <c r="I83" s="49">
        <v>28.87621</v>
      </c>
      <c r="J83" s="49">
        <v>-6.5588654999999996</v>
      </c>
      <c r="K83" s="49">
        <v>36.90381</v>
      </c>
      <c r="L83" s="49">
        <v>-17.939484</v>
      </c>
      <c r="M83" s="49">
        <v>-2.7427375000000001</v>
      </c>
      <c r="N83" s="49">
        <v>-12.277096999999999</v>
      </c>
      <c r="O83" s="49">
        <v>9.7774389999999993</v>
      </c>
      <c r="P83" s="49">
        <v>29.060507000000001</v>
      </c>
      <c r="Q83" s="49">
        <v>6.8107962999999998</v>
      </c>
      <c r="R83" s="49">
        <v>-6.2125564000000004</v>
      </c>
      <c r="S83" s="49">
        <v>-10.741782000000001</v>
      </c>
      <c r="T83" s="49">
        <v>-5.9213639999999996</v>
      </c>
      <c r="U83" s="49">
        <v>6.1514496999999997</v>
      </c>
      <c r="V83" s="165">
        <v>5.020702</v>
      </c>
      <c r="W83" s="33"/>
    </row>
    <row r="84" spans="1:23" x14ac:dyDescent="0.35">
      <c r="A84" s="2">
        <v>44210</v>
      </c>
      <c r="B84" s="49">
        <v>44.4651</v>
      </c>
      <c r="C84" s="49">
        <v>-1.9620776</v>
      </c>
      <c r="D84" s="49">
        <v>-3.8883567000000001</v>
      </c>
      <c r="E84" s="49">
        <v>-1.8770814</v>
      </c>
      <c r="F84" s="49">
        <v>-7.6854050000000003</v>
      </c>
      <c r="G84" s="49">
        <v>-0.47526360000000001</v>
      </c>
      <c r="H84" s="49">
        <v>3.5684942999999998</v>
      </c>
      <c r="I84" s="49">
        <v>41.913890000000002</v>
      </c>
      <c r="J84" s="49">
        <v>-1.9320725999999999</v>
      </c>
      <c r="K84" s="49">
        <v>50.278709999999997</v>
      </c>
      <c r="L84" s="49">
        <v>-15.900779</v>
      </c>
      <c r="M84" s="49">
        <v>-2.1698355999999999</v>
      </c>
      <c r="N84" s="49">
        <v>-14.108306000000001</v>
      </c>
      <c r="O84" s="49">
        <v>16.455746000000001</v>
      </c>
      <c r="P84" s="49">
        <v>29.551196999999998</v>
      </c>
      <c r="Q84" s="49">
        <v>8.4697484999999997</v>
      </c>
      <c r="R84" s="49">
        <v>-3.2087743</v>
      </c>
      <c r="S84" s="49">
        <v>-2.0471035999999998</v>
      </c>
      <c r="T84" s="49">
        <v>1.3719082</v>
      </c>
      <c r="U84" s="49">
        <v>15.600156999999999</v>
      </c>
      <c r="V84" s="165">
        <v>5.8215260000000004</v>
      </c>
      <c r="W84" s="33"/>
    </row>
    <row r="85" spans="1:23" x14ac:dyDescent="0.35">
      <c r="A85" s="2">
        <v>44239</v>
      </c>
      <c r="B85" s="49">
        <v>64.439250000000001</v>
      </c>
      <c r="C85" s="49">
        <v>5.1065803000000001</v>
      </c>
      <c r="D85" s="49">
        <v>-0.98823309999999998</v>
      </c>
      <c r="E85" s="49">
        <v>-2.8407334999999998</v>
      </c>
      <c r="F85" s="49">
        <v>-5.2709937</v>
      </c>
      <c r="G85" s="49">
        <v>10.696566000000001</v>
      </c>
      <c r="H85" s="49">
        <v>4.9009084999999999</v>
      </c>
      <c r="I85" s="49">
        <v>48.723877000000002</v>
      </c>
      <c r="J85" s="49">
        <v>-9.8051490000000001</v>
      </c>
      <c r="K85" s="49">
        <v>50.761603999999998</v>
      </c>
      <c r="L85" s="49">
        <v>-16.698889999999999</v>
      </c>
      <c r="M85" s="49">
        <v>11.233544</v>
      </c>
      <c r="N85" s="49">
        <v>-11.51601</v>
      </c>
      <c r="O85" s="49">
        <v>20.934795000000001</v>
      </c>
      <c r="P85" s="49">
        <v>48.195489999999999</v>
      </c>
      <c r="Q85" s="49">
        <v>12.088955</v>
      </c>
      <c r="R85" s="49">
        <v>-1.0223627</v>
      </c>
      <c r="S85" s="49">
        <v>5.8955909999999996</v>
      </c>
      <c r="T85" s="49">
        <v>8.4437960000000007</v>
      </c>
      <c r="U85" s="49">
        <v>18.202019</v>
      </c>
      <c r="V85" s="165">
        <v>12.430668000000001</v>
      </c>
      <c r="W85" s="33"/>
    </row>
    <row r="86" spans="1:23" x14ac:dyDescent="0.35">
      <c r="A86" s="2">
        <v>44267</v>
      </c>
      <c r="B86" s="49">
        <v>47.494185999999999</v>
      </c>
      <c r="C86" s="49">
        <v>53.698276999999997</v>
      </c>
      <c r="D86" s="49">
        <v>39.369869999999999</v>
      </c>
      <c r="E86" s="49">
        <v>36.997529999999998</v>
      </c>
      <c r="F86" s="49">
        <v>53.210006999999997</v>
      </c>
      <c r="G86" s="49">
        <v>51.680625999999997</v>
      </c>
      <c r="H86" s="49">
        <v>30.271435</v>
      </c>
      <c r="I86" s="49">
        <v>79.171539999999993</v>
      </c>
      <c r="J86" s="49">
        <v>34.342489999999998</v>
      </c>
      <c r="K86" s="49">
        <v>90.124343999999994</v>
      </c>
      <c r="L86" s="49">
        <v>37.226402</v>
      </c>
      <c r="M86" s="49">
        <v>67.19896</v>
      </c>
      <c r="N86" s="49">
        <v>76.980140000000006</v>
      </c>
      <c r="O86" s="49">
        <v>71.330665999999994</v>
      </c>
      <c r="P86" s="49">
        <v>54.531289999999998</v>
      </c>
      <c r="Q86" s="49">
        <v>41.211734999999997</v>
      </c>
      <c r="R86" s="49">
        <v>40.656185000000001</v>
      </c>
      <c r="S86" s="49">
        <v>33.753014</v>
      </c>
      <c r="T86" s="49">
        <v>46.375619999999998</v>
      </c>
      <c r="U86" s="49">
        <v>60.991455000000002</v>
      </c>
      <c r="V86" s="165">
        <v>65.277349999999998</v>
      </c>
      <c r="W86" s="33"/>
    </row>
    <row r="87" spans="1:23" x14ac:dyDescent="0.35">
      <c r="A87" s="2">
        <v>44300</v>
      </c>
      <c r="B87" s="49">
        <v>43.602276000000003</v>
      </c>
      <c r="C87" s="49">
        <v>45.747303000000002</v>
      </c>
      <c r="D87" s="49">
        <v>38.673020000000001</v>
      </c>
      <c r="E87" s="49">
        <v>20.116783000000002</v>
      </c>
      <c r="F87" s="49">
        <v>30.926525000000002</v>
      </c>
      <c r="G87" s="49">
        <v>43.727576999999997</v>
      </c>
      <c r="H87" s="49">
        <v>20.119143000000001</v>
      </c>
      <c r="I87" s="49">
        <v>74.750174999999999</v>
      </c>
      <c r="J87" s="49">
        <v>62.495018000000002</v>
      </c>
      <c r="K87" s="49">
        <v>88.472639999999998</v>
      </c>
      <c r="L87" s="49">
        <v>35.738849999999999</v>
      </c>
      <c r="M87" s="49">
        <v>69.989943999999994</v>
      </c>
      <c r="N87" s="49">
        <v>56.319747999999997</v>
      </c>
      <c r="O87" s="49">
        <v>58.052826000000003</v>
      </c>
      <c r="P87" s="49">
        <v>38.019646000000002</v>
      </c>
      <c r="Q87" s="49">
        <v>24.052547000000001</v>
      </c>
      <c r="R87" s="49">
        <v>25.495301999999999</v>
      </c>
      <c r="S87" s="49">
        <v>17.351268999999998</v>
      </c>
      <c r="T87" s="49">
        <v>38.102020000000003</v>
      </c>
      <c r="U87" s="49">
        <v>58.284140000000001</v>
      </c>
      <c r="V87" s="165">
        <v>46.469949999999997</v>
      </c>
      <c r="W87" s="33"/>
    </row>
    <row r="88" spans="1:23" x14ac:dyDescent="0.35">
      <c r="A88" s="2">
        <v>44330</v>
      </c>
      <c r="B88" s="49">
        <v>46.856163000000002</v>
      </c>
      <c r="C88" s="49">
        <v>40.393160000000002</v>
      </c>
      <c r="D88" s="49">
        <v>38.847279999999998</v>
      </c>
      <c r="E88" s="49">
        <v>17.232275000000001</v>
      </c>
      <c r="F88" s="49">
        <v>46.309863999999997</v>
      </c>
      <c r="G88" s="49">
        <v>41.721831999999999</v>
      </c>
      <c r="H88" s="49">
        <v>17.545449999999999</v>
      </c>
      <c r="I88" s="49">
        <v>61.487650000000002</v>
      </c>
      <c r="J88" s="49">
        <v>61.834859999999999</v>
      </c>
      <c r="K88" s="49">
        <v>79.377494999999996</v>
      </c>
      <c r="L88" s="49">
        <v>68.948554999999999</v>
      </c>
      <c r="M88" s="49">
        <v>69.661749999999998</v>
      </c>
      <c r="N88" s="49">
        <v>72.056563999999995</v>
      </c>
      <c r="O88" s="49">
        <v>60.412860000000002</v>
      </c>
      <c r="P88" s="49">
        <v>30.092704999999999</v>
      </c>
      <c r="Q88" s="49">
        <v>28.49567</v>
      </c>
      <c r="R88" s="49">
        <v>21.015298999999999</v>
      </c>
      <c r="S88" s="49">
        <v>16.753578000000001</v>
      </c>
      <c r="T88" s="49">
        <v>47.120296000000003</v>
      </c>
      <c r="U88" s="49">
        <v>47.510219999999997</v>
      </c>
      <c r="V88" s="165">
        <v>53.619267000000001</v>
      </c>
      <c r="W88" s="33"/>
    </row>
    <row r="89" spans="1:23" x14ac:dyDescent="0.35">
      <c r="A89" s="2">
        <v>44361</v>
      </c>
      <c r="B89" s="49">
        <v>48.172449999999998</v>
      </c>
      <c r="C89" s="49">
        <v>16.839683999999998</v>
      </c>
      <c r="D89" s="49">
        <v>21.616721999999999</v>
      </c>
      <c r="E89" s="49">
        <v>16.014707999999999</v>
      </c>
      <c r="F89" s="49">
        <v>30.554341999999998</v>
      </c>
      <c r="G89" s="49">
        <v>6.6061974000000001</v>
      </c>
      <c r="H89" s="49">
        <v>5.0679207000000002</v>
      </c>
      <c r="I89" s="49">
        <v>64.650475</v>
      </c>
      <c r="J89" s="49">
        <v>51.639270000000003</v>
      </c>
      <c r="K89" s="49">
        <v>62.996352999999999</v>
      </c>
      <c r="L89" s="49">
        <v>39.148223999999999</v>
      </c>
      <c r="M89" s="49">
        <v>53.414009999999998</v>
      </c>
      <c r="N89" s="49">
        <v>56.471026999999999</v>
      </c>
      <c r="O89" s="49">
        <v>60.769176000000002</v>
      </c>
      <c r="P89" s="49">
        <v>29.784561</v>
      </c>
      <c r="Q89" s="49">
        <v>25.294315000000001</v>
      </c>
      <c r="R89" s="49">
        <v>18.118559999999999</v>
      </c>
      <c r="S89" s="49">
        <v>7.0170164000000002</v>
      </c>
      <c r="T89" s="49">
        <v>50.122239999999998</v>
      </c>
      <c r="U89" s="49">
        <v>47.374057999999998</v>
      </c>
      <c r="V89" s="165">
        <v>49.727417000000003</v>
      </c>
      <c r="W89" s="33"/>
    </row>
    <row r="90" spans="1:23" x14ac:dyDescent="0.35">
      <c r="A90" s="2">
        <v>44391</v>
      </c>
      <c r="B90" s="49">
        <v>17.47091</v>
      </c>
      <c r="C90" s="49">
        <v>0.53422449999999999</v>
      </c>
      <c r="D90" s="49">
        <v>4.9568175999999999</v>
      </c>
      <c r="E90" s="49">
        <v>9.8623279999999998</v>
      </c>
      <c r="F90" s="49">
        <v>28.911840000000002</v>
      </c>
      <c r="G90" s="49">
        <v>1.1798740000000001</v>
      </c>
      <c r="H90" s="49">
        <v>-5.8427752999999996</v>
      </c>
      <c r="I90" s="49">
        <v>53.735016000000002</v>
      </c>
      <c r="J90" s="49">
        <v>55.713819999999998</v>
      </c>
      <c r="K90" s="49">
        <v>55.778503000000001</v>
      </c>
      <c r="L90" s="49">
        <v>33.924506999999998</v>
      </c>
      <c r="M90" s="49">
        <v>32.929589999999997</v>
      </c>
      <c r="N90" s="49">
        <v>41.847729999999999</v>
      </c>
      <c r="O90" s="49">
        <v>45.538820000000001</v>
      </c>
      <c r="P90" s="49">
        <v>8.4007629999999995</v>
      </c>
      <c r="Q90" s="49">
        <v>14.818394</v>
      </c>
      <c r="R90" s="49">
        <v>17.048323</v>
      </c>
      <c r="S90" s="49">
        <v>-6.1527133000000003</v>
      </c>
      <c r="T90" s="49">
        <v>43.671860000000002</v>
      </c>
      <c r="U90" s="49">
        <v>34.423256000000002</v>
      </c>
      <c r="V90" s="165">
        <v>44.936680000000003</v>
      </c>
      <c r="W90" s="33"/>
    </row>
    <row r="91" spans="1:23" x14ac:dyDescent="0.35">
      <c r="A91" s="2">
        <v>44421</v>
      </c>
      <c r="B91" s="49">
        <v>19.710719999999998</v>
      </c>
      <c r="C91" s="49">
        <v>8.2250479999999992</v>
      </c>
      <c r="D91" s="49">
        <v>8.8267690000000005</v>
      </c>
      <c r="E91" s="49">
        <v>4.7550796999999996</v>
      </c>
      <c r="F91" s="49">
        <v>21.617353000000001</v>
      </c>
      <c r="G91" s="49">
        <v>-13.074809</v>
      </c>
      <c r="H91" s="49">
        <v>-6.6829919999999996</v>
      </c>
      <c r="I91" s="49">
        <v>42.134856999999997</v>
      </c>
      <c r="J91" s="49">
        <v>48.184849999999997</v>
      </c>
      <c r="K91" s="49">
        <v>30.796634999999998</v>
      </c>
      <c r="L91" s="49">
        <v>23.06578</v>
      </c>
      <c r="M91" s="49">
        <v>36.697066999999997</v>
      </c>
      <c r="N91" s="49">
        <v>38.998126999999997</v>
      </c>
      <c r="O91" s="49">
        <v>40.247463000000003</v>
      </c>
      <c r="P91" s="49">
        <v>-0.57654380000000005</v>
      </c>
      <c r="Q91" s="49">
        <v>14.952099</v>
      </c>
      <c r="R91" s="49">
        <v>13.487147999999999</v>
      </c>
      <c r="S91" s="49">
        <v>16.16844</v>
      </c>
      <c r="T91" s="49">
        <v>41.052460000000004</v>
      </c>
      <c r="U91" s="49">
        <v>35.804485</v>
      </c>
      <c r="V91" s="165">
        <v>48.998629999999999</v>
      </c>
      <c r="W91" s="33"/>
    </row>
    <row r="92" spans="1:23" x14ac:dyDescent="0.35">
      <c r="A92" s="2">
        <v>44453</v>
      </c>
      <c r="B92" s="49">
        <v>18.659137999999999</v>
      </c>
      <c r="C92" s="49">
        <v>11.113441</v>
      </c>
      <c r="D92" s="49">
        <v>18.417024999999999</v>
      </c>
      <c r="E92" s="49">
        <v>15.973103</v>
      </c>
      <c r="F92" s="49">
        <v>35.448394999999998</v>
      </c>
      <c r="G92" s="49">
        <v>-9.7288549999999994</v>
      </c>
      <c r="H92" s="49">
        <v>2.5968909999999998</v>
      </c>
      <c r="I92" s="49">
        <v>47.428176999999998</v>
      </c>
      <c r="J92" s="49">
        <v>49.349055999999997</v>
      </c>
      <c r="K92" s="49">
        <v>29.121506</v>
      </c>
      <c r="L92" s="49">
        <v>15.245735</v>
      </c>
      <c r="M92" s="49">
        <v>29.751252999999998</v>
      </c>
      <c r="N92" s="49">
        <v>35.339950000000002</v>
      </c>
      <c r="O92" s="49">
        <v>44.09592</v>
      </c>
      <c r="P92" s="49">
        <v>-4.0619493000000002</v>
      </c>
      <c r="Q92" s="49">
        <v>14.681315</v>
      </c>
      <c r="R92" s="49">
        <v>27.626265</v>
      </c>
      <c r="S92" s="49">
        <v>16.671334999999999</v>
      </c>
      <c r="T92" s="49">
        <v>42.534412000000003</v>
      </c>
      <c r="U92" s="49">
        <v>31.078279999999999</v>
      </c>
      <c r="V92" s="165">
        <v>42.394936000000001</v>
      </c>
      <c r="W92" s="33"/>
    </row>
    <row r="93" spans="1:23" x14ac:dyDescent="0.35">
      <c r="A93" s="2">
        <v>44483</v>
      </c>
      <c r="B93" s="49">
        <v>12.702143</v>
      </c>
      <c r="C93" s="49">
        <v>2.3574233000000002</v>
      </c>
      <c r="D93" s="49">
        <v>34.249125999999997</v>
      </c>
      <c r="E93" s="49">
        <v>22.385097999999999</v>
      </c>
      <c r="F93" s="49">
        <v>48.05198</v>
      </c>
      <c r="G93" s="49">
        <v>-0.77593327000000001</v>
      </c>
      <c r="H93" s="49">
        <v>3.7699818999999999</v>
      </c>
      <c r="I93" s="49">
        <v>34.903885000000002</v>
      </c>
      <c r="J93" s="49">
        <v>42.255355999999999</v>
      </c>
      <c r="K93" s="49">
        <v>19.78773</v>
      </c>
      <c r="L93" s="49">
        <v>13.996339000000001</v>
      </c>
      <c r="M93" s="49">
        <v>35.777940000000001</v>
      </c>
      <c r="N93" s="49">
        <v>42.239044</v>
      </c>
      <c r="O93" s="49">
        <v>42.448532</v>
      </c>
      <c r="P93" s="49">
        <v>-9.3195379999999997</v>
      </c>
      <c r="Q93" s="49">
        <v>18.126476</v>
      </c>
      <c r="R93" s="49">
        <v>29.824601999999999</v>
      </c>
      <c r="S93" s="49">
        <v>6.6155552999999996</v>
      </c>
      <c r="T93" s="49">
        <v>41.598796999999998</v>
      </c>
      <c r="U93" s="49">
        <v>29.426431999999998</v>
      </c>
      <c r="V93" s="165">
        <v>41.705406000000004</v>
      </c>
      <c r="W93" s="33"/>
    </row>
    <row r="94" spans="1:23" x14ac:dyDescent="0.35">
      <c r="A94" s="2">
        <v>44512</v>
      </c>
      <c r="B94" s="49">
        <v>11.316717000000001</v>
      </c>
      <c r="C94" s="49">
        <v>5.2058460000000002</v>
      </c>
      <c r="D94" s="49">
        <v>15.028786999999999</v>
      </c>
      <c r="E94" s="49">
        <v>7.1141243000000003</v>
      </c>
      <c r="F94" s="49">
        <v>35.448753000000004</v>
      </c>
      <c r="G94" s="49">
        <v>2.6837110000000002</v>
      </c>
      <c r="H94" s="49">
        <v>-3.7695110000000001</v>
      </c>
      <c r="I94" s="49">
        <v>38.927100000000003</v>
      </c>
      <c r="J94" s="49">
        <v>30.227506999999999</v>
      </c>
      <c r="K94" s="49">
        <v>11.875296000000001</v>
      </c>
      <c r="L94" s="49">
        <v>2.7046679999999999</v>
      </c>
      <c r="M94" s="49">
        <v>20.493148999999999</v>
      </c>
      <c r="N94" s="49">
        <v>41.567504999999997</v>
      </c>
      <c r="O94" s="49">
        <v>42.289924999999997</v>
      </c>
      <c r="P94" s="49">
        <v>-10.512017999999999</v>
      </c>
      <c r="Q94" s="49">
        <v>21.542321999999999</v>
      </c>
      <c r="R94" s="49">
        <v>22.272514000000001</v>
      </c>
      <c r="S94" s="49">
        <v>3.1726955999999999</v>
      </c>
      <c r="T94" s="49">
        <v>53.036583</v>
      </c>
      <c r="U94" s="49">
        <v>33.823276999999997</v>
      </c>
      <c r="V94" s="165">
        <v>47.652138000000001</v>
      </c>
      <c r="W94" s="33"/>
    </row>
    <row r="95" spans="1:23" x14ac:dyDescent="0.35">
      <c r="A95" s="2">
        <v>44544</v>
      </c>
      <c r="B95" s="49">
        <v>10.964179</v>
      </c>
      <c r="C95" s="49">
        <v>-14.257346999999999</v>
      </c>
      <c r="D95" s="49">
        <v>0.95107554999999999</v>
      </c>
      <c r="E95" s="49">
        <v>-1.4790535</v>
      </c>
      <c r="F95" s="49">
        <v>9.0408690000000007</v>
      </c>
      <c r="G95" s="49">
        <v>-14.756733000000001</v>
      </c>
      <c r="H95" s="49">
        <v>-12.965059</v>
      </c>
      <c r="I95" s="49">
        <v>27.459394</v>
      </c>
      <c r="J95" s="49">
        <v>14.828205000000001</v>
      </c>
      <c r="K95" s="49">
        <v>-2.4572910000000001</v>
      </c>
      <c r="L95" s="49">
        <v>-15.632284</v>
      </c>
      <c r="M95" s="49">
        <v>6.9518684999999998</v>
      </c>
      <c r="N95" s="49">
        <v>6.3642859999999999</v>
      </c>
      <c r="O95" s="49">
        <v>24.001525999999998</v>
      </c>
      <c r="P95" s="49">
        <v>-17.501068</v>
      </c>
      <c r="Q95" s="49">
        <v>13.599406999999999</v>
      </c>
      <c r="R95" s="49">
        <v>10.467231999999999</v>
      </c>
      <c r="S95" s="49">
        <v>-10.874938999999999</v>
      </c>
      <c r="T95" s="49">
        <v>48.434986000000002</v>
      </c>
      <c r="U95" s="49">
        <v>22.572590000000002</v>
      </c>
      <c r="V95" s="165">
        <v>30.659352999999999</v>
      </c>
      <c r="W95" s="33"/>
    </row>
    <row r="96" spans="1:23" x14ac:dyDescent="0.35">
      <c r="A96" s="2">
        <v>44575</v>
      </c>
      <c r="B96" s="49">
        <v>-6.8636299999999997</v>
      </c>
      <c r="C96" s="49">
        <v>-19.111281999999999</v>
      </c>
      <c r="D96" s="49">
        <v>-3.7396788999999999</v>
      </c>
      <c r="E96" s="49">
        <v>-2.975911</v>
      </c>
      <c r="F96" s="49">
        <v>16.899956</v>
      </c>
      <c r="G96" s="49">
        <v>-3.2450914000000002</v>
      </c>
      <c r="H96" s="49">
        <v>-7.0598660000000004</v>
      </c>
      <c r="I96" s="49">
        <v>19.095230000000001</v>
      </c>
      <c r="J96" s="49">
        <v>16.894196999999998</v>
      </c>
      <c r="K96" s="49">
        <v>-17.129559</v>
      </c>
      <c r="L96" s="49">
        <v>-17.632538</v>
      </c>
      <c r="M96" s="49">
        <v>13.536512</v>
      </c>
      <c r="N96" s="49">
        <v>16.121483000000001</v>
      </c>
      <c r="O96" s="49">
        <v>22.460604</v>
      </c>
      <c r="P96" s="49">
        <v>-25.094132999999999</v>
      </c>
      <c r="Q96" s="49">
        <v>14.178013999999999</v>
      </c>
      <c r="R96" s="49">
        <v>8.8966010000000004</v>
      </c>
      <c r="S96" s="49">
        <v>-24.272901999999998</v>
      </c>
      <c r="T96" s="49">
        <v>34.209476000000002</v>
      </c>
      <c r="U96" s="49">
        <v>12.669206000000001</v>
      </c>
      <c r="V96" s="165">
        <v>39.996276999999999</v>
      </c>
      <c r="W96" s="33"/>
    </row>
    <row r="97" spans="1:23" x14ac:dyDescent="0.35">
      <c r="A97" s="2">
        <v>44606</v>
      </c>
      <c r="B97" s="49">
        <v>-17.761075999999999</v>
      </c>
      <c r="C97" s="49">
        <v>-15.726018</v>
      </c>
      <c r="D97" s="49">
        <v>0.66775083999999996</v>
      </c>
      <c r="E97" s="49">
        <v>3.2567263</v>
      </c>
      <c r="F97" s="49">
        <v>6.5870166000000001</v>
      </c>
      <c r="G97" s="49">
        <v>-6.4936457000000001</v>
      </c>
      <c r="H97" s="49">
        <v>-3.5847068000000002</v>
      </c>
      <c r="I97" s="49">
        <v>11.823499999999999</v>
      </c>
      <c r="J97" s="49">
        <v>19.643093</v>
      </c>
      <c r="K97" s="49">
        <v>-21.579205999999999</v>
      </c>
      <c r="L97" s="49">
        <v>-0.63681600000000005</v>
      </c>
      <c r="M97" s="49">
        <v>6.7317247</v>
      </c>
      <c r="N97" s="49">
        <v>22.428345</v>
      </c>
      <c r="O97" s="49">
        <v>7.5649620000000004</v>
      </c>
      <c r="P97" s="49">
        <v>-35.325726000000003</v>
      </c>
      <c r="Q97" s="49">
        <v>23.247349</v>
      </c>
      <c r="R97" s="49">
        <v>11.690913999999999</v>
      </c>
      <c r="S97" s="49">
        <v>-29.734307999999999</v>
      </c>
      <c r="T97" s="49">
        <v>36.387189999999997</v>
      </c>
      <c r="U97" s="49">
        <v>8.2570440000000005</v>
      </c>
      <c r="V97" s="165">
        <v>41.822636000000003</v>
      </c>
      <c r="W97" s="33"/>
    </row>
    <row r="98" spans="1:23" x14ac:dyDescent="0.35">
      <c r="A98" s="2">
        <v>44634</v>
      </c>
      <c r="B98" s="49">
        <v>-12.885612500000001</v>
      </c>
      <c r="C98" s="49">
        <v>-19.938051000000002</v>
      </c>
      <c r="D98" s="49">
        <v>8.4718110000000006</v>
      </c>
      <c r="E98" s="49">
        <v>-1.7127155999999999</v>
      </c>
      <c r="F98" s="49">
        <v>-10.200303999999999</v>
      </c>
      <c r="G98" s="49">
        <v>0.46597719999999998</v>
      </c>
      <c r="H98" s="49">
        <v>-3.5441457999999999</v>
      </c>
      <c r="I98" s="49">
        <v>5.8165430000000002</v>
      </c>
      <c r="J98" s="49">
        <v>13.731204999999999</v>
      </c>
      <c r="K98" s="49">
        <v>-22.46123</v>
      </c>
      <c r="L98" s="49">
        <v>6.7538499999999999</v>
      </c>
      <c r="M98" s="49">
        <v>6.04887</v>
      </c>
      <c r="N98" s="49">
        <v>-5.7488320000000002</v>
      </c>
      <c r="O98" s="49">
        <v>6.3745737</v>
      </c>
      <c r="P98" s="49">
        <v>-45.585175</v>
      </c>
      <c r="Q98" s="49">
        <v>30.705238000000001</v>
      </c>
      <c r="R98" s="49">
        <v>5.8640957</v>
      </c>
      <c r="S98" s="49">
        <v>-29.661947000000001</v>
      </c>
      <c r="T98" s="49">
        <v>43.950020000000002</v>
      </c>
      <c r="U98" s="49">
        <v>2.8745055000000002</v>
      </c>
      <c r="V98" s="165">
        <v>36.634636</v>
      </c>
      <c r="W98" s="33"/>
    </row>
    <row r="99" spans="1:23" x14ac:dyDescent="0.35">
      <c r="A99" s="2">
        <v>44665</v>
      </c>
      <c r="B99" s="49">
        <v>-9.4343129999999995</v>
      </c>
      <c r="C99" s="49">
        <v>-15.796405</v>
      </c>
      <c r="D99" s="49">
        <v>14.32457</v>
      </c>
      <c r="E99" s="49">
        <v>2.3888826000000001</v>
      </c>
      <c r="F99" s="49">
        <v>-4.2192040000000004</v>
      </c>
      <c r="G99" s="49">
        <v>2.5459765999999999</v>
      </c>
      <c r="H99" s="49">
        <v>-0.79801080000000002</v>
      </c>
      <c r="I99" s="49">
        <v>-0.79430940000000005</v>
      </c>
      <c r="J99" s="49">
        <v>17.035007</v>
      </c>
      <c r="K99" s="49">
        <v>-24.709415</v>
      </c>
      <c r="L99" s="49">
        <v>18.473911000000001</v>
      </c>
      <c r="M99" s="49">
        <v>5.923152</v>
      </c>
      <c r="N99" s="49">
        <v>-0.73221325999999998</v>
      </c>
      <c r="O99" s="49">
        <v>16.369665000000001</v>
      </c>
      <c r="P99" s="49">
        <v>-35.339153000000003</v>
      </c>
      <c r="Q99" s="49">
        <v>32.686604000000003</v>
      </c>
      <c r="R99" s="49">
        <v>8.6443659999999998</v>
      </c>
      <c r="S99" s="49">
        <v>0.60428380000000004</v>
      </c>
      <c r="T99" s="49">
        <v>48.345398000000003</v>
      </c>
      <c r="U99" s="49">
        <v>-1.9842625</v>
      </c>
      <c r="V99" s="165">
        <v>42.018210000000003</v>
      </c>
      <c r="W99" s="33"/>
    </row>
    <row r="100" spans="1:23" x14ac:dyDescent="0.35">
      <c r="A100" s="2">
        <v>44694</v>
      </c>
      <c r="B100" s="49">
        <v>-20.045345000000001</v>
      </c>
      <c r="C100" s="49">
        <v>-12.17407</v>
      </c>
      <c r="D100" s="49">
        <v>9.940982</v>
      </c>
      <c r="E100" s="49">
        <v>-1.1480391000000001</v>
      </c>
      <c r="F100" s="49">
        <v>-25.862438000000001</v>
      </c>
      <c r="G100" s="49">
        <v>-15.511077999999999</v>
      </c>
      <c r="H100" s="49">
        <v>-6.4878939999999998</v>
      </c>
      <c r="I100" s="49">
        <v>-4.6585380000000001</v>
      </c>
      <c r="J100" s="49">
        <v>7.1639419999999996</v>
      </c>
      <c r="K100" s="49">
        <v>-25.018191999999999</v>
      </c>
      <c r="L100" s="49">
        <v>-5.7891490000000001</v>
      </c>
      <c r="M100" s="49">
        <v>-6.8249282999999998</v>
      </c>
      <c r="N100" s="49">
        <v>-10.991896000000001</v>
      </c>
      <c r="O100" s="49">
        <v>2.9357076000000002</v>
      </c>
      <c r="P100" s="49">
        <v>-36.387855999999999</v>
      </c>
      <c r="Q100" s="49">
        <v>23.861049999999999</v>
      </c>
      <c r="R100" s="49">
        <v>2.3415327000000001</v>
      </c>
      <c r="S100" s="49">
        <v>-4.3383120000000002</v>
      </c>
      <c r="T100" s="49">
        <v>33.451866000000003</v>
      </c>
      <c r="U100" s="49">
        <v>-17.442167000000001</v>
      </c>
      <c r="V100" s="165">
        <v>30.082214</v>
      </c>
      <c r="W100" s="33"/>
    </row>
    <row r="101" spans="1:23" x14ac:dyDescent="0.35">
      <c r="A101" s="2">
        <v>44726</v>
      </c>
      <c r="B101" s="49">
        <v>-19.127697000000001</v>
      </c>
      <c r="C101" s="49">
        <v>-4.8888445000000003</v>
      </c>
      <c r="D101" s="49">
        <v>6.3144920000000004</v>
      </c>
      <c r="E101" s="49">
        <v>-13.563656999999999</v>
      </c>
      <c r="F101" s="49">
        <v>-33.414112000000003</v>
      </c>
      <c r="G101" s="49">
        <v>-0.66605210000000004</v>
      </c>
      <c r="H101" s="49">
        <v>-11.989432000000001</v>
      </c>
      <c r="I101" s="49">
        <v>-12.869989</v>
      </c>
      <c r="J101" s="49">
        <v>-4.3244243000000004</v>
      </c>
      <c r="K101" s="49">
        <v>-33.01999</v>
      </c>
      <c r="L101" s="49">
        <v>-20.507652</v>
      </c>
      <c r="M101" s="49">
        <v>-17.364061</v>
      </c>
      <c r="N101" s="49">
        <v>-19.740836999999999</v>
      </c>
      <c r="O101" s="49">
        <v>-6.4590215999999998</v>
      </c>
      <c r="P101" s="49">
        <v>-34.509956000000003</v>
      </c>
      <c r="Q101" s="49">
        <v>16.729604999999999</v>
      </c>
      <c r="R101" s="49">
        <v>-1.8388808000000001</v>
      </c>
      <c r="S101" s="49">
        <v>-14.313822999999999</v>
      </c>
      <c r="T101" s="49">
        <v>15.632939</v>
      </c>
      <c r="U101" s="49">
        <v>-25.047958000000001</v>
      </c>
      <c r="V101" s="165">
        <v>11.512995</v>
      </c>
      <c r="W101" s="33"/>
    </row>
    <row r="102" spans="1:23" x14ac:dyDescent="0.35">
      <c r="A102" s="2">
        <v>44756</v>
      </c>
      <c r="B102" s="49">
        <v>-15.880621</v>
      </c>
      <c r="C102" s="49">
        <v>-12.788475</v>
      </c>
      <c r="D102" s="49">
        <v>9.8492259999999998</v>
      </c>
      <c r="E102" s="49">
        <v>-16.342752000000001</v>
      </c>
      <c r="F102" s="49">
        <v>-38.888010000000001</v>
      </c>
      <c r="G102" s="49">
        <v>-12.31597</v>
      </c>
      <c r="H102" s="49">
        <v>-9.7850560000000009</v>
      </c>
      <c r="I102" s="49">
        <v>-22.047281000000002</v>
      </c>
      <c r="J102" s="49">
        <v>-4.5120360000000002</v>
      </c>
      <c r="K102" s="49">
        <v>-37.375366</v>
      </c>
      <c r="L102" s="49">
        <v>-28.413736</v>
      </c>
      <c r="M102" s="49">
        <v>-16.549074000000001</v>
      </c>
      <c r="N102" s="49">
        <v>-17.377345999999999</v>
      </c>
      <c r="O102" s="49">
        <v>-4.9286365999999999</v>
      </c>
      <c r="P102" s="49">
        <v>-32.773826999999997</v>
      </c>
      <c r="Q102" s="49">
        <v>9.0634580000000007</v>
      </c>
      <c r="R102" s="49">
        <v>-2.0946680999999998</v>
      </c>
      <c r="S102" s="49">
        <v>-13.321429</v>
      </c>
      <c r="T102" s="49">
        <v>12.9332905</v>
      </c>
      <c r="U102" s="49">
        <v>-25.133662999999999</v>
      </c>
      <c r="V102" s="165">
        <v>4.5269846999999999</v>
      </c>
      <c r="W102" s="33"/>
    </row>
    <row r="103" spans="1:23" x14ac:dyDescent="0.35">
      <c r="A103" s="2">
        <v>44785</v>
      </c>
      <c r="B103" s="49">
        <v>-15.859074</v>
      </c>
      <c r="C103" s="49">
        <v>9.1157319999999995</v>
      </c>
      <c r="D103" s="49">
        <v>20.172809999999998</v>
      </c>
      <c r="E103" s="49">
        <v>-2.3682414999999999</v>
      </c>
      <c r="F103" s="49">
        <v>-31.001259000000001</v>
      </c>
      <c r="G103" s="49">
        <v>9.1503029999999992</v>
      </c>
      <c r="H103" s="49">
        <v>-2.5937199999999998</v>
      </c>
      <c r="I103" s="49">
        <v>-14.315939</v>
      </c>
      <c r="J103" s="49">
        <v>2.0909667000000001</v>
      </c>
      <c r="K103" s="49">
        <v>-27.255493000000001</v>
      </c>
      <c r="L103" s="49">
        <v>-2.1156609999999998</v>
      </c>
      <c r="M103" s="49">
        <v>-1.3016939000000001</v>
      </c>
      <c r="N103" s="49">
        <v>-7.7579855999999996</v>
      </c>
      <c r="O103" s="49">
        <v>1.5292764000000001</v>
      </c>
      <c r="P103" s="49">
        <v>-29.246341999999999</v>
      </c>
      <c r="Q103" s="49">
        <v>23.952866</v>
      </c>
      <c r="R103" s="49">
        <v>5.8425903000000003</v>
      </c>
      <c r="S103" s="49">
        <v>-4.4705269999999997</v>
      </c>
      <c r="T103" s="49">
        <v>22.554456999999999</v>
      </c>
      <c r="U103" s="49">
        <v>-20.462496000000002</v>
      </c>
      <c r="V103" s="165">
        <v>12.800026000000001</v>
      </c>
      <c r="W103" s="33"/>
    </row>
    <row r="104" spans="1:23" x14ac:dyDescent="0.35">
      <c r="A104" s="2">
        <v>44818</v>
      </c>
      <c r="B104" s="49">
        <v>-21.288418</v>
      </c>
      <c r="C104" s="49">
        <v>8.7588200000000001</v>
      </c>
      <c r="D104" s="49">
        <v>16.534424000000001</v>
      </c>
      <c r="E104" s="49">
        <v>-15.227384000000001</v>
      </c>
      <c r="F104" s="49">
        <v>-45.414658000000003</v>
      </c>
      <c r="G104" s="49">
        <v>0.96588134999999997</v>
      </c>
      <c r="H104" s="49">
        <v>-11.599695000000001</v>
      </c>
      <c r="I104" s="49">
        <v>-23.889016999999999</v>
      </c>
      <c r="J104" s="49">
        <v>-5.1153063999999997</v>
      </c>
      <c r="K104" s="49">
        <v>-33.279674999999997</v>
      </c>
      <c r="L104" s="49">
        <v>-0.64134000000000002</v>
      </c>
      <c r="M104" s="49">
        <v>-13.985455</v>
      </c>
      <c r="N104" s="49">
        <v>-16.879290000000001</v>
      </c>
      <c r="O104" s="49">
        <v>-4.8065305</v>
      </c>
      <c r="P104" s="49">
        <v>-31.332785000000001</v>
      </c>
      <c r="Q104" s="49">
        <v>16.134584</v>
      </c>
      <c r="R104" s="49">
        <v>2.0162106</v>
      </c>
      <c r="S104" s="49">
        <v>11.559176000000001</v>
      </c>
      <c r="T104" s="49">
        <v>10.261620000000001</v>
      </c>
      <c r="U104" s="49">
        <v>-24.790012000000001</v>
      </c>
      <c r="V104" s="165">
        <v>5.4774284</v>
      </c>
      <c r="W104" s="33"/>
    </row>
    <row r="105" spans="1:23" x14ac:dyDescent="0.35">
      <c r="A105" s="2">
        <v>44848</v>
      </c>
      <c r="B105" s="49">
        <v>-28.125107</v>
      </c>
      <c r="C105" s="49">
        <v>5.1598069999999998</v>
      </c>
      <c r="D105" s="49">
        <v>-6.3039303000000002</v>
      </c>
      <c r="E105" s="49">
        <v>-29.196918</v>
      </c>
      <c r="F105" s="49">
        <v>-53.238430000000001</v>
      </c>
      <c r="G105" s="49">
        <v>-9.8055249999999994</v>
      </c>
      <c r="H105" s="49">
        <v>-22.043478</v>
      </c>
      <c r="I105" s="49">
        <v>-29.818594000000001</v>
      </c>
      <c r="J105" s="49">
        <v>-4.9148025999999998</v>
      </c>
      <c r="K105" s="49">
        <v>-37.547910000000002</v>
      </c>
      <c r="L105" s="49">
        <v>6.2672853000000002</v>
      </c>
      <c r="M105" s="49">
        <v>-24.296688</v>
      </c>
      <c r="N105" s="49">
        <v>-18.301069999999999</v>
      </c>
      <c r="O105" s="49">
        <v>-14.816856</v>
      </c>
      <c r="P105" s="49">
        <v>-41.888553999999999</v>
      </c>
      <c r="Q105" s="49">
        <v>7.7654959999999997</v>
      </c>
      <c r="R105" s="49">
        <v>-5.0412473999999996</v>
      </c>
      <c r="S105" s="49">
        <v>24.456882</v>
      </c>
      <c r="T105" s="49">
        <v>6.9796085000000003</v>
      </c>
      <c r="U105" s="49">
        <v>-37.129593</v>
      </c>
      <c r="V105" s="165">
        <v>-2.1934390000000001</v>
      </c>
      <c r="W105" s="33"/>
    </row>
    <row r="106" spans="1:23" x14ac:dyDescent="0.35">
      <c r="A106" s="2">
        <v>44879</v>
      </c>
      <c r="B106" s="49">
        <v>-27.605612000000001</v>
      </c>
      <c r="C106" s="49">
        <v>7.3125720000000003</v>
      </c>
      <c r="D106" s="49">
        <v>-0.30453799999999998</v>
      </c>
      <c r="E106" s="49">
        <v>-24.141289</v>
      </c>
      <c r="F106" s="49">
        <v>-34.396872999999999</v>
      </c>
      <c r="G106" s="49">
        <v>4.6457290000000002</v>
      </c>
      <c r="H106" s="49">
        <v>-11.117381</v>
      </c>
      <c r="I106" s="49">
        <v>-24.729655999999999</v>
      </c>
      <c r="J106" s="49">
        <v>13.104725</v>
      </c>
      <c r="K106" s="49">
        <v>-23.668564</v>
      </c>
      <c r="L106" s="49">
        <v>12.541925000000001</v>
      </c>
      <c r="M106" s="49">
        <v>-6.3531456000000004</v>
      </c>
      <c r="N106" s="49">
        <v>-5.7613133999999997</v>
      </c>
      <c r="O106" s="49">
        <v>-8.8101090000000006</v>
      </c>
      <c r="P106" s="49">
        <v>-38.119822999999997</v>
      </c>
      <c r="Q106" s="49">
        <v>4.8290730000000002</v>
      </c>
      <c r="R106" s="49">
        <v>-0.64628719999999995</v>
      </c>
      <c r="S106" s="49">
        <v>41.629074000000003</v>
      </c>
      <c r="T106" s="49">
        <v>3.5680770000000002</v>
      </c>
      <c r="U106" s="49">
        <v>-46.910899999999998</v>
      </c>
      <c r="V106" s="165">
        <v>-6.586373</v>
      </c>
      <c r="W106" s="33"/>
    </row>
    <row r="107" spans="1:23" x14ac:dyDescent="0.35">
      <c r="A107" s="2">
        <v>44909</v>
      </c>
      <c r="B107" s="49">
        <v>-26.191890000000001</v>
      </c>
      <c r="C107" s="49">
        <v>20.514275000000001</v>
      </c>
      <c r="D107" s="49">
        <v>1.5884757</v>
      </c>
      <c r="E107" s="49">
        <v>-17.027605000000001</v>
      </c>
      <c r="F107" s="49">
        <v>-23.128050000000002</v>
      </c>
      <c r="G107" s="49">
        <v>9.3404410000000002</v>
      </c>
      <c r="H107" s="49">
        <v>-0.4660666</v>
      </c>
      <c r="I107" s="49">
        <v>-22.018796999999999</v>
      </c>
      <c r="J107" s="49">
        <v>11.973286</v>
      </c>
      <c r="K107" s="49">
        <v>-24.42773</v>
      </c>
      <c r="L107" s="49">
        <v>6.6735625000000001</v>
      </c>
      <c r="M107" s="49">
        <v>0.37925242999999997</v>
      </c>
      <c r="N107" s="49">
        <v>4.7629951999999998</v>
      </c>
      <c r="O107" s="49">
        <v>-3.7777959999999999</v>
      </c>
      <c r="P107" s="49">
        <v>-23.08944</v>
      </c>
      <c r="Q107" s="49">
        <v>-3.9710462</v>
      </c>
      <c r="R107" s="49">
        <v>0.16680956</v>
      </c>
      <c r="S107" s="49">
        <v>73.314049999999995</v>
      </c>
      <c r="T107" s="49">
        <v>-11.891662999999999</v>
      </c>
      <c r="U107" s="49">
        <v>-38.407629999999997</v>
      </c>
      <c r="V107" s="165">
        <v>-4.7347190000000001</v>
      </c>
      <c r="W107" s="33"/>
    </row>
    <row r="108" spans="1:23" x14ac:dyDescent="0.35">
      <c r="A108" s="2">
        <v>44939</v>
      </c>
      <c r="B108" s="49">
        <v>-16.233122000000002</v>
      </c>
      <c r="C108" s="49">
        <v>16.248154</v>
      </c>
      <c r="D108" s="49">
        <v>-2.5017499999999999</v>
      </c>
      <c r="E108" s="49">
        <v>-8.7991709999999994</v>
      </c>
      <c r="F108" s="49">
        <v>-23.788720999999999</v>
      </c>
      <c r="G108" s="49">
        <v>1.7133236000000001</v>
      </c>
      <c r="H108" s="49">
        <v>-4.3502865000000002</v>
      </c>
      <c r="I108" s="49">
        <v>-24.614243999999999</v>
      </c>
      <c r="J108" s="49">
        <v>14.502037</v>
      </c>
      <c r="K108" s="49">
        <v>-19.398577</v>
      </c>
      <c r="L108" s="49">
        <v>15.574408</v>
      </c>
      <c r="M108" s="49">
        <v>0.49159526999999997</v>
      </c>
      <c r="N108" s="49">
        <v>2.9680133</v>
      </c>
      <c r="O108" s="49">
        <v>-12.091101</v>
      </c>
      <c r="P108" s="49">
        <v>-12.977398000000001</v>
      </c>
      <c r="Q108" s="49">
        <v>-7.2205123999999996</v>
      </c>
      <c r="R108" s="49">
        <v>0.10178089</v>
      </c>
      <c r="S108" s="49">
        <v>68.813384999999997</v>
      </c>
      <c r="T108" s="49">
        <v>-5.5942892999999998</v>
      </c>
      <c r="U108" s="49">
        <v>-39.183258000000002</v>
      </c>
      <c r="V108" s="165">
        <v>-9.5478349999999992</v>
      </c>
      <c r="W108" s="33"/>
    </row>
    <row r="109" spans="1:23" x14ac:dyDescent="0.35">
      <c r="A109" s="2">
        <v>44971</v>
      </c>
      <c r="B109" s="49">
        <v>-12.056416499999999</v>
      </c>
      <c r="C109" s="49">
        <v>20.67548</v>
      </c>
      <c r="D109" s="49">
        <v>1.3991833</v>
      </c>
      <c r="E109" s="49">
        <v>-11.667686</v>
      </c>
      <c r="F109" s="49">
        <v>-18.732583999999999</v>
      </c>
      <c r="G109" s="49">
        <v>-7.4263690000000002</v>
      </c>
      <c r="H109" s="49">
        <v>-6.3230157</v>
      </c>
      <c r="I109" s="49">
        <v>-17.258040999999999</v>
      </c>
      <c r="J109" s="49">
        <v>18.897247</v>
      </c>
      <c r="K109" s="49">
        <v>-12.306905</v>
      </c>
      <c r="L109" s="49">
        <v>-2.5913298</v>
      </c>
      <c r="M109" s="49">
        <v>-11.899424</v>
      </c>
      <c r="N109" s="49">
        <v>14.019453</v>
      </c>
      <c r="O109" s="49">
        <v>-7.6958536999999998</v>
      </c>
      <c r="P109" s="49">
        <v>-14.441091</v>
      </c>
      <c r="Q109" s="49">
        <v>-17.317402000000001</v>
      </c>
      <c r="R109" s="49">
        <v>-1.8953024999999999</v>
      </c>
      <c r="S109" s="49">
        <v>66.507099999999994</v>
      </c>
      <c r="T109" s="49">
        <v>-9.4768159999999995</v>
      </c>
      <c r="U109" s="49">
        <v>-38.447876000000001</v>
      </c>
      <c r="V109" s="165">
        <v>-14.227622999999999</v>
      </c>
      <c r="W109" s="33"/>
    </row>
    <row r="110" spans="1:23" x14ac:dyDescent="0.35">
      <c r="A110" s="2">
        <v>44999</v>
      </c>
      <c r="B110" s="49">
        <v>-7.2972774999999999</v>
      </c>
      <c r="C110" s="49">
        <v>17.250263</v>
      </c>
      <c r="D110" s="49">
        <v>-8.781129</v>
      </c>
      <c r="E110" s="49">
        <v>-8.8754834999999996</v>
      </c>
      <c r="F110" s="49">
        <v>-8.2930799999999998</v>
      </c>
      <c r="G110" s="49">
        <v>-13.160299999999999</v>
      </c>
      <c r="H110" s="49">
        <v>-12.508732</v>
      </c>
      <c r="I110" s="49">
        <v>-13.713759</v>
      </c>
      <c r="J110" s="49">
        <v>20.248519999999999</v>
      </c>
      <c r="K110" s="49">
        <v>-11.796922</v>
      </c>
      <c r="L110" s="49">
        <v>-7.6265096999999997</v>
      </c>
      <c r="M110" s="49">
        <v>-17.644596</v>
      </c>
      <c r="N110" s="49">
        <v>30.969833000000001</v>
      </c>
      <c r="O110" s="49">
        <v>-9.1397820000000003</v>
      </c>
      <c r="P110" s="49">
        <v>6.1522484000000004</v>
      </c>
      <c r="Q110" s="49">
        <v>-20.942867</v>
      </c>
      <c r="R110" s="49">
        <v>-8.2076910000000005</v>
      </c>
      <c r="S110" s="49">
        <v>94.736823999999999</v>
      </c>
      <c r="T110" s="49">
        <v>-20.725625999999998</v>
      </c>
      <c r="U110" s="49">
        <v>-35.609639999999999</v>
      </c>
      <c r="V110" s="165">
        <v>-18.827687999999998</v>
      </c>
      <c r="W110" s="33"/>
    </row>
    <row r="111" spans="1:23" x14ac:dyDescent="0.35">
      <c r="A111" s="2">
        <v>45030</v>
      </c>
      <c r="B111" s="49">
        <v>-7.2378580000000001</v>
      </c>
      <c r="C111" s="49">
        <v>12.091673</v>
      </c>
      <c r="D111" s="49">
        <v>1.5527010000000001</v>
      </c>
      <c r="E111" s="49">
        <v>-10.789418</v>
      </c>
      <c r="F111" s="49">
        <v>-6.968534</v>
      </c>
      <c r="G111" s="49">
        <v>-4.3011609999999996</v>
      </c>
      <c r="H111" s="49">
        <v>-9.7911359999999998</v>
      </c>
      <c r="I111" s="49">
        <v>-9.3296949999999992</v>
      </c>
      <c r="J111" s="49">
        <v>17.760431000000001</v>
      </c>
      <c r="K111" s="49">
        <v>-6.7241850000000003</v>
      </c>
      <c r="L111" s="49">
        <v>-11.104340000000001</v>
      </c>
      <c r="M111" s="49">
        <v>-14.618569000000001</v>
      </c>
      <c r="N111" s="49">
        <v>21.829832</v>
      </c>
      <c r="O111" s="49">
        <v>-10.076129999999999</v>
      </c>
      <c r="P111" s="49">
        <v>-4.5131626000000002</v>
      </c>
      <c r="Q111" s="49">
        <v>-23.746777000000002</v>
      </c>
      <c r="R111" s="49">
        <v>-4.8777400000000002</v>
      </c>
      <c r="S111" s="49">
        <v>53.617825000000003</v>
      </c>
      <c r="T111" s="49">
        <v>-20.489418000000001</v>
      </c>
      <c r="U111" s="49">
        <v>-34.2316</v>
      </c>
      <c r="V111" s="165">
        <v>-18.621943999999999</v>
      </c>
      <c r="W111" s="33"/>
    </row>
    <row r="112" spans="1:23" x14ac:dyDescent="0.35">
      <c r="A112" s="2">
        <v>45058</v>
      </c>
      <c r="B112" s="49">
        <v>-1.6373217</v>
      </c>
      <c r="C112" s="49">
        <v>28.55134</v>
      </c>
      <c r="D112" s="49">
        <v>5.1569700000000003</v>
      </c>
      <c r="E112" s="49">
        <v>-4.8898754000000002</v>
      </c>
      <c r="F112" s="49">
        <v>27.792857999999999</v>
      </c>
      <c r="G112" s="49">
        <v>15.614855</v>
      </c>
      <c r="H112" s="49">
        <v>-5.7926710000000003</v>
      </c>
      <c r="I112" s="49">
        <v>-3.0637145000000001</v>
      </c>
      <c r="J112" s="49">
        <v>33.675311999999998</v>
      </c>
      <c r="K112" s="49">
        <v>-4.3081880000000004</v>
      </c>
      <c r="L112" s="49">
        <v>8.0761070000000004</v>
      </c>
      <c r="M112" s="49">
        <v>-7.8602132999999998</v>
      </c>
      <c r="N112" s="49">
        <v>33.822809999999997</v>
      </c>
      <c r="O112" s="49">
        <v>2.2266268999999999</v>
      </c>
      <c r="P112" s="49">
        <v>1.5700817</v>
      </c>
      <c r="Q112" s="49">
        <v>-14.540075999999999</v>
      </c>
      <c r="R112" s="49">
        <v>-1.4622748000000001</v>
      </c>
      <c r="S112" s="49">
        <v>58.448770000000003</v>
      </c>
      <c r="T112" s="49">
        <v>-8.7878170000000004</v>
      </c>
      <c r="U112" s="49">
        <v>-17.491419</v>
      </c>
      <c r="V112" s="165">
        <v>-10.536538999999999</v>
      </c>
      <c r="W112" s="33"/>
    </row>
    <row r="113" spans="1:23" x14ac:dyDescent="0.35">
      <c r="A113" s="2">
        <v>45091</v>
      </c>
      <c r="B113" s="49">
        <v>-13.423377</v>
      </c>
      <c r="C113" s="49">
        <v>16.450749999999999</v>
      </c>
      <c r="D113" s="49">
        <v>5.8563349999999996</v>
      </c>
      <c r="E113" s="49">
        <v>-3.8809360000000002</v>
      </c>
      <c r="F113" s="49">
        <v>33.166195000000002</v>
      </c>
      <c r="G113" s="49">
        <v>14.796352000000001</v>
      </c>
      <c r="H113" s="49">
        <v>-5.8102369999999999</v>
      </c>
      <c r="I113" s="49">
        <v>6.4434886000000002</v>
      </c>
      <c r="J113" s="49">
        <v>44.783436000000002</v>
      </c>
      <c r="K113" s="49">
        <v>11.024832999999999</v>
      </c>
      <c r="L113" s="49">
        <v>24.207854999999999</v>
      </c>
      <c r="M113" s="49">
        <v>3.3882737000000001</v>
      </c>
      <c r="N113" s="49">
        <v>59.411166999999999</v>
      </c>
      <c r="O113" s="49">
        <v>7.9620240000000004</v>
      </c>
      <c r="P113" s="49">
        <v>-9.0634999999999994</v>
      </c>
      <c r="Q113" s="49">
        <v>-11.401075000000001</v>
      </c>
      <c r="R113" s="49">
        <v>-2.612555</v>
      </c>
      <c r="S113" s="49">
        <v>56.741320000000002</v>
      </c>
      <c r="T113" s="49">
        <v>-8.2163219999999999</v>
      </c>
      <c r="U113" s="49">
        <v>-11.200296</v>
      </c>
      <c r="V113" s="165">
        <v>-0.34864545000000002</v>
      </c>
      <c r="W113" s="33"/>
    </row>
    <row r="114" spans="1:23" x14ac:dyDescent="0.35">
      <c r="A114" s="2">
        <v>45121</v>
      </c>
      <c r="B114" s="49">
        <v>-15.030258999999999</v>
      </c>
      <c r="C114" s="49">
        <v>47.845795000000003</v>
      </c>
      <c r="D114" s="49">
        <v>13.327896000000001</v>
      </c>
      <c r="E114" s="49">
        <v>11.294675</v>
      </c>
      <c r="F114" s="49">
        <v>59.040142000000003</v>
      </c>
      <c r="G114" s="49">
        <v>43.528174999999997</v>
      </c>
      <c r="H114" s="49">
        <v>1.5897036</v>
      </c>
      <c r="I114" s="49">
        <v>16.915762000000001</v>
      </c>
      <c r="J114" s="49">
        <v>47.976790000000001</v>
      </c>
      <c r="K114" s="49">
        <v>21.487354</v>
      </c>
      <c r="L114" s="49">
        <v>39.024044000000004</v>
      </c>
      <c r="M114" s="49">
        <v>11.380493</v>
      </c>
      <c r="N114" s="49">
        <v>82.341539999999995</v>
      </c>
      <c r="O114" s="49">
        <v>11.753321</v>
      </c>
      <c r="P114" s="49">
        <v>-7.9339266000000004</v>
      </c>
      <c r="Q114" s="49">
        <v>-6.2957706</v>
      </c>
      <c r="R114" s="49">
        <v>-1.2298047999999999</v>
      </c>
      <c r="S114" s="49">
        <v>82.097729999999999</v>
      </c>
      <c r="T114" s="49">
        <v>1.7958282999999999</v>
      </c>
      <c r="U114" s="49">
        <v>-1.1020601000000001</v>
      </c>
      <c r="V114" s="165">
        <v>8.0590010000000003</v>
      </c>
      <c r="W114" s="33"/>
    </row>
    <row r="115" spans="1:23" x14ac:dyDescent="0.35">
      <c r="A115" s="2">
        <v>45152</v>
      </c>
      <c r="B115" s="49">
        <v>-15.871840499999999</v>
      </c>
      <c r="C115" s="49">
        <v>10.542965000000001</v>
      </c>
      <c r="D115" s="49">
        <v>-2.0853221</v>
      </c>
      <c r="E115" s="49">
        <v>-7.5200977</v>
      </c>
      <c r="F115" s="49">
        <v>36.218536</v>
      </c>
      <c r="G115" s="49">
        <v>23.723459999999999</v>
      </c>
      <c r="H115" s="49">
        <v>-4.1065636000000003</v>
      </c>
      <c r="I115" s="49">
        <v>1.3668180000000001</v>
      </c>
      <c r="J115" s="49">
        <v>30.965613999999999</v>
      </c>
      <c r="K115" s="49">
        <v>1.7993569</v>
      </c>
      <c r="L115" s="49">
        <v>6.6514610000000003</v>
      </c>
      <c r="M115" s="49">
        <v>-9.7255339999999997</v>
      </c>
      <c r="N115" s="49">
        <v>53.605877</v>
      </c>
      <c r="O115" s="49">
        <v>-0.36094785000000001</v>
      </c>
      <c r="P115" s="49">
        <v>-6.7134499999999999</v>
      </c>
      <c r="Q115" s="49">
        <v>-16.36514</v>
      </c>
      <c r="R115" s="49">
        <v>-5.3690490000000004</v>
      </c>
      <c r="S115" s="49">
        <v>78.919690000000003</v>
      </c>
      <c r="T115" s="49">
        <v>-7.9544487000000004</v>
      </c>
      <c r="U115" s="49">
        <v>-0.22024511999999999</v>
      </c>
      <c r="V115" s="165">
        <v>-8.3941990000000004</v>
      </c>
      <c r="W115" s="33"/>
    </row>
    <row r="116" spans="1:23" x14ac:dyDescent="0.35">
      <c r="A116" s="2">
        <v>45183</v>
      </c>
      <c r="B116" s="49">
        <v>-13.024770999999999</v>
      </c>
      <c r="C116" s="49">
        <v>3.9816617999999999</v>
      </c>
      <c r="D116" s="49">
        <v>-4.9622000000000002</v>
      </c>
      <c r="E116" s="49">
        <v>-3.0853329999999999</v>
      </c>
      <c r="F116" s="49">
        <v>43.956150000000001</v>
      </c>
      <c r="G116" s="49">
        <v>28.223537</v>
      </c>
      <c r="H116" s="49">
        <v>-0.17751454999999999</v>
      </c>
      <c r="I116" s="49">
        <v>13.082229999999999</v>
      </c>
      <c r="J116" s="49">
        <v>33.361280000000001</v>
      </c>
      <c r="K116" s="49">
        <v>15.412653000000001</v>
      </c>
      <c r="L116" s="49">
        <v>15.811204999999999</v>
      </c>
      <c r="M116" s="49">
        <v>-6.9808960000000003E-2</v>
      </c>
      <c r="N116" s="49">
        <v>53.507744000000002</v>
      </c>
      <c r="O116" s="49">
        <v>2.8487444000000002</v>
      </c>
      <c r="P116" s="49">
        <v>-4.0199337000000002</v>
      </c>
      <c r="Q116" s="49">
        <v>-16.281635000000001</v>
      </c>
      <c r="R116" s="49">
        <v>-6.7271112999999998</v>
      </c>
      <c r="S116" s="49">
        <v>60.995438</v>
      </c>
      <c r="T116" s="49">
        <v>-1.5836656</v>
      </c>
      <c r="U116" s="49">
        <v>2.8514981000000001</v>
      </c>
      <c r="V116" s="165">
        <v>-6.05002</v>
      </c>
      <c r="W116" s="33"/>
    </row>
    <row r="117" spans="1:23" x14ac:dyDescent="0.35">
      <c r="A117" s="2">
        <v>45212</v>
      </c>
      <c r="B117" s="49">
        <v>-6.2985179999999996</v>
      </c>
      <c r="C117" s="49">
        <v>10.980738000000001</v>
      </c>
      <c r="D117" s="49">
        <v>-2.9268801</v>
      </c>
      <c r="E117" s="49">
        <v>10.597348</v>
      </c>
      <c r="F117" s="49">
        <v>63.592613</v>
      </c>
      <c r="G117" s="49">
        <v>19.489692999999999</v>
      </c>
      <c r="H117" s="49">
        <v>7.7584505000000004</v>
      </c>
      <c r="I117" s="49">
        <v>25.580894000000001</v>
      </c>
      <c r="J117" s="49">
        <v>23.17549</v>
      </c>
      <c r="K117" s="49">
        <v>21.131633999999998</v>
      </c>
      <c r="L117" s="49">
        <v>5.5569290000000002</v>
      </c>
      <c r="M117" s="49">
        <v>7.0749760000000004</v>
      </c>
      <c r="N117" s="49">
        <v>46.963630000000002</v>
      </c>
      <c r="O117" s="49">
        <v>9.1499570000000006</v>
      </c>
      <c r="P117" s="49">
        <v>9.3382120000000004</v>
      </c>
      <c r="Q117" s="49">
        <v>-17.991453</v>
      </c>
      <c r="R117" s="49">
        <v>-7.0496797999999998</v>
      </c>
      <c r="S117" s="49">
        <v>56.611336000000001</v>
      </c>
      <c r="T117" s="49">
        <v>-2.1262110000000001</v>
      </c>
      <c r="U117" s="49">
        <v>10.452676</v>
      </c>
      <c r="V117" s="165">
        <v>-10.8021145</v>
      </c>
      <c r="W117" s="33"/>
    </row>
    <row r="118" spans="1:23" x14ac:dyDescent="0.35">
      <c r="A118" s="2">
        <v>45244</v>
      </c>
      <c r="B118" s="49">
        <v>-8.0230180000000004</v>
      </c>
      <c r="C118" s="49">
        <v>1.2450695000000001</v>
      </c>
      <c r="D118" s="49">
        <v>-4.8373520000000001</v>
      </c>
      <c r="E118" s="49">
        <v>0.41782856000000002</v>
      </c>
      <c r="F118" s="49">
        <v>50.565742</v>
      </c>
      <c r="G118" s="49">
        <v>4.4857740000000002</v>
      </c>
      <c r="H118" s="49">
        <v>2.4134517</v>
      </c>
      <c r="I118" s="49">
        <v>16.465260000000001</v>
      </c>
      <c r="J118" s="49">
        <v>17.865192</v>
      </c>
      <c r="K118" s="49">
        <v>5.1384806999999997</v>
      </c>
      <c r="L118" s="49">
        <v>19.469048000000001</v>
      </c>
      <c r="M118" s="49">
        <v>-2.6992083</v>
      </c>
      <c r="N118" s="49">
        <v>45.893433000000002</v>
      </c>
      <c r="O118" s="49">
        <v>3.8759708000000002</v>
      </c>
      <c r="P118" s="49">
        <v>4.3723105999999996</v>
      </c>
      <c r="Q118" s="49">
        <v>-15.657557000000001</v>
      </c>
      <c r="R118" s="49">
        <v>-14.620113</v>
      </c>
      <c r="S118" s="49">
        <v>16.588688000000001</v>
      </c>
      <c r="T118" s="49">
        <v>-5.2591979999999996</v>
      </c>
      <c r="U118" s="49">
        <v>23.359943000000001</v>
      </c>
      <c r="V118" s="165">
        <v>-1.3329327</v>
      </c>
      <c r="W118" s="33"/>
    </row>
    <row r="119" spans="1:23" x14ac:dyDescent="0.35">
      <c r="A119" s="2">
        <v>45274</v>
      </c>
      <c r="B119" s="49">
        <v>-16.132069000000001</v>
      </c>
      <c r="C119" s="49">
        <v>13.653314999999999</v>
      </c>
      <c r="D119" s="49">
        <v>-1.3261080000000001</v>
      </c>
      <c r="E119" s="49">
        <v>-1.3988554</v>
      </c>
      <c r="F119" s="49">
        <v>51.505234000000002</v>
      </c>
      <c r="G119" s="49">
        <v>17.376339000000002</v>
      </c>
      <c r="H119" s="49">
        <v>-4.1850449999999997</v>
      </c>
      <c r="I119" s="49">
        <v>19.343328</v>
      </c>
      <c r="J119" s="49">
        <v>34.943710000000003</v>
      </c>
      <c r="K119" s="49">
        <v>11.446308999999999</v>
      </c>
      <c r="L119" s="49">
        <v>35.702835</v>
      </c>
      <c r="M119" s="49">
        <v>-0.78925489999999998</v>
      </c>
      <c r="N119" s="49">
        <v>44.549526</v>
      </c>
      <c r="O119" s="49">
        <v>12.497579999999999</v>
      </c>
      <c r="P119" s="49">
        <v>-13.70421</v>
      </c>
      <c r="Q119" s="49">
        <v>-5.6461870000000003</v>
      </c>
      <c r="R119" s="49">
        <v>-15.576482</v>
      </c>
      <c r="S119" s="49">
        <v>4.0810110000000002</v>
      </c>
      <c r="T119" s="49">
        <v>1.5432357999999999</v>
      </c>
      <c r="U119" s="49">
        <v>5.8747530000000001</v>
      </c>
      <c r="V119" s="165">
        <v>12.912202000000001</v>
      </c>
      <c r="W119" s="33"/>
    </row>
    <row r="120" spans="1:23" x14ac:dyDescent="0.35">
      <c r="A120" s="2">
        <v>45303</v>
      </c>
      <c r="B120" s="49">
        <v>-23.690151</v>
      </c>
      <c r="C120" s="49">
        <v>-0.7864833</v>
      </c>
      <c r="D120" s="49">
        <v>4.4673920000000003</v>
      </c>
      <c r="E120" s="49">
        <v>-3.5935402000000001</v>
      </c>
      <c r="F120" s="49">
        <v>31.064833</v>
      </c>
      <c r="G120" s="49">
        <v>11.306513000000001</v>
      </c>
      <c r="H120" s="49">
        <v>-4.7212066999999998</v>
      </c>
      <c r="I120" s="49">
        <v>14.702904</v>
      </c>
      <c r="J120" s="49">
        <v>20.149946</v>
      </c>
      <c r="K120" s="49">
        <v>1.6219854</v>
      </c>
      <c r="L120" s="49">
        <v>22.618687000000001</v>
      </c>
      <c r="M120" s="49">
        <v>-13.857877999999999</v>
      </c>
      <c r="N120" s="49">
        <v>40.605556</v>
      </c>
      <c r="O120" s="49">
        <v>17.886246</v>
      </c>
      <c r="P120" s="49">
        <v>-24.291717999999999</v>
      </c>
      <c r="Q120" s="49">
        <v>-1.3353705</v>
      </c>
      <c r="R120" s="49">
        <v>-16.232769999999999</v>
      </c>
      <c r="S120" s="49">
        <v>5.4752229999999997</v>
      </c>
      <c r="T120" s="49">
        <v>5.2609563000000001</v>
      </c>
      <c r="U120" s="49">
        <v>7.1230770000000003</v>
      </c>
      <c r="V120" s="165">
        <v>11.756527</v>
      </c>
      <c r="W120" s="33"/>
    </row>
    <row r="121" spans="1:23" x14ac:dyDescent="0.35">
      <c r="A121" s="2">
        <v>45336</v>
      </c>
      <c r="B121" s="49">
        <v>-23.349952999999999</v>
      </c>
      <c r="C121" s="49">
        <v>-10.711897</v>
      </c>
      <c r="D121" s="49">
        <v>-0.64666869999999999</v>
      </c>
      <c r="E121" s="49">
        <v>-0.3599465</v>
      </c>
      <c r="F121" s="49">
        <v>44.76397</v>
      </c>
      <c r="G121" s="49">
        <v>18.162811000000001</v>
      </c>
      <c r="H121" s="49">
        <v>-4.1295710000000003</v>
      </c>
      <c r="I121" s="49">
        <v>15.264929</v>
      </c>
      <c r="J121" s="49">
        <v>20.60417</v>
      </c>
      <c r="K121" s="49">
        <v>4.6975135999999997</v>
      </c>
      <c r="L121" s="49">
        <v>22.056937999999999</v>
      </c>
      <c r="M121" s="49">
        <v>-11.056070999999999</v>
      </c>
      <c r="N121" s="49">
        <v>27.406824</v>
      </c>
      <c r="O121" s="49">
        <v>27.074670000000001</v>
      </c>
      <c r="P121" s="49">
        <v>-23.813856000000001</v>
      </c>
      <c r="Q121" s="49">
        <v>1.778543</v>
      </c>
      <c r="R121" s="49">
        <v>-16.194122</v>
      </c>
      <c r="S121" s="49">
        <v>22.832024000000001</v>
      </c>
      <c r="T121" s="49">
        <v>1.7742157000000001</v>
      </c>
      <c r="U121" s="49">
        <v>16.135597000000001</v>
      </c>
      <c r="V121" s="165">
        <v>20.023202999999999</v>
      </c>
      <c r="W121" s="33"/>
    </row>
    <row r="122" spans="1:23" x14ac:dyDescent="0.35">
      <c r="A122" s="2">
        <v>45365</v>
      </c>
      <c r="B122">
        <v>-14.932662000000001</v>
      </c>
      <c r="C122">
        <v>-0.51663519999999996</v>
      </c>
      <c r="D122">
        <v>7.5374245999999996</v>
      </c>
      <c r="E122">
        <v>9.1419809999999995</v>
      </c>
      <c r="F122">
        <v>59.832059999999998</v>
      </c>
      <c r="G122">
        <v>35.838963</v>
      </c>
      <c r="H122">
        <v>6.9679380000000002</v>
      </c>
      <c r="I122">
        <v>24.398993999999998</v>
      </c>
      <c r="J122">
        <v>21.579193</v>
      </c>
      <c r="K122">
        <v>18.13842</v>
      </c>
      <c r="L122">
        <v>29.062222999999999</v>
      </c>
      <c r="M122">
        <v>-1.0784507000000001</v>
      </c>
      <c r="N122">
        <v>32.190536000000002</v>
      </c>
      <c r="O122">
        <v>30.707287000000001</v>
      </c>
      <c r="P122">
        <v>-12.261443999999999</v>
      </c>
      <c r="Q122">
        <v>4.2167067999999999</v>
      </c>
      <c r="R122">
        <v>-8.462548</v>
      </c>
      <c r="S122">
        <v>3.7215351999999999</v>
      </c>
      <c r="T122">
        <v>7.6758145999999998</v>
      </c>
      <c r="U122">
        <v>23.10425</v>
      </c>
      <c r="V122" s="1">
        <v>24.114536000000001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89</v>
      </c>
      <c r="B126" s="49" cm="1">
        <f t="array" ref="B126">MIN(_xlfn._xlws.FILTER(B2:B122, ISNUMBER(B2:B122)))</f>
        <v>-28.125107</v>
      </c>
      <c r="C126" s="49" cm="1">
        <f t="array" ref="C126">MIN(_xlfn._xlws.FILTER(C2:C122, ISNUMBER(C2:C122)))</f>
        <v>-45.998233999999997</v>
      </c>
      <c r="D126" s="49" cm="1">
        <f t="array" ref="D126">MIN(_xlfn._xlws.FILTER(D2:D122, ISNUMBER(D2:D122)))</f>
        <v>-37.395023000000002</v>
      </c>
      <c r="E126" s="49" cm="1">
        <f t="array" ref="E126">MIN(_xlfn._xlws.FILTER(E2:E122, ISNUMBER(E2:E122)))</f>
        <v>-29.196918</v>
      </c>
      <c r="F126" s="49" cm="1">
        <f t="array" ref="F126">MIN(_xlfn._xlws.FILTER(F2:F122, ISNUMBER(F2:F122)))</f>
        <v>-53.238430000000001</v>
      </c>
      <c r="G126" s="49" cm="1">
        <f t="array" ref="G126">MIN(_xlfn._xlws.FILTER(G2:G122, ISNUMBER(G2:G122)))</f>
        <v>-37.070520000000002</v>
      </c>
      <c r="H126" s="49" cm="1">
        <f t="array" ref="H126">MIN(_xlfn._xlws.FILTER(H2:H122, ISNUMBER(H2:H122)))</f>
        <v>-33.661430000000003</v>
      </c>
      <c r="I126" s="49" cm="1">
        <f t="array" ref="I126">MIN(_xlfn._xlws.FILTER(I2:I122, ISNUMBER(I2:I122)))</f>
        <v>-29.818594000000001</v>
      </c>
      <c r="J126" s="49" cm="1">
        <f t="array" ref="J126">MIN(_xlfn._xlws.FILTER(J2:J122, ISNUMBER(J2:J122)))</f>
        <v>-36.348362000000002</v>
      </c>
      <c r="K126" s="49" cm="1">
        <f t="array" ref="K126">MIN(_xlfn._xlws.FILTER(K2:K122, ISNUMBER(K2:K122)))</f>
        <v>-37.547910000000002</v>
      </c>
      <c r="L126" s="49" cm="1">
        <f t="array" ref="L126">MIN(_xlfn._xlws.FILTER(L2:L122, ISNUMBER(L2:L122)))</f>
        <v>-48.745365</v>
      </c>
      <c r="M126" s="49" cm="1">
        <f t="array" ref="M126">MIN(_xlfn._xlws.FILTER(M2:M122, ISNUMBER(M2:M122)))</f>
        <v>-37.349353999999998</v>
      </c>
      <c r="N126" s="49" cm="1">
        <f t="array" ref="N126">MIN(_xlfn._xlws.FILTER(N2:N122, ISNUMBER(N2:N122)))</f>
        <v>-55.816504999999999</v>
      </c>
      <c r="O126" s="49" cm="1">
        <f t="array" ref="O126">MIN(_xlfn._xlws.FILTER(O2:O122, ISNUMBER(O2:O122)))</f>
        <v>-25.905591999999999</v>
      </c>
      <c r="P126" s="49" cm="1">
        <f t="array" ref="P126">MIN(_xlfn._xlws.FILTER(P2:P122, ISNUMBER(P2:P122)))</f>
        <v>-45.585175</v>
      </c>
      <c r="Q126" s="49" cm="1">
        <f t="array" ref="Q126">MIN(_xlfn._xlws.FILTER(Q2:Q122, ISNUMBER(Q2:Q122)))</f>
        <v>-24.929165000000001</v>
      </c>
      <c r="R126" s="49" cm="1">
        <f t="array" ref="R126">MIN(_xlfn._xlws.FILTER(R2:R122, ISNUMBER(R2:R122)))</f>
        <v>-31.150167</v>
      </c>
      <c r="S126" s="49" cm="1">
        <f t="array" ref="S126">MIN(_xlfn._xlws.FILTER(S2:S122, ISNUMBER(S2:S122)))</f>
        <v>-51.196089999999998</v>
      </c>
      <c r="T126" s="49" cm="1">
        <f t="array" ref="T126">MIN(_xlfn._xlws.FILTER(T2:T122, ISNUMBER(T2:T122)))</f>
        <v>-31.462741999999999</v>
      </c>
      <c r="U126" s="49" cm="1">
        <f t="array" ref="U126">MIN(_xlfn._xlws.FILTER(U2:U122, ISNUMBER(U2:U122)))</f>
        <v>-46.910899999999998</v>
      </c>
      <c r="V126" s="165" cm="1">
        <f t="array" ref="V126">MIN(_xlfn._xlws.FILTER(V2:V122, ISNUMBER(V2:V122)))</f>
        <v>-27.752220000000001</v>
      </c>
      <c r="W126" s="33"/>
    </row>
    <row r="127" spans="1:23" x14ac:dyDescent="0.35">
      <c r="A127" s="2" t="s">
        <v>400</v>
      </c>
      <c r="B127" s="51" cm="1">
        <f t="array" ref="B127">MAX(_xlfn._xlws.FILTER(B1:B122, ISNUMBER(B1:B122)))</f>
        <v>64.439250000000001</v>
      </c>
      <c r="C127" s="51" cm="1">
        <f t="array" ref="C127">MAX(_xlfn._xlws.FILTER(C1:C122, ISNUMBER(C1:C122)))</f>
        <v>53.698276999999997</v>
      </c>
      <c r="D127" s="51" cm="1">
        <f t="array" ref="D127">MAX(_xlfn._xlws.FILTER(D1:D122, ISNUMBER(D1:D122)))</f>
        <v>39.369869999999999</v>
      </c>
      <c r="E127" s="51" cm="1">
        <f t="array" ref="E127">MAX(_xlfn._xlws.FILTER(E1:E122, ISNUMBER(E1:E122)))</f>
        <v>36.997529999999998</v>
      </c>
      <c r="F127" s="51" cm="1">
        <f t="array" ref="F127">MAX(_xlfn._xlws.FILTER(F1:F122, ISNUMBER(F1:F122)))</f>
        <v>63.592613</v>
      </c>
      <c r="G127" s="51" cm="1">
        <f t="array" ref="G127">MAX(_xlfn._xlws.FILTER(G1:G122, ISNUMBER(G1:G122)))</f>
        <v>86.399439999999998</v>
      </c>
      <c r="H127" s="51" cm="1">
        <f t="array" ref="H127">MAX(_xlfn._xlws.FILTER(H1:H122, ISNUMBER(H1:H122)))</f>
        <v>30.271435</v>
      </c>
      <c r="I127" s="51" cm="1">
        <f t="array" ref="I127">MAX(_xlfn._xlws.FILTER(I1:I122, ISNUMBER(I1:I122)))</f>
        <v>79.171539999999993</v>
      </c>
      <c r="J127" s="51" cm="1">
        <f t="array" ref="J127">MAX(_xlfn._xlws.FILTER(J1:J122, ISNUMBER(J1:J122)))</f>
        <v>62.495018000000002</v>
      </c>
      <c r="K127" s="51" cm="1">
        <f t="array" ref="K127">MAX(_xlfn._xlws.FILTER(K1:K122, ISNUMBER(K1:K122)))</f>
        <v>90.124343999999994</v>
      </c>
      <c r="L127" s="51" cm="1">
        <f t="array" ref="L127">MAX(_xlfn._xlws.FILTER(L1:L122, ISNUMBER(L1:L122)))</f>
        <v>105.61942999999999</v>
      </c>
      <c r="M127" s="51" cm="1">
        <f t="array" ref="M127">MAX(_xlfn._xlws.FILTER(M1:M122, ISNUMBER(M1:M122)))</f>
        <v>69.989943999999994</v>
      </c>
      <c r="N127" s="51" cm="1">
        <f t="array" ref="N127">MAX(_xlfn._xlws.FILTER(N1:N122, ISNUMBER(N1:N122)))</f>
        <v>82.341539999999995</v>
      </c>
      <c r="O127" s="51" cm="1">
        <f t="array" ref="O127">MAX(_xlfn._xlws.FILTER(O1:O122, ISNUMBER(O1:O122)))</f>
        <v>71.330665999999994</v>
      </c>
      <c r="P127" s="51" cm="1">
        <f t="array" ref="P127">MAX(_xlfn._xlws.FILTER(P1:P122, ISNUMBER(P1:P122)))</f>
        <v>58.506714000000002</v>
      </c>
      <c r="Q127" s="51" cm="1">
        <f t="array" ref="Q127">MAX(_xlfn._xlws.FILTER(Q1:Q122, ISNUMBER(Q1:Q122)))</f>
        <v>41.211734999999997</v>
      </c>
      <c r="R127" s="51" cm="1">
        <f t="array" ref="R127">MAX(_xlfn._xlws.FILTER(R1:R122, ISNUMBER(R1:R122)))</f>
        <v>40.656185000000001</v>
      </c>
      <c r="S127" s="51" cm="1">
        <f t="array" ref="S127">MAX(_xlfn._xlws.FILTER(S1:S122, ISNUMBER(S1:S122)))</f>
        <v>94.736823999999999</v>
      </c>
      <c r="T127" s="51" cm="1">
        <f t="array" ref="T127">MAX(_xlfn._xlws.FILTER(T1:T122, ISNUMBER(T1:T122)))</f>
        <v>53.036583</v>
      </c>
      <c r="U127" s="51" cm="1">
        <f t="array" ref="U127">MAX(_xlfn._xlws.FILTER(U1:U122, ISNUMBER(U1:U122)))</f>
        <v>60.991455000000002</v>
      </c>
      <c r="V127" s="166" cm="1">
        <f t="array" ref="V127">MAX(_xlfn._xlws.FILTER(V1:V122, ISNUMBER(V1:V122)))</f>
        <v>65.277349999999998</v>
      </c>
    </row>
    <row r="128" spans="1:23" x14ac:dyDescent="0.35">
      <c r="A128" s="2" t="s">
        <v>401</v>
      </c>
      <c r="B128" s="49" cm="1">
        <f t="array" ref="B128">MEDIAN(_xlfn._xlws.FILTER(B1:B122, ISNUMBER(B1:B122)))</f>
        <v>5.7573319999999999</v>
      </c>
      <c r="C128" s="49" cm="1">
        <f t="array" ref="C128">MEDIAN(_xlfn._xlws.FILTER(C1:C122, ISNUMBER(C1:C122)))</f>
        <v>-6.0014605999999997</v>
      </c>
      <c r="D128" s="49" cm="1">
        <f t="array" ref="D128">MEDIAN(_xlfn._xlws.FILTER(D1:D122, ISNUMBER(D1:D122)))</f>
        <v>0.95107554999999999</v>
      </c>
      <c r="E128" s="49" cm="1">
        <f t="array" ref="E128">MEDIAN(_xlfn._xlws.FILTER(E1:E122, ISNUMBER(E1:E122)))</f>
        <v>-1.7708957000000001</v>
      </c>
      <c r="F128" s="49" cm="1">
        <f t="array" ref="F128">MEDIAN(_xlfn._xlws.FILTER(F1:F122, ISNUMBER(F1:F122)))</f>
        <v>-7.6854050000000003</v>
      </c>
      <c r="G128" s="49" cm="1">
        <f t="array" ref="G128">MEDIAN(_xlfn._xlws.FILTER(G1:G122, ISNUMBER(G1:G122)))</f>
        <v>0.33036470000000001</v>
      </c>
      <c r="H128" s="49" cm="1">
        <f t="array" ref="H128">MEDIAN(_xlfn._xlws.FILTER(H1:H122, ISNUMBER(H1:H122)))</f>
        <v>-3.5441457999999999</v>
      </c>
      <c r="I128" s="49" cm="1">
        <f t="array" ref="I128">MEDIAN(_xlfn._xlws.FILTER(I1:I122, ISNUMBER(I1:I122)))</f>
        <v>13.082229999999999</v>
      </c>
      <c r="J128" s="49" cm="1">
        <f t="array" ref="J128">MEDIAN(_xlfn._xlws.FILTER(J1:J122, ISNUMBER(J1:J122)))</f>
        <v>-1.9726276</v>
      </c>
      <c r="K128" s="49" cm="1">
        <f t="array" ref="K128">MEDIAN(_xlfn._xlws.FILTER(K1:K122, ISNUMBER(K1:K122)))</f>
        <v>1.6219854</v>
      </c>
      <c r="L128" s="49" cm="1">
        <f t="array" ref="L128">MEDIAN(_xlfn._xlws.FILTER(L1:L122, ISNUMBER(L1:L122)))</f>
        <v>2.7616619999999998</v>
      </c>
      <c r="M128" s="49" cm="1">
        <f t="array" ref="M128">MEDIAN(_xlfn._xlws.FILTER(M1:M122, ISNUMBER(M1:M122)))</f>
        <v>0.26038885000000001</v>
      </c>
      <c r="N128" s="49" cm="1">
        <f t="array" ref="N128">MEDIAN(_xlfn._xlws.FILTER(N1:N122, ISNUMBER(N1:N122)))</f>
        <v>0.99451540000000005</v>
      </c>
      <c r="O128" s="49" cm="1">
        <f t="array" ref="O128">MEDIAN(_xlfn._xlws.FILTER(O1:O122, ISNUMBER(O1:O122)))</f>
        <v>7.2507260000000002</v>
      </c>
      <c r="P128" s="49" cm="1">
        <f t="array" ref="P128">MEDIAN(_xlfn._xlws.FILTER(P1:P122, ISNUMBER(P1:P122)))</f>
        <v>2.6687740999999998</v>
      </c>
      <c r="Q128" s="49" cm="1">
        <f t="array" ref="Q128">MEDIAN(_xlfn._xlws.FILTER(Q1:Q122, ISNUMBER(Q1:Q122)))</f>
        <v>-0.67082644000000002</v>
      </c>
      <c r="R128" s="49" cm="1">
        <f t="array" ref="R128">MEDIAN(_xlfn._xlws.FILTER(R1:R122, ISNUMBER(R1:R122)))</f>
        <v>1.9478797999999999E-2</v>
      </c>
      <c r="S128" s="49" cm="1">
        <f t="array" ref="S128">MEDIAN(_xlfn._xlws.FILTER(S1:S122, ISNUMBER(S1:S122)))</f>
        <v>-2.0028649999999999</v>
      </c>
      <c r="T128" s="49" cm="1">
        <f t="array" ref="T128">MEDIAN(_xlfn._xlws.FILTER(T1:T122, ISNUMBER(T1:T122)))</f>
        <v>-3.9087534000000002</v>
      </c>
      <c r="U128" s="49" cm="1">
        <f t="array" ref="U128">MEDIAN(_xlfn._xlws.FILTER(U1:U122, ISNUMBER(U1:U122)))</f>
        <v>-1.9842625</v>
      </c>
      <c r="V128" s="165" cm="1">
        <f t="array" ref="V128">MEDIAN(_xlfn._xlws.FILTER(V1:V122, ISNUMBER(V1:V122)))</f>
        <v>11.439662999999999</v>
      </c>
      <c r="W128" s="9"/>
    </row>
    <row r="129" spans="1:22" x14ac:dyDescent="0.35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167"/>
    </row>
    <row r="130" spans="1:22" x14ac:dyDescent="0.35">
      <c r="A130" s="2" t="s">
        <v>91</v>
      </c>
      <c r="B130">
        <f>COUNTIF(B2:B122, "&lt;"&amp;Assumption!$F$49)</f>
        <v>29</v>
      </c>
      <c r="C130">
        <f>COUNTIF(C2:C122, "&lt;"&amp;Assumption!$F$49)</f>
        <v>52</v>
      </c>
      <c r="D130">
        <f>COUNTIF(D2:D122, "&lt;"&amp;Assumption!$F$49)</f>
        <v>30</v>
      </c>
      <c r="E130">
        <f>COUNTIF(E2:E122, "&lt;"&amp;Assumption!$F$49)</f>
        <v>34</v>
      </c>
      <c r="F130">
        <f>COUNTIF(F2:F122, "&lt;"&amp;Assumption!$F$49)</f>
        <v>52</v>
      </c>
      <c r="G130">
        <f>COUNTIF(G2:G122, "&lt;"&amp;Assumption!$F$49)</f>
        <v>31</v>
      </c>
      <c r="H130">
        <f>COUNTIF(H2:H122, "&lt;"&amp;Assumption!$F$49)</f>
        <v>30</v>
      </c>
      <c r="I130">
        <f>COUNTIF(I2:I122, "&lt;"&amp;Assumption!$F$49)</f>
        <v>21</v>
      </c>
      <c r="J130">
        <f>COUNTIF(J2:J122, "&lt;"&amp;Assumption!$F$49)</f>
        <v>33</v>
      </c>
      <c r="K130">
        <f>COUNTIF(K2:K122, "&lt;"&amp;Assumption!$F$49)</f>
        <v>38</v>
      </c>
      <c r="L130">
        <f>COUNTIF(L2:L122, "&lt;"&amp;Assumption!$F$49)</f>
        <v>40</v>
      </c>
      <c r="M130">
        <f>COUNTIF(M2:M122, "&lt;"&amp;Assumption!$F$49)</f>
        <v>37</v>
      </c>
      <c r="N130">
        <f>COUNTIF(N2:N122, "&lt;"&amp;Assumption!$F$49)</f>
        <v>54</v>
      </c>
      <c r="O130">
        <f>COUNTIF(O2:O122, "&lt;"&amp;Assumption!$F$49)</f>
        <v>17</v>
      </c>
      <c r="P130">
        <f>COUNTIF(P2:P122, "&lt;"&amp;Assumption!$F$49)</f>
        <v>36</v>
      </c>
      <c r="Q130">
        <f>COUNTIF(Q2:Q122, "&lt;"&amp;Assumption!$F$49)</f>
        <v>32</v>
      </c>
      <c r="R130">
        <f>COUNTIF(R2:R122, "&lt;"&amp;Assumption!$F$49)</f>
        <v>22</v>
      </c>
      <c r="S130">
        <f>COUNTIF(S2:S122, "&lt;"&amp;Assumption!$F$49)</f>
        <v>46</v>
      </c>
      <c r="T130">
        <f>COUNTIF(T2:T122, "&lt;"&amp;Assumption!$F$49)</f>
        <v>30</v>
      </c>
      <c r="U130">
        <f>COUNTIF(U2:U122, "&lt;"&amp;Assumption!$F$49)</f>
        <v>42</v>
      </c>
      <c r="V130" s="1">
        <f>COUNTIF(V2:V122, "&lt;"&amp;Assumption!$F$49)</f>
        <v>11</v>
      </c>
    </row>
    <row r="131" spans="1:22" x14ac:dyDescent="0.35">
      <c r="A131" s="2" t="s">
        <v>90</v>
      </c>
      <c r="B131">
        <f>COUNT(B1:B122)</f>
        <v>81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107</v>
      </c>
      <c r="R131">
        <f t="shared" si="0"/>
        <v>121</v>
      </c>
      <c r="S131">
        <f t="shared" si="0"/>
        <v>121</v>
      </c>
      <c r="T131">
        <f t="shared" si="0"/>
        <v>107</v>
      </c>
      <c r="U131">
        <f t="shared" si="0"/>
        <v>121</v>
      </c>
      <c r="V131" s="1">
        <f t="shared" si="0"/>
        <v>90</v>
      </c>
    </row>
    <row r="132" spans="1:22" x14ac:dyDescent="0.35">
      <c r="A132" s="2"/>
    </row>
    <row r="133" spans="1:22" x14ac:dyDescent="0.35">
      <c r="A133" s="2" t="s">
        <v>404</v>
      </c>
      <c r="B133" s="9">
        <f>B130/B131</f>
        <v>0.35802469135802467</v>
      </c>
      <c r="C133" s="9">
        <f t="shared" ref="C133:V133" si="1">C130/C131</f>
        <v>0.42975206611570249</v>
      </c>
      <c r="D133" s="9">
        <f t="shared" si="1"/>
        <v>0.24793388429752067</v>
      </c>
      <c r="E133" s="9">
        <f t="shared" si="1"/>
        <v>0.28099173553719009</v>
      </c>
      <c r="F133" s="9">
        <f t="shared" si="1"/>
        <v>0.42975206611570249</v>
      </c>
      <c r="G133" s="9">
        <f t="shared" si="1"/>
        <v>0.256198347107438</v>
      </c>
      <c r="H133" s="9">
        <f t="shared" si="1"/>
        <v>0.24793388429752067</v>
      </c>
      <c r="I133" s="9">
        <f t="shared" si="1"/>
        <v>0.17355371900826447</v>
      </c>
      <c r="J133" s="9">
        <f t="shared" si="1"/>
        <v>0.27272727272727271</v>
      </c>
      <c r="K133" s="9">
        <f t="shared" si="1"/>
        <v>0.31404958677685951</v>
      </c>
      <c r="L133" s="9">
        <f t="shared" si="1"/>
        <v>0.33057851239669422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0.14049586776859505</v>
      </c>
      <c r="P133" s="9">
        <f t="shared" si="1"/>
        <v>0.2975206611570248</v>
      </c>
      <c r="Q133" s="9">
        <f t="shared" si="1"/>
        <v>0.29906542056074764</v>
      </c>
      <c r="R133" s="9">
        <f t="shared" si="1"/>
        <v>0.18181818181818182</v>
      </c>
      <c r="S133" s="9">
        <f t="shared" si="1"/>
        <v>0.38016528925619836</v>
      </c>
      <c r="T133" s="9">
        <f t="shared" si="1"/>
        <v>0.28037383177570091</v>
      </c>
      <c r="U133" s="9">
        <f t="shared" si="1"/>
        <v>0.34710743801652894</v>
      </c>
      <c r="V133" s="57">
        <f t="shared" si="1"/>
        <v>0.12222222222222222</v>
      </c>
    </row>
    <row r="134" spans="1:22" x14ac:dyDescent="0.35">
      <c r="A134" s="2"/>
    </row>
    <row r="135" spans="1:22" x14ac:dyDescent="0.35">
      <c r="A135" s="2"/>
      <c r="B135" s="125"/>
      <c r="C135" s="125"/>
      <c r="D135" s="125"/>
      <c r="E135" s="125"/>
      <c r="F135" s="125"/>
      <c r="G135" s="125"/>
      <c r="H135" s="125"/>
      <c r="I135" s="125"/>
      <c r="J135" s="12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57"/>
    </row>
    <row r="136" spans="1:22" x14ac:dyDescent="0.35">
      <c r="A136" s="2" t="s">
        <v>407</v>
      </c>
      <c r="B136" s="49" cm="1">
        <f t="array" ref="B136">_xlfn.PERCENTRANK.EXC(_xlfn._xlws.FILTER(B2:B122, ISNUMBER(B2:B122)),B120)</f>
        <v>0.06</v>
      </c>
      <c r="C136" s="49" cm="1">
        <f t="array" ref="C136">_xlfn.PERCENTRANK.EXC(_xlfn._xlws.FILTER(C2:C122, ISNUMBER(C2:C122)),C120)</f>
        <v>0.54900000000000004</v>
      </c>
      <c r="D136" s="49" cm="1">
        <f t="array" ref="D136">_xlfn.PERCENTRANK.EXC(_xlfn._xlws.FILTER(D2:D122, ISNUMBER(D2:D122)),D120)</f>
        <v>0.57299999999999995</v>
      </c>
      <c r="E136" s="49" cm="1">
        <f t="array" ref="E136">_xlfn.PERCENTRANK.EXC(_xlfn._xlws.FILTER(E2:E122, ISNUMBER(E2:E122)),E120)</f>
        <v>0.40100000000000002</v>
      </c>
      <c r="F136" s="49" cm="1">
        <f t="array" ref="F136">_xlfn.PERCENTRANK.EXC(_xlfn._xlws.FILTER(F2:F122, ISNUMBER(F2:F122)),F120)</f>
        <v>0.79500000000000004</v>
      </c>
      <c r="G136" s="49" cm="1">
        <f t="array" ref="G136">_xlfn.PERCENTRANK.EXC(_xlfn._xlws.FILTER(G2:G122, ISNUMBER(G2:G122)),G120)</f>
        <v>0.69599999999999995</v>
      </c>
      <c r="H136" s="49" cm="1">
        <f t="array" ref="H136">_xlfn.PERCENTRANK.EXC(_xlfn._xlws.FILTER(H2:H122, ISNUMBER(H2:H122)),H120)</f>
        <v>0.42599999999999999</v>
      </c>
      <c r="I136" s="49" cm="1">
        <f t="array" ref="I136">_xlfn.PERCENTRANK.EXC(_xlfn._xlws.FILTER(I2:I122, ISNUMBER(I2:I122)),I120)</f>
        <v>0.55700000000000005</v>
      </c>
      <c r="J136" s="49" cm="1">
        <f t="array" ref="J136">_xlfn.PERCENTRANK.EXC(_xlfn._xlws.FILTER(J2:J122, ISNUMBER(J2:J122)),J120)</f>
        <v>0.82699999999999996</v>
      </c>
      <c r="K136" s="49" cm="1">
        <f t="array" ref="K136">_xlfn.PERCENTRANK.EXC(_xlfn._xlws.FILTER(K2:K122, ISNUMBER(K2:K122)),K120)</f>
        <v>0.5</v>
      </c>
      <c r="L136" s="49" cm="1">
        <f t="array" ref="L136">_xlfn.PERCENTRANK.EXC(_xlfn._xlws.FILTER(L2:L122, ISNUMBER(L2:L122)),L120)</f>
        <v>0.76200000000000001</v>
      </c>
      <c r="M136" s="49" cm="1">
        <f t="array" ref="M136">_xlfn.PERCENTRANK.EXC(_xlfn._xlws.FILTER(M2:M122, ISNUMBER(M2:M122)),M120)</f>
        <v>0.245</v>
      </c>
      <c r="N136" s="49" cm="1">
        <f t="array" ref="N136">_xlfn.PERCENTRANK.EXC(_xlfn._xlws.FILTER(N2:N122, ISNUMBER(N2:N122)),N120)</f>
        <v>0.81100000000000005</v>
      </c>
      <c r="O136" s="49" cm="1">
        <f t="array" ref="O136">_xlfn.PERCENTRANK.EXC(_xlfn._xlws.FILTER(O2:O122, ISNUMBER(O2:O122)),O120)</f>
        <v>0.70399999999999996</v>
      </c>
      <c r="P136" s="49" cm="1">
        <f t="array" ref="P136">_xlfn.PERCENTRANK.EXC(_xlfn._xlws.FILTER(P2:P122, ISNUMBER(P2:P122)),P120)</f>
        <v>0.13100000000000001</v>
      </c>
      <c r="Q136" s="49" cm="1">
        <f t="array" ref="Q136">_xlfn.PERCENTRANK.EXC(_xlfn._xlws.FILTER(Q2:Q122, ISNUMBER(Q2:Q122)),Q120)</f>
        <v>0.48099999999999998</v>
      </c>
      <c r="R136" s="49" cm="1">
        <f t="array" ref="R136">_xlfn.PERCENTRANK.EXC(_xlfn._xlws.FILTER(R2:R122, ISNUMBER(R2:R122)),R120)</f>
        <v>0.106</v>
      </c>
      <c r="S136" s="49" cm="1">
        <f t="array" ref="S136">_xlfn.PERCENTRANK.EXC(_xlfn._xlws.FILTER(S2:S122, ISNUMBER(S2:S122)),S120)</f>
        <v>0.64700000000000002</v>
      </c>
      <c r="T136" s="49" cm="1">
        <f t="array" ref="T136">_xlfn.PERCENTRANK.EXC(_xlfn._xlws.FILTER(T2:T122, ISNUMBER(T2:T122)),T120)</f>
        <v>0.68500000000000005</v>
      </c>
      <c r="U136" s="49" cm="1">
        <f t="array" ref="U136">_xlfn.PERCENTRANK.EXC(_xlfn._xlws.FILTER(U2:U122, ISNUMBER(U2:U122)),U120)</f>
        <v>0.68</v>
      </c>
      <c r="V136" s="165" cm="1">
        <f t="array" ref="V136">_xlfn.PERCENTRANK.EXC(_xlfn._xlws.FILTER(V2:V122, ISNUMBER(V2:V122)),V120)</f>
        <v>0.52700000000000002</v>
      </c>
    </row>
    <row r="137" spans="1:22" x14ac:dyDescent="0.35">
      <c r="A137" s="2" t="s">
        <v>406</v>
      </c>
      <c r="B137" s="49" cm="1">
        <f t="array" ref="B137">_xlfn.PERCENTRANK.EXC(_xlfn._xlws.FILTER(B2:B122, ISNUMBER(B2:B122)),B121)</f>
        <v>7.2999999999999995E-2</v>
      </c>
      <c r="C137" s="49" cm="1">
        <f t="array" ref="C137">_xlfn.PERCENTRANK.EXC(_xlfn._xlws.FILTER(C2:C122, ISNUMBER(C2:C122)),C121)</f>
        <v>0.40100000000000002</v>
      </c>
      <c r="D137" s="49" cm="1">
        <f t="array" ref="D137">_xlfn.PERCENTRANK.EXC(_xlfn._xlws.FILTER(D2:D122, ISNUMBER(D2:D122)),D121)</f>
        <v>0.46700000000000003</v>
      </c>
      <c r="E137" s="49" cm="1">
        <f t="array" ref="E137">_xlfn.PERCENTRANK.EXC(_xlfn._xlws.FILTER(E2:E122, ISNUMBER(E2:E122)),E121)</f>
        <v>0.56499999999999995</v>
      </c>
      <c r="F137" s="49" cm="1">
        <f t="array" ref="F137">_xlfn.PERCENTRANK.EXC(_xlfn._xlws.FILTER(F2:F122, ISNUMBER(F2:F122)),F121)</f>
        <v>0.877</v>
      </c>
      <c r="G137" s="49" cm="1">
        <f t="array" ref="G137">_xlfn.PERCENTRANK.EXC(_xlfn._xlws.FILTER(G2:G122, ISNUMBER(G2:G122)),G121)</f>
        <v>0.77</v>
      </c>
      <c r="H137" s="49" cm="1">
        <f t="array" ref="H137">_xlfn.PERCENTRANK.EXC(_xlfn._xlws.FILTER(H2:H122, ISNUMBER(H2:H122)),H121)</f>
        <v>0.45900000000000002</v>
      </c>
      <c r="I137" s="49" cm="1">
        <f t="array" ref="I137">_xlfn.PERCENTRANK.EXC(_xlfn._xlws.FILTER(I2:I122, ISNUMBER(I2:I122)),I121)</f>
        <v>0.56499999999999995</v>
      </c>
      <c r="J137" s="49" cm="1">
        <f t="array" ref="J137">_xlfn.PERCENTRANK.EXC(_xlfn._xlws.FILTER(J2:J122, ISNUMBER(J2:J122)),J121)</f>
        <v>0.84399999999999997</v>
      </c>
      <c r="K137" s="49" cm="1">
        <f t="array" ref="K137">_xlfn.PERCENTRANK.EXC(_xlfn._xlws.FILTER(K2:K122, ISNUMBER(K2:K122)),K121)</f>
        <v>0.54900000000000004</v>
      </c>
      <c r="L137" s="49" cm="1">
        <f t="array" ref="L137">_xlfn.PERCENTRANK.EXC(_xlfn._xlws.FILTER(L2:L122, ISNUMBER(L2:L122)),L121)</f>
        <v>0.745</v>
      </c>
      <c r="M137" s="49" cm="1">
        <f t="array" ref="M137">_xlfn.PERCENTRANK.EXC(_xlfn._xlws.FILTER(M2:M122, ISNUMBER(M2:M122)),M121)</f>
        <v>0.30299999999999999</v>
      </c>
      <c r="N137" s="49" cm="1">
        <f t="array" ref="N137">_xlfn.PERCENTRANK.EXC(_xlfn._xlws.FILTER(N2:N122, ISNUMBER(N2:N122)),N121)</f>
        <v>0.67200000000000004</v>
      </c>
      <c r="O137" s="49" cm="1">
        <f t="array" ref="O137">_xlfn.PERCENTRANK.EXC(_xlfn._xlws.FILTER(O2:O122, ISNUMBER(O2:O122)),O121)</f>
        <v>0.84399999999999997</v>
      </c>
      <c r="P137" s="49" cm="1">
        <f t="array" ref="P137">_xlfn.PERCENTRANK.EXC(_xlfn._xlws.FILTER(P2:P122, ISNUMBER(P2:P122)),P121)</f>
        <v>0.13900000000000001</v>
      </c>
      <c r="Q137" s="49" cm="1">
        <f t="array" ref="Q137">_xlfn.PERCENTRANK.EXC(_xlfn._xlws.FILTER(Q2:Q122, ISNUMBER(Q2:Q122)),Q121)</f>
        <v>0.53700000000000003</v>
      </c>
      <c r="R137" s="49" cm="1">
        <f t="array" ref="R137">_xlfn.PERCENTRANK.EXC(_xlfn._xlws.FILTER(R2:R122, ISNUMBER(R2:R122)),R121)</f>
        <v>0.114</v>
      </c>
      <c r="S137" s="49" cm="1">
        <f t="array" ref="S137">_xlfn.PERCENTRANK.EXC(_xlfn._xlws.FILTER(S2:S122, ISNUMBER(S2:S122)),S121)</f>
        <v>0.81100000000000005</v>
      </c>
      <c r="T137" s="49" cm="1">
        <f t="array" ref="T137">_xlfn.PERCENTRANK.EXC(_xlfn._xlws.FILTER(T2:T122, ISNUMBER(T2:T122)),T121)</f>
        <v>0.61099999999999999</v>
      </c>
      <c r="U137" s="49" cm="1">
        <f t="array" ref="U137">_xlfn.PERCENTRANK.EXC(_xlfn._xlws.FILTER(U2:U122, ISNUMBER(U2:U122)),U121)</f>
        <v>0.78600000000000003</v>
      </c>
      <c r="V137" s="165" cm="1">
        <f t="array" ref="V137">_xlfn.PERCENTRANK.EXC(_xlfn._xlws.FILTER(V2:V122, ISNUMBER(V2:V122)),V121)</f>
        <v>0.70299999999999996</v>
      </c>
    </row>
    <row r="138" spans="1:22" x14ac:dyDescent="0.35">
      <c r="A138" s="2" t="s">
        <v>408</v>
      </c>
      <c r="B138" s="49" cm="1">
        <f t="array" ref="B138">_xlfn.PERCENTRANK.EXC(_xlfn._xlws.FILTER(B2:B122, ISNUMBER(B2:B122)),B122)</f>
        <v>0.26800000000000002</v>
      </c>
      <c r="C138" s="49" cm="1">
        <f t="array" ref="C138">_xlfn.PERCENTRANK.EXC(_xlfn._xlws.FILTER(C2:C122, ISNUMBER(C2:C122)),C122)</f>
        <v>0.55700000000000005</v>
      </c>
      <c r="D138" s="49" cm="1">
        <f t="array" ref="D138">_xlfn.PERCENTRANK.EXC(_xlfn._xlws.FILTER(D2:D122, ISNUMBER(D2:D122)),D122)</f>
        <v>0.64700000000000002</v>
      </c>
      <c r="E138" s="49" cm="1">
        <f t="array" ref="E138">_xlfn.PERCENTRANK.EXC(_xlfn._xlws.FILTER(E2:E122, ISNUMBER(E2:E122)),E122)</f>
        <v>0.77</v>
      </c>
      <c r="F138" s="49" cm="1">
        <f t="array" ref="F138">_xlfn.PERCENTRANK.EXC(_xlfn._xlws.FILTER(F2:F122, ISNUMBER(F2:F122)),F122)</f>
        <v>0.97499999999999998</v>
      </c>
      <c r="G138" s="49" cm="1">
        <f t="array" ref="G138">_xlfn.PERCENTRANK.EXC(_xlfn._xlws.FILTER(G2:G122, ISNUMBER(G2:G122)),G122)</f>
        <v>0.90900000000000003</v>
      </c>
      <c r="H138" s="49" cm="1">
        <f t="array" ref="H138">_xlfn.PERCENTRANK.EXC(_xlfn._xlws.FILTER(H2:H122, ISNUMBER(H2:H122)),H122)</f>
        <v>0.83599999999999997</v>
      </c>
      <c r="I138" s="49" cm="1">
        <f t="array" ref="I138">_xlfn.PERCENTRANK.EXC(_xlfn._xlws.FILTER(I2:I122, ISNUMBER(I2:I122)),I122)</f>
        <v>0.745</v>
      </c>
      <c r="J138" s="49" cm="1">
        <f t="array" ref="J138">_xlfn.PERCENTRANK.EXC(_xlfn._xlws.FILTER(J2:J122, ISNUMBER(J2:J122)),J122)</f>
        <v>0.85199999999999998</v>
      </c>
      <c r="K138" s="49" cm="1">
        <f t="array" ref="K138">_xlfn.PERCENTRANK.EXC(_xlfn._xlws.FILTER(K2:K122, ISNUMBER(K2:K122)),K122)</f>
        <v>0.70399999999999996</v>
      </c>
      <c r="L138" s="49" cm="1">
        <f t="array" ref="L138">_xlfn.PERCENTRANK.EXC(_xlfn._xlws.FILTER(L2:L122, ISNUMBER(L2:L122)),L122)</f>
        <v>0.81899999999999995</v>
      </c>
      <c r="M138" s="49" cm="1">
        <f t="array" ref="M138">_xlfn.PERCENTRANK.EXC(_xlfn._xlws.FILTER(M2:M122, ISNUMBER(M2:M122)),M122)</f>
        <v>0.45900000000000002</v>
      </c>
      <c r="N138" s="49" cm="1">
        <f t="array" ref="N138">_xlfn.PERCENTRANK.EXC(_xlfn._xlws.FILTER(N2:N122, ISNUMBER(N2:N122)),N122)</f>
        <v>0.72899999999999998</v>
      </c>
      <c r="O138" s="49" cm="1">
        <f t="array" ref="O138">_xlfn.PERCENTRANK.EXC(_xlfn._xlws.FILTER(O2:O122, ISNUMBER(O2:O122)),O122)</f>
        <v>0.86799999999999999</v>
      </c>
      <c r="P138" s="49" cm="1">
        <f t="array" ref="P138">_xlfn.PERCENTRANK.EXC(_xlfn._xlws.FILTER(P2:P122, ISNUMBER(P2:P122)),P122)</f>
        <v>0.27800000000000002</v>
      </c>
      <c r="Q138" s="49" cm="1">
        <f t="array" ref="Q138">_xlfn.PERCENTRANK.EXC(_xlfn._xlws.FILTER(Q2:Q122, ISNUMBER(Q2:Q122)),Q122)</f>
        <v>0.59199999999999997</v>
      </c>
      <c r="R138" s="49" cm="1">
        <f t="array" ref="R138">_xlfn.PERCENTRANK.EXC(_xlfn._xlws.FILTER(R2:R122, ISNUMBER(R2:R122)),R122)</f>
        <v>0.21299999999999999</v>
      </c>
      <c r="S138" s="49" cm="1">
        <f t="array" ref="S138">_xlfn.PERCENTRANK.EXC(_xlfn._xlws.FILTER(S2:S122, ISNUMBER(S2:S122)),S122)</f>
        <v>0.61399999999999999</v>
      </c>
      <c r="T138" s="49" cm="1">
        <f t="array" ref="T138">_xlfn.PERCENTRANK.EXC(_xlfn._xlws.FILTER(T2:T122, ISNUMBER(T2:T122)),T122)</f>
        <v>0.73099999999999998</v>
      </c>
      <c r="U138" s="49" cm="1">
        <f t="array" ref="U138">_xlfn.PERCENTRANK.EXC(_xlfn._xlws.FILTER(U2:U122, ISNUMBER(U2:U122)),U122)</f>
        <v>0.84399999999999997</v>
      </c>
      <c r="V138" s="165" cm="1">
        <f t="array" ref="V138">_xlfn.PERCENTRANK.EXC(_xlfn._xlws.FILTER(V2:V122, ISNUMBER(V2:V122)),V122)</f>
        <v>0.78</v>
      </c>
    </row>
    <row r="139" spans="1:22" x14ac:dyDescent="0.35">
      <c r="A139" s="2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165"/>
    </row>
    <row r="140" spans="1:22" x14ac:dyDescent="0.35">
      <c r="A140" s="2" t="s">
        <v>472</v>
      </c>
      <c r="B140" s="49">
        <f t="shared" ref="B140:V140" si="2">AVERAGE(B136:B138)</f>
        <v>0.13366666666666668</v>
      </c>
      <c r="C140" s="49">
        <f t="shared" si="2"/>
        <v>0.50233333333333341</v>
      </c>
      <c r="D140" s="49">
        <f t="shared" si="2"/>
        <v>0.56233333333333335</v>
      </c>
      <c r="E140" s="49">
        <f t="shared" si="2"/>
        <v>0.57866666666666666</v>
      </c>
      <c r="F140" s="49">
        <f t="shared" si="2"/>
        <v>0.88233333333333341</v>
      </c>
      <c r="G140" s="49">
        <f t="shared" si="2"/>
        <v>0.79166666666666663</v>
      </c>
      <c r="H140" s="49">
        <f t="shared" si="2"/>
        <v>0.57366666666666666</v>
      </c>
      <c r="I140" s="49">
        <f t="shared" si="2"/>
        <v>0.62233333333333329</v>
      </c>
      <c r="J140" s="49">
        <f t="shared" si="2"/>
        <v>0.84099999999999986</v>
      </c>
      <c r="K140" s="49">
        <f t="shared" si="2"/>
        <v>0.58433333333333326</v>
      </c>
      <c r="L140" s="49">
        <f t="shared" si="2"/>
        <v>0.77533333333333332</v>
      </c>
      <c r="M140" s="49">
        <f t="shared" si="2"/>
        <v>0.33566666666666672</v>
      </c>
      <c r="N140" s="49">
        <f t="shared" si="2"/>
        <v>0.7373333333333334</v>
      </c>
      <c r="O140" s="49">
        <f t="shared" si="2"/>
        <v>0.80533333333333335</v>
      </c>
      <c r="P140" s="49">
        <f t="shared" si="2"/>
        <v>0.18266666666666667</v>
      </c>
      <c r="Q140" s="49">
        <f t="shared" si="2"/>
        <v>0.53666666666666663</v>
      </c>
      <c r="R140" s="49">
        <f t="shared" si="2"/>
        <v>0.14433333333333334</v>
      </c>
      <c r="S140" s="49">
        <f t="shared" si="2"/>
        <v>0.69066666666666665</v>
      </c>
      <c r="T140" s="49">
        <f t="shared" si="2"/>
        <v>0.67566666666666675</v>
      </c>
      <c r="U140" s="49">
        <f t="shared" si="2"/>
        <v>0.77</v>
      </c>
      <c r="V140" s="165">
        <f t="shared" si="2"/>
        <v>0.66999999999999993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6328125" customWidth="1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872</v>
      </c>
      <c r="C2" t="s">
        <v>873</v>
      </c>
      <c r="D2" t="s">
        <v>874</v>
      </c>
      <c r="E2" t="s">
        <v>875</v>
      </c>
      <c r="F2" t="s">
        <v>876</v>
      </c>
      <c r="G2" t="s">
        <v>29</v>
      </c>
      <c r="H2" t="s">
        <v>878</v>
      </c>
      <c r="I2" t="s">
        <v>879</v>
      </c>
      <c r="J2" t="s">
        <v>880</v>
      </c>
      <c r="K2" t="s">
        <v>881</v>
      </c>
      <c r="L2" t="s">
        <v>882</v>
      </c>
      <c r="M2" t="s">
        <v>883</v>
      </c>
      <c r="N2" t="s">
        <v>884</v>
      </c>
      <c r="O2" t="s">
        <v>885</v>
      </c>
      <c r="P2" t="s">
        <v>872</v>
      </c>
      <c r="Q2" t="s">
        <v>886</v>
      </c>
      <c r="R2" t="s">
        <v>922</v>
      </c>
      <c r="S2" t="s">
        <v>887</v>
      </c>
      <c r="T2" t="s">
        <v>888</v>
      </c>
      <c r="U2" t="s">
        <v>37</v>
      </c>
      <c r="V2" t="s">
        <v>890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17.637359718697301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>
        <v>2.4380740580264901</v>
      </c>
      <c r="H18">
        <v>15.6987954764523</v>
      </c>
      <c r="I18">
        <v>12.9786240170966</v>
      </c>
      <c r="J18">
        <v>25.369127380540601</v>
      </c>
      <c r="K18">
        <v>35.904278149200302</v>
      </c>
      <c r="L18">
        <v>20.118691198406498</v>
      </c>
      <c r="M18">
        <v>31.803341123560699</v>
      </c>
      <c r="N18">
        <v>0.58009613257671799</v>
      </c>
      <c r="O18">
        <v>36.314788296504602</v>
      </c>
      <c r="P18">
        <v>17.637359718697301</v>
      </c>
      <c r="Q18">
        <v>7.7374565221448997</v>
      </c>
      <c r="R18">
        <v>48.124032377940402</v>
      </c>
      <c r="S18">
        <v>22.565965383258501</v>
      </c>
      <c r="T18">
        <v>7.0206655012913304</v>
      </c>
      <c r="U18">
        <v>1.1160182264929299</v>
      </c>
      <c r="V18">
        <v>2.35319343646412</v>
      </c>
    </row>
    <row r="19" spans="1:22" x14ac:dyDescent="0.35">
      <c r="A19" s="2">
        <v>44196</v>
      </c>
      <c r="B19">
        <v>17.4947707057507</v>
      </c>
      <c r="C19">
        <v>15.4747210424778</v>
      </c>
      <c r="D19">
        <v>51.526922598559203</v>
      </c>
      <c r="E19">
        <v>25.625710926113101</v>
      </c>
      <c r="F19">
        <v>12.725119300051601</v>
      </c>
      <c r="G19">
        <v>2.41141007958222</v>
      </c>
      <c r="H19">
        <v>16.388226158260899</v>
      </c>
      <c r="I19">
        <v>15.9439970065549</v>
      </c>
      <c r="J19">
        <v>22.356960921678599</v>
      </c>
      <c r="K19">
        <v>42.801850769777197</v>
      </c>
      <c r="L19">
        <v>14.9222387957437</v>
      </c>
      <c r="M19">
        <v>34.321902015430901</v>
      </c>
      <c r="N19">
        <v>0.55741767368310802</v>
      </c>
      <c r="O19">
        <v>33.705878493761901</v>
      </c>
      <c r="P19">
        <v>17.4947707057507</v>
      </c>
      <c r="Q19">
        <v>7.7846531590948196</v>
      </c>
      <c r="R19">
        <v>34.710630744724703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21.276244856740401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2.9485498666274501</v>
      </c>
      <c r="H20">
        <v>16.010960211196998</v>
      </c>
      <c r="I20">
        <v>24.305116439372402</v>
      </c>
      <c r="J20">
        <v>28.181628189696699</v>
      </c>
      <c r="K20">
        <v>51.305065731054597</v>
      </c>
      <c r="L20">
        <v>18.555944016447501</v>
      </c>
      <c r="M20">
        <v>36.779911725976703</v>
      </c>
      <c r="N20">
        <v>0.62188546902171704</v>
      </c>
      <c r="O20">
        <v>47.020016327694101</v>
      </c>
      <c r="P20">
        <v>21.276244856740401</v>
      </c>
      <c r="Q20">
        <v>9.3577310145755703</v>
      </c>
      <c r="R20">
        <v>40.272341530657499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20.372399316016701</v>
      </c>
      <c r="C21">
        <v>25.909162089116698</v>
      </c>
      <c r="D21">
        <v>64.972794209119996</v>
      </c>
      <c r="E21">
        <v>26.8368786417054</v>
      </c>
      <c r="F21">
        <v>17.088924383662398</v>
      </c>
      <c r="G21">
        <v>3.1160967706628702</v>
      </c>
      <c r="H21">
        <v>16.707562704174698</v>
      </c>
      <c r="I21">
        <v>19.760160852025798</v>
      </c>
      <c r="J21">
        <v>32.5319871436621</v>
      </c>
      <c r="K21">
        <v>35.389415146609899</v>
      </c>
      <c r="L21">
        <v>21.0697600284775</v>
      </c>
      <c r="M21">
        <v>38.5431317680411</v>
      </c>
      <c r="N21">
        <v>0.86953187662514597</v>
      </c>
      <c r="O21">
        <v>46.046977005916403</v>
      </c>
      <c r="P21">
        <v>20.372399316016701</v>
      </c>
      <c r="Q21">
        <v>9.9739874595000497</v>
      </c>
      <c r="R21">
        <v>42.481578267055802</v>
      </c>
      <c r="S21">
        <v>36.400826514230097</v>
      </c>
      <c r="T21">
        <v>11.3918613611305</v>
      </c>
      <c r="U21">
        <v>1.1112749295062001</v>
      </c>
      <c r="V21">
        <v>3.6287787957355899</v>
      </c>
    </row>
    <row r="22" spans="1:22" x14ac:dyDescent="0.35">
      <c r="A22" s="2">
        <v>45289</v>
      </c>
      <c r="B22">
        <v>19.1116968247571</v>
      </c>
      <c r="C22">
        <v>28.7106028961196</v>
      </c>
      <c r="D22">
        <v>67.989183311065503</v>
      </c>
      <c r="E22">
        <v>30.831567947575198</v>
      </c>
      <c r="F22">
        <v>23.395588724849102</v>
      </c>
      <c r="G22">
        <v>2.9600670388112098</v>
      </c>
      <c r="H22">
        <v>16.774490742299999</v>
      </c>
      <c r="I22">
        <v>19.096541253308999</v>
      </c>
      <c r="J22">
        <v>39.3662186895858</v>
      </c>
      <c r="K22">
        <v>41.687507983450203</v>
      </c>
      <c r="L22">
        <v>24.054711801097799</v>
      </c>
      <c r="M22">
        <v>33.885208453724402</v>
      </c>
      <c r="N22">
        <v>1.21959709581891</v>
      </c>
      <c r="O22">
        <v>54.683464641586902</v>
      </c>
      <c r="P22">
        <v>19.1116968247571</v>
      </c>
      <c r="Q22">
        <v>9.6132080179228101</v>
      </c>
      <c r="R22">
        <v>40.181577370476901</v>
      </c>
      <c r="S22">
        <v>47.716877016372599</v>
      </c>
      <c r="T22">
        <v>11.0543542614851</v>
      </c>
      <c r="U22">
        <v>0.88605728251453697</v>
      </c>
      <c r="V22">
        <v>3.0115180925471901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94</v>
      </c>
      <c r="B26" s="59" cm="1">
        <f t="array" ref="B26">(B22/INDEX(B3:B22,MATCH(TRUE,INDEX(ISNUMBER(B3:B22),0),0)))^(1/B24)-1</f>
        <v>7.2170336830633008E-2</v>
      </c>
      <c r="C26" s="59" cm="1">
        <f t="array" ref="C26">(C22/INDEX(C3:C22,MATCH(TRUE,INDEX(ISNUMBER(C3:C22),0),0)))^(1/C24)-1</f>
        <v>3.8701923493088319E-2</v>
      </c>
      <c r="D26" s="59" cm="1">
        <f t="array" ref="D26">(D22/INDEX(D3:D22,MATCH(TRUE,INDEX(ISNUMBER(D3:D22),0),0)))^(1/D24)-1</f>
        <v>4.2935780370278342E-2</v>
      </c>
      <c r="E26" s="59" cm="1">
        <f t="array" ref="E26">(E22/INDEX(E3:E22,MATCH(TRUE,INDEX(ISNUMBER(E3:E22),0),0)))^(1/E24)-1</f>
        <v>6.5968962399152176E-2</v>
      </c>
      <c r="F26" s="59" cm="1">
        <f t="array" ref="F26">(F22/INDEX(F3:F22,MATCH(TRUE,INDEX(ISNUMBER(F3:F22),0),0)))^(1/F24)-1</f>
        <v>3.6620331475524681E-2</v>
      </c>
      <c r="G26" s="59" cm="1">
        <f t="array" ref="G26">(G22/INDEX(G3:G22,MATCH(TRUE,INDEX(ISNUMBER(G3:G22),0),0)))^(1/G24)-1</f>
        <v>1.6222353544926627E-2</v>
      </c>
      <c r="H26" s="59" cm="1">
        <f t="array" ref="H26">(H22/INDEX(H3:H22,MATCH(TRUE,INDEX(ISNUMBER(H3:H22),0),0)))^(1/H24)-1</f>
        <v>2.5436062820705096E-2</v>
      </c>
      <c r="I26" s="59" cm="1">
        <f t="array" ref="I26">(I22/INDEX(I3:I22,MATCH(TRUE,INDEX(ISNUMBER(I3:I22),0),0)))^(1/I24)-1</f>
        <v>3.7641291584214587E-2</v>
      </c>
      <c r="J26" s="59" cm="1">
        <f t="array" ref="J26">(J22/INDEX(J3:J22,MATCH(TRUE,INDEX(ISNUMBER(J3:J22),0),0)))^(1/J24)-1</f>
        <v>5.7936521393984641E-2</v>
      </c>
      <c r="K26" s="59" cm="1">
        <f t="array" ref="K26">(K22/INDEX(K3:K22,MATCH(TRUE,INDEX(ISNUMBER(K3:K22),0),0)))^(1/K24)-1</f>
        <v>2.4555473735398126E-2</v>
      </c>
      <c r="L26" s="59" cm="1">
        <f t="array" ref="L26">(L22/INDEX(L3:L22,MATCH(TRUE,INDEX(ISNUMBER(L3:L22),0),0)))^(1/L24)-1</f>
        <v>2.0712912903765535E-2</v>
      </c>
      <c r="M26" s="59" cm="1">
        <f t="array" ref="M26">(M22/INDEX(M3:M22,MATCH(TRUE,INDEX(ISNUMBER(M3:M22),0),0)))^(1/M24)-1</f>
        <v>2.3789114726455285E-2</v>
      </c>
      <c r="N26" s="59" cm="1">
        <f t="array" ref="N26">(N22/INDEX(N3:N22,MATCH(TRUE,INDEX(ISNUMBER(N3:N22),0),0)))^(1/N24)-1</f>
        <v>-9.9977006807554725E-2</v>
      </c>
      <c r="O26" s="59" cm="1">
        <f t="array" ref="O26">(O22/INDEX(O3:O22,MATCH(TRUE,INDEX(ISNUMBER(O3:O22),0),0)))^(1/O24)-1</f>
        <v>6.0148800928877089E-2</v>
      </c>
      <c r="P26" s="59" cm="1">
        <f t="array" ref="P26">(P22/INDEX(P3:P22,MATCH(TRUE,INDEX(ISNUMBER(P3:P22),0),0)))^(1/P24)-1</f>
        <v>7.2170336830633008E-2</v>
      </c>
      <c r="Q26" s="59" cm="1">
        <f t="array" ref="Q26">(Q22/INDEX(Q3:Q22,MATCH(TRUE,INDEX(ISNUMBER(Q3:Q22),0),0)))^(1/Q24)-1</f>
        <v>8.8740466700483189E-3</v>
      </c>
      <c r="R26" s="59" cm="1">
        <f t="array" ref="R26">(R22/INDEX(R3:R22,MATCH(TRUE,INDEX(ISNUMBER(R3:R22),0),0)))^(1/R24)-1</f>
        <v>1.2617007680752579E-2</v>
      </c>
      <c r="S26" s="59" cm="1">
        <f t="array" ref="S26">(S22/INDEX(S3:S22,MATCH(TRUE,INDEX(ISNUMBER(S3:S22),0),0)))^(1/S24)-1</f>
        <v>8.2005714106922367E-2</v>
      </c>
      <c r="T26" s="59" cm="1">
        <f t="array" ref="T26">(T22/INDEX(T3:T22,MATCH(TRUE,INDEX(ISNUMBER(T3:T22),0),0)))^(1/T24)-1</f>
        <v>8.339597081139738E-3</v>
      </c>
      <c r="U26" s="59" cm="1">
        <f t="array" ref="U26">(U22/INDEX(U3:U22,MATCH(TRUE,INDEX(ISNUMBER(U3:U22),0),0)))^(1/U24)-1</f>
        <v>-4.4922819308067519E-2</v>
      </c>
      <c r="V26" s="59" cm="1">
        <f t="array" ref="V26">(V22/INDEX(V3:V22,MATCH(TRUE,INDEX(ISNUMBER(V3:V22),0),0)))^(1/V24)-1</f>
        <v>-1.6026075350590196E-2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6328125" customWidth="1"/>
    <col min="3" max="3" width="16.08984375" customWidth="1"/>
    <col min="4" max="4" width="14" customWidth="1"/>
    <col min="5" max="5" width="14.6328125" customWidth="1"/>
    <col min="6" max="6" width="15.453125" style="124" customWidth="1"/>
    <col min="23" max="23" width="9.36328125" customWidth="1"/>
  </cols>
  <sheetData>
    <row r="1" spans="1:24" ht="18.5" x14ac:dyDescent="0.45">
      <c r="A1" s="96" t="s">
        <v>576</v>
      </c>
      <c r="B1" s="97"/>
      <c r="C1" s="94"/>
      <c r="D1" s="94"/>
      <c r="E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</row>
    <row r="2" spans="1:24" x14ac:dyDescent="0.35">
      <c r="A2" s="94"/>
      <c r="B2" s="97"/>
      <c r="C2" s="94"/>
      <c r="D2" s="94"/>
      <c r="E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1:24" ht="21" x14ac:dyDescent="0.5">
      <c r="A3" s="98" t="s">
        <v>747</v>
      </c>
      <c r="B3" s="99"/>
      <c r="C3" s="94"/>
      <c r="D3" s="94"/>
      <c r="E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4" spans="1:24" x14ac:dyDescent="0.35">
      <c r="A4" s="116" t="s">
        <v>577</v>
      </c>
      <c r="B4" s="99"/>
      <c r="C4" s="94"/>
      <c r="D4" s="94"/>
      <c r="E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</row>
    <row r="5" spans="1:24" x14ac:dyDescent="0.35">
      <c r="A5" s="94"/>
      <c r="B5" s="97"/>
      <c r="C5" s="94"/>
      <c r="D5" s="94"/>
      <c r="E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</row>
    <row r="6" spans="1:24" x14ac:dyDescent="0.35">
      <c r="A6" s="106"/>
      <c r="B6" s="109"/>
      <c r="C6" s="94"/>
      <c r="D6" s="94"/>
      <c r="E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</row>
    <row r="7" spans="1:24" x14ac:dyDescent="0.35">
      <c r="A7" s="212"/>
      <c r="B7" s="212"/>
      <c r="C7" s="94"/>
      <c r="D7" s="94"/>
      <c r="E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</row>
    <row r="8" spans="1:24" x14ac:dyDescent="0.35">
      <c r="A8" s="114"/>
      <c r="B8" s="114"/>
      <c r="C8" s="213" t="s">
        <v>578</v>
      </c>
      <c r="D8" s="214"/>
      <c r="E8" s="215"/>
      <c r="G8" s="94"/>
      <c r="H8" s="94"/>
      <c r="I8" s="94"/>
      <c r="J8" s="94"/>
      <c r="K8" s="94"/>
      <c r="L8" s="213" t="s">
        <v>579</v>
      </c>
      <c r="M8" s="214"/>
      <c r="N8" s="214"/>
      <c r="O8" s="214"/>
      <c r="P8" s="214"/>
      <c r="Q8" s="214"/>
      <c r="R8" s="214"/>
      <c r="S8" s="214"/>
      <c r="T8" s="214"/>
      <c r="U8" s="214"/>
      <c r="V8" s="215"/>
    </row>
    <row r="9" spans="1:24" ht="43.5" x14ac:dyDescent="0.35">
      <c r="A9" s="100" t="s">
        <v>580</v>
      </c>
      <c r="B9" s="100" t="s">
        <v>581</v>
      </c>
      <c r="C9" s="118" t="s">
        <v>582</v>
      </c>
      <c r="D9" s="119" t="s">
        <v>583</v>
      </c>
      <c r="E9" s="120" t="s">
        <v>584</v>
      </c>
      <c r="F9" s="124" t="s">
        <v>752</v>
      </c>
      <c r="G9" s="110" t="s">
        <v>748</v>
      </c>
      <c r="H9" s="112" t="s">
        <v>749</v>
      </c>
      <c r="I9" s="112" t="s">
        <v>750</v>
      </c>
      <c r="J9" s="111" t="s">
        <v>751</v>
      </c>
      <c r="K9" s="113"/>
      <c r="L9" s="123">
        <v>2012</v>
      </c>
      <c r="M9" s="101">
        <v>2013</v>
      </c>
      <c r="N9" s="101">
        <v>2014</v>
      </c>
      <c r="O9" s="101">
        <v>2015</v>
      </c>
      <c r="P9" s="101">
        <v>2016</v>
      </c>
      <c r="Q9" s="101">
        <v>2017</v>
      </c>
      <c r="R9" s="101">
        <v>2018</v>
      </c>
      <c r="S9" s="101">
        <v>2019</v>
      </c>
      <c r="T9" s="101">
        <v>2020</v>
      </c>
      <c r="U9" s="101">
        <v>2021</v>
      </c>
      <c r="V9" s="102">
        <v>2022</v>
      </c>
      <c r="W9" s="111" t="s">
        <v>758</v>
      </c>
      <c r="X9" s="111" t="s">
        <v>759</v>
      </c>
    </row>
    <row r="10" spans="1:24" x14ac:dyDescent="0.35">
      <c r="A10" s="95" t="s">
        <v>585</v>
      </c>
      <c r="B10" s="95" t="s">
        <v>586</v>
      </c>
      <c r="C10" s="103">
        <v>-6.330015897488761</v>
      </c>
      <c r="D10" s="104">
        <v>-1.9803203632740796</v>
      </c>
      <c r="E10" s="105">
        <v>1.4438839505667156</v>
      </c>
      <c r="G10" s="117" t="s">
        <v>587</v>
      </c>
      <c r="H10" s="115">
        <v>34.781666666666666</v>
      </c>
      <c r="I10" s="107">
        <v>154</v>
      </c>
      <c r="J10" s="108">
        <v>32</v>
      </c>
      <c r="K10" s="95"/>
      <c r="L10" s="103">
        <v>19.865459911417584</v>
      </c>
      <c r="M10" s="104">
        <v>9.8957883924851959</v>
      </c>
      <c r="N10" s="104">
        <v>6.5854081038949879</v>
      </c>
      <c r="O10" s="104">
        <v>0.98799999999999999</v>
      </c>
      <c r="P10" s="104">
        <v>2.1640000000000001</v>
      </c>
      <c r="Q10" s="104">
        <v>2.6469999999999998</v>
      </c>
      <c r="R10" s="104">
        <v>1.1890000000000001</v>
      </c>
      <c r="S10" s="104">
        <v>3.9119999999999999</v>
      </c>
      <c r="T10" s="104">
        <v>-2.351</v>
      </c>
      <c r="U10" s="104">
        <v>-2.4</v>
      </c>
      <c r="V10" s="105">
        <v>-5</v>
      </c>
      <c r="W10" s="105">
        <f>AVERAGE(D10,E10)</f>
        <v>-0.26821820635368199</v>
      </c>
    </row>
    <row r="11" spans="1:24" x14ac:dyDescent="0.35">
      <c r="A11" s="95" t="s">
        <v>231</v>
      </c>
      <c r="B11" s="95" t="s">
        <v>588</v>
      </c>
      <c r="C11" s="103">
        <v>2.8369230771995602</v>
      </c>
      <c r="D11" s="104">
        <v>2.527708680261509</v>
      </c>
      <c r="E11" s="105">
        <v>2.499335307066497</v>
      </c>
      <c r="G11" s="117" t="s">
        <v>405</v>
      </c>
      <c r="H11" s="115">
        <v>71.94876523650197</v>
      </c>
      <c r="I11" s="107">
        <v>80</v>
      </c>
      <c r="J11" s="108">
        <v>40</v>
      </c>
      <c r="K11" s="95"/>
      <c r="L11" s="103">
        <v>1.4329514555018943</v>
      </c>
      <c r="M11" s="104">
        <v>1.0096624423848639</v>
      </c>
      <c r="N11" s="104">
        <v>1.7987489151280414</v>
      </c>
      <c r="O11" s="104">
        <v>2.2189999999999999</v>
      </c>
      <c r="P11" s="104">
        <v>3.3149999999999999</v>
      </c>
      <c r="Q11" s="104">
        <v>3.802</v>
      </c>
      <c r="R11" s="104">
        <v>4.0190000000000001</v>
      </c>
      <c r="S11" s="104">
        <v>2.0880000000000001</v>
      </c>
      <c r="T11" s="104">
        <v>-3.4820000000000002</v>
      </c>
      <c r="U11" s="104">
        <v>8.516</v>
      </c>
      <c r="V11" s="105">
        <v>3.74</v>
      </c>
      <c r="W11" s="105">
        <f t="shared" ref="W11:W74" si="0">AVERAGE(D11,E11)</f>
        <v>2.513521993664003</v>
      </c>
    </row>
    <row r="12" spans="1:24" x14ac:dyDescent="0.35">
      <c r="A12" s="95" t="s">
        <v>589</v>
      </c>
      <c r="B12" s="95" t="s">
        <v>590</v>
      </c>
      <c r="C12" s="103">
        <v>0.36545353196819619</v>
      </c>
      <c r="D12" s="104">
        <v>0.98216884294510809</v>
      </c>
      <c r="E12" s="105">
        <v>1.9643097765769557</v>
      </c>
      <c r="G12" s="117" t="s">
        <v>591</v>
      </c>
      <c r="H12" s="115">
        <v>77.429986450518911</v>
      </c>
      <c r="I12" s="107">
        <v>59</v>
      </c>
      <c r="J12" s="108">
        <v>2</v>
      </c>
      <c r="K12" s="95"/>
      <c r="L12" s="103">
        <v>3.3999999982054412</v>
      </c>
      <c r="M12" s="104">
        <v>2.8000000002529002</v>
      </c>
      <c r="N12" s="104">
        <v>3.8000000007790273</v>
      </c>
      <c r="O12" s="104">
        <v>3.7</v>
      </c>
      <c r="P12" s="104">
        <v>3.2</v>
      </c>
      <c r="Q12" s="104">
        <v>1.4</v>
      </c>
      <c r="R12" s="104">
        <v>1.2</v>
      </c>
      <c r="S12" s="104">
        <v>1</v>
      </c>
      <c r="T12" s="104">
        <v>-5.0999999999999996</v>
      </c>
      <c r="U12" s="104">
        <v>3.4</v>
      </c>
      <c r="V12" s="105">
        <v>2.931</v>
      </c>
      <c r="W12" s="105">
        <f t="shared" si="0"/>
        <v>1.4732393097610319</v>
      </c>
    </row>
    <row r="13" spans="1:24" x14ac:dyDescent="0.35">
      <c r="A13" s="95" t="s">
        <v>589</v>
      </c>
      <c r="B13" s="95" t="s">
        <v>592</v>
      </c>
      <c r="C13" s="103">
        <v>-0.62057485054567429</v>
      </c>
      <c r="D13" s="104">
        <v>-0.7759815069387388</v>
      </c>
      <c r="E13" s="105">
        <v>0.38358743648301274</v>
      </c>
      <c r="G13" s="117" t="s">
        <v>587</v>
      </c>
      <c r="H13" s="115">
        <v>43.142397643089645</v>
      </c>
      <c r="I13" s="107">
        <v>147</v>
      </c>
      <c r="J13" s="108">
        <v>42</v>
      </c>
      <c r="K13" s="95"/>
      <c r="L13" s="103">
        <v>8.5421473366219605</v>
      </c>
      <c r="M13" s="104">
        <v>4.9545904703972692</v>
      </c>
      <c r="N13" s="104">
        <v>4.8226255512268246</v>
      </c>
      <c r="O13" s="104">
        <v>0.94399999999999995</v>
      </c>
      <c r="P13" s="104">
        <v>-2.58</v>
      </c>
      <c r="Q13" s="104">
        <v>-0.15</v>
      </c>
      <c r="R13" s="104">
        <v>-1.3160000000000001</v>
      </c>
      <c r="S13" s="104">
        <v>-0.70199999999999996</v>
      </c>
      <c r="T13" s="104">
        <v>-5.6379999999999999</v>
      </c>
      <c r="U13" s="104">
        <v>1.0920000000000001</v>
      </c>
      <c r="V13" s="105">
        <v>2.8410000000000002</v>
      </c>
      <c r="W13" s="105">
        <f t="shared" si="0"/>
        <v>-0.19619703522786303</v>
      </c>
    </row>
    <row r="14" spans="1:24" x14ac:dyDescent="0.35">
      <c r="A14" s="95" t="s">
        <v>593</v>
      </c>
      <c r="B14" s="95" t="s">
        <v>594</v>
      </c>
      <c r="C14" s="103">
        <v>1.5213184649000233</v>
      </c>
      <c r="D14" s="104">
        <v>2.4231703477095579E-4</v>
      </c>
      <c r="E14" s="105">
        <v>0.30638889849419204</v>
      </c>
      <c r="G14" s="117" t="s">
        <v>429</v>
      </c>
      <c r="H14" s="115">
        <v>63.902477118742887</v>
      </c>
      <c r="I14" s="107">
        <v>116</v>
      </c>
      <c r="J14" s="108">
        <v>16</v>
      </c>
      <c r="K14" s="95"/>
      <c r="L14" s="103">
        <v>-1.0264204544320839</v>
      </c>
      <c r="M14" s="104">
        <v>2.4053237807943506</v>
      </c>
      <c r="N14" s="104">
        <v>-2.5126153208139428</v>
      </c>
      <c r="O14" s="104">
        <v>2.7309999999999999</v>
      </c>
      <c r="P14" s="104">
        <v>-2.08</v>
      </c>
      <c r="Q14" s="104">
        <v>2.819</v>
      </c>
      <c r="R14" s="104">
        <v>-2.617</v>
      </c>
      <c r="S14" s="104">
        <v>-2.0009999999999999</v>
      </c>
      <c r="T14" s="104">
        <v>-9.9429999999999996</v>
      </c>
      <c r="U14" s="104">
        <v>10.398</v>
      </c>
      <c r="V14" s="105">
        <v>5.2430000000000003</v>
      </c>
      <c r="W14" s="105">
        <f t="shared" si="0"/>
        <v>0.1533156077644815</v>
      </c>
    </row>
    <row r="15" spans="1:24" x14ac:dyDescent="0.35">
      <c r="A15" s="95" t="s">
        <v>231</v>
      </c>
      <c r="B15" s="95" t="s">
        <v>595</v>
      </c>
      <c r="C15" s="103">
        <v>3.3694630969417716</v>
      </c>
      <c r="D15" s="104">
        <v>4.5685193344935815</v>
      </c>
      <c r="E15" s="105">
        <v>4.0499977792169295</v>
      </c>
      <c r="G15" s="117" t="s">
        <v>591</v>
      </c>
      <c r="H15" s="115">
        <v>81.866330149150926</v>
      </c>
      <c r="I15" s="107">
        <v>42</v>
      </c>
      <c r="J15" s="108">
        <v>28</v>
      </c>
      <c r="K15" s="95"/>
      <c r="L15" s="103">
        <v>7.200000000964871</v>
      </c>
      <c r="M15" s="104">
        <v>3.2999999999999674</v>
      </c>
      <c r="N15" s="104">
        <v>3.6000000005899464</v>
      </c>
      <c r="O15" s="104">
        <v>3.254</v>
      </c>
      <c r="P15" s="104">
        <v>0.19500000000000001</v>
      </c>
      <c r="Q15" s="104">
        <v>7.5179999999999998</v>
      </c>
      <c r="R15" s="104">
        <v>5.2249999999999996</v>
      </c>
      <c r="S15" s="104">
        <v>7.6310000000000002</v>
      </c>
      <c r="T15" s="104">
        <v>-7.1509999999999998</v>
      </c>
      <c r="U15" s="104">
        <v>5.6840000000000002</v>
      </c>
      <c r="V15" s="105">
        <v>12.603999999999999</v>
      </c>
      <c r="W15" s="105">
        <f t="shared" si="0"/>
        <v>4.3092585568552551</v>
      </c>
    </row>
    <row r="16" spans="1:24" x14ac:dyDescent="0.35">
      <c r="A16" s="95" t="s">
        <v>585</v>
      </c>
      <c r="B16" s="95" t="s">
        <v>596</v>
      </c>
      <c r="C16" s="103">
        <v>1.9372779726990919</v>
      </c>
      <c r="D16" s="104">
        <v>1.9542949107595797</v>
      </c>
      <c r="E16" s="105">
        <v>2.221593328352145</v>
      </c>
      <c r="G16" s="117" t="s">
        <v>422</v>
      </c>
      <c r="H16" s="115">
        <v>96.36744549025839</v>
      </c>
      <c r="I16" s="107">
        <v>11</v>
      </c>
      <c r="J16" s="108">
        <v>3</v>
      </c>
      <c r="K16" s="95"/>
      <c r="L16" s="103">
        <v>3.9181617722068416</v>
      </c>
      <c r="M16" s="104">
        <v>2.5848751108311681</v>
      </c>
      <c r="N16" s="104">
        <v>2.5331154467594699</v>
      </c>
      <c r="O16" s="104">
        <v>2.2829999999999999</v>
      </c>
      <c r="P16" s="104">
        <v>2.6909999999999998</v>
      </c>
      <c r="Q16" s="104">
        <v>2.383</v>
      </c>
      <c r="R16" s="104">
        <v>2.8149999999999999</v>
      </c>
      <c r="S16" s="104">
        <v>1.9430000000000001</v>
      </c>
      <c r="T16" s="104">
        <v>-1.8140000000000001</v>
      </c>
      <c r="U16" s="104">
        <v>5.1959999999999997</v>
      </c>
      <c r="V16" s="105">
        <v>3.661</v>
      </c>
      <c r="W16" s="105">
        <f t="shared" si="0"/>
        <v>2.0879441195558623</v>
      </c>
    </row>
    <row r="17" spans="1:23" x14ac:dyDescent="0.35">
      <c r="A17" s="95" t="s">
        <v>231</v>
      </c>
      <c r="B17" s="95" t="s">
        <v>597</v>
      </c>
      <c r="C17" s="103">
        <v>0.89080434606740866</v>
      </c>
      <c r="D17" s="104">
        <v>1.1485693717847134</v>
      </c>
      <c r="E17" s="105">
        <v>1.1982825816158282</v>
      </c>
      <c r="G17" s="117" t="s">
        <v>422</v>
      </c>
      <c r="H17" s="115">
        <v>95.913594407477049</v>
      </c>
      <c r="I17" s="107">
        <v>15</v>
      </c>
      <c r="J17" s="108">
        <v>10</v>
      </c>
      <c r="K17" s="95"/>
      <c r="L17" s="103">
        <v>0.68044557681670037</v>
      </c>
      <c r="M17" s="104">
        <v>2.5504712197222973E-2</v>
      </c>
      <c r="N17" s="104">
        <v>0.66127284885259119</v>
      </c>
      <c r="O17" s="104">
        <v>1.0149999999999999</v>
      </c>
      <c r="P17" s="104">
        <v>1.9890000000000001</v>
      </c>
      <c r="Q17" s="104">
        <v>2.2589999999999999</v>
      </c>
      <c r="R17" s="104">
        <v>2.4249999999999998</v>
      </c>
      <c r="S17" s="104">
        <v>1.5169999999999999</v>
      </c>
      <c r="T17" s="104">
        <v>-6.4539999999999997</v>
      </c>
      <c r="U17" s="104">
        <v>4.5570000000000004</v>
      </c>
      <c r="V17" s="105">
        <v>4.9969999999999999</v>
      </c>
      <c r="W17" s="105">
        <f t="shared" si="0"/>
        <v>1.1734259767002708</v>
      </c>
    </row>
    <row r="18" spans="1:23" x14ac:dyDescent="0.35">
      <c r="A18" s="95" t="s">
        <v>585</v>
      </c>
      <c r="B18" s="95" t="s">
        <v>598</v>
      </c>
      <c r="C18" s="103">
        <v>1.8824891899037688</v>
      </c>
      <c r="D18" s="104">
        <v>1.9289874111129146</v>
      </c>
      <c r="E18" s="105">
        <v>1.6182050869221642</v>
      </c>
      <c r="G18" s="117" t="s">
        <v>429</v>
      </c>
      <c r="H18" s="115">
        <v>66.732349416312132</v>
      </c>
      <c r="I18" s="107">
        <v>106</v>
      </c>
      <c r="J18" s="108">
        <v>20</v>
      </c>
      <c r="K18" s="95"/>
      <c r="L18" s="103">
        <v>2.1652394301296014</v>
      </c>
      <c r="M18" s="104">
        <v>5.8098009451315624</v>
      </c>
      <c r="N18" s="104">
        <v>2.7505070296654104</v>
      </c>
      <c r="O18" s="104">
        <v>1.05</v>
      </c>
      <c r="P18" s="104">
        <v>-3.0640000000000001</v>
      </c>
      <c r="Q18" s="104">
        <v>0.154</v>
      </c>
      <c r="R18" s="104">
        <v>1.5</v>
      </c>
      <c r="S18" s="104">
        <v>2.48</v>
      </c>
      <c r="T18" s="104">
        <v>-4.1989999999999998</v>
      </c>
      <c r="U18" s="104">
        <v>5.6</v>
      </c>
      <c r="V18" s="105">
        <v>4.6459999999999999</v>
      </c>
      <c r="W18" s="105">
        <f t="shared" si="0"/>
        <v>1.7735962490175394</v>
      </c>
    </row>
    <row r="19" spans="1:23" x14ac:dyDescent="0.35">
      <c r="A19" s="95" t="s">
        <v>593</v>
      </c>
      <c r="B19" s="95" t="s">
        <v>599</v>
      </c>
      <c r="C19" s="103">
        <v>-1.3025041762945944</v>
      </c>
      <c r="D19" s="104">
        <v>-5.1450420089638182E-2</v>
      </c>
      <c r="E19" s="105">
        <v>0.16369977541730307</v>
      </c>
      <c r="G19" s="117" t="s">
        <v>591</v>
      </c>
      <c r="H19" s="115">
        <v>79.378460082017611</v>
      </c>
      <c r="I19" s="107">
        <v>54</v>
      </c>
      <c r="J19" s="108">
        <v>8</v>
      </c>
      <c r="K19" s="95"/>
      <c r="L19" s="103">
        <v>3.0868791768834938</v>
      </c>
      <c r="M19" s="104">
        <v>-3.5838746627962172</v>
      </c>
      <c r="N19" s="104">
        <v>2.2881473175630553</v>
      </c>
      <c r="O19" s="104">
        <v>0.997</v>
      </c>
      <c r="P19" s="104">
        <v>-0.85799999999999998</v>
      </c>
      <c r="Q19" s="104">
        <v>3.05</v>
      </c>
      <c r="R19" s="104">
        <v>1.831</v>
      </c>
      <c r="S19" s="104">
        <v>1.8959999999999999</v>
      </c>
      <c r="T19" s="104">
        <v>-23.823</v>
      </c>
      <c r="U19" s="104">
        <v>13.72</v>
      </c>
      <c r="V19" s="105">
        <v>10.983000000000001</v>
      </c>
      <c r="W19" s="105">
        <f t="shared" si="0"/>
        <v>5.6124677663832445E-2</v>
      </c>
    </row>
    <row r="20" spans="1:23" x14ac:dyDescent="0.35">
      <c r="A20" s="95" t="s">
        <v>600</v>
      </c>
      <c r="B20" s="95" t="s">
        <v>601</v>
      </c>
      <c r="C20" s="103">
        <v>0.41671802598486352</v>
      </c>
      <c r="D20" s="104">
        <v>1.1307360567982316</v>
      </c>
      <c r="E20" s="105">
        <v>2.5452347834856504</v>
      </c>
      <c r="G20" s="117" t="s">
        <v>591</v>
      </c>
      <c r="H20" s="115">
        <v>77.128033983685327</v>
      </c>
      <c r="I20" s="107">
        <v>60</v>
      </c>
      <c r="J20" s="108">
        <v>7</v>
      </c>
      <c r="K20" s="95"/>
      <c r="L20" s="103">
        <v>3.7281084304601642</v>
      </c>
      <c r="M20" s="104">
        <v>5.41683981012069</v>
      </c>
      <c r="N20" s="104">
        <v>4.3503908525296939</v>
      </c>
      <c r="O20" s="104">
        <v>2.4849999999999999</v>
      </c>
      <c r="P20" s="104">
        <v>3.5579999999999998</v>
      </c>
      <c r="Q20" s="104">
        <v>4.2919999999999998</v>
      </c>
      <c r="R20" s="104">
        <v>2.11</v>
      </c>
      <c r="S20" s="104">
        <v>2.1669999999999998</v>
      </c>
      <c r="T20" s="104">
        <v>-4.6449999999999996</v>
      </c>
      <c r="U20" s="104">
        <v>2.67</v>
      </c>
      <c r="V20" s="105">
        <v>4.194</v>
      </c>
      <c r="W20" s="105">
        <f t="shared" si="0"/>
        <v>1.837985420141941</v>
      </c>
    </row>
    <row r="21" spans="1:23" x14ac:dyDescent="0.35">
      <c r="A21" s="95" t="s">
        <v>585</v>
      </c>
      <c r="B21" s="95" t="s">
        <v>602</v>
      </c>
      <c r="C21" s="103">
        <v>8.4780836054535911</v>
      </c>
      <c r="D21" s="104">
        <v>9.4495577005361255</v>
      </c>
      <c r="E21" s="105">
        <v>9.0902336923363691</v>
      </c>
      <c r="G21" s="117" t="s">
        <v>429</v>
      </c>
      <c r="H21" s="115">
        <v>59.78425810407569</v>
      </c>
      <c r="I21" s="107">
        <v>125</v>
      </c>
      <c r="J21" s="108">
        <v>25</v>
      </c>
      <c r="K21" s="95"/>
      <c r="L21" s="103">
        <v>15.458182784890836</v>
      </c>
      <c r="M21" s="104">
        <v>8.997951209804727</v>
      </c>
      <c r="N21" s="104">
        <v>9.1371359215878698</v>
      </c>
      <c r="O21" s="104">
        <v>6.5529999999999999</v>
      </c>
      <c r="P21" s="104">
        <v>7.1139999999999999</v>
      </c>
      <c r="Q21" s="104">
        <v>6.59</v>
      </c>
      <c r="R21" s="104">
        <v>7.319</v>
      </c>
      <c r="S21" s="104">
        <v>7.8819999999999997</v>
      </c>
      <c r="T21" s="104">
        <v>3.448</v>
      </c>
      <c r="U21" s="104">
        <v>6.9390000000000001</v>
      </c>
      <c r="V21" s="105">
        <v>7.1</v>
      </c>
      <c r="W21" s="105">
        <f t="shared" si="0"/>
        <v>9.2698956964362473</v>
      </c>
    </row>
    <row r="22" spans="1:23" x14ac:dyDescent="0.35">
      <c r="A22" s="95" t="s">
        <v>231</v>
      </c>
      <c r="B22" s="95" t="s">
        <v>603</v>
      </c>
      <c r="C22" s="103">
        <v>-1.0891270418666776</v>
      </c>
      <c r="D22" s="104">
        <v>0.24141365794498881</v>
      </c>
      <c r="E22" s="105">
        <v>-4.7343951578571186E-3</v>
      </c>
      <c r="G22" s="117" t="s">
        <v>591</v>
      </c>
      <c r="H22" s="115">
        <v>78.939379492547943</v>
      </c>
      <c r="I22" s="107">
        <v>55</v>
      </c>
      <c r="J22" s="108">
        <v>34</v>
      </c>
      <c r="K22" s="95"/>
      <c r="L22" s="103">
        <v>1.6871355364283958</v>
      </c>
      <c r="M22" s="104">
        <v>1.0034708408564619</v>
      </c>
      <c r="N22" s="104">
        <v>1.7263848541700804</v>
      </c>
      <c r="O22" s="104">
        <v>-3.83</v>
      </c>
      <c r="P22" s="104">
        <v>-2.536</v>
      </c>
      <c r="Q22" s="104">
        <v>2.5409999999999999</v>
      </c>
      <c r="R22" s="104">
        <v>3.1379999999999999</v>
      </c>
      <c r="S22" s="104">
        <v>1.446</v>
      </c>
      <c r="T22" s="104">
        <v>-0.67300000000000004</v>
      </c>
      <c r="U22" s="104">
        <v>2.2730000000000001</v>
      </c>
      <c r="V22" s="105">
        <v>-4.7409999999999997</v>
      </c>
      <c r="W22" s="105">
        <f t="shared" si="0"/>
        <v>0.11833963139356585</v>
      </c>
    </row>
    <row r="23" spans="1:23" x14ac:dyDescent="0.35">
      <c r="A23" s="95" t="s">
        <v>231</v>
      </c>
      <c r="B23" s="95" t="s">
        <v>604</v>
      </c>
      <c r="C23" s="103">
        <v>1.1690569098094628</v>
      </c>
      <c r="D23" s="104">
        <v>1.3937649310878042</v>
      </c>
      <c r="E23" s="105">
        <v>1.4413818728578276</v>
      </c>
      <c r="G23" s="117" t="s">
        <v>422</v>
      </c>
      <c r="H23" s="115">
        <v>93.483251457156101</v>
      </c>
      <c r="I23" s="107">
        <v>21</v>
      </c>
      <c r="J23" s="108">
        <v>14</v>
      </c>
      <c r="K23" s="95"/>
      <c r="L23" s="103">
        <v>0.73922990508162567</v>
      </c>
      <c r="M23" s="104">
        <v>0.45922805011605522</v>
      </c>
      <c r="N23" s="104">
        <v>1.578523229524472</v>
      </c>
      <c r="O23" s="104">
        <v>2.0409999999999999</v>
      </c>
      <c r="P23" s="104">
        <v>1.2669999999999999</v>
      </c>
      <c r="Q23" s="104">
        <v>1.62</v>
      </c>
      <c r="R23" s="104">
        <v>1.7929999999999999</v>
      </c>
      <c r="S23" s="104">
        <v>2.2410000000000001</v>
      </c>
      <c r="T23" s="104">
        <v>-5.3620000000000001</v>
      </c>
      <c r="U23" s="104">
        <v>6.1340000000000003</v>
      </c>
      <c r="V23" s="105">
        <v>3.0910000000000002</v>
      </c>
      <c r="W23" s="105">
        <f t="shared" si="0"/>
        <v>1.4175734019728159</v>
      </c>
    </row>
    <row r="24" spans="1:23" x14ac:dyDescent="0.35">
      <c r="A24" s="95" t="s">
        <v>589</v>
      </c>
      <c r="B24" s="95" t="s">
        <v>605</v>
      </c>
      <c r="C24" s="103">
        <v>5.666147255627263</v>
      </c>
      <c r="D24" s="104">
        <v>6.110859714036887</v>
      </c>
      <c r="E24" s="105">
        <v>5.477732246862832</v>
      </c>
      <c r="G24" s="117" t="s">
        <v>405</v>
      </c>
      <c r="H24" s="115">
        <v>73.01184037118577</v>
      </c>
      <c r="I24" s="107">
        <v>75</v>
      </c>
      <c r="J24" s="108">
        <v>7</v>
      </c>
      <c r="K24" s="95"/>
      <c r="L24" s="103">
        <v>4.811223315687994</v>
      </c>
      <c r="M24" s="104">
        <v>7.1914337214494379</v>
      </c>
      <c r="N24" s="104">
        <v>6.3576790979193039</v>
      </c>
      <c r="O24" s="104">
        <v>1.778</v>
      </c>
      <c r="P24" s="104">
        <v>3.34</v>
      </c>
      <c r="Q24" s="104">
        <v>5.6719999999999997</v>
      </c>
      <c r="R24" s="104">
        <v>6.6970000000000001</v>
      </c>
      <c r="S24" s="104">
        <v>6.8659999999999997</v>
      </c>
      <c r="T24" s="104">
        <v>3.8490000000000002</v>
      </c>
      <c r="U24" s="104">
        <v>7.1550000000000002</v>
      </c>
      <c r="V24" s="105">
        <v>6.0209999999999999</v>
      </c>
      <c r="W24" s="105">
        <f t="shared" si="0"/>
        <v>5.7942959804498599</v>
      </c>
    </row>
    <row r="25" spans="1:23" x14ac:dyDescent="0.35">
      <c r="A25" s="95" t="s">
        <v>585</v>
      </c>
      <c r="B25" s="95" t="s">
        <v>606</v>
      </c>
      <c r="C25" s="103">
        <v>-0.76587225840651918</v>
      </c>
      <c r="D25" s="104">
        <v>1.2676841708430198</v>
      </c>
      <c r="E25" s="105">
        <v>3.3347663550896245</v>
      </c>
      <c r="G25" s="117" t="s">
        <v>587</v>
      </c>
      <c r="H25" s="115">
        <v>55.154482190816807</v>
      </c>
      <c r="I25" s="107">
        <v>132</v>
      </c>
      <c r="J25" s="108">
        <v>28</v>
      </c>
      <c r="K25" s="95"/>
      <c r="L25" s="103">
        <v>5.1184008580053391</v>
      </c>
      <c r="M25" s="104">
        <v>2.1199726329821678</v>
      </c>
      <c r="N25" s="104">
        <v>5.7764956801372422</v>
      </c>
      <c r="O25" s="104">
        <v>6.2210000000000001</v>
      </c>
      <c r="P25" s="104">
        <v>7.4080000000000004</v>
      </c>
      <c r="Q25" s="104">
        <v>6.3220000000000001</v>
      </c>
      <c r="R25" s="104">
        <v>3.835</v>
      </c>
      <c r="S25" s="104">
        <v>4.4249999999999998</v>
      </c>
      <c r="T25" s="104">
        <v>-2.3479999999999999</v>
      </c>
      <c r="U25" s="104">
        <v>-3.3319999999999999</v>
      </c>
      <c r="V25" s="105">
        <v>4.3250000000000002</v>
      </c>
      <c r="W25" s="105">
        <f t="shared" si="0"/>
        <v>2.3012252629663221</v>
      </c>
    </row>
    <row r="26" spans="1:23" x14ac:dyDescent="0.35">
      <c r="A26" s="95" t="s">
        <v>593</v>
      </c>
      <c r="B26" s="95" t="s">
        <v>607</v>
      </c>
      <c r="C26" s="103">
        <v>-2.2304131763273283E-2</v>
      </c>
      <c r="D26" s="104">
        <v>1.2603639469641159</v>
      </c>
      <c r="E26" s="105">
        <v>3.1673454908146104</v>
      </c>
      <c r="G26" s="117" t="s">
        <v>587</v>
      </c>
      <c r="H26" s="115">
        <v>31.085526545532133</v>
      </c>
      <c r="I26" s="107">
        <v>155</v>
      </c>
      <c r="J26" s="108">
        <v>25</v>
      </c>
      <c r="K26" s="95"/>
      <c r="L26" s="103">
        <v>5.122274660983769</v>
      </c>
      <c r="M26" s="104">
        <v>6.7960117055974338</v>
      </c>
      <c r="N26" s="104">
        <v>5.4605671536850453</v>
      </c>
      <c r="O26" s="104">
        <v>4.8570000000000002</v>
      </c>
      <c r="P26" s="104">
        <v>4.2640000000000002</v>
      </c>
      <c r="Q26" s="104">
        <v>4.1950000000000003</v>
      </c>
      <c r="R26" s="104">
        <v>4.2240000000000002</v>
      </c>
      <c r="S26" s="104">
        <v>2.2170000000000001</v>
      </c>
      <c r="T26" s="104">
        <v>-8.7379999999999995</v>
      </c>
      <c r="U26" s="104">
        <v>6.1059999999999999</v>
      </c>
      <c r="V26" s="105">
        <v>3.2</v>
      </c>
      <c r="W26" s="105">
        <f t="shared" si="0"/>
        <v>2.2138547188893631</v>
      </c>
    </row>
    <row r="27" spans="1:23" x14ac:dyDescent="0.35">
      <c r="A27" s="95" t="s">
        <v>231</v>
      </c>
      <c r="B27" s="95" t="s">
        <v>608</v>
      </c>
      <c r="C27" s="103">
        <v>2.6460933550704002</v>
      </c>
      <c r="D27" s="104">
        <v>2.9046927076515017</v>
      </c>
      <c r="E27" s="105">
        <v>2.7421493700034771</v>
      </c>
      <c r="G27" s="117" t="s">
        <v>429</v>
      </c>
      <c r="H27" s="115">
        <v>66.414016463166035</v>
      </c>
      <c r="I27" s="107">
        <v>108</v>
      </c>
      <c r="J27" s="108">
        <v>41</v>
      </c>
      <c r="K27" s="95"/>
      <c r="L27" s="103">
        <v>-0.82183647421687545</v>
      </c>
      <c r="M27" s="104">
        <v>2.3498566632458062</v>
      </c>
      <c r="N27" s="104">
        <v>1.1538510920040257</v>
      </c>
      <c r="O27" s="104">
        <v>4.3140000000000001</v>
      </c>
      <c r="P27" s="104">
        <v>3.242</v>
      </c>
      <c r="Q27" s="104">
        <v>3.2440000000000002</v>
      </c>
      <c r="R27" s="104">
        <v>3.8290000000000002</v>
      </c>
      <c r="S27" s="104">
        <v>2.8860000000000001</v>
      </c>
      <c r="T27" s="104">
        <v>-3.0150000000000001</v>
      </c>
      <c r="U27" s="104">
        <v>7.3920000000000003</v>
      </c>
      <c r="V27" s="105">
        <v>3.8</v>
      </c>
      <c r="W27" s="105">
        <f t="shared" si="0"/>
        <v>2.8234210388274894</v>
      </c>
    </row>
    <row r="28" spans="1:23" x14ac:dyDescent="0.35">
      <c r="A28" s="95" t="s">
        <v>589</v>
      </c>
      <c r="B28" s="95" t="s">
        <v>609</v>
      </c>
      <c r="C28" s="103">
        <v>2.6588943634134665</v>
      </c>
      <c r="D28" s="104">
        <v>1.4503583241093798</v>
      </c>
      <c r="E28" s="105">
        <v>2.7752039527026096</v>
      </c>
      <c r="G28" s="117" t="s">
        <v>405</v>
      </c>
      <c r="H28" s="115">
        <v>74.531513757725932</v>
      </c>
      <c r="I28" s="107">
        <v>70</v>
      </c>
      <c r="J28" s="108">
        <v>6</v>
      </c>
      <c r="K28" s="95"/>
      <c r="L28" s="103">
        <v>4.4561672130978769</v>
      </c>
      <c r="M28" s="104">
        <v>11.343424252775241</v>
      </c>
      <c r="N28" s="104">
        <v>4.149289893135184</v>
      </c>
      <c r="O28" s="104">
        <v>-4.851</v>
      </c>
      <c r="P28" s="104">
        <v>7.202</v>
      </c>
      <c r="Q28" s="104">
        <v>4.1130000000000004</v>
      </c>
      <c r="R28" s="104">
        <v>4.1900000000000004</v>
      </c>
      <c r="S28" s="104">
        <v>3.0329999999999999</v>
      </c>
      <c r="T28" s="104">
        <v>-8.7260000000000009</v>
      </c>
      <c r="U28" s="104">
        <v>11.84</v>
      </c>
      <c r="V28" s="105">
        <v>6.4329999999999998</v>
      </c>
      <c r="W28" s="105">
        <f t="shared" si="0"/>
        <v>2.1127811384059947</v>
      </c>
    </row>
    <row r="29" spans="1:23" x14ac:dyDescent="0.35">
      <c r="A29" s="95" t="s">
        <v>593</v>
      </c>
      <c r="B29" s="95" t="s">
        <v>610</v>
      </c>
      <c r="C29" s="103">
        <v>1.146428167182445</v>
      </c>
      <c r="D29" s="104">
        <v>1.295085878975577</v>
      </c>
      <c r="E29" s="105">
        <v>0.42795301380476047</v>
      </c>
      <c r="G29" s="117" t="s">
        <v>591</v>
      </c>
      <c r="H29" s="115">
        <v>79.569249143394813</v>
      </c>
      <c r="I29" s="107">
        <v>51</v>
      </c>
      <c r="J29" s="108">
        <v>7</v>
      </c>
      <c r="K29" s="95"/>
      <c r="L29" s="103">
        <v>1.9211503183629988</v>
      </c>
      <c r="M29" s="104">
        <v>3.0048463050570873</v>
      </c>
      <c r="N29" s="104">
        <v>0.50395574024224987</v>
      </c>
      <c r="O29" s="104">
        <v>-3.5459999999999998</v>
      </c>
      <c r="P29" s="104">
        <v>-3.2759999999999998</v>
      </c>
      <c r="Q29" s="104">
        <v>1.323</v>
      </c>
      <c r="R29" s="104">
        <v>1.784</v>
      </c>
      <c r="S29" s="104">
        <v>1.2210000000000001</v>
      </c>
      <c r="T29" s="104">
        <v>-3.2770000000000001</v>
      </c>
      <c r="U29" s="104">
        <v>4.9889999999999999</v>
      </c>
      <c r="V29" s="105">
        <v>2.9009999999999998</v>
      </c>
      <c r="W29" s="105">
        <f t="shared" si="0"/>
        <v>0.86151944639016875</v>
      </c>
    </row>
    <row r="30" spans="1:23" x14ac:dyDescent="0.35">
      <c r="A30" s="95" t="s">
        <v>585</v>
      </c>
      <c r="B30" s="95" t="s">
        <v>611</v>
      </c>
      <c r="C30" s="103">
        <v>-0.66374440025495085</v>
      </c>
      <c r="D30" s="104">
        <v>0.37078358077795581</v>
      </c>
      <c r="E30" s="105">
        <v>-0.44114896551331606</v>
      </c>
      <c r="G30" s="117" t="s">
        <v>587</v>
      </c>
      <c r="H30" s="115">
        <v>47.581995606084838</v>
      </c>
      <c r="I30" s="107">
        <v>142</v>
      </c>
      <c r="J30" s="108">
        <v>30</v>
      </c>
      <c r="K30" s="95"/>
      <c r="L30" s="103">
        <v>0.91284167096442625</v>
      </c>
      <c r="M30" s="104">
        <v>-2.1260285174017546</v>
      </c>
      <c r="N30" s="104">
        <v>-2.5083525664456063</v>
      </c>
      <c r="O30" s="104">
        <v>-0.40500000000000003</v>
      </c>
      <c r="P30" s="104">
        <v>-2.4649999999999999</v>
      </c>
      <c r="Q30" s="104">
        <v>1.329</v>
      </c>
      <c r="R30" s="104">
        <v>5.1999999999999998E-2</v>
      </c>
      <c r="S30" s="104">
        <v>3.8690000000000002</v>
      </c>
      <c r="T30" s="104">
        <v>1.1339999999999999</v>
      </c>
      <c r="U30" s="104">
        <v>-1.591</v>
      </c>
      <c r="V30" s="105">
        <v>-1.51</v>
      </c>
      <c r="W30" s="105">
        <f t="shared" si="0"/>
        <v>-3.5182692367680124E-2</v>
      </c>
    </row>
    <row r="31" spans="1:23" x14ac:dyDescent="0.35">
      <c r="A31" s="95" t="s">
        <v>231</v>
      </c>
      <c r="B31" s="95" t="s">
        <v>612</v>
      </c>
      <c r="C31" s="103">
        <v>2.2325090532704595</v>
      </c>
      <c r="D31" s="104">
        <v>2.7879873369299979</v>
      </c>
      <c r="E31" s="105">
        <v>2.7412414949005814</v>
      </c>
      <c r="G31" s="117" t="s">
        <v>591</v>
      </c>
      <c r="H31" s="115">
        <v>82.826908120877093</v>
      </c>
      <c r="I31" s="107">
        <v>40</v>
      </c>
      <c r="J31" s="108">
        <v>26</v>
      </c>
      <c r="K31" s="95"/>
      <c r="L31" s="103">
        <v>0.36058318828756941</v>
      </c>
      <c r="M31" s="104">
        <v>0.31873576132258219</v>
      </c>
      <c r="N31" s="104">
        <v>1.8945471424192788</v>
      </c>
      <c r="O31" s="104">
        <v>3.4279999999999999</v>
      </c>
      <c r="P31" s="104">
        <v>3.04</v>
      </c>
      <c r="Q31" s="104">
        <v>2.762</v>
      </c>
      <c r="R31" s="104">
        <v>2.6850000000000001</v>
      </c>
      <c r="S31" s="104">
        <v>4.0380000000000003</v>
      </c>
      <c r="T31" s="104">
        <v>-3.9590000000000001</v>
      </c>
      <c r="U31" s="104">
        <v>7.6349999999999998</v>
      </c>
      <c r="V31" s="105">
        <v>3.3610000000000002</v>
      </c>
      <c r="W31" s="105">
        <f t="shared" si="0"/>
        <v>2.7646144159152897</v>
      </c>
    </row>
    <row r="32" spans="1:23" x14ac:dyDescent="0.35">
      <c r="A32" s="95" t="s">
        <v>589</v>
      </c>
      <c r="B32" s="95" t="s">
        <v>613</v>
      </c>
      <c r="C32" s="103">
        <v>3.7461786866062718</v>
      </c>
      <c r="D32" s="104">
        <v>4.6060819779328632</v>
      </c>
      <c r="E32" s="105">
        <v>4.9153359042722222</v>
      </c>
      <c r="G32" s="117" t="s">
        <v>405</v>
      </c>
      <c r="H32" s="115">
        <v>71.439342263551737</v>
      </c>
      <c r="I32" s="107">
        <v>81</v>
      </c>
      <c r="J32" s="108">
        <v>11</v>
      </c>
      <c r="K32" s="95"/>
      <c r="L32" s="103">
        <v>6.4526723809054332</v>
      </c>
      <c r="M32" s="104">
        <v>5.7926055919056534</v>
      </c>
      <c r="N32" s="104">
        <v>4.3268456132150384</v>
      </c>
      <c r="O32" s="104">
        <v>3.9209999999999998</v>
      </c>
      <c r="P32" s="104">
        <v>5.9580000000000002</v>
      </c>
      <c r="Q32" s="104">
        <v>6.2030000000000003</v>
      </c>
      <c r="R32" s="104">
        <v>6.6029999999999998</v>
      </c>
      <c r="S32" s="104">
        <v>5.6890000000000001</v>
      </c>
      <c r="T32" s="104">
        <v>1.931</v>
      </c>
      <c r="U32" s="104">
        <v>6.9050000000000002</v>
      </c>
      <c r="V32" s="105">
        <v>2.4729999999999999</v>
      </c>
      <c r="W32" s="105">
        <f t="shared" si="0"/>
        <v>4.7607089411025427</v>
      </c>
    </row>
    <row r="33" spans="1:23" x14ac:dyDescent="0.35">
      <c r="A33" s="95" t="s">
        <v>589</v>
      </c>
      <c r="B33" s="95" t="s">
        <v>614</v>
      </c>
      <c r="C33" s="103">
        <v>1.3140617594302739</v>
      </c>
      <c r="D33" s="104">
        <v>1.4727306023839093</v>
      </c>
      <c r="E33" s="105">
        <v>1.2263384025287261</v>
      </c>
      <c r="G33" s="117" t="s">
        <v>587</v>
      </c>
      <c r="H33" s="115">
        <v>45.872398734881529</v>
      </c>
      <c r="I33" s="107">
        <v>144</v>
      </c>
      <c r="J33" s="108">
        <v>40</v>
      </c>
      <c r="K33" s="95"/>
      <c r="L33" s="103">
        <v>4.4467082221454284</v>
      </c>
      <c r="M33" s="104">
        <v>4.9241952612883146</v>
      </c>
      <c r="N33" s="104">
        <v>4.2406516436807848</v>
      </c>
      <c r="O33" s="104">
        <v>-3.9</v>
      </c>
      <c r="P33" s="104">
        <v>-0.6</v>
      </c>
      <c r="Q33" s="104">
        <v>0.5</v>
      </c>
      <c r="R33" s="104">
        <v>1.61</v>
      </c>
      <c r="S33" s="104">
        <v>1.8420000000000001</v>
      </c>
      <c r="T33" s="104">
        <v>0.33500000000000002</v>
      </c>
      <c r="U33" s="104">
        <v>3.1190000000000002</v>
      </c>
      <c r="V33" s="105">
        <v>1.827</v>
      </c>
      <c r="W33" s="105">
        <f t="shared" si="0"/>
        <v>1.3495345024563177</v>
      </c>
    </row>
    <row r="34" spans="1:23" x14ac:dyDescent="0.35">
      <c r="A34" s="95" t="s">
        <v>589</v>
      </c>
      <c r="B34" s="95" t="s">
        <v>615</v>
      </c>
      <c r="C34" s="103">
        <v>0.23646198785876038</v>
      </c>
      <c r="D34" s="104">
        <v>2.1534613712418604</v>
      </c>
      <c r="E34" s="105">
        <v>2.1525774639498785</v>
      </c>
      <c r="G34" s="117" t="s">
        <v>405</v>
      </c>
      <c r="H34" s="115">
        <v>72.784877013329833</v>
      </c>
      <c r="I34" s="107">
        <v>78</v>
      </c>
      <c r="J34" s="108">
        <v>9</v>
      </c>
      <c r="K34" s="95"/>
      <c r="L34" s="103">
        <v>1.0819182787712764</v>
      </c>
      <c r="M34" s="104">
        <v>0.80279760057422567</v>
      </c>
      <c r="N34" s="104">
        <v>0.61121266620786829</v>
      </c>
      <c r="O34" s="104">
        <v>1.0069999999999999</v>
      </c>
      <c r="P34" s="104">
        <v>4.7060000000000004</v>
      </c>
      <c r="Q34" s="104">
        <v>3.702</v>
      </c>
      <c r="R34" s="104">
        <v>14.566000000000001</v>
      </c>
      <c r="S34" s="104">
        <v>5.6680000000000001</v>
      </c>
      <c r="T34" s="104">
        <v>-14.782999999999999</v>
      </c>
      <c r="U34" s="104">
        <v>7</v>
      </c>
      <c r="V34" s="105">
        <v>10.5</v>
      </c>
      <c r="W34" s="105">
        <f t="shared" si="0"/>
        <v>2.1530194175958695</v>
      </c>
    </row>
    <row r="35" spans="1:23" x14ac:dyDescent="0.35">
      <c r="A35" s="95" t="s">
        <v>585</v>
      </c>
      <c r="B35" s="95" t="s">
        <v>616</v>
      </c>
      <c r="C35" s="103">
        <v>1.5881444792890331</v>
      </c>
      <c r="D35" s="104">
        <v>3.8205347927408928</v>
      </c>
      <c r="E35" s="105">
        <v>5.437149341759695</v>
      </c>
      <c r="G35" s="117" t="s">
        <v>587</v>
      </c>
      <c r="H35" s="115">
        <v>41.696651110677628</v>
      </c>
      <c r="I35" s="107">
        <v>149</v>
      </c>
      <c r="J35" s="108">
        <v>31</v>
      </c>
      <c r="K35" s="95"/>
      <c r="L35" s="103">
        <v>7.3133455053000533</v>
      </c>
      <c r="M35" s="104">
        <v>7.3566651488797472</v>
      </c>
      <c r="N35" s="104">
        <v>7.1425711007429467</v>
      </c>
      <c r="O35" s="104">
        <v>7.0359999999999996</v>
      </c>
      <c r="P35" s="104">
        <v>6.8630000000000004</v>
      </c>
      <c r="Q35" s="104">
        <v>6.9969999999999999</v>
      </c>
      <c r="R35" s="104">
        <v>7.4690000000000003</v>
      </c>
      <c r="S35" s="104">
        <v>7.0540000000000003</v>
      </c>
      <c r="T35" s="104">
        <v>-3.0960000000000001</v>
      </c>
      <c r="U35" s="104">
        <v>3.0259999999999998</v>
      </c>
      <c r="V35" s="105">
        <v>5.0119999999999996</v>
      </c>
      <c r="W35" s="105">
        <f t="shared" si="0"/>
        <v>4.6288420672502939</v>
      </c>
    </row>
    <row r="36" spans="1:23" x14ac:dyDescent="0.35">
      <c r="A36" s="95" t="s">
        <v>589</v>
      </c>
      <c r="B36" s="95" t="s">
        <v>617</v>
      </c>
      <c r="C36" s="103">
        <v>2.4193069652844734</v>
      </c>
      <c r="D36" s="104">
        <v>3.5683606479580687</v>
      </c>
      <c r="E36" s="105">
        <v>4.2936580650607903</v>
      </c>
      <c r="G36" s="117" t="s">
        <v>429</v>
      </c>
      <c r="H36" s="115">
        <v>66.487838229569903</v>
      </c>
      <c r="I36" s="107">
        <v>107</v>
      </c>
      <c r="J36" s="108">
        <v>24</v>
      </c>
      <c r="K36" s="95"/>
      <c r="L36" s="103">
        <v>4.5432650156673571</v>
      </c>
      <c r="M36" s="104">
        <v>5.4042657097173343</v>
      </c>
      <c r="N36" s="104">
        <v>5.8840593266804415</v>
      </c>
      <c r="O36" s="104">
        <v>5.6</v>
      </c>
      <c r="P36" s="104">
        <v>4.4790000000000001</v>
      </c>
      <c r="Q36" s="104">
        <v>3.5409999999999999</v>
      </c>
      <c r="R36" s="104">
        <v>4.0220000000000002</v>
      </c>
      <c r="S36" s="104">
        <v>3.4220000000000002</v>
      </c>
      <c r="T36" s="104">
        <v>0.53900000000000003</v>
      </c>
      <c r="U36" s="104">
        <v>3.649</v>
      </c>
      <c r="V36" s="105">
        <v>3.383</v>
      </c>
      <c r="W36" s="105">
        <f t="shared" si="0"/>
        <v>3.9310093565094295</v>
      </c>
    </row>
    <row r="37" spans="1:23" x14ac:dyDescent="0.35">
      <c r="A37" s="95" t="s">
        <v>593</v>
      </c>
      <c r="B37" s="95" t="s">
        <v>618</v>
      </c>
      <c r="C37" s="103">
        <v>0.80505563787092171</v>
      </c>
      <c r="D37" s="104">
        <v>1.279888102037452</v>
      </c>
      <c r="E37" s="105">
        <v>1.6398804050051563</v>
      </c>
      <c r="G37" s="117" t="s">
        <v>422</v>
      </c>
      <c r="H37" s="115">
        <v>95.837528170961207</v>
      </c>
      <c r="I37" s="107">
        <v>17</v>
      </c>
      <c r="J37" s="108">
        <v>2</v>
      </c>
      <c r="K37" s="95"/>
      <c r="L37" s="103">
        <v>1.762222549554276</v>
      </c>
      <c r="M37" s="104">
        <v>2.3291225223044822</v>
      </c>
      <c r="N37" s="104">
        <v>2.8700360387422155</v>
      </c>
      <c r="O37" s="104">
        <v>0.65900000000000003</v>
      </c>
      <c r="P37" s="104">
        <v>1.0009999999999999</v>
      </c>
      <c r="Q37" s="104">
        <v>3.04</v>
      </c>
      <c r="R37" s="104">
        <v>2.7770000000000001</v>
      </c>
      <c r="S37" s="104">
        <v>1.8879999999999999</v>
      </c>
      <c r="T37" s="104">
        <v>-5.0739999999999998</v>
      </c>
      <c r="U37" s="104">
        <v>5.0119999999999996</v>
      </c>
      <c r="V37" s="105">
        <v>3.3959999999999999</v>
      </c>
      <c r="W37" s="105">
        <f t="shared" si="0"/>
        <v>1.4598842535213041</v>
      </c>
    </row>
    <row r="38" spans="1:23" x14ac:dyDescent="0.35">
      <c r="A38" s="95" t="s">
        <v>589</v>
      </c>
      <c r="B38" s="95" t="s">
        <v>619</v>
      </c>
      <c r="C38" s="103">
        <v>0.72569907638180275</v>
      </c>
      <c r="D38" s="104">
        <v>1.8043988935163791</v>
      </c>
      <c r="E38" s="105">
        <v>-2.2645674209426092</v>
      </c>
      <c r="G38" s="117" t="s">
        <v>587</v>
      </c>
      <c r="H38" s="115">
        <v>41.466247411534134</v>
      </c>
      <c r="I38" s="107">
        <v>150</v>
      </c>
      <c r="J38" s="108">
        <v>44</v>
      </c>
      <c r="K38" s="95"/>
      <c r="L38" s="103">
        <v>5.053761253569192</v>
      </c>
      <c r="M38" s="104">
        <v>-36.391977098388679</v>
      </c>
      <c r="N38" s="104">
        <v>8.1070515326508011E-2</v>
      </c>
      <c r="O38" s="104">
        <v>4.3380000000000001</v>
      </c>
      <c r="P38" s="104">
        <v>4.75</v>
      </c>
      <c r="Q38" s="104">
        <v>4.5279999999999996</v>
      </c>
      <c r="R38" s="104">
        <v>3.82</v>
      </c>
      <c r="S38" s="104">
        <v>2.97</v>
      </c>
      <c r="T38" s="104">
        <v>0.95899999999999996</v>
      </c>
      <c r="U38" s="104">
        <v>0.98299999999999998</v>
      </c>
      <c r="V38" s="105">
        <v>0.378</v>
      </c>
      <c r="W38" s="105">
        <f t="shared" si="0"/>
        <v>-0.23008426371311508</v>
      </c>
    </row>
    <row r="39" spans="1:23" x14ac:dyDescent="0.35">
      <c r="A39" s="95" t="s">
        <v>589</v>
      </c>
      <c r="B39" s="95" t="s">
        <v>620</v>
      </c>
      <c r="C39" s="103">
        <v>-0.11885802228936981</v>
      </c>
      <c r="D39" s="104">
        <v>1.0424126086531427</v>
      </c>
      <c r="E39" s="105">
        <v>1.0693731739606749</v>
      </c>
      <c r="G39" s="117" t="s">
        <v>587</v>
      </c>
      <c r="H39" s="115">
        <v>46.134841898100355</v>
      </c>
      <c r="I39" s="107">
        <v>143</v>
      </c>
      <c r="J39" s="108">
        <v>39</v>
      </c>
      <c r="K39" s="95"/>
      <c r="L39" s="103">
        <v>8.8825760717031557</v>
      </c>
      <c r="M39" s="104">
        <v>5.7000013628586537</v>
      </c>
      <c r="N39" s="104">
        <v>6.8999850453216673</v>
      </c>
      <c r="O39" s="104">
        <v>1.77</v>
      </c>
      <c r="P39" s="104">
        <v>-5.5579999999999998</v>
      </c>
      <c r="Q39" s="104">
        <v>-2.38</v>
      </c>
      <c r="R39" s="104">
        <v>2.355</v>
      </c>
      <c r="S39" s="104">
        <v>3.419</v>
      </c>
      <c r="T39" s="104">
        <v>-2.1419999999999999</v>
      </c>
      <c r="U39" s="104">
        <v>-1.1020000000000001</v>
      </c>
      <c r="V39" s="105">
        <v>2.4940000000000002</v>
      </c>
      <c r="W39" s="105">
        <f t="shared" si="0"/>
        <v>1.0558928913069088</v>
      </c>
    </row>
    <row r="40" spans="1:23" x14ac:dyDescent="0.35">
      <c r="A40" s="95" t="s">
        <v>593</v>
      </c>
      <c r="B40" s="95" t="s">
        <v>621</v>
      </c>
      <c r="C40" s="103">
        <v>2.4572143474803632</v>
      </c>
      <c r="D40" s="104">
        <v>3.0605383736418856</v>
      </c>
      <c r="E40" s="105">
        <v>2.6285168981251106</v>
      </c>
      <c r="G40" s="117" t="s">
        <v>422</v>
      </c>
      <c r="H40" s="115">
        <v>89.938976035792962</v>
      </c>
      <c r="I40" s="107">
        <v>28</v>
      </c>
      <c r="J40" s="108">
        <v>3</v>
      </c>
      <c r="K40" s="95"/>
      <c r="L40" s="103">
        <v>5.3186280004141473</v>
      </c>
      <c r="M40" s="104">
        <v>4.0450042981489593</v>
      </c>
      <c r="N40" s="104">
        <v>1.7667397836386938</v>
      </c>
      <c r="O40" s="104">
        <v>2.1520000000000001</v>
      </c>
      <c r="P40" s="104">
        <v>1.7529999999999999</v>
      </c>
      <c r="Q40" s="104">
        <v>1.3580000000000001</v>
      </c>
      <c r="R40" s="104">
        <v>3.99</v>
      </c>
      <c r="S40" s="104">
        <v>0.74299999999999999</v>
      </c>
      <c r="T40" s="104">
        <v>-6.1449999999999996</v>
      </c>
      <c r="U40" s="104">
        <v>11.737</v>
      </c>
      <c r="V40" s="105">
        <v>2.44</v>
      </c>
      <c r="W40" s="105">
        <f t="shared" si="0"/>
        <v>2.8445276358834981</v>
      </c>
    </row>
    <row r="41" spans="1:23" x14ac:dyDescent="0.35">
      <c r="A41" s="95" t="s">
        <v>585</v>
      </c>
      <c r="B41" s="95" t="s">
        <v>622</v>
      </c>
      <c r="C41" s="103">
        <v>4.4136018906123953</v>
      </c>
      <c r="D41" s="104">
        <v>5.1836523723133077</v>
      </c>
      <c r="E41" s="105">
        <v>6.1897338385474399</v>
      </c>
      <c r="G41" s="117" t="s">
        <v>591</v>
      </c>
      <c r="H41" s="115">
        <v>79.714044846147502</v>
      </c>
      <c r="I41" s="107">
        <v>50</v>
      </c>
      <c r="J41" s="108">
        <v>7</v>
      </c>
      <c r="K41" s="95"/>
      <c r="L41" s="103">
        <v>7.8596274932851555</v>
      </c>
      <c r="M41" s="104">
        <v>7.7686152841281606</v>
      </c>
      <c r="N41" s="104">
        <v>7.4245236561990726</v>
      </c>
      <c r="O41" s="104">
        <v>7.0179999999999998</v>
      </c>
      <c r="P41" s="104">
        <v>6.851</v>
      </c>
      <c r="Q41" s="104">
        <v>6.9470000000000001</v>
      </c>
      <c r="R41" s="104">
        <v>6.7510000000000003</v>
      </c>
      <c r="S41" s="104">
        <v>5.9509999999999996</v>
      </c>
      <c r="T41" s="104">
        <v>2.242</v>
      </c>
      <c r="U41" s="104">
        <v>8.4499999999999993</v>
      </c>
      <c r="V41" s="105">
        <v>2.988</v>
      </c>
      <c r="W41" s="105">
        <f t="shared" si="0"/>
        <v>5.6866931054303738</v>
      </c>
    </row>
    <row r="42" spans="1:23" x14ac:dyDescent="0.35">
      <c r="A42" s="95" t="s">
        <v>593</v>
      </c>
      <c r="B42" s="95" t="s">
        <v>623</v>
      </c>
      <c r="C42" s="103">
        <v>3.4115994769119862</v>
      </c>
      <c r="D42" s="104">
        <v>2.9902381196408978</v>
      </c>
      <c r="E42" s="105">
        <v>3.0937390088282557</v>
      </c>
      <c r="G42" s="117" t="s">
        <v>591</v>
      </c>
      <c r="H42" s="115">
        <v>79.943455242802315</v>
      </c>
      <c r="I42" s="107">
        <v>48</v>
      </c>
      <c r="J42" s="108">
        <v>6</v>
      </c>
      <c r="K42" s="95"/>
      <c r="L42" s="103">
        <v>3.9126357671611296</v>
      </c>
      <c r="M42" s="104">
        <v>5.1339935199566966</v>
      </c>
      <c r="N42" s="104">
        <v>4.4990300011097339</v>
      </c>
      <c r="O42" s="104">
        <v>2.956</v>
      </c>
      <c r="P42" s="104">
        <v>2.0880000000000001</v>
      </c>
      <c r="Q42" s="104">
        <v>1.359</v>
      </c>
      <c r="R42" s="104">
        <v>2.5640000000000001</v>
      </c>
      <c r="S42" s="104">
        <v>3.1869999999999998</v>
      </c>
      <c r="T42" s="104">
        <v>-7.2519999999999998</v>
      </c>
      <c r="U42" s="104">
        <v>11.016</v>
      </c>
      <c r="V42" s="105">
        <v>7.4960000000000004</v>
      </c>
      <c r="W42" s="105">
        <f t="shared" si="0"/>
        <v>3.0419885642345768</v>
      </c>
    </row>
    <row r="43" spans="1:23" x14ac:dyDescent="0.35">
      <c r="A43" s="95" t="s">
        <v>589</v>
      </c>
      <c r="B43" s="95" t="s">
        <v>624</v>
      </c>
      <c r="C43" s="103">
        <v>1.4424277454801349</v>
      </c>
      <c r="D43" s="104">
        <v>1.9425285111170032</v>
      </c>
      <c r="E43" s="105">
        <v>2.451644301489786</v>
      </c>
      <c r="G43" s="117" t="s">
        <v>429</v>
      </c>
      <c r="H43" s="115">
        <v>68.943026951610364</v>
      </c>
      <c r="I43" s="107">
        <v>96</v>
      </c>
      <c r="J43" s="108">
        <v>17</v>
      </c>
      <c r="K43" s="95"/>
      <c r="L43" s="103">
        <v>3.2002729031888046</v>
      </c>
      <c r="M43" s="104">
        <v>4.4998742153082745</v>
      </c>
      <c r="N43" s="104">
        <v>2.1000064383028905</v>
      </c>
      <c r="O43" s="104">
        <v>1.147</v>
      </c>
      <c r="P43" s="104">
        <v>3.32</v>
      </c>
      <c r="Q43" s="104">
        <v>3.8159999999999998</v>
      </c>
      <c r="R43" s="104">
        <v>3.6419999999999999</v>
      </c>
      <c r="S43" s="104">
        <v>1.7609999999999999</v>
      </c>
      <c r="T43" s="104">
        <v>-0.19600000000000001</v>
      </c>
      <c r="U43" s="104">
        <v>2.1120000000000001</v>
      </c>
      <c r="V43" s="105">
        <v>2.431</v>
      </c>
      <c r="W43" s="105">
        <f t="shared" si="0"/>
        <v>2.1970864063033946</v>
      </c>
    </row>
    <row r="44" spans="1:23" x14ac:dyDescent="0.35">
      <c r="A44" s="95" t="s">
        <v>589</v>
      </c>
      <c r="B44" s="95" t="s">
        <v>625</v>
      </c>
      <c r="C44" s="103">
        <v>4.8306254668632809</v>
      </c>
      <c r="D44" s="104">
        <v>4.9384402884992351</v>
      </c>
      <c r="E44" s="105">
        <v>5.5494362942043685</v>
      </c>
      <c r="G44" s="117" t="s">
        <v>587</v>
      </c>
      <c r="H44" s="115">
        <v>40.102703133666751</v>
      </c>
      <c r="I44" s="107">
        <v>151</v>
      </c>
      <c r="J44" s="108">
        <v>45</v>
      </c>
      <c r="K44" s="95"/>
      <c r="L44" s="103">
        <v>7.0868989467193844</v>
      </c>
      <c r="M44" s="104">
        <v>8.4819566360875722</v>
      </c>
      <c r="N44" s="104">
        <v>9.4702880971408341</v>
      </c>
      <c r="O44" s="104">
        <v>6.36</v>
      </c>
      <c r="P44" s="104">
        <v>0.39400000000000002</v>
      </c>
      <c r="Q44" s="104">
        <v>3.6579999999999999</v>
      </c>
      <c r="R44" s="104">
        <v>4.8250000000000002</v>
      </c>
      <c r="S44" s="104">
        <v>4.4850000000000003</v>
      </c>
      <c r="T44" s="104">
        <v>1.671</v>
      </c>
      <c r="U44" s="104">
        <v>6.2290000000000001</v>
      </c>
      <c r="V44" s="105">
        <v>6.6269999999999998</v>
      </c>
      <c r="W44" s="105">
        <f t="shared" si="0"/>
        <v>5.2439382913518013</v>
      </c>
    </row>
    <row r="45" spans="1:23" x14ac:dyDescent="0.35">
      <c r="A45" s="95" t="s">
        <v>589</v>
      </c>
      <c r="B45" s="95" t="s">
        <v>626</v>
      </c>
      <c r="C45" s="103">
        <v>-1.9540231466170455</v>
      </c>
      <c r="D45" s="104">
        <v>-2.1626068363397866</v>
      </c>
      <c r="E45" s="105">
        <v>-2.4351268953680449</v>
      </c>
      <c r="G45" s="117" t="s">
        <v>587</v>
      </c>
      <c r="H45" s="115">
        <v>42.318471362744162</v>
      </c>
      <c r="I45" s="107">
        <v>148</v>
      </c>
      <c r="J45" s="108">
        <v>43</v>
      </c>
      <c r="K45" s="95"/>
      <c r="L45" s="103">
        <v>9.9471531425756439</v>
      </c>
      <c r="M45" s="104">
        <v>-0.71243445187648202</v>
      </c>
      <c r="N45" s="104">
        <v>6.7166793337864945</v>
      </c>
      <c r="O45" s="104">
        <v>-3.5510000000000002</v>
      </c>
      <c r="P45" s="104">
        <v>-10.782999999999999</v>
      </c>
      <c r="Q45" s="104">
        <v>-4.383</v>
      </c>
      <c r="R45" s="104">
        <v>-4.8049999999999997</v>
      </c>
      <c r="S45" s="104">
        <v>1.026</v>
      </c>
      <c r="T45" s="104">
        <v>-6.1980000000000004</v>
      </c>
      <c r="U45" s="104">
        <v>1.5</v>
      </c>
      <c r="V45" s="105">
        <v>2.7850000000000001</v>
      </c>
      <c r="W45" s="105">
        <f t="shared" si="0"/>
        <v>-2.298866865853916</v>
      </c>
    </row>
    <row r="46" spans="1:23" x14ac:dyDescent="0.35">
      <c r="A46" s="95" t="s">
        <v>593</v>
      </c>
      <c r="B46" s="95" t="s">
        <v>627</v>
      </c>
      <c r="C46" s="103">
        <v>2.4986852323448439</v>
      </c>
      <c r="D46" s="104">
        <v>3.7972658363557565</v>
      </c>
      <c r="E46" s="105">
        <v>3.649680120396992</v>
      </c>
      <c r="G46" s="117" t="s">
        <v>591</v>
      </c>
      <c r="H46" s="115">
        <v>86.218051096846139</v>
      </c>
      <c r="I46" s="107">
        <v>34</v>
      </c>
      <c r="J46" s="108">
        <v>4</v>
      </c>
      <c r="K46" s="95"/>
      <c r="L46" s="103">
        <v>4.7969199185815947</v>
      </c>
      <c r="M46" s="104">
        <v>2.2690274004615811</v>
      </c>
      <c r="N46" s="104">
        <v>3.5153385639114227</v>
      </c>
      <c r="O46" s="104">
        <v>3.6520000000000001</v>
      </c>
      <c r="P46" s="104">
        <v>4.2039999999999997</v>
      </c>
      <c r="Q46" s="104">
        <v>4.1580000000000004</v>
      </c>
      <c r="R46" s="104">
        <v>2.6160000000000001</v>
      </c>
      <c r="S46" s="104">
        <v>2.4180000000000001</v>
      </c>
      <c r="T46" s="104">
        <v>-4.2729999999999997</v>
      </c>
      <c r="U46" s="104">
        <v>7.7809999999999997</v>
      </c>
      <c r="V46" s="105">
        <v>4.3239999999999998</v>
      </c>
      <c r="W46" s="105">
        <f t="shared" si="0"/>
        <v>3.7234729783763743</v>
      </c>
    </row>
    <row r="47" spans="1:23" x14ac:dyDescent="0.35">
      <c r="A47" s="95" t="s">
        <v>589</v>
      </c>
      <c r="B47" s="95" t="s">
        <v>628</v>
      </c>
      <c r="C47" s="103">
        <v>5.2133244785906863</v>
      </c>
      <c r="D47" s="104">
        <v>5.7501340546816326</v>
      </c>
      <c r="E47" s="105">
        <v>6.9731316213943906</v>
      </c>
      <c r="G47" s="117" t="s">
        <v>429</v>
      </c>
      <c r="H47" s="115">
        <v>69.121915522328067</v>
      </c>
      <c r="I47" s="107">
        <v>95</v>
      </c>
      <c r="J47" s="108">
        <v>16</v>
      </c>
      <c r="K47" s="95"/>
      <c r="L47" s="103">
        <v>10.706504103485498</v>
      </c>
      <c r="M47" s="104">
        <v>8.8894213015542505</v>
      </c>
      <c r="N47" s="104">
        <v>8.7940773902773532</v>
      </c>
      <c r="O47" s="104">
        <v>8.843</v>
      </c>
      <c r="P47" s="104">
        <v>7.173</v>
      </c>
      <c r="Q47" s="104">
        <v>6.1429999999999998</v>
      </c>
      <c r="R47" s="104">
        <v>3.7509999999999999</v>
      </c>
      <c r="S47" s="104">
        <v>8.31</v>
      </c>
      <c r="T47" s="104">
        <v>1.7</v>
      </c>
      <c r="U47" s="104">
        <v>7</v>
      </c>
      <c r="V47" s="105">
        <v>6.7</v>
      </c>
      <c r="W47" s="105">
        <f t="shared" si="0"/>
        <v>6.3616328380380116</v>
      </c>
    </row>
    <row r="48" spans="1:23" x14ac:dyDescent="0.35">
      <c r="A48" s="95" t="s">
        <v>231</v>
      </c>
      <c r="B48" s="95" t="s">
        <v>629</v>
      </c>
      <c r="C48" s="103">
        <v>3.2016110581527757</v>
      </c>
      <c r="D48" s="104">
        <v>3.6386983370098269</v>
      </c>
      <c r="E48" s="105">
        <v>2.6484109069949024</v>
      </c>
      <c r="G48" s="117" t="s">
        <v>591</v>
      </c>
      <c r="H48" s="115">
        <v>83.891853807505186</v>
      </c>
      <c r="I48" s="107">
        <v>39</v>
      </c>
      <c r="J48" s="108">
        <v>25</v>
      </c>
      <c r="K48" s="95"/>
      <c r="L48" s="103">
        <v>-2.2376475412236791</v>
      </c>
      <c r="M48" s="104">
        <v>-0.54854848857064353</v>
      </c>
      <c r="N48" s="104">
        <v>-0.10392849719394197</v>
      </c>
      <c r="O48" s="104">
        <v>2.524</v>
      </c>
      <c r="P48" s="104">
        <v>3.56</v>
      </c>
      <c r="Q48" s="104">
        <v>3.4140000000000001</v>
      </c>
      <c r="R48" s="104">
        <v>2.7989999999999999</v>
      </c>
      <c r="S48" s="104">
        <v>3.42</v>
      </c>
      <c r="T48" s="104">
        <v>-8.58</v>
      </c>
      <c r="U48" s="104">
        <v>13.07</v>
      </c>
      <c r="V48" s="105">
        <v>6.3319999999999999</v>
      </c>
      <c r="W48" s="105">
        <f t="shared" si="0"/>
        <v>3.1435546220023647</v>
      </c>
    </row>
    <row r="49" spans="1:23" x14ac:dyDescent="0.35">
      <c r="A49" s="95" t="s">
        <v>231</v>
      </c>
      <c r="B49" s="95" t="s">
        <v>630</v>
      </c>
      <c r="C49" s="103">
        <v>2.5096449899315587</v>
      </c>
      <c r="D49" s="104">
        <v>3.8028194592395037</v>
      </c>
      <c r="E49" s="105">
        <v>2.5630103304818297</v>
      </c>
      <c r="G49" s="117" t="s">
        <v>591</v>
      </c>
      <c r="H49" s="115">
        <v>87.255396390154942</v>
      </c>
      <c r="I49" s="107">
        <v>32</v>
      </c>
      <c r="J49" s="108">
        <v>21</v>
      </c>
      <c r="K49" s="95"/>
      <c r="L49" s="103">
        <v>-3.4468220858971224</v>
      </c>
      <c r="M49" s="104">
        <v>-6.5530782549911972</v>
      </c>
      <c r="N49" s="104">
        <v>-1.8293091092200273</v>
      </c>
      <c r="O49" s="104">
        <v>3.4180000000000001</v>
      </c>
      <c r="P49" s="104">
        <v>6.5739999999999998</v>
      </c>
      <c r="Q49" s="104">
        <v>5.7329999999999997</v>
      </c>
      <c r="R49" s="104">
        <v>5.649</v>
      </c>
      <c r="S49" s="104">
        <v>5.5289999999999999</v>
      </c>
      <c r="T49" s="104">
        <v>-4.3710000000000004</v>
      </c>
      <c r="U49" s="104">
        <v>6.6369999999999996</v>
      </c>
      <c r="V49" s="105">
        <v>5.6319999999999997</v>
      </c>
      <c r="W49" s="105">
        <f t="shared" si="0"/>
        <v>3.1829148948606667</v>
      </c>
    </row>
    <row r="50" spans="1:23" x14ac:dyDescent="0.35">
      <c r="A50" s="95" t="s">
        <v>231</v>
      </c>
      <c r="B50" s="95" t="s">
        <v>631</v>
      </c>
      <c r="C50" s="103">
        <v>7.8479275411136307E-2</v>
      </c>
      <c r="D50" s="104">
        <v>1.4620184569118511</v>
      </c>
      <c r="E50" s="105">
        <v>2.1534461321011111</v>
      </c>
      <c r="G50" s="117" t="s">
        <v>422</v>
      </c>
      <c r="H50" s="115">
        <v>91.450544124021832</v>
      </c>
      <c r="I50" s="107">
        <v>23</v>
      </c>
      <c r="J50" s="108">
        <v>15</v>
      </c>
      <c r="K50" s="95"/>
      <c r="L50" s="103">
        <v>-0.79984428098029747</v>
      </c>
      <c r="M50" s="104">
        <v>-0.48367104180935355</v>
      </c>
      <c r="N50" s="104">
        <v>2.7151161333034923</v>
      </c>
      <c r="O50" s="104">
        <v>5.3879999999999999</v>
      </c>
      <c r="P50" s="104">
        <v>2.5369999999999999</v>
      </c>
      <c r="Q50" s="104">
        <v>5.1689999999999996</v>
      </c>
      <c r="R50" s="104">
        <v>3.22</v>
      </c>
      <c r="S50" s="104">
        <v>3.03</v>
      </c>
      <c r="T50" s="104">
        <v>-5.5030000000000001</v>
      </c>
      <c r="U50" s="104">
        <v>3.5529999999999999</v>
      </c>
      <c r="V50" s="105">
        <v>2.4420000000000002</v>
      </c>
      <c r="W50" s="105">
        <f t="shared" si="0"/>
        <v>1.8077322945064811</v>
      </c>
    </row>
    <row r="51" spans="1:23" x14ac:dyDescent="0.35">
      <c r="A51" s="95" t="s">
        <v>231</v>
      </c>
      <c r="B51" s="95" t="s">
        <v>632</v>
      </c>
      <c r="C51" s="103">
        <v>2.1173186821453305</v>
      </c>
      <c r="D51" s="104">
        <v>2.0745382872927598</v>
      </c>
      <c r="E51" s="105">
        <v>2.0535686786969709</v>
      </c>
      <c r="G51" s="117" t="s">
        <v>422</v>
      </c>
      <c r="H51" s="115">
        <v>97.848591628257381</v>
      </c>
      <c r="I51" s="107">
        <v>3</v>
      </c>
      <c r="J51" s="108">
        <v>2</v>
      </c>
      <c r="K51" s="95"/>
      <c r="L51" s="103">
        <v>0.22649979701625131</v>
      </c>
      <c r="M51" s="104">
        <v>0.93334095705108477</v>
      </c>
      <c r="N51" s="104">
        <v>1.6193938166337245</v>
      </c>
      <c r="O51" s="104">
        <v>2.343</v>
      </c>
      <c r="P51" s="104">
        <v>3.2480000000000002</v>
      </c>
      <c r="Q51" s="104">
        <v>2.819</v>
      </c>
      <c r="R51" s="104">
        <v>1.9910000000000001</v>
      </c>
      <c r="S51" s="104">
        <v>1.4930000000000001</v>
      </c>
      <c r="T51" s="104">
        <v>-1.994</v>
      </c>
      <c r="U51" s="104">
        <v>4.8570000000000002</v>
      </c>
      <c r="V51" s="105">
        <v>3.6230000000000002</v>
      </c>
      <c r="W51" s="105">
        <f t="shared" si="0"/>
        <v>2.0640534829948654</v>
      </c>
    </row>
    <row r="52" spans="1:23" x14ac:dyDescent="0.35">
      <c r="A52" s="95" t="s">
        <v>593</v>
      </c>
      <c r="B52" s="95" t="s">
        <v>633</v>
      </c>
      <c r="C52" s="103">
        <v>3.1998461156594438</v>
      </c>
      <c r="D52" s="104">
        <v>4.316018962980106</v>
      </c>
      <c r="E52" s="105">
        <v>5.1698060844696858</v>
      </c>
      <c r="G52" s="117" t="s">
        <v>591</v>
      </c>
      <c r="H52" s="115">
        <v>76.661181476266762</v>
      </c>
      <c r="I52" s="107">
        <v>62</v>
      </c>
      <c r="J52" s="108">
        <v>9</v>
      </c>
      <c r="K52" s="95"/>
      <c r="L52" s="103">
        <v>2.7173678967056243</v>
      </c>
      <c r="M52" s="104">
        <v>4.8752050933227107</v>
      </c>
      <c r="N52" s="104">
        <v>7.0504636896591117</v>
      </c>
      <c r="O52" s="104">
        <v>6.9269999999999996</v>
      </c>
      <c r="P52" s="104">
        <v>6.6589999999999998</v>
      </c>
      <c r="Q52" s="104">
        <v>4.6669999999999998</v>
      </c>
      <c r="R52" s="104">
        <v>6.9829999999999997</v>
      </c>
      <c r="S52" s="104">
        <v>5.0519999999999996</v>
      </c>
      <c r="T52" s="104">
        <v>-6.72</v>
      </c>
      <c r="U52" s="104">
        <v>12.272</v>
      </c>
      <c r="V52" s="105">
        <v>4.9489999999999998</v>
      </c>
      <c r="W52" s="105">
        <f t="shared" si="0"/>
        <v>4.7429125237248959</v>
      </c>
    </row>
    <row r="53" spans="1:23" x14ac:dyDescent="0.35">
      <c r="A53" s="95" t="s">
        <v>593</v>
      </c>
      <c r="B53" s="95" t="s">
        <v>634</v>
      </c>
      <c r="C53" s="103">
        <v>-0.32141867374969602</v>
      </c>
      <c r="D53" s="104">
        <v>6.5490773887200149E-2</v>
      </c>
      <c r="E53" s="105">
        <v>1.0130868701887064</v>
      </c>
      <c r="G53" s="121" t="s">
        <v>429</v>
      </c>
      <c r="H53" s="115">
        <v>61.323621492965962</v>
      </c>
      <c r="I53" s="107">
        <v>123</v>
      </c>
      <c r="J53" s="108">
        <v>20</v>
      </c>
      <c r="K53" s="95"/>
      <c r="L53" s="103">
        <v>5.641962066711991</v>
      </c>
      <c r="M53" s="104">
        <v>4.9465112669062528</v>
      </c>
      <c r="N53" s="104">
        <v>3.7888685492083329</v>
      </c>
      <c r="O53" s="104">
        <v>9.9000000000000005E-2</v>
      </c>
      <c r="P53" s="104">
        <v>-1.226</v>
      </c>
      <c r="Q53" s="104">
        <v>2.3679999999999999</v>
      </c>
      <c r="R53" s="104">
        <v>1.2889999999999999</v>
      </c>
      <c r="S53" s="104">
        <v>1.2E-2</v>
      </c>
      <c r="T53" s="104">
        <v>-7.7880000000000003</v>
      </c>
      <c r="U53" s="104">
        <v>4.2350000000000003</v>
      </c>
      <c r="V53" s="105">
        <v>3.0390000000000001</v>
      </c>
      <c r="W53" s="105">
        <f t="shared" si="0"/>
        <v>0.53928882203795325</v>
      </c>
    </row>
    <row r="54" spans="1:23" x14ac:dyDescent="0.35">
      <c r="A54" s="95" t="s">
        <v>589</v>
      </c>
      <c r="B54" s="95" t="s">
        <v>635</v>
      </c>
      <c r="C54" s="103">
        <v>4.4912036839904523</v>
      </c>
      <c r="D54" s="104">
        <v>4.8680352120142656</v>
      </c>
      <c r="E54" s="105">
        <v>4.2302867143853229</v>
      </c>
      <c r="G54" s="117" t="s">
        <v>429</v>
      </c>
      <c r="H54" s="115">
        <v>63.405428674671668</v>
      </c>
      <c r="I54" s="107">
        <v>119</v>
      </c>
      <c r="J54" s="108">
        <v>28</v>
      </c>
      <c r="K54" s="95"/>
      <c r="L54" s="103">
        <v>2.2261997966213811</v>
      </c>
      <c r="M54" s="104">
        <v>2.1854660547123101</v>
      </c>
      <c r="N54" s="104">
        <v>2.9159118788358169</v>
      </c>
      <c r="O54" s="104">
        <v>4.4340000000000002</v>
      </c>
      <c r="P54" s="104">
        <v>4.5060000000000002</v>
      </c>
      <c r="Q54" s="104">
        <v>2.3690000000000002</v>
      </c>
      <c r="R54" s="104">
        <v>5.3310000000000004</v>
      </c>
      <c r="S54" s="104">
        <v>5.5339999999999998</v>
      </c>
      <c r="T54" s="104">
        <v>3.5139999999999998</v>
      </c>
      <c r="U54" s="104">
        <v>3.3069999999999999</v>
      </c>
      <c r="V54" s="105">
        <v>6.609</v>
      </c>
      <c r="W54" s="105">
        <f t="shared" si="0"/>
        <v>4.5491609631997942</v>
      </c>
    </row>
    <row r="55" spans="1:23" x14ac:dyDescent="0.35">
      <c r="A55" s="95" t="s">
        <v>593</v>
      </c>
      <c r="B55" s="95" t="s">
        <v>636</v>
      </c>
      <c r="C55" s="103">
        <v>1.3471265984384528</v>
      </c>
      <c r="D55" s="104">
        <v>1.776882859029727</v>
      </c>
      <c r="E55" s="105">
        <v>2.0016468394263187</v>
      </c>
      <c r="G55" s="117" t="s">
        <v>405</v>
      </c>
      <c r="H55" s="115">
        <v>69.210174273537845</v>
      </c>
      <c r="I55" s="107">
        <v>94</v>
      </c>
      <c r="J55" s="108">
        <v>13</v>
      </c>
      <c r="K55" s="95"/>
      <c r="L55" s="103">
        <v>2.8155018217952783</v>
      </c>
      <c r="M55" s="104">
        <v>2.2337536818851604</v>
      </c>
      <c r="N55" s="104">
        <v>1.7112232058649222</v>
      </c>
      <c r="O55" s="104">
        <v>2.395</v>
      </c>
      <c r="P55" s="104">
        <v>2.5419999999999998</v>
      </c>
      <c r="Q55" s="104">
        <v>2.2530000000000001</v>
      </c>
      <c r="R55" s="104">
        <v>2.4119999999999999</v>
      </c>
      <c r="S55" s="104">
        <v>2.4350000000000001</v>
      </c>
      <c r="T55" s="104">
        <v>-8.1750000000000007</v>
      </c>
      <c r="U55" s="104">
        <v>10.269</v>
      </c>
      <c r="V55" s="105">
        <v>2.8</v>
      </c>
      <c r="W55" s="105">
        <f t="shared" si="0"/>
        <v>1.8892648492280228</v>
      </c>
    </row>
    <row r="56" spans="1:23" x14ac:dyDescent="0.35">
      <c r="A56" s="95" t="s">
        <v>231</v>
      </c>
      <c r="B56" s="95" t="s">
        <v>637</v>
      </c>
      <c r="C56" s="103">
        <v>1.972770435214799</v>
      </c>
      <c r="D56" s="104">
        <v>2.6853264084946815</v>
      </c>
      <c r="E56" s="105">
        <v>2.7928430899179402</v>
      </c>
      <c r="G56" s="117" t="s">
        <v>591</v>
      </c>
      <c r="H56" s="115">
        <v>82.267245472231053</v>
      </c>
      <c r="I56" s="107">
        <v>41</v>
      </c>
      <c r="J56" s="108">
        <v>27</v>
      </c>
      <c r="K56" s="95"/>
      <c r="L56" s="103">
        <v>3.1248431915696226</v>
      </c>
      <c r="M56" s="104">
        <v>1.346187835760732</v>
      </c>
      <c r="N56" s="104">
        <v>2.9873258188549392</v>
      </c>
      <c r="O56" s="104">
        <v>1.853</v>
      </c>
      <c r="P56" s="104">
        <v>3.1549999999999998</v>
      </c>
      <c r="Q56" s="104">
        <v>5.7919999999999998</v>
      </c>
      <c r="R56" s="104">
        <v>3.7839999999999998</v>
      </c>
      <c r="S56" s="104">
        <v>3.74</v>
      </c>
      <c r="T56" s="104">
        <v>-0.55100000000000005</v>
      </c>
      <c r="U56" s="104">
        <v>8.0129999999999999</v>
      </c>
      <c r="V56" s="105">
        <v>-1.2869999999999999</v>
      </c>
      <c r="W56" s="105">
        <f t="shared" si="0"/>
        <v>2.7390847492063108</v>
      </c>
    </row>
    <row r="57" spans="1:23" x14ac:dyDescent="0.35">
      <c r="A57" s="95" t="s">
        <v>589</v>
      </c>
      <c r="B57" s="95" t="s">
        <v>638</v>
      </c>
      <c r="C57" s="103">
        <v>2.1841699351578647</v>
      </c>
      <c r="D57" s="104">
        <v>2.1180367535848621</v>
      </c>
      <c r="E57" s="105">
        <v>2.094572895591984</v>
      </c>
      <c r="G57" s="117" t="s">
        <v>429</v>
      </c>
      <c r="H57" s="115">
        <v>63.876381030610304</v>
      </c>
      <c r="I57" s="107">
        <v>117</v>
      </c>
      <c r="J57" s="108">
        <v>27</v>
      </c>
      <c r="K57" s="95"/>
      <c r="L57" s="103">
        <v>5.3913093065302364</v>
      </c>
      <c r="M57" s="104">
        <v>3.8622718821819677</v>
      </c>
      <c r="N57" s="104">
        <v>0.91319649477376841</v>
      </c>
      <c r="O57" s="104">
        <v>2.2269999999999999</v>
      </c>
      <c r="P57" s="104">
        <v>1.0629999999999999</v>
      </c>
      <c r="Q57" s="104">
        <v>2.0270000000000001</v>
      </c>
      <c r="R57" s="104">
        <v>2.3690000000000002</v>
      </c>
      <c r="S57" s="104">
        <v>2.7040000000000002</v>
      </c>
      <c r="T57" s="104">
        <v>-1.56</v>
      </c>
      <c r="U57" s="104">
        <v>7.883</v>
      </c>
      <c r="V57" s="105">
        <v>0.46700000000000003</v>
      </c>
      <c r="W57" s="105">
        <f t="shared" si="0"/>
        <v>2.1063048245884231</v>
      </c>
    </row>
    <row r="58" spans="1:23" x14ac:dyDescent="0.35">
      <c r="A58" s="95" t="s">
        <v>589</v>
      </c>
      <c r="B58" s="95" t="s">
        <v>639</v>
      </c>
      <c r="C58" s="103">
        <v>6.0178655257344227</v>
      </c>
      <c r="D58" s="104">
        <v>6.6428861766961944</v>
      </c>
      <c r="E58" s="105">
        <v>8.3305963840047514</v>
      </c>
      <c r="G58" s="117" t="s">
        <v>587</v>
      </c>
      <c r="H58" s="115">
        <v>58.357971531116526</v>
      </c>
      <c r="I58" s="107">
        <v>128</v>
      </c>
      <c r="J58" s="108">
        <v>31</v>
      </c>
      <c r="K58" s="95"/>
      <c r="L58" s="103">
        <v>8.6478116333741841</v>
      </c>
      <c r="M58" s="104">
        <v>10.582270048267214</v>
      </c>
      <c r="N58" s="104">
        <v>10.257492961005118</v>
      </c>
      <c r="O58" s="104">
        <v>10.4</v>
      </c>
      <c r="P58" s="104">
        <v>8</v>
      </c>
      <c r="Q58" s="104">
        <v>10.210000000000001</v>
      </c>
      <c r="R58" s="104">
        <v>7.7030000000000003</v>
      </c>
      <c r="S58" s="104">
        <v>9.0370000000000008</v>
      </c>
      <c r="T58" s="104">
        <v>6.0570000000000004</v>
      </c>
      <c r="U58" s="104">
        <v>6.2649999999999997</v>
      </c>
      <c r="V58" s="105">
        <v>6.3579999999999997</v>
      </c>
      <c r="W58" s="105">
        <f t="shared" si="0"/>
        <v>7.4867412803504729</v>
      </c>
    </row>
    <row r="59" spans="1:23" x14ac:dyDescent="0.35">
      <c r="A59" s="95" t="s">
        <v>231</v>
      </c>
      <c r="B59" s="95" t="s">
        <v>640</v>
      </c>
      <c r="C59" s="103">
        <v>0.92513707934396283</v>
      </c>
      <c r="D59" s="104">
        <v>1.065704979127502</v>
      </c>
      <c r="E59" s="105">
        <v>1.0351636365421246</v>
      </c>
      <c r="G59" s="117" t="s">
        <v>422</v>
      </c>
      <c r="H59" s="115">
        <v>97.443307672167862</v>
      </c>
      <c r="I59" s="107">
        <v>5</v>
      </c>
      <c r="J59" s="108">
        <v>3</v>
      </c>
      <c r="K59" s="95"/>
      <c r="L59" s="103">
        <v>-1.3973545576374944</v>
      </c>
      <c r="M59" s="104">
        <v>-0.90201849743960727</v>
      </c>
      <c r="N59" s="104">
        <v>-0.36494028121428063</v>
      </c>
      <c r="O59" s="104">
        <v>0.54400000000000004</v>
      </c>
      <c r="P59" s="104">
        <v>2.8109999999999999</v>
      </c>
      <c r="Q59" s="104">
        <v>3.1920000000000002</v>
      </c>
      <c r="R59" s="104">
        <v>1.1399999999999999</v>
      </c>
      <c r="S59" s="104">
        <v>1.224</v>
      </c>
      <c r="T59" s="104">
        <v>-2.355</v>
      </c>
      <c r="U59" s="104">
        <v>3.0459999999999998</v>
      </c>
      <c r="V59" s="105">
        <v>2.0840000000000001</v>
      </c>
      <c r="W59" s="105">
        <f t="shared" si="0"/>
        <v>1.0504343078348133</v>
      </c>
    </row>
    <row r="60" spans="1:23" x14ac:dyDescent="0.35">
      <c r="A60" s="95" t="s">
        <v>231</v>
      </c>
      <c r="B60" s="95" t="s">
        <v>641</v>
      </c>
      <c r="C60" s="103">
        <v>0.35484098705607092</v>
      </c>
      <c r="D60" s="104">
        <v>0.85541697677951056</v>
      </c>
      <c r="E60" s="105">
        <v>1.0299722548507528</v>
      </c>
      <c r="G60" s="117" t="s">
        <v>422</v>
      </c>
      <c r="H60" s="115">
        <v>94.937245038342397</v>
      </c>
      <c r="I60" s="107">
        <v>20</v>
      </c>
      <c r="J60" s="108">
        <v>13</v>
      </c>
      <c r="K60" s="95"/>
      <c r="L60" s="103">
        <v>0.31313474167845923</v>
      </c>
      <c r="M60" s="104">
        <v>0.5763266794418439</v>
      </c>
      <c r="N60" s="104">
        <v>0.95618304768384532</v>
      </c>
      <c r="O60" s="104">
        <v>1.0549999999999999</v>
      </c>
      <c r="P60" s="104">
        <v>0.98199999999999998</v>
      </c>
      <c r="Q60" s="104">
        <v>2.4489999999999998</v>
      </c>
      <c r="R60" s="104">
        <v>1.8240000000000001</v>
      </c>
      <c r="S60" s="104">
        <v>1.8839999999999999</v>
      </c>
      <c r="T60" s="104">
        <v>-7.907</v>
      </c>
      <c r="U60" s="104">
        <v>6.77</v>
      </c>
      <c r="V60" s="105">
        <v>2.6059999999999999</v>
      </c>
      <c r="W60" s="105">
        <f t="shared" si="0"/>
        <v>0.9426946158151317</v>
      </c>
    </row>
    <row r="61" spans="1:23" x14ac:dyDescent="0.35">
      <c r="A61" s="95" t="s">
        <v>589</v>
      </c>
      <c r="B61" s="95" t="s">
        <v>642</v>
      </c>
      <c r="C61" s="103">
        <v>0.80490169914342324</v>
      </c>
      <c r="D61" s="104">
        <v>1.4271603442411074</v>
      </c>
      <c r="E61" s="105">
        <v>2.3419356903168431</v>
      </c>
      <c r="G61" s="117" t="s">
        <v>587</v>
      </c>
      <c r="H61" s="115">
        <v>37.219050826761183</v>
      </c>
      <c r="I61" s="107">
        <v>153</v>
      </c>
      <c r="J61" s="108">
        <v>46</v>
      </c>
      <c r="K61" s="95"/>
      <c r="L61" s="103">
        <v>5.251076917504065</v>
      </c>
      <c r="M61" s="104">
        <v>5.6386990033869457</v>
      </c>
      <c r="N61" s="104">
        <v>4.3149644410747063</v>
      </c>
      <c r="O61" s="104">
        <v>3.879</v>
      </c>
      <c r="P61" s="104">
        <v>2.0910000000000002</v>
      </c>
      <c r="Q61" s="104">
        <v>0.47299999999999998</v>
      </c>
      <c r="R61" s="104">
        <v>0.84299999999999997</v>
      </c>
      <c r="S61" s="104">
        <v>3.915</v>
      </c>
      <c r="T61" s="104">
        <v>-1.8640000000000001</v>
      </c>
      <c r="U61" s="104">
        <v>1.484</v>
      </c>
      <c r="V61" s="105">
        <v>2.8479999999999999</v>
      </c>
      <c r="W61" s="105">
        <f t="shared" si="0"/>
        <v>1.8845480172789753</v>
      </c>
    </row>
    <row r="62" spans="1:23" x14ac:dyDescent="0.35">
      <c r="A62" s="95" t="s">
        <v>589</v>
      </c>
      <c r="B62" s="95" t="s">
        <v>643</v>
      </c>
      <c r="C62" s="103">
        <v>3.0839257560593802</v>
      </c>
      <c r="D62" s="104">
        <v>4.5260960958580343</v>
      </c>
      <c r="E62" s="105">
        <v>3.4750911540431417</v>
      </c>
      <c r="G62" s="117" t="s">
        <v>429</v>
      </c>
      <c r="H62" s="115">
        <v>65.416670727464805</v>
      </c>
      <c r="I62" s="107">
        <v>114</v>
      </c>
      <c r="J62" s="108">
        <v>26</v>
      </c>
      <c r="K62" s="95"/>
      <c r="L62" s="103">
        <v>5.2415692463074244</v>
      </c>
      <c r="M62" s="104">
        <v>2.8727687903269969</v>
      </c>
      <c r="N62" s="104">
        <v>-1.4073824951095362</v>
      </c>
      <c r="O62" s="104">
        <v>4.0579999999999998</v>
      </c>
      <c r="P62" s="104">
        <v>1.9430000000000001</v>
      </c>
      <c r="Q62" s="104">
        <v>4.8230000000000004</v>
      </c>
      <c r="R62" s="104">
        <v>7.2350000000000003</v>
      </c>
      <c r="S62" s="104">
        <v>6.2220000000000004</v>
      </c>
      <c r="T62" s="104">
        <v>0.59099999999999997</v>
      </c>
      <c r="U62" s="104">
        <v>4.2649999999999997</v>
      </c>
      <c r="V62" s="105">
        <v>4.4409999999999998</v>
      </c>
      <c r="W62" s="105">
        <f t="shared" si="0"/>
        <v>4.0005936249505876</v>
      </c>
    </row>
    <row r="63" spans="1:23" x14ac:dyDescent="0.35">
      <c r="A63" s="95" t="s">
        <v>231</v>
      </c>
      <c r="B63" s="95" t="s">
        <v>644</v>
      </c>
      <c r="C63" s="103">
        <v>4.283743954922925</v>
      </c>
      <c r="D63" s="104">
        <v>4.5348375618438741</v>
      </c>
      <c r="E63" s="105">
        <v>4.1477466898679483</v>
      </c>
      <c r="G63" s="117" t="s">
        <v>591</v>
      </c>
      <c r="H63" s="115">
        <v>80.727500391697276</v>
      </c>
      <c r="I63" s="107">
        <v>46</v>
      </c>
      <c r="J63" s="108">
        <v>31</v>
      </c>
      <c r="K63" s="95"/>
      <c r="L63" s="103">
        <v>6.3690083063386043</v>
      </c>
      <c r="M63" s="104">
        <v>3.6213053519627643</v>
      </c>
      <c r="N63" s="104">
        <v>4.4319248230907649</v>
      </c>
      <c r="O63" s="104">
        <v>3.0270000000000001</v>
      </c>
      <c r="P63" s="104">
        <v>2.9060000000000001</v>
      </c>
      <c r="Q63" s="104">
        <v>4.843</v>
      </c>
      <c r="R63" s="104">
        <v>4.843</v>
      </c>
      <c r="S63" s="104">
        <v>4.9820000000000002</v>
      </c>
      <c r="T63" s="104">
        <v>-6.76</v>
      </c>
      <c r="U63" s="104">
        <v>10.465999999999999</v>
      </c>
      <c r="V63" s="105">
        <v>10.109</v>
      </c>
      <c r="W63" s="105">
        <f t="shared" si="0"/>
        <v>4.3412921258559116</v>
      </c>
    </row>
    <row r="64" spans="1:23" x14ac:dyDescent="0.35">
      <c r="A64" s="95" t="s">
        <v>231</v>
      </c>
      <c r="B64" s="95" t="s">
        <v>645</v>
      </c>
      <c r="C64" s="103">
        <v>0.19639292345923209</v>
      </c>
      <c r="D64" s="104">
        <v>0.54722001304448042</v>
      </c>
      <c r="E64" s="105">
        <v>1.1791658469401556</v>
      </c>
      <c r="G64" s="117" t="s">
        <v>422</v>
      </c>
      <c r="H64" s="115">
        <v>96.79194200114037</v>
      </c>
      <c r="I64" s="107">
        <v>8</v>
      </c>
      <c r="J64" s="108">
        <v>6</v>
      </c>
      <c r="K64" s="95"/>
      <c r="L64" s="103">
        <v>0.41955108005357267</v>
      </c>
      <c r="M64" s="104">
        <v>0.42824326167218907</v>
      </c>
      <c r="N64" s="104">
        <v>2.2256887491492803</v>
      </c>
      <c r="O64" s="104">
        <v>1.4870000000000001</v>
      </c>
      <c r="P64" s="104">
        <v>2.23</v>
      </c>
      <c r="Q64" s="104">
        <v>2.68</v>
      </c>
      <c r="R64" s="104">
        <v>0.98399999999999999</v>
      </c>
      <c r="S64" s="104">
        <v>1.054</v>
      </c>
      <c r="T64" s="104">
        <v>-3.6920000000000002</v>
      </c>
      <c r="U64" s="104">
        <v>2.625</v>
      </c>
      <c r="V64" s="105">
        <v>1.778</v>
      </c>
      <c r="W64" s="105">
        <f t="shared" si="0"/>
        <v>0.863192929992318</v>
      </c>
    </row>
    <row r="65" spans="1:23" x14ac:dyDescent="0.35">
      <c r="A65" s="95" t="s">
        <v>589</v>
      </c>
      <c r="B65" s="95" t="s">
        <v>646</v>
      </c>
      <c r="C65" s="103">
        <v>3.0107142168638523</v>
      </c>
      <c r="D65" s="104">
        <v>4.8285507296226937</v>
      </c>
      <c r="E65" s="105">
        <v>4.7980640567336197</v>
      </c>
      <c r="G65" s="117" t="s">
        <v>405</v>
      </c>
      <c r="H65" s="115">
        <v>69.704517199471169</v>
      </c>
      <c r="I65" s="107">
        <v>89</v>
      </c>
      <c r="J65" s="108">
        <v>13</v>
      </c>
      <c r="K65" s="95"/>
      <c r="L65" s="103">
        <v>9.2927894045967889</v>
      </c>
      <c r="M65" s="104">
        <v>7.3125250073312458</v>
      </c>
      <c r="N65" s="104">
        <v>2.8974388369154251</v>
      </c>
      <c r="O65" s="104">
        <v>2.121</v>
      </c>
      <c r="P65" s="104">
        <v>3.3730000000000002</v>
      </c>
      <c r="Q65" s="104">
        <v>8.1289999999999996</v>
      </c>
      <c r="R65" s="104">
        <v>6.2</v>
      </c>
      <c r="S65" s="104">
        <v>6.508</v>
      </c>
      <c r="T65" s="104">
        <v>0.51400000000000001</v>
      </c>
      <c r="U65" s="104">
        <v>5.3559999999999999</v>
      </c>
      <c r="V65" s="105">
        <v>3.2189999999999999</v>
      </c>
      <c r="W65" s="105">
        <f t="shared" si="0"/>
        <v>4.8133073931781567</v>
      </c>
    </row>
    <row r="66" spans="1:23" x14ac:dyDescent="0.35">
      <c r="A66" s="95" t="s">
        <v>231</v>
      </c>
      <c r="B66" s="95" t="s">
        <v>647</v>
      </c>
      <c r="C66" s="103">
        <v>1.4800990034344652</v>
      </c>
      <c r="D66" s="104">
        <v>1.2580147511245698</v>
      </c>
      <c r="E66" s="105">
        <v>0.45671215262543807</v>
      </c>
      <c r="G66" s="117" t="s">
        <v>422</v>
      </c>
      <c r="H66" s="115">
        <v>87.308557455608167</v>
      </c>
      <c r="I66" s="107">
        <v>31</v>
      </c>
      <c r="J66" s="108">
        <v>20</v>
      </c>
      <c r="K66" s="95"/>
      <c r="L66" s="103">
        <v>-7.3004939606978656</v>
      </c>
      <c r="M66" s="104">
        <v>-3.2414250560129267</v>
      </c>
      <c r="N66" s="104">
        <v>0.73977713855774985</v>
      </c>
      <c r="O66" s="104">
        <v>-0.19600000000000001</v>
      </c>
      <c r="P66" s="104">
        <v>-0.48699999999999999</v>
      </c>
      <c r="Q66" s="104">
        <v>1.0920000000000001</v>
      </c>
      <c r="R66" s="104">
        <v>1.6679999999999999</v>
      </c>
      <c r="S66" s="104">
        <v>1.8839999999999999</v>
      </c>
      <c r="T66" s="104">
        <v>-9.0039999999999996</v>
      </c>
      <c r="U66" s="104">
        <v>8.4339999999999993</v>
      </c>
      <c r="V66" s="105">
        <v>5.9139999999999997</v>
      </c>
      <c r="W66" s="105">
        <f t="shared" si="0"/>
        <v>0.85736345187500396</v>
      </c>
    </row>
    <row r="67" spans="1:23" x14ac:dyDescent="0.35">
      <c r="A67" s="95" t="s">
        <v>593</v>
      </c>
      <c r="B67" s="95" t="s">
        <v>648</v>
      </c>
      <c r="C67" s="103">
        <v>3.3306625930319189</v>
      </c>
      <c r="D67" s="104">
        <v>3.4919746764532578</v>
      </c>
      <c r="E67" s="105">
        <v>3.5384372691175781</v>
      </c>
      <c r="G67" s="117" t="s">
        <v>405</v>
      </c>
      <c r="H67" s="115">
        <v>71.336652243067974</v>
      </c>
      <c r="I67" s="107">
        <v>82</v>
      </c>
      <c r="J67" s="108">
        <v>10</v>
      </c>
      <c r="K67" s="95"/>
      <c r="L67" s="103">
        <v>2.9698574079878068</v>
      </c>
      <c r="M67" s="104">
        <v>3.6975861001947585</v>
      </c>
      <c r="N67" s="104">
        <v>4.4439780738522474</v>
      </c>
      <c r="O67" s="104">
        <v>4.0919999999999996</v>
      </c>
      <c r="P67" s="104">
        <v>2.6779999999999999</v>
      </c>
      <c r="Q67" s="104">
        <v>3.08</v>
      </c>
      <c r="R67" s="104">
        <v>3.407</v>
      </c>
      <c r="S67" s="104">
        <v>4.0019999999999998</v>
      </c>
      <c r="T67" s="104">
        <v>-1.764</v>
      </c>
      <c r="U67" s="104">
        <v>7.9809999999999999</v>
      </c>
      <c r="V67" s="105">
        <v>4.0090000000000003</v>
      </c>
      <c r="W67" s="105">
        <f t="shared" si="0"/>
        <v>3.5152059727854179</v>
      </c>
    </row>
    <row r="68" spans="1:23" x14ac:dyDescent="0.35">
      <c r="A68" s="95" t="s">
        <v>589</v>
      </c>
      <c r="B68" s="95" t="s">
        <v>649</v>
      </c>
      <c r="C68" s="103">
        <v>4.3705772513408236</v>
      </c>
      <c r="D68" s="104">
        <v>4.9898667622307658</v>
      </c>
      <c r="E68" s="105">
        <v>5.729233966321412</v>
      </c>
      <c r="G68" s="117" t="s">
        <v>587</v>
      </c>
      <c r="H68" s="115">
        <v>50.297438492745087</v>
      </c>
      <c r="I68" s="107">
        <v>138</v>
      </c>
      <c r="J68" s="108">
        <v>36</v>
      </c>
      <c r="K68" s="95"/>
      <c r="L68" s="103">
        <v>5.9152881384417997</v>
      </c>
      <c r="M68" s="104">
        <v>3.9456854305126305</v>
      </c>
      <c r="N68" s="104">
        <v>3.6965411823164165</v>
      </c>
      <c r="O68" s="104">
        <v>3.8260000000000001</v>
      </c>
      <c r="P68" s="104">
        <v>10.821</v>
      </c>
      <c r="Q68" s="104">
        <v>10.3</v>
      </c>
      <c r="R68" s="104">
        <v>6.3579999999999997</v>
      </c>
      <c r="S68" s="104">
        <v>5.617</v>
      </c>
      <c r="T68" s="104">
        <v>4.92</v>
      </c>
      <c r="U68" s="104">
        <v>4.2919999999999998</v>
      </c>
      <c r="V68" s="105">
        <v>4.2939999999999996</v>
      </c>
      <c r="W68" s="105">
        <f t="shared" si="0"/>
        <v>5.3595503642760889</v>
      </c>
    </row>
    <row r="69" spans="1:23" x14ac:dyDescent="0.35">
      <c r="A69" s="95" t="s">
        <v>589</v>
      </c>
      <c r="B69" s="95" t="s">
        <v>650</v>
      </c>
      <c r="C69" s="103">
        <v>1.5927018196488341</v>
      </c>
      <c r="D69" s="104">
        <v>2.1053991541019057</v>
      </c>
      <c r="E69" s="105">
        <v>3.2889383993762955</v>
      </c>
      <c r="G69" s="117" t="s">
        <v>587</v>
      </c>
      <c r="H69" s="115">
        <v>54.70982708603303</v>
      </c>
      <c r="I69" s="107">
        <v>134</v>
      </c>
      <c r="J69" s="108">
        <v>34</v>
      </c>
      <c r="K69" s="95"/>
      <c r="L69" s="103">
        <v>-1.7126830118107121</v>
      </c>
      <c r="M69" s="104">
        <v>3.255904265176933</v>
      </c>
      <c r="N69" s="104">
        <v>0.96456075098132787</v>
      </c>
      <c r="O69" s="104">
        <v>6.1340000000000003</v>
      </c>
      <c r="P69" s="104">
        <v>5.3070000000000004</v>
      </c>
      <c r="Q69" s="104">
        <v>4.7889999999999997</v>
      </c>
      <c r="R69" s="104">
        <v>3.7610000000000001</v>
      </c>
      <c r="S69" s="104">
        <v>4.5</v>
      </c>
      <c r="T69" s="104">
        <v>1.5</v>
      </c>
      <c r="U69" s="104">
        <v>6.4</v>
      </c>
      <c r="V69" s="105">
        <v>3.5</v>
      </c>
      <c r="W69" s="105">
        <f t="shared" si="0"/>
        <v>2.6971687767391006</v>
      </c>
    </row>
    <row r="70" spans="1:23" x14ac:dyDescent="0.35">
      <c r="A70" s="95" t="s">
        <v>593</v>
      </c>
      <c r="B70" s="95" t="s">
        <v>651</v>
      </c>
      <c r="C70" s="103">
        <v>40.872083180158647</v>
      </c>
      <c r="D70" s="104">
        <v>25.198248131969379</v>
      </c>
      <c r="E70" s="105">
        <v>13.395686805616647</v>
      </c>
      <c r="G70" s="117" t="s">
        <v>587</v>
      </c>
      <c r="H70" s="115">
        <v>56.740934863022261</v>
      </c>
      <c r="I70" s="107">
        <v>129</v>
      </c>
      <c r="J70" s="108">
        <v>21</v>
      </c>
      <c r="K70" s="95"/>
      <c r="L70" s="103">
        <v>5.3836234687298372</v>
      </c>
      <c r="M70" s="104">
        <v>3.6535047680067998</v>
      </c>
      <c r="N70" s="104">
        <v>1.6860277321410588</v>
      </c>
      <c r="O70" s="104">
        <v>0.68700000000000006</v>
      </c>
      <c r="P70" s="104">
        <v>3.8069999999999999</v>
      </c>
      <c r="Q70" s="104">
        <v>3.734</v>
      </c>
      <c r="R70" s="104">
        <v>4.4409999999999998</v>
      </c>
      <c r="S70" s="104">
        <v>5.3529999999999998</v>
      </c>
      <c r="T70" s="104">
        <v>43.48</v>
      </c>
      <c r="U70" s="104">
        <v>20.059999999999999</v>
      </c>
      <c r="V70" s="105">
        <v>62.287999999999997</v>
      </c>
      <c r="W70" s="105">
        <f t="shared" si="0"/>
        <v>19.296967468793014</v>
      </c>
    </row>
    <row r="71" spans="1:23" x14ac:dyDescent="0.35">
      <c r="A71" s="95" t="s">
        <v>593</v>
      </c>
      <c r="B71" s="95" t="s">
        <v>652</v>
      </c>
      <c r="C71" s="103">
        <v>-0.34574931867293879</v>
      </c>
      <c r="D71" s="104">
        <v>0.64565822904871784</v>
      </c>
      <c r="E71" s="105">
        <v>2.5156599586003026</v>
      </c>
      <c r="G71" s="117" t="s">
        <v>587</v>
      </c>
      <c r="H71" s="115">
        <v>54.401198784391461</v>
      </c>
      <c r="I71" s="107">
        <v>135</v>
      </c>
      <c r="J71" s="108">
        <v>22</v>
      </c>
      <c r="K71" s="95"/>
      <c r="L71" s="103">
        <v>-7.4695954800602468E-2</v>
      </c>
      <c r="M71" s="104">
        <v>9.2111856449685803</v>
      </c>
      <c r="N71" s="104">
        <v>1.9148137793287729</v>
      </c>
      <c r="O71" s="104">
        <v>2.5630000000000002</v>
      </c>
      <c r="P71" s="104">
        <v>1.8120000000000001</v>
      </c>
      <c r="Q71" s="104">
        <v>2.5099999999999998</v>
      </c>
      <c r="R71" s="104">
        <v>1.6679999999999999</v>
      </c>
      <c r="S71" s="104">
        <v>-1.6850000000000001</v>
      </c>
      <c r="T71" s="104">
        <v>-3.343</v>
      </c>
      <c r="U71" s="104">
        <v>-1.798</v>
      </c>
      <c r="V71" s="105">
        <v>-1.6819999999999999</v>
      </c>
      <c r="W71" s="105">
        <f t="shared" si="0"/>
        <v>1.5806590938245102</v>
      </c>
    </row>
    <row r="72" spans="1:23" x14ac:dyDescent="0.35">
      <c r="A72" s="95" t="s">
        <v>593</v>
      </c>
      <c r="B72" s="95" t="s">
        <v>653</v>
      </c>
      <c r="C72" s="103">
        <v>2.1352529558121391</v>
      </c>
      <c r="D72" s="104">
        <v>2.5786313755856494</v>
      </c>
      <c r="E72" s="105">
        <v>3.1291474397337593</v>
      </c>
      <c r="G72" s="117" t="s">
        <v>587</v>
      </c>
      <c r="H72" s="115">
        <v>39.565152370912173</v>
      </c>
      <c r="I72" s="107">
        <v>152</v>
      </c>
      <c r="J72" s="108">
        <v>24</v>
      </c>
      <c r="K72" s="95"/>
      <c r="L72" s="103">
        <v>4.1286877486693667</v>
      </c>
      <c r="M72" s="104">
        <v>2.7915597574680358</v>
      </c>
      <c r="N72" s="104">
        <v>3.0580805621437066</v>
      </c>
      <c r="O72" s="104">
        <v>3.84</v>
      </c>
      <c r="P72" s="104">
        <v>3.8929999999999998</v>
      </c>
      <c r="Q72" s="104">
        <v>4.843</v>
      </c>
      <c r="R72" s="104">
        <v>3.8450000000000002</v>
      </c>
      <c r="S72" s="104">
        <v>2.653</v>
      </c>
      <c r="T72" s="104">
        <v>-8.9649999999999999</v>
      </c>
      <c r="U72" s="104">
        <v>12.534000000000001</v>
      </c>
      <c r="V72" s="105">
        <v>4</v>
      </c>
      <c r="W72" s="105">
        <f t="shared" si="0"/>
        <v>2.8538894076597043</v>
      </c>
    </row>
    <row r="73" spans="1:23" x14ac:dyDescent="0.35">
      <c r="A73" s="95" t="s">
        <v>585</v>
      </c>
      <c r="B73" s="95" t="s">
        <v>654</v>
      </c>
      <c r="C73" s="103">
        <v>-1.3866109004180949</v>
      </c>
      <c r="D73" s="104">
        <v>-0.61127068207094126</v>
      </c>
      <c r="E73" s="105">
        <v>1.1000622223137801</v>
      </c>
      <c r="G73" s="117" t="s">
        <v>422</v>
      </c>
      <c r="H73" s="115">
        <v>95.561927385722356</v>
      </c>
      <c r="I73" s="107">
        <v>18</v>
      </c>
      <c r="J73" s="108">
        <v>5</v>
      </c>
      <c r="K73" s="95"/>
      <c r="L73" s="103">
        <v>1.7002747714417163</v>
      </c>
      <c r="M73" s="104">
        <v>3.1015497799994041</v>
      </c>
      <c r="N73" s="104">
        <v>2.7623919976975242</v>
      </c>
      <c r="O73" s="104">
        <v>2.3879999999999999</v>
      </c>
      <c r="P73" s="104">
        <v>2.1749999999999998</v>
      </c>
      <c r="Q73" s="104">
        <v>3.7959999999999998</v>
      </c>
      <c r="R73" s="104">
        <v>2.847</v>
      </c>
      <c r="S73" s="104">
        <v>-1.6719999999999999</v>
      </c>
      <c r="T73" s="104">
        <v>-6.5449999999999999</v>
      </c>
      <c r="U73" s="104">
        <v>6.4480000000000004</v>
      </c>
      <c r="V73" s="105">
        <v>-3.5070000000000001</v>
      </c>
      <c r="W73" s="105">
        <f t="shared" si="0"/>
        <v>0.24439577012141944</v>
      </c>
    </row>
    <row r="74" spans="1:23" x14ac:dyDescent="0.35">
      <c r="A74" s="95" t="s">
        <v>231</v>
      </c>
      <c r="B74" s="95" t="s">
        <v>655</v>
      </c>
      <c r="C74" s="103">
        <v>2.362570497371097</v>
      </c>
      <c r="D74" s="104">
        <v>3.4329643388785636</v>
      </c>
      <c r="E74" s="105">
        <v>3.366609258538622</v>
      </c>
      <c r="G74" s="117" t="s">
        <v>405</v>
      </c>
      <c r="H74" s="115">
        <v>75.842312832768172</v>
      </c>
      <c r="I74" s="107">
        <v>67</v>
      </c>
      <c r="J74" s="108">
        <v>37</v>
      </c>
      <c r="K74" s="95"/>
      <c r="L74" s="103">
        <v>-1.4717888510830746</v>
      </c>
      <c r="M74" s="104">
        <v>1.9629840486290608</v>
      </c>
      <c r="N74" s="104">
        <v>4.1950824094780925</v>
      </c>
      <c r="O74" s="104">
        <v>3.7069999999999999</v>
      </c>
      <c r="P74" s="104">
        <v>2.2010000000000001</v>
      </c>
      <c r="Q74" s="104">
        <v>4.2720000000000002</v>
      </c>
      <c r="R74" s="104">
        <v>5.3620000000000001</v>
      </c>
      <c r="S74" s="104">
        <v>4.8579999999999997</v>
      </c>
      <c r="T74" s="104">
        <v>-4.5469999999999997</v>
      </c>
      <c r="U74" s="104">
        <v>7.117</v>
      </c>
      <c r="V74" s="105">
        <v>4.9000000000000004</v>
      </c>
      <c r="W74" s="105">
        <f t="shared" si="0"/>
        <v>3.3997867987085928</v>
      </c>
    </row>
    <row r="75" spans="1:23" x14ac:dyDescent="0.35">
      <c r="A75" s="95" t="s">
        <v>231</v>
      </c>
      <c r="B75" s="95" t="s">
        <v>656</v>
      </c>
      <c r="C75" s="103">
        <v>1.1623871589995449</v>
      </c>
      <c r="D75" s="104">
        <v>2.1481166990517275</v>
      </c>
      <c r="E75" s="105">
        <v>3.1810733517810608</v>
      </c>
      <c r="G75" s="117" t="s">
        <v>422</v>
      </c>
      <c r="H75" s="115">
        <v>95.11269526919466</v>
      </c>
      <c r="I75" s="107">
        <v>19</v>
      </c>
      <c r="J75" s="108">
        <v>12</v>
      </c>
      <c r="K75" s="95"/>
      <c r="L75" s="103">
        <v>1.0636366074376145</v>
      </c>
      <c r="M75" s="104">
        <v>4.5524603201510816</v>
      </c>
      <c r="N75" s="104">
        <v>1.687215017506406</v>
      </c>
      <c r="O75" s="104">
        <v>4.4370000000000003</v>
      </c>
      <c r="P75" s="104">
        <v>6.3040000000000003</v>
      </c>
      <c r="Q75" s="104">
        <v>4.1950000000000003</v>
      </c>
      <c r="R75" s="104">
        <v>4.8890000000000002</v>
      </c>
      <c r="S75" s="104">
        <v>1.8049999999999999</v>
      </c>
      <c r="T75" s="104">
        <v>-7.242</v>
      </c>
      <c r="U75" s="104">
        <v>4.3330000000000002</v>
      </c>
      <c r="V75" s="105">
        <v>6.4450000000000003</v>
      </c>
      <c r="W75" s="105">
        <f t="shared" ref="W75:W138" si="1">AVERAGE(D75,E75)</f>
        <v>2.6645950254163941</v>
      </c>
    </row>
    <row r="76" spans="1:23" x14ac:dyDescent="0.35">
      <c r="A76" s="95" t="s">
        <v>585</v>
      </c>
      <c r="B76" s="95" t="s">
        <v>657</v>
      </c>
      <c r="C76" s="103">
        <v>2.7398620097403459</v>
      </c>
      <c r="D76" s="104">
        <v>3.6623835250989556</v>
      </c>
      <c r="E76" s="105">
        <v>5.5227254922200597</v>
      </c>
      <c r="G76" s="117" t="s">
        <v>429</v>
      </c>
      <c r="H76" s="115">
        <v>66.198052259063019</v>
      </c>
      <c r="I76" s="107">
        <v>109</v>
      </c>
      <c r="J76" s="108">
        <v>21</v>
      </c>
      <c r="K76" s="95"/>
      <c r="L76" s="103">
        <v>5.4563589507228496</v>
      </c>
      <c r="M76" s="104">
        <v>6.3861064009482602</v>
      </c>
      <c r="N76" s="104">
        <v>7.410227605088517</v>
      </c>
      <c r="O76" s="104">
        <v>7.9960000000000004</v>
      </c>
      <c r="P76" s="104">
        <v>8.2560000000000002</v>
      </c>
      <c r="Q76" s="104">
        <v>6.7949999999999999</v>
      </c>
      <c r="R76" s="104">
        <v>6.4539999999999997</v>
      </c>
      <c r="S76" s="104">
        <v>3.871</v>
      </c>
      <c r="T76" s="104">
        <v>-5.8310000000000004</v>
      </c>
      <c r="U76" s="104">
        <v>9.0500000000000007</v>
      </c>
      <c r="V76" s="105">
        <v>6.8310000000000004</v>
      </c>
      <c r="W76" s="105">
        <f t="shared" si="1"/>
        <v>4.5925545086595072</v>
      </c>
    </row>
    <row r="77" spans="1:23" x14ac:dyDescent="0.35">
      <c r="A77" s="95" t="s">
        <v>585</v>
      </c>
      <c r="B77" s="95" t="s">
        <v>658</v>
      </c>
      <c r="C77" s="103">
        <v>2.2622053552423305</v>
      </c>
      <c r="D77" s="104">
        <v>3.3867361875690394</v>
      </c>
      <c r="E77" s="105">
        <v>4.2439953782461792</v>
      </c>
      <c r="G77" s="117" t="s">
        <v>405</v>
      </c>
      <c r="H77" s="115">
        <v>71.158529876167961</v>
      </c>
      <c r="I77" s="107">
        <v>83</v>
      </c>
      <c r="J77" s="108">
        <v>14</v>
      </c>
      <c r="K77" s="95"/>
      <c r="L77" s="103">
        <v>6.0300506530561035</v>
      </c>
      <c r="M77" s="104">
        <v>5.5572636889101181</v>
      </c>
      <c r="N77" s="104">
        <v>5.0066684257549943</v>
      </c>
      <c r="O77" s="104">
        <v>4.8760000000000003</v>
      </c>
      <c r="P77" s="104">
        <v>5.0330000000000004</v>
      </c>
      <c r="Q77" s="104">
        <v>5.07</v>
      </c>
      <c r="R77" s="104">
        <v>5.1740000000000004</v>
      </c>
      <c r="S77" s="104">
        <v>5.0190000000000001</v>
      </c>
      <c r="T77" s="104">
        <v>-2.0659999999999998</v>
      </c>
      <c r="U77" s="104">
        <v>3.7029999999999998</v>
      </c>
      <c r="V77" s="105">
        <v>5.3090000000000002</v>
      </c>
      <c r="W77" s="105">
        <f t="shared" si="1"/>
        <v>3.8153657829076093</v>
      </c>
    </row>
    <row r="78" spans="1:23" x14ac:dyDescent="0.35">
      <c r="A78" s="95" t="s">
        <v>231</v>
      </c>
      <c r="B78" s="95" t="s">
        <v>659</v>
      </c>
      <c r="C78" s="103">
        <v>10.534737934438866</v>
      </c>
      <c r="D78" s="104">
        <v>8.9900271540683807</v>
      </c>
      <c r="E78" s="105">
        <v>9.0332345891797274</v>
      </c>
      <c r="G78" s="117" t="s">
        <v>422</v>
      </c>
      <c r="H78" s="115">
        <v>96.106887509545572</v>
      </c>
      <c r="I78" s="107">
        <v>12</v>
      </c>
      <c r="J78" s="108">
        <v>9</v>
      </c>
      <c r="K78" s="95"/>
      <c r="L78" s="103">
        <v>0.22571484300232808</v>
      </c>
      <c r="M78" s="104">
        <v>1.3516340039407124</v>
      </c>
      <c r="N78" s="104">
        <v>8.5566879851340367</v>
      </c>
      <c r="O78" s="104">
        <v>24.370999999999999</v>
      </c>
      <c r="P78" s="104">
        <v>2.0070000000000001</v>
      </c>
      <c r="Q78" s="104">
        <v>9.0050000000000008</v>
      </c>
      <c r="R78" s="104">
        <v>8.5280000000000005</v>
      </c>
      <c r="S78" s="104">
        <v>5.4409999999999998</v>
      </c>
      <c r="T78" s="104">
        <v>6.1840000000000002</v>
      </c>
      <c r="U78" s="104">
        <v>13.587999999999999</v>
      </c>
      <c r="V78" s="105">
        <v>11.97</v>
      </c>
      <c r="W78" s="105">
        <f t="shared" si="1"/>
        <v>9.0116308716240532</v>
      </c>
    </row>
    <row r="79" spans="1:23" x14ac:dyDescent="0.35">
      <c r="A79" s="95" t="s">
        <v>600</v>
      </c>
      <c r="B79" s="95" t="s">
        <v>660</v>
      </c>
      <c r="C79" s="103">
        <v>4.2964072248328211</v>
      </c>
      <c r="D79" s="104">
        <v>4.3056817639917977</v>
      </c>
      <c r="E79" s="105">
        <v>3.9225915638386066</v>
      </c>
      <c r="G79" s="117" t="s">
        <v>422</v>
      </c>
      <c r="H79" s="115">
        <v>91.08708937267636</v>
      </c>
      <c r="I79" s="107">
        <v>24</v>
      </c>
      <c r="J79" s="108">
        <v>2</v>
      </c>
      <c r="K79" s="95"/>
      <c r="L79" s="103">
        <v>2.2572375479441442</v>
      </c>
      <c r="M79" s="104">
        <v>4.1480545517150818</v>
      </c>
      <c r="N79" s="104">
        <v>3.7582001903069706</v>
      </c>
      <c r="O79" s="104">
        <v>2.4860000000000002</v>
      </c>
      <c r="P79" s="104">
        <v>4.5220000000000002</v>
      </c>
      <c r="Q79" s="104">
        <v>4.2759999999999998</v>
      </c>
      <c r="R79" s="104">
        <v>4.07</v>
      </c>
      <c r="S79" s="104">
        <v>4.1559999999999997</v>
      </c>
      <c r="T79" s="104">
        <v>-1.857</v>
      </c>
      <c r="U79" s="104">
        <v>8.6120000000000001</v>
      </c>
      <c r="V79" s="105">
        <v>6.4320000000000004</v>
      </c>
      <c r="W79" s="105">
        <f t="shared" si="1"/>
        <v>4.1141366639152022</v>
      </c>
    </row>
    <row r="80" spans="1:23" x14ac:dyDescent="0.35">
      <c r="A80" s="95" t="s">
        <v>231</v>
      </c>
      <c r="B80" s="95" t="s">
        <v>661</v>
      </c>
      <c r="C80" s="103">
        <v>0.2182802501019987</v>
      </c>
      <c r="D80" s="104">
        <v>0.31439174572445161</v>
      </c>
      <c r="E80" s="105">
        <v>0.34271436280863821</v>
      </c>
      <c r="G80" s="117" t="s">
        <v>422</v>
      </c>
      <c r="H80" s="115">
        <v>88.947746010825512</v>
      </c>
      <c r="I80" s="107">
        <v>29</v>
      </c>
      <c r="J80" s="108">
        <v>18</v>
      </c>
      <c r="K80" s="95"/>
      <c r="L80" s="103">
        <v>-2.9809057682377182</v>
      </c>
      <c r="M80" s="104">
        <v>-1.8410654508824811</v>
      </c>
      <c r="N80" s="104">
        <v>-4.5475423638333965E-3</v>
      </c>
      <c r="O80" s="104">
        <v>0.77800000000000002</v>
      </c>
      <c r="P80" s="104">
        <v>1.2929999999999999</v>
      </c>
      <c r="Q80" s="104">
        <v>1.6679999999999999</v>
      </c>
      <c r="R80" s="104">
        <v>0.92600000000000005</v>
      </c>
      <c r="S80" s="104">
        <v>0.48299999999999998</v>
      </c>
      <c r="T80" s="104">
        <v>-8.9789999999999992</v>
      </c>
      <c r="U80" s="104">
        <v>6.9870000000000001</v>
      </c>
      <c r="V80" s="105">
        <v>3.6749999999999998</v>
      </c>
      <c r="W80" s="105">
        <f t="shared" si="1"/>
        <v>0.32855305426654491</v>
      </c>
    </row>
    <row r="81" spans="1:23" x14ac:dyDescent="0.35">
      <c r="A81" s="95" t="s">
        <v>593</v>
      </c>
      <c r="B81" s="95" t="s">
        <v>662</v>
      </c>
      <c r="C81" s="103">
        <v>-0.70306474958997667</v>
      </c>
      <c r="D81" s="104">
        <v>0.12887839009743107</v>
      </c>
      <c r="E81" s="105">
        <v>0.51362317164571625</v>
      </c>
      <c r="G81" s="117" t="s">
        <v>587</v>
      </c>
      <c r="H81" s="115">
        <v>53.312824662633638</v>
      </c>
      <c r="I81" s="107">
        <v>137</v>
      </c>
      <c r="J81" s="108">
        <v>23</v>
      </c>
      <c r="K81" s="95"/>
      <c r="L81" s="103">
        <v>-0.61363603986913318</v>
      </c>
      <c r="M81" s="104">
        <v>0.51768601280242099</v>
      </c>
      <c r="N81" s="104">
        <v>0.68982235737431619</v>
      </c>
      <c r="O81" s="104">
        <v>0.86899999999999999</v>
      </c>
      <c r="P81" s="104">
        <v>1.498</v>
      </c>
      <c r="Q81" s="104">
        <v>0.67900000000000005</v>
      </c>
      <c r="R81" s="104">
        <v>1.827</v>
      </c>
      <c r="S81" s="104">
        <v>0.97</v>
      </c>
      <c r="T81" s="104">
        <v>-9.92</v>
      </c>
      <c r="U81" s="104">
        <v>4.601</v>
      </c>
      <c r="V81" s="105">
        <v>4</v>
      </c>
      <c r="W81" s="105">
        <f t="shared" si="1"/>
        <v>0.32125078087157366</v>
      </c>
    </row>
    <row r="82" spans="1:23" x14ac:dyDescent="0.35">
      <c r="A82" s="95" t="s">
        <v>585</v>
      </c>
      <c r="B82" s="95" t="s">
        <v>663</v>
      </c>
      <c r="C82" s="103">
        <v>-0.63095756344230258</v>
      </c>
      <c r="D82" s="104">
        <v>2.4039609383130767E-3</v>
      </c>
      <c r="E82" s="105">
        <v>0.62673306790392846</v>
      </c>
      <c r="G82" s="117" t="s">
        <v>422</v>
      </c>
      <c r="H82" s="115">
        <v>96.063700314273362</v>
      </c>
      <c r="I82" s="107">
        <v>13</v>
      </c>
      <c r="J82" s="108">
        <v>4</v>
      </c>
      <c r="K82" s="95"/>
      <c r="L82" s="103">
        <v>1.495089585949261</v>
      </c>
      <c r="M82" s="104">
        <v>2.0002678411015018</v>
      </c>
      <c r="N82" s="104">
        <v>0.3747194763313248</v>
      </c>
      <c r="O82" s="104">
        <v>1.5609999999999999</v>
      </c>
      <c r="P82" s="104">
        <v>0.754</v>
      </c>
      <c r="Q82" s="104">
        <v>1.675</v>
      </c>
      <c r="R82" s="104">
        <v>0.64300000000000002</v>
      </c>
      <c r="S82" s="104">
        <v>-0.40200000000000002</v>
      </c>
      <c r="T82" s="104">
        <v>-4.2789999999999999</v>
      </c>
      <c r="U82" s="104">
        <v>2.145</v>
      </c>
      <c r="V82" s="105">
        <v>1.075</v>
      </c>
      <c r="W82" s="105">
        <f t="shared" si="1"/>
        <v>0.31456851442112077</v>
      </c>
    </row>
    <row r="83" spans="1:23" x14ac:dyDescent="0.35">
      <c r="A83" s="95" t="s">
        <v>600</v>
      </c>
      <c r="B83" s="95" t="s">
        <v>664</v>
      </c>
      <c r="C83" s="103">
        <v>1.1049470799269878</v>
      </c>
      <c r="D83" s="104">
        <v>1.8757952650954479</v>
      </c>
      <c r="E83" s="105">
        <v>2.1806440475090172</v>
      </c>
      <c r="G83" s="117" t="s">
        <v>591</v>
      </c>
      <c r="H83" s="115">
        <v>79.514216326138751</v>
      </c>
      <c r="I83" s="107">
        <v>53</v>
      </c>
      <c r="J83" s="108">
        <v>5</v>
      </c>
      <c r="K83" s="95"/>
      <c r="L83" s="103">
        <v>2.6511707480297244</v>
      </c>
      <c r="M83" s="104">
        <v>2.8287666404585154</v>
      </c>
      <c r="N83" s="104">
        <v>3.0963303471105994</v>
      </c>
      <c r="O83" s="104">
        <v>2.496</v>
      </c>
      <c r="P83" s="104">
        <v>1.994</v>
      </c>
      <c r="Q83" s="104">
        <v>2.4740000000000002</v>
      </c>
      <c r="R83" s="104">
        <v>1.919</v>
      </c>
      <c r="S83" s="104">
        <v>1.927</v>
      </c>
      <c r="T83" s="104">
        <v>-1.57</v>
      </c>
      <c r="U83" s="104">
        <v>2.2280000000000002</v>
      </c>
      <c r="V83" s="105">
        <v>2.7109999999999999</v>
      </c>
      <c r="W83" s="105">
        <f t="shared" si="1"/>
        <v>2.0282196563022326</v>
      </c>
    </row>
    <row r="84" spans="1:23" x14ac:dyDescent="0.35">
      <c r="A84" s="95" t="s">
        <v>585</v>
      </c>
      <c r="B84" s="95" t="s">
        <v>665</v>
      </c>
      <c r="C84" s="103">
        <v>1.6270169093285825</v>
      </c>
      <c r="D84" s="104">
        <v>2.6878144462378906</v>
      </c>
      <c r="E84" s="105">
        <v>2.9947418753666133</v>
      </c>
      <c r="G84" s="117" t="s">
        <v>405</v>
      </c>
      <c r="H84" s="115">
        <v>70.400737065727981</v>
      </c>
      <c r="I84" s="107">
        <v>88</v>
      </c>
      <c r="J84" s="108">
        <v>16</v>
      </c>
      <c r="K84" s="95"/>
      <c r="L84" s="103">
        <v>4.7999999999927256</v>
      </c>
      <c r="M84" s="104">
        <v>5.9999999992556203</v>
      </c>
      <c r="N84" s="104">
        <v>4.2000000006304088</v>
      </c>
      <c r="O84" s="104">
        <v>1</v>
      </c>
      <c r="P84" s="104">
        <v>0.9</v>
      </c>
      <c r="Q84" s="104">
        <v>3.9009999999999998</v>
      </c>
      <c r="R84" s="104">
        <v>4.0999999999999996</v>
      </c>
      <c r="S84" s="104">
        <v>4.5</v>
      </c>
      <c r="T84" s="104">
        <v>-2.6</v>
      </c>
      <c r="U84" s="104">
        <v>4.0999999999999996</v>
      </c>
      <c r="V84" s="105">
        <v>3.214</v>
      </c>
      <c r="W84" s="105">
        <f t="shared" si="1"/>
        <v>2.8412781608022519</v>
      </c>
    </row>
    <row r="85" spans="1:23" x14ac:dyDescent="0.35">
      <c r="A85" s="95" t="s">
        <v>589</v>
      </c>
      <c r="B85" s="95" t="s">
        <v>666</v>
      </c>
      <c r="C85" s="103">
        <v>4.1600595320631983</v>
      </c>
      <c r="D85" s="104">
        <v>5.4481436952905637</v>
      </c>
      <c r="E85" s="105">
        <v>5.4875646773576481</v>
      </c>
      <c r="G85" s="117" t="s">
        <v>429</v>
      </c>
      <c r="H85" s="115">
        <v>68.853006787769303</v>
      </c>
      <c r="I85" s="107">
        <v>97</v>
      </c>
      <c r="J85" s="108">
        <v>18</v>
      </c>
      <c r="K85" s="95"/>
      <c r="L85" s="103">
        <v>4.5632091307112006</v>
      </c>
      <c r="M85" s="104">
        <v>5.8786805667541637</v>
      </c>
      <c r="N85" s="104">
        <v>5.3571256444996713</v>
      </c>
      <c r="O85" s="104">
        <v>4.968</v>
      </c>
      <c r="P85" s="104">
        <v>4.2140000000000004</v>
      </c>
      <c r="Q85" s="104">
        <v>3.8159999999999998</v>
      </c>
      <c r="R85" s="104">
        <v>5.6710000000000003</v>
      </c>
      <c r="S85" s="104">
        <v>5.1139999999999999</v>
      </c>
      <c r="T85" s="104">
        <v>-0.25</v>
      </c>
      <c r="U85" s="104">
        <v>7.5170000000000003</v>
      </c>
      <c r="V85" s="105">
        <v>5.3689999999999998</v>
      </c>
      <c r="W85" s="105">
        <f t="shared" si="1"/>
        <v>5.4678541863241055</v>
      </c>
    </row>
    <row r="86" spans="1:23" x14ac:dyDescent="0.35">
      <c r="A86" s="95" t="s">
        <v>585</v>
      </c>
      <c r="B86" s="95" t="s">
        <v>667</v>
      </c>
      <c r="C86" s="103">
        <v>1.9788311578699647</v>
      </c>
      <c r="D86" s="104">
        <v>2.1951704861675969</v>
      </c>
      <c r="E86" s="105">
        <v>2.6249033043728831</v>
      </c>
      <c r="G86" s="117" t="s">
        <v>422</v>
      </c>
      <c r="H86" s="115">
        <v>90.58627012288828</v>
      </c>
      <c r="I86" s="107">
        <v>26</v>
      </c>
      <c r="J86" s="108">
        <v>6</v>
      </c>
      <c r="K86" s="95"/>
      <c r="L86" s="103">
        <v>2.4025309924618736</v>
      </c>
      <c r="M86" s="104">
        <v>3.1647086364718322</v>
      </c>
      <c r="N86" s="104">
        <v>3.2024537945736018</v>
      </c>
      <c r="O86" s="104">
        <v>2.8090000000000002</v>
      </c>
      <c r="P86" s="104">
        <v>2.9470000000000001</v>
      </c>
      <c r="Q86" s="104">
        <v>3.16</v>
      </c>
      <c r="R86" s="104">
        <v>2.907</v>
      </c>
      <c r="S86" s="104">
        <v>2.2440000000000002</v>
      </c>
      <c r="T86" s="104">
        <v>-0.70899999999999996</v>
      </c>
      <c r="U86" s="104">
        <v>4.1449999999999996</v>
      </c>
      <c r="V86" s="105">
        <v>2.5609999999999999</v>
      </c>
      <c r="W86" s="105">
        <f t="shared" si="1"/>
        <v>2.41003689527024</v>
      </c>
    </row>
    <row r="87" spans="1:23" x14ac:dyDescent="0.35">
      <c r="A87" s="95" t="s">
        <v>600</v>
      </c>
      <c r="B87" s="95" t="s">
        <v>668</v>
      </c>
      <c r="C87" s="103">
        <v>2.9560258753336122E-2</v>
      </c>
      <c r="D87" s="104">
        <v>0.3483533742255629</v>
      </c>
      <c r="E87" s="105">
        <v>0.20315822263521355</v>
      </c>
      <c r="G87" s="117" t="s">
        <v>429</v>
      </c>
      <c r="H87" s="115">
        <v>67.205820265011681</v>
      </c>
      <c r="I87" s="107">
        <v>105</v>
      </c>
      <c r="J87" s="108">
        <v>10</v>
      </c>
      <c r="K87" s="95"/>
      <c r="L87" s="103">
        <v>6.6258183001417628</v>
      </c>
      <c r="M87" s="104">
        <v>1.1493004370652051</v>
      </c>
      <c r="N87" s="104">
        <v>0.5008769821586383</v>
      </c>
      <c r="O87" s="104">
        <v>0.59299999999999997</v>
      </c>
      <c r="P87" s="104">
        <v>2.9260000000000002</v>
      </c>
      <c r="Q87" s="104">
        <v>-4.7140000000000004</v>
      </c>
      <c r="R87" s="104">
        <v>2.4369999999999998</v>
      </c>
      <c r="S87" s="104">
        <v>-0.55200000000000005</v>
      </c>
      <c r="T87" s="104">
        <v>-8.8550000000000004</v>
      </c>
      <c r="U87" s="104">
        <v>1.3080000000000001</v>
      </c>
      <c r="V87" s="105">
        <v>8.1769999999999996</v>
      </c>
      <c r="W87" s="105">
        <f t="shared" si="1"/>
        <v>0.27575579843038822</v>
      </c>
    </row>
    <row r="88" spans="1:23" x14ac:dyDescent="0.35">
      <c r="A88" s="95" t="s">
        <v>585</v>
      </c>
      <c r="B88" s="95" t="s">
        <v>669</v>
      </c>
      <c r="C88" s="103">
        <v>0.51489333561212103</v>
      </c>
      <c r="D88" s="104">
        <v>1.9645834232370651</v>
      </c>
      <c r="E88" s="105">
        <v>3.7392958747352045</v>
      </c>
      <c r="G88" s="117" t="s">
        <v>405</v>
      </c>
      <c r="H88" s="115">
        <v>70.898067394091115</v>
      </c>
      <c r="I88" s="107">
        <v>86</v>
      </c>
      <c r="J88" s="108">
        <v>15</v>
      </c>
      <c r="K88" s="95"/>
      <c r="L88" s="103">
        <v>-8.8150201010635656E-2</v>
      </c>
      <c r="M88" s="104">
        <v>10.915469454314421</v>
      </c>
      <c r="N88" s="104">
        <v>4.024038625768628</v>
      </c>
      <c r="O88" s="104">
        <v>3.8759999999999999</v>
      </c>
      <c r="P88" s="104">
        <v>4.3360000000000003</v>
      </c>
      <c r="Q88" s="104">
        <v>4.74</v>
      </c>
      <c r="R88" s="104">
        <v>3.4590000000000001</v>
      </c>
      <c r="S88" s="104">
        <v>4.601</v>
      </c>
      <c r="T88" s="104">
        <v>-8.6170000000000009</v>
      </c>
      <c r="U88" s="104">
        <v>3.742</v>
      </c>
      <c r="V88" s="105">
        <v>7</v>
      </c>
      <c r="W88" s="105">
        <f t="shared" si="1"/>
        <v>2.8519396489861348</v>
      </c>
    </row>
    <row r="89" spans="1:23" x14ac:dyDescent="0.35">
      <c r="A89" s="95" t="s">
        <v>585</v>
      </c>
      <c r="B89" s="95" t="s">
        <v>670</v>
      </c>
      <c r="C89" s="103">
        <v>1.7571611332634074</v>
      </c>
      <c r="D89" s="104">
        <v>3.3757795121775569</v>
      </c>
      <c r="E89" s="105">
        <v>5.3509947789500245</v>
      </c>
      <c r="G89" s="117" t="s">
        <v>587</v>
      </c>
      <c r="H89" s="115">
        <v>58.394766440551741</v>
      </c>
      <c r="I89" s="107">
        <v>127</v>
      </c>
      <c r="J89" s="108">
        <v>26</v>
      </c>
      <c r="K89" s="95"/>
      <c r="L89" s="103">
        <v>8.0260984340408665</v>
      </c>
      <c r="M89" s="104">
        <v>8.0263002263775007</v>
      </c>
      <c r="N89" s="104">
        <v>7.6119634407438159</v>
      </c>
      <c r="O89" s="104">
        <v>7.27</v>
      </c>
      <c r="P89" s="104">
        <v>7.0229999999999997</v>
      </c>
      <c r="Q89" s="104">
        <v>6.851</v>
      </c>
      <c r="R89" s="104">
        <v>6.2889999999999997</v>
      </c>
      <c r="S89" s="104">
        <v>4.6520000000000001</v>
      </c>
      <c r="T89" s="104">
        <v>-0.435</v>
      </c>
      <c r="U89" s="104">
        <v>2.0609999999999999</v>
      </c>
      <c r="V89" s="105">
        <v>2.2519999999999998</v>
      </c>
      <c r="W89" s="105">
        <f t="shared" si="1"/>
        <v>4.3633871455637907</v>
      </c>
    </row>
    <row r="90" spans="1:23" x14ac:dyDescent="0.35">
      <c r="A90" s="95" t="s">
        <v>231</v>
      </c>
      <c r="B90" s="95" t="s">
        <v>671</v>
      </c>
      <c r="C90" s="103">
        <v>1.2465800540070626</v>
      </c>
      <c r="D90" s="104">
        <v>2.186383184955365</v>
      </c>
      <c r="E90" s="105">
        <v>2.3979634558628948</v>
      </c>
      <c r="G90" s="117" t="s">
        <v>591</v>
      </c>
      <c r="H90" s="115">
        <v>81.044610107182237</v>
      </c>
      <c r="I90" s="107">
        <v>44</v>
      </c>
      <c r="J90" s="108">
        <v>29</v>
      </c>
      <c r="K90" s="95"/>
      <c r="L90" s="103">
        <v>4.1342316499835752</v>
      </c>
      <c r="M90" s="104">
        <v>2.3280042634440163</v>
      </c>
      <c r="N90" s="104">
        <v>1.9151903779433241</v>
      </c>
      <c r="O90" s="104">
        <v>3.8849999999999998</v>
      </c>
      <c r="P90" s="104">
        <v>2.3690000000000002</v>
      </c>
      <c r="Q90" s="104">
        <v>3.3119999999999998</v>
      </c>
      <c r="R90" s="104">
        <v>3.992</v>
      </c>
      <c r="S90" s="104">
        <v>2.57</v>
      </c>
      <c r="T90" s="104">
        <v>-2.2029999999999998</v>
      </c>
      <c r="U90" s="104">
        <v>4.0640000000000001</v>
      </c>
      <c r="V90" s="105">
        <v>1.976</v>
      </c>
      <c r="W90" s="105">
        <f t="shared" si="1"/>
        <v>2.2921733204091299</v>
      </c>
    </row>
    <row r="91" spans="1:23" x14ac:dyDescent="0.35">
      <c r="A91" s="95" t="s">
        <v>600</v>
      </c>
      <c r="B91" s="95" t="s">
        <v>672</v>
      </c>
      <c r="C91" s="103">
        <v>-11.570507599610414</v>
      </c>
      <c r="D91" s="104">
        <v>-8.8972805759156888</v>
      </c>
      <c r="E91" s="105">
        <v>-3.6804003540223951</v>
      </c>
      <c r="G91" s="117" t="s">
        <v>405</v>
      </c>
      <c r="H91" s="115">
        <v>70.925074776605015</v>
      </c>
      <c r="I91" s="107">
        <v>85</v>
      </c>
      <c r="J91" s="108">
        <v>9</v>
      </c>
      <c r="K91" s="95"/>
      <c r="L91" s="103">
        <v>2.5405417890992656</v>
      </c>
      <c r="M91" s="104">
        <v>3.8110224147865268</v>
      </c>
      <c r="N91" s="104">
        <v>2.4536595719223264</v>
      </c>
      <c r="O91" s="104">
        <v>0.46100000000000002</v>
      </c>
      <c r="P91" s="104">
        <v>1.556</v>
      </c>
      <c r="Q91" s="104">
        <v>0.90300000000000002</v>
      </c>
      <c r="R91" s="104">
        <v>-1.885</v>
      </c>
      <c r="S91" s="104">
        <v>-6.915</v>
      </c>
      <c r="T91" s="104">
        <v>-25.907</v>
      </c>
      <c r="U91" s="104">
        <v>-5.4</v>
      </c>
      <c r="V91" s="105">
        <v>-5.4</v>
      </c>
      <c r="W91" s="105">
        <f t="shared" si="1"/>
        <v>-6.2888404649690415</v>
      </c>
    </row>
    <row r="92" spans="1:23" x14ac:dyDescent="0.35">
      <c r="A92" s="95" t="s">
        <v>589</v>
      </c>
      <c r="B92" s="95" t="s">
        <v>673</v>
      </c>
      <c r="C92" s="103">
        <v>-1.7564836758548363</v>
      </c>
      <c r="D92" s="104">
        <v>-1.6866052500791207</v>
      </c>
      <c r="E92" s="105">
        <v>0.46596555472186996</v>
      </c>
      <c r="G92" s="117" t="s">
        <v>429</v>
      </c>
      <c r="H92" s="115">
        <v>68.290636352612694</v>
      </c>
      <c r="I92" s="107">
        <v>100</v>
      </c>
      <c r="J92" s="108">
        <v>20</v>
      </c>
      <c r="K92" s="95"/>
      <c r="L92" s="103">
        <v>6.7436269408569842</v>
      </c>
      <c r="M92" s="104">
        <v>4.1869122037746749</v>
      </c>
      <c r="N92" s="104">
        <v>2.8839688442816156</v>
      </c>
      <c r="O92" s="104">
        <v>3.2480000000000002</v>
      </c>
      <c r="P92" s="104">
        <v>1.877</v>
      </c>
      <c r="Q92" s="104">
        <v>-2.734</v>
      </c>
      <c r="R92" s="104">
        <v>-1.304</v>
      </c>
      <c r="S92" s="104">
        <v>-1.9710000000000001</v>
      </c>
      <c r="T92" s="104">
        <v>-3.9020000000000001</v>
      </c>
      <c r="U92" s="104">
        <v>2.1019999999999999</v>
      </c>
      <c r="V92" s="105">
        <v>2.093</v>
      </c>
      <c r="W92" s="105">
        <f t="shared" si="1"/>
        <v>-0.61031984767862535</v>
      </c>
    </row>
    <row r="93" spans="1:23" x14ac:dyDescent="0.35">
      <c r="A93" s="95" t="s">
        <v>589</v>
      </c>
      <c r="B93" s="95" t="s">
        <v>674</v>
      </c>
      <c r="C93" s="103">
        <v>2.2030305181955034</v>
      </c>
      <c r="D93" s="104">
        <v>1.043410797540445</v>
      </c>
      <c r="E93" s="105">
        <v>1.5173155129903693</v>
      </c>
      <c r="G93" s="117" t="s">
        <v>587</v>
      </c>
      <c r="H93" s="115">
        <v>56.232966845120316</v>
      </c>
      <c r="I93" s="107">
        <v>130</v>
      </c>
      <c r="J93" s="108">
        <v>32</v>
      </c>
      <c r="K93" s="95"/>
      <c r="L93" s="103">
        <v>7.9938156931364137</v>
      </c>
      <c r="M93" s="104">
        <v>8.6872878163968235</v>
      </c>
      <c r="N93" s="104">
        <v>0.70139310028752089</v>
      </c>
      <c r="O93" s="104">
        <v>7.0000000000000001E-3</v>
      </c>
      <c r="P93" s="104">
        <v>-1.63</v>
      </c>
      <c r="Q93" s="104">
        <v>2.4689999999999999</v>
      </c>
      <c r="R93" s="104">
        <v>1.242</v>
      </c>
      <c r="S93" s="104">
        <v>-2.516</v>
      </c>
      <c r="T93" s="104">
        <v>-2.9670000000000001</v>
      </c>
      <c r="U93" s="104">
        <v>5.0110000000000001</v>
      </c>
      <c r="V93" s="105">
        <v>4.8109999999999999</v>
      </c>
      <c r="W93" s="105">
        <f t="shared" si="1"/>
        <v>1.2803631552654071</v>
      </c>
    </row>
    <row r="94" spans="1:23" x14ac:dyDescent="0.35">
      <c r="A94" s="95" t="s">
        <v>589</v>
      </c>
      <c r="B94" s="95" t="s">
        <v>675</v>
      </c>
      <c r="C94" s="103">
        <v>5.1304452243001952</v>
      </c>
      <c r="D94" s="104">
        <v>3.4484900722276279</v>
      </c>
      <c r="E94" s="105">
        <v>1.2335060569262035</v>
      </c>
      <c r="G94" s="117" t="s">
        <v>587</v>
      </c>
      <c r="H94" s="115">
        <v>48.008478383672035</v>
      </c>
      <c r="I94" s="107">
        <v>140</v>
      </c>
      <c r="J94" s="108">
        <v>38</v>
      </c>
      <c r="K94" s="95"/>
      <c r="L94" s="103">
        <v>274.10446739057375</v>
      </c>
      <c r="M94" s="104">
        <v>-13.994834968637873</v>
      </c>
      <c r="N94" s="104">
        <v>-10.842440326997824</v>
      </c>
      <c r="O94" s="104">
        <v>-0.84299999999999997</v>
      </c>
      <c r="P94" s="104">
        <v>-1.4910000000000001</v>
      </c>
      <c r="Q94" s="104">
        <v>32.491999999999997</v>
      </c>
      <c r="R94" s="104">
        <v>7.9409999999999998</v>
      </c>
      <c r="S94" s="104">
        <v>-11.196</v>
      </c>
      <c r="T94" s="104">
        <v>-29.456</v>
      </c>
      <c r="U94" s="104">
        <v>28.335000000000001</v>
      </c>
      <c r="V94" s="105">
        <v>-12.813000000000001</v>
      </c>
      <c r="W94" s="105">
        <f t="shared" si="1"/>
        <v>2.3409980645769157</v>
      </c>
    </row>
    <row r="95" spans="1:23" x14ac:dyDescent="0.35">
      <c r="A95" s="95" t="s">
        <v>231</v>
      </c>
      <c r="B95" s="95" t="s">
        <v>676</v>
      </c>
      <c r="C95" s="103">
        <v>2.5853990379055336</v>
      </c>
      <c r="D95" s="104">
        <v>3.2350334175799356</v>
      </c>
      <c r="E95" s="105">
        <v>3.2063173772679532</v>
      </c>
      <c r="G95" s="117" t="s">
        <v>591</v>
      </c>
      <c r="H95" s="115">
        <v>80.769738018881156</v>
      </c>
      <c r="I95" s="107">
        <v>45</v>
      </c>
      <c r="J95" s="108">
        <v>30</v>
      </c>
      <c r="K95" s="95"/>
      <c r="L95" s="103">
        <v>3.8333027642866848</v>
      </c>
      <c r="M95" s="104">
        <v>3.5584246313476826</v>
      </c>
      <c r="N95" s="104">
        <v>3.5079712171273361</v>
      </c>
      <c r="O95" s="104">
        <v>2.024</v>
      </c>
      <c r="P95" s="104">
        <v>2.5190000000000001</v>
      </c>
      <c r="Q95" s="104">
        <v>4.282</v>
      </c>
      <c r="R95" s="104">
        <v>3.9929999999999999</v>
      </c>
      <c r="S95" s="104">
        <v>4.625</v>
      </c>
      <c r="T95" s="104">
        <v>-2.1999999999999999E-2</v>
      </c>
      <c r="U95" s="104">
        <v>5.9809999999999999</v>
      </c>
      <c r="V95" s="105">
        <v>1.8879999999999999</v>
      </c>
      <c r="W95" s="105">
        <f t="shared" si="1"/>
        <v>3.2206753974239444</v>
      </c>
    </row>
    <row r="96" spans="1:23" x14ac:dyDescent="0.35">
      <c r="A96" s="95" t="s">
        <v>231</v>
      </c>
      <c r="B96" s="95" t="s">
        <v>677</v>
      </c>
      <c r="C96" s="103">
        <v>1.9225945961039326</v>
      </c>
      <c r="D96" s="104">
        <v>1.8607829332780268</v>
      </c>
      <c r="E96" s="105">
        <v>2.36159954003623</v>
      </c>
      <c r="G96" s="117" t="s">
        <v>422</v>
      </c>
      <c r="H96" s="115">
        <v>96.778306193425522</v>
      </c>
      <c r="I96" s="107">
        <v>9</v>
      </c>
      <c r="J96" s="108">
        <v>7</v>
      </c>
      <c r="K96" s="95"/>
      <c r="L96" s="103">
        <v>1.6499020297865346</v>
      </c>
      <c r="M96" s="104">
        <v>3.1717904991600552</v>
      </c>
      <c r="N96" s="104">
        <v>2.6230860157719222</v>
      </c>
      <c r="O96" s="104">
        <v>2.2679999999999998</v>
      </c>
      <c r="P96" s="104">
        <v>4.9779999999999998</v>
      </c>
      <c r="Q96" s="104">
        <v>1.3169999999999999</v>
      </c>
      <c r="R96" s="104">
        <v>1.2190000000000001</v>
      </c>
      <c r="S96" s="104">
        <v>2.3199999999999998</v>
      </c>
      <c r="T96" s="104">
        <v>-0.79700000000000004</v>
      </c>
      <c r="U96" s="104">
        <v>5.1029999999999998</v>
      </c>
      <c r="V96" s="105">
        <v>1.5489999999999999</v>
      </c>
      <c r="W96" s="105">
        <f t="shared" si="1"/>
        <v>2.1111912366571284</v>
      </c>
    </row>
    <row r="97" spans="1:23" x14ac:dyDescent="0.35">
      <c r="A97" s="95" t="s">
        <v>589</v>
      </c>
      <c r="B97" s="95" t="s">
        <v>678</v>
      </c>
      <c r="C97" s="103">
        <v>0.34284241084634459</v>
      </c>
      <c r="D97" s="104">
        <v>1.7120658983774018</v>
      </c>
      <c r="E97" s="105">
        <v>2.5217225637742979</v>
      </c>
      <c r="G97" s="117" t="s">
        <v>587</v>
      </c>
      <c r="H97" s="115">
        <v>48.940679032016362</v>
      </c>
      <c r="I97" s="107">
        <v>139</v>
      </c>
      <c r="J97" s="108">
        <v>37</v>
      </c>
      <c r="K97" s="95"/>
      <c r="L97" s="103">
        <v>3.0111464075530683</v>
      </c>
      <c r="M97" s="104">
        <v>2.3003869344771051</v>
      </c>
      <c r="N97" s="104">
        <v>3.3392022440733014</v>
      </c>
      <c r="O97" s="104">
        <v>3.1320000000000001</v>
      </c>
      <c r="P97" s="104">
        <v>3.9929999999999999</v>
      </c>
      <c r="Q97" s="104">
        <v>3.9329999999999998</v>
      </c>
      <c r="R97" s="104">
        <v>3.194</v>
      </c>
      <c r="S97" s="104">
        <v>4.4109999999999996</v>
      </c>
      <c r="T97" s="104">
        <v>-7.1379999999999999</v>
      </c>
      <c r="U97" s="104">
        <v>5.74</v>
      </c>
      <c r="V97" s="105">
        <v>4.21</v>
      </c>
      <c r="W97" s="105">
        <f t="shared" si="1"/>
        <v>2.1168942310758498</v>
      </c>
    </row>
    <row r="98" spans="1:23" x14ac:dyDescent="0.35">
      <c r="A98" s="95" t="s">
        <v>589</v>
      </c>
      <c r="B98" s="95" t="s">
        <v>679</v>
      </c>
      <c r="C98" s="103">
        <v>1.446318587345985</v>
      </c>
      <c r="D98" s="104">
        <v>2.8212259957555386</v>
      </c>
      <c r="E98" s="105">
        <v>3.4233840163588436</v>
      </c>
      <c r="G98" s="117" t="s">
        <v>405</v>
      </c>
      <c r="H98" s="115">
        <v>72.879134631330203</v>
      </c>
      <c r="I98" s="107">
        <v>77</v>
      </c>
      <c r="J98" s="108">
        <v>8</v>
      </c>
      <c r="K98" s="95"/>
      <c r="L98" s="103">
        <v>1.8857995075156477</v>
      </c>
      <c r="M98" s="104">
        <v>5.1999999956050429</v>
      </c>
      <c r="N98" s="104">
        <v>5.7000000050572197</v>
      </c>
      <c r="O98" s="104">
        <v>2.95</v>
      </c>
      <c r="P98" s="104">
        <v>2.27</v>
      </c>
      <c r="Q98" s="104">
        <v>4</v>
      </c>
      <c r="R98" s="104">
        <v>4.3920000000000003</v>
      </c>
      <c r="S98" s="104">
        <v>5.4480000000000004</v>
      </c>
      <c r="T98" s="104">
        <v>0.91300000000000003</v>
      </c>
      <c r="U98" s="104">
        <v>4.5670000000000002</v>
      </c>
      <c r="V98" s="105">
        <v>0.8</v>
      </c>
      <c r="W98" s="105">
        <f t="shared" si="1"/>
        <v>3.1223050060571911</v>
      </c>
    </row>
    <row r="99" spans="1:23" x14ac:dyDescent="0.35">
      <c r="A99" s="95" t="s">
        <v>585</v>
      </c>
      <c r="B99" s="95" t="s">
        <v>680</v>
      </c>
      <c r="C99" s="103">
        <v>1.9142421361718398</v>
      </c>
      <c r="D99" s="104">
        <v>3.0011020126644361</v>
      </c>
      <c r="E99" s="105">
        <v>4.0922822936961589</v>
      </c>
      <c r="G99" s="117" t="s">
        <v>405</v>
      </c>
      <c r="H99" s="115">
        <v>76.114633172938127</v>
      </c>
      <c r="I99" s="107">
        <v>66</v>
      </c>
      <c r="J99" s="108">
        <v>9</v>
      </c>
      <c r="K99" s="95"/>
      <c r="L99" s="103">
        <v>5.4734541925385383</v>
      </c>
      <c r="M99" s="104">
        <v>4.6937225255789317</v>
      </c>
      <c r="N99" s="104">
        <v>6.0067219455820462</v>
      </c>
      <c r="O99" s="104">
        <v>5.0069999999999997</v>
      </c>
      <c r="P99" s="104">
        <v>4.45</v>
      </c>
      <c r="Q99" s="104">
        <v>5.8129999999999997</v>
      </c>
      <c r="R99" s="104">
        <v>4.843</v>
      </c>
      <c r="S99" s="104">
        <v>4.4130000000000003</v>
      </c>
      <c r="T99" s="104">
        <v>-5.5339999999999998</v>
      </c>
      <c r="U99" s="104">
        <v>3.0920000000000001</v>
      </c>
      <c r="V99" s="105">
        <v>8.6940000000000008</v>
      </c>
      <c r="W99" s="105">
        <f t="shared" si="1"/>
        <v>3.5466921531802975</v>
      </c>
    </row>
    <row r="100" spans="1:23" x14ac:dyDescent="0.35">
      <c r="A100" s="95" t="s">
        <v>589</v>
      </c>
      <c r="B100" s="95" t="s">
        <v>681</v>
      </c>
      <c r="C100" s="103">
        <v>1.8165870919236937</v>
      </c>
      <c r="D100" s="104">
        <v>2.9671130334121942</v>
      </c>
      <c r="E100" s="105">
        <v>4.1460050619633648</v>
      </c>
      <c r="G100" s="117" t="s">
        <v>587</v>
      </c>
      <c r="H100" s="115">
        <v>43.633236095724527</v>
      </c>
      <c r="I100" s="107">
        <v>146</v>
      </c>
      <c r="J100" s="108">
        <v>41</v>
      </c>
      <c r="K100" s="95"/>
      <c r="L100" s="103">
        <v>-0.83662749707312833</v>
      </c>
      <c r="M100" s="104">
        <v>2.3037669581925009</v>
      </c>
      <c r="N100" s="104">
        <v>7.1014223480749816</v>
      </c>
      <c r="O100" s="104">
        <v>6.1719999999999997</v>
      </c>
      <c r="P100" s="104">
        <v>5.8520000000000003</v>
      </c>
      <c r="Q100" s="104">
        <v>5.3049999999999997</v>
      </c>
      <c r="R100" s="104">
        <v>4.7460000000000004</v>
      </c>
      <c r="S100" s="104">
        <v>4.7649999999999997</v>
      </c>
      <c r="T100" s="104">
        <v>-1.244</v>
      </c>
      <c r="U100" s="104">
        <v>3.0550000000000002</v>
      </c>
      <c r="V100" s="105">
        <v>3.7040000000000002</v>
      </c>
      <c r="W100" s="105">
        <f t="shared" si="1"/>
        <v>3.5565590476877795</v>
      </c>
    </row>
    <row r="101" spans="1:23" x14ac:dyDescent="0.35">
      <c r="A101" s="95" t="s">
        <v>231</v>
      </c>
      <c r="B101" s="95" t="s">
        <v>682</v>
      </c>
      <c r="C101" s="103">
        <v>2.6124059576447589</v>
      </c>
      <c r="D101" s="104">
        <v>4.3931536419201889</v>
      </c>
      <c r="E101" s="105">
        <v>5.6722564665051767</v>
      </c>
      <c r="G101" s="117" t="s">
        <v>591</v>
      </c>
      <c r="H101" s="115">
        <v>86.894246999173433</v>
      </c>
      <c r="I101" s="107">
        <v>33</v>
      </c>
      <c r="J101" s="108">
        <v>22</v>
      </c>
      <c r="K101" s="95"/>
      <c r="L101" s="103">
        <v>4.1177072993516513</v>
      </c>
      <c r="M101" s="104">
        <v>5.4733556954527041</v>
      </c>
      <c r="N101" s="104">
        <v>7.6335381123007346</v>
      </c>
      <c r="O101" s="104">
        <v>9.6080000000000005</v>
      </c>
      <c r="P101" s="104">
        <v>3.3809999999999998</v>
      </c>
      <c r="Q101" s="104">
        <v>10.869</v>
      </c>
      <c r="R101" s="104">
        <v>6.1929999999999996</v>
      </c>
      <c r="S101" s="104">
        <v>7.0090000000000003</v>
      </c>
      <c r="T101" s="104">
        <v>-8.6120000000000001</v>
      </c>
      <c r="U101" s="104">
        <v>11.805999999999999</v>
      </c>
      <c r="V101" s="105">
        <v>6.851</v>
      </c>
      <c r="W101" s="105">
        <f t="shared" si="1"/>
        <v>5.0327050542126823</v>
      </c>
    </row>
    <row r="102" spans="1:23" x14ac:dyDescent="0.35">
      <c r="A102" s="95" t="s">
        <v>589</v>
      </c>
      <c r="B102" s="95" t="s">
        <v>683</v>
      </c>
      <c r="C102" s="103">
        <v>10.380851809157976</v>
      </c>
      <c r="D102" s="104">
        <v>8.3436024853472226</v>
      </c>
      <c r="E102" s="105">
        <v>5.9978829377542953</v>
      </c>
      <c r="G102" s="117" t="s">
        <v>429</v>
      </c>
      <c r="H102" s="115">
        <v>67.535233245846925</v>
      </c>
      <c r="I102" s="107">
        <v>103</v>
      </c>
      <c r="J102" s="108">
        <v>23</v>
      </c>
      <c r="K102" s="95"/>
      <c r="L102" s="103">
        <v>4.4700131823368974</v>
      </c>
      <c r="M102" s="104">
        <v>4.150813186271721</v>
      </c>
      <c r="N102" s="104">
        <v>4.2748232713028473</v>
      </c>
      <c r="O102" s="104">
        <v>5.3760000000000003</v>
      </c>
      <c r="P102" s="104">
        <v>1.2609999999999999</v>
      </c>
      <c r="Q102" s="104">
        <v>6.2709999999999999</v>
      </c>
      <c r="R102" s="104">
        <v>4.7729999999999997</v>
      </c>
      <c r="S102" s="104">
        <v>5.4290000000000003</v>
      </c>
      <c r="T102" s="104">
        <v>-0.93799999999999994</v>
      </c>
      <c r="U102" s="104">
        <v>2.4449999999999998</v>
      </c>
      <c r="V102" s="105">
        <v>4.96</v>
      </c>
      <c r="W102" s="105">
        <f t="shared" si="1"/>
        <v>7.1707427115507585</v>
      </c>
    </row>
    <row r="103" spans="1:23" x14ac:dyDescent="0.35">
      <c r="A103" s="95" t="s">
        <v>589</v>
      </c>
      <c r="B103" s="95" t="s">
        <v>684</v>
      </c>
      <c r="C103" s="103">
        <v>-1.3801179259189</v>
      </c>
      <c r="D103" s="104">
        <v>1.2027047615812192</v>
      </c>
      <c r="E103" s="105">
        <v>2.4249070445692134</v>
      </c>
      <c r="G103" s="117" t="s">
        <v>591</v>
      </c>
      <c r="H103" s="115">
        <v>86.159393229935986</v>
      </c>
      <c r="I103" s="107">
        <v>35</v>
      </c>
      <c r="J103" s="108">
        <v>1</v>
      </c>
      <c r="K103" s="95"/>
      <c r="L103" s="103">
        <v>3.4961183375797935</v>
      </c>
      <c r="M103" s="104">
        <v>3.3604061030308432</v>
      </c>
      <c r="N103" s="104">
        <v>3.7445757725785316</v>
      </c>
      <c r="O103" s="104">
        <v>3.6909999999999998</v>
      </c>
      <c r="P103" s="104">
        <v>3.8620000000000001</v>
      </c>
      <c r="Q103" s="104">
        <v>3.9380000000000002</v>
      </c>
      <c r="R103" s="104">
        <v>4.0069999999999997</v>
      </c>
      <c r="S103" s="104">
        <v>2.891</v>
      </c>
      <c r="T103" s="104">
        <v>-14.598000000000001</v>
      </c>
      <c r="U103" s="104">
        <v>3.4990000000000001</v>
      </c>
      <c r="V103" s="105">
        <v>8.3000000000000007</v>
      </c>
      <c r="W103" s="105">
        <f t="shared" si="1"/>
        <v>1.8138059030752163</v>
      </c>
    </row>
    <row r="104" spans="1:23" x14ac:dyDescent="0.35">
      <c r="A104" s="95" t="s">
        <v>593</v>
      </c>
      <c r="B104" s="95" t="s">
        <v>685</v>
      </c>
      <c r="C104" s="103">
        <v>-0.23058449292154837</v>
      </c>
      <c r="D104" s="104">
        <v>0.18053445950247937</v>
      </c>
      <c r="E104" s="105">
        <v>1.3300326593307599</v>
      </c>
      <c r="G104" s="117" t="s">
        <v>405</v>
      </c>
      <c r="H104" s="115">
        <v>70.665681404041052</v>
      </c>
      <c r="I104" s="107">
        <v>87</v>
      </c>
      <c r="J104" s="108">
        <v>11</v>
      </c>
      <c r="K104" s="95"/>
      <c r="L104" s="103">
        <v>3.6423226794134638</v>
      </c>
      <c r="M104" s="104">
        <v>1.3540919615167941</v>
      </c>
      <c r="N104" s="104">
        <v>2.8043401283809737</v>
      </c>
      <c r="O104" s="104">
        <v>3.2930000000000001</v>
      </c>
      <c r="P104" s="104">
        <v>2.6309999999999998</v>
      </c>
      <c r="Q104" s="104">
        <v>2.113</v>
      </c>
      <c r="R104" s="104">
        <v>2.1949999999999998</v>
      </c>
      <c r="S104" s="104">
        <v>-0.19900000000000001</v>
      </c>
      <c r="T104" s="104">
        <v>-7.9880000000000004</v>
      </c>
      <c r="U104" s="104">
        <v>4.7210000000000001</v>
      </c>
      <c r="V104" s="105">
        <v>3.0659999999999998</v>
      </c>
      <c r="W104" s="105">
        <f t="shared" si="1"/>
        <v>0.75528355941661962</v>
      </c>
    </row>
    <row r="105" spans="1:23" x14ac:dyDescent="0.35">
      <c r="A105" s="95" t="s">
        <v>231</v>
      </c>
      <c r="B105" s="95" t="s">
        <v>686</v>
      </c>
      <c r="C105" s="103">
        <v>-0.11659435485397163</v>
      </c>
      <c r="D105" s="104">
        <v>1.5069892590011902</v>
      </c>
      <c r="E105" s="105">
        <v>3.001683990106474</v>
      </c>
      <c r="G105" s="117" t="s">
        <v>591</v>
      </c>
      <c r="H105" s="115">
        <v>79.52270940766131</v>
      </c>
      <c r="I105" s="107">
        <v>52</v>
      </c>
      <c r="J105" s="108">
        <v>33</v>
      </c>
      <c r="K105" s="95"/>
      <c r="L105" s="103">
        <v>-0.58973412591981322</v>
      </c>
      <c r="M105" s="104">
        <v>9.0438654824314977</v>
      </c>
      <c r="N105" s="104">
        <v>4.9996256689180685</v>
      </c>
      <c r="O105" s="104">
        <v>-0.33800000000000002</v>
      </c>
      <c r="P105" s="104">
        <v>4.4089999999999998</v>
      </c>
      <c r="Q105" s="104">
        <v>4.2</v>
      </c>
      <c r="R105" s="104">
        <v>4.0999999999999996</v>
      </c>
      <c r="S105" s="104">
        <v>3.6</v>
      </c>
      <c r="T105" s="104">
        <v>-8.3000000000000007</v>
      </c>
      <c r="U105" s="104">
        <v>13.945</v>
      </c>
      <c r="V105" s="105">
        <v>-5.5759999999999996</v>
      </c>
      <c r="W105" s="105">
        <f t="shared" si="1"/>
        <v>2.2543366245538321</v>
      </c>
    </row>
    <row r="106" spans="1:23" x14ac:dyDescent="0.35">
      <c r="A106" s="95" t="s">
        <v>585</v>
      </c>
      <c r="B106" s="95" t="s">
        <v>687</v>
      </c>
      <c r="C106" s="103">
        <v>0.5652165458427838</v>
      </c>
      <c r="D106" s="104">
        <v>3.0624452280082259</v>
      </c>
      <c r="E106" s="105">
        <v>4.33160969781623</v>
      </c>
      <c r="G106" s="117" t="s">
        <v>591</v>
      </c>
      <c r="H106" s="115">
        <v>78.890549447741549</v>
      </c>
      <c r="I106" s="107">
        <v>56</v>
      </c>
      <c r="J106" s="108">
        <v>8</v>
      </c>
      <c r="K106" s="95"/>
      <c r="L106" s="103">
        <v>12.319819848483753</v>
      </c>
      <c r="M106" s="104">
        <v>11.648916189886327</v>
      </c>
      <c r="N106" s="104">
        <v>7.8852254815193961</v>
      </c>
      <c r="O106" s="104">
        <v>2.41</v>
      </c>
      <c r="P106" s="104">
        <v>1.49</v>
      </c>
      <c r="Q106" s="104">
        <v>5.6369999999999996</v>
      </c>
      <c r="R106" s="104">
        <v>7.7450000000000001</v>
      </c>
      <c r="S106" s="104">
        <v>5.6020000000000003</v>
      </c>
      <c r="T106" s="104">
        <v>-4.5579999999999998</v>
      </c>
      <c r="U106" s="104">
        <v>1.637</v>
      </c>
      <c r="V106" s="105">
        <v>4.8460000000000001</v>
      </c>
      <c r="W106" s="105">
        <f t="shared" si="1"/>
        <v>3.6970274629122279</v>
      </c>
    </row>
    <row r="107" spans="1:23" x14ac:dyDescent="0.35">
      <c r="A107" s="95" t="s">
        <v>589</v>
      </c>
      <c r="B107" s="95" t="s">
        <v>688</v>
      </c>
      <c r="C107" s="103">
        <v>2.7484311837486786</v>
      </c>
      <c r="D107" s="104">
        <v>3.8040844105169391</v>
      </c>
      <c r="E107" s="105">
        <v>4.437166103247403</v>
      </c>
      <c r="G107" s="117" t="s">
        <v>405</v>
      </c>
      <c r="H107" s="115">
        <v>76.129604349240608</v>
      </c>
      <c r="I107" s="107">
        <v>65</v>
      </c>
      <c r="J107" s="108">
        <v>4</v>
      </c>
      <c r="K107" s="95"/>
      <c r="L107" s="103">
        <v>1.2735415748875247</v>
      </c>
      <c r="M107" s="104">
        <v>4.8919045547561728</v>
      </c>
      <c r="N107" s="104">
        <v>5.1501913509219497</v>
      </c>
      <c r="O107" s="104">
        <v>4.3449999999999998</v>
      </c>
      <c r="P107" s="104">
        <v>0.52100000000000002</v>
      </c>
      <c r="Q107" s="104">
        <v>5.0579999999999998</v>
      </c>
      <c r="R107" s="104">
        <v>3.0659999999999998</v>
      </c>
      <c r="S107" s="104">
        <v>2.891</v>
      </c>
      <c r="T107" s="104">
        <v>-7.1870000000000003</v>
      </c>
      <c r="U107" s="104">
        <v>7.93</v>
      </c>
      <c r="V107" s="105">
        <v>1.135</v>
      </c>
      <c r="W107" s="105">
        <f t="shared" si="1"/>
        <v>4.1206252568821711</v>
      </c>
    </row>
    <row r="108" spans="1:23" x14ac:dyDescent="0.35">
      <c r="A108" s="95" t="s">
        <v>589</v>
      </c>
      <c r="B108" s="95" t="s">
        <v>689</v>
      </c>
      <c r="C108" s="103">
        <v>1.7345974801987962</v>
      </c>
      <c r="D108" s="104">
        <v>2.1902907307407293</v>
      </c>
      <c r="E108" s="105">
        <v>3.9391606371984134</v>
      </c>
      <c r="G108" s="117" t="s">
        <v>429</v>
      </c>
      <c r="H108" s="115">
        <v>66.134592515292979</v>
      </c>
      <c r="I108" s="107">
        <v>110</v>
      </c>
      <c r="J108" s="108">
        <v>25</v>
      </c>
      <c r="K108" s="95"/>
      <c r="L108" s="103">
        <v>7.2584392525877934</v>
      </c>
      <c r="M108" s="104">
        <v>6.9636071348707169</v>
      </c>
      <c r="N108" s="104">
        <v>7.3985127971386246</v>
      </c>
      <c r="O108" s="104">
        <v>6.7229999999999999</v>
      </c>
      <c r="P108" s="104">
        <v>3.8239999999999998</v>
      </c>
      <c r="Q108" s="104">
        <v>3.7410000000000001</v>
      </c>
      <c r="R108" s="104">
        <v>3.444</v>
      </c>
      <c r="S108" s="104">
        <v>2.3149999999999999</v>
      </c>
      <c r="T108" s="104">
        <v>-1.1990000000000001</v>
      </c>
      <c r="U108" s="104">
        <v>2.3279999999999998</v>
      </c>
      <c r="V108" s="105">
        <v>4.1479999999999997</v>
      </c>
      <c r="W108" s="105">
        <f t="shared" si="1"/>
        <v>3.0647256839695713</v>
      </c>
    </row>
    <row r="109" spans="1:23" x14ac:dyDescent="0.35">
      <c r="A109" s="95" t="s">
        <v>585</v>
      </c>
      <c r="B109" s="95" t="s">
        <v>690</v>
      </c>
      <c r="C109" s="103">
        <v>-4.7700497073887238</v>
      </c>
      <c r="D109" s="104">
        <v>-0.38368451177455132</v>
      </c>
      <c r="E109" s="105">
        <v>3.2897594501001937</v>
      </c>
      <c r="G109" s="117" t="s">
        <v>429</v>
      </c>
      <c r="H109" s="115">
        <v>65.606474585171327</v>
      </c>
      <c r="I109" s="107">
        <v>111</v>
      </c>
      <c r="J109" s="108">
        <v>22</v>
      </c>
      <c r="K109" s="95"/>
      <c r="L109" s="103">
        <v>6.4857540044064299</v>
      </c>
      <c r="M109" s="104">
        <v>7.8986694782381086</v>
      </c>
      <c r="N109" s="104">
        <v>8.1996637504261933</v>
      </c>
      <c r="O109" s="104">
        <v>7.4729999999999999</v>
      </c>
      <c r="P109" s="104">
        <v>6.4080000000000004</v>
      </c>
      <c r="Q109" s="104">
        <v>5.75</v>
      </c>
      <c r="R109" s="104">
        <v>6.4050000000000002</v>
      </c>
      <c r="S109" s="104">
        <v>6.75</v>
      </c>
      <c r="T109" s="104">
        <v>3.1890000000000001</v>
      </c>
      <c r="U109" s="104">
        <v>-17.937999999999999</v>
      </c>
      <c r="V109" s="105">
        <v>1.9710000000000001</v>
      </c>
      <c r="W109" s="105">
        <f t="shared" si="1"/>
        <v>1.4530374691628212</v>
      </c>
    </row>
    <row r="110" spans="1:23" x14ac:dyDescent="0.35">
      <c r="A110" s="95" t="s">
        <v>589</v>
      </c>
      <c r="B110" s="95" t="s">
        <v>691</v>
      </c>
      <c r="C110" s="103">
        <v>5.9000128031017951</v>
      </c>
      <c r="D110" s="104">
        <v>3.7913046668829331</v>
      </c>
      <c r="E110" s="105">
        <v>3.4125855123770643</v>
      </c>
      <c r="G110" s="117" t="s">
        <v>405</v>
      </c>
      <c r="H110" s="115">
        <v>72.202169838266542</v>
      </c>
      <c r="I110" s="107">
        <v>79</v>
      </c>
      <c r="J110" s="108">
        <v>10</v>
      </c>
      <c r="K110" s="95"/>
      <c r="L110" s="103">
        <v>5.061682013267613</v>
      </c>
      <c r="M110" s="104">
        <v>5.6147197006409399</v>
      </c>
      <c r="N110" s="104">
        <v>5.7577888470497651</v>
      </c>
      <c r="O110" s="104">
        <v>4.2640000000000002</v>
      </c>
      <c r="P110" s="104">
        <v>3.4000000000000002E-2</v>
      </c>
      <c r="Q110" s="104">
        <v>-1.0269999999999999</v>
      </c>
      <c r="R110" s="104">
        <v>1.06</v>
      </c>
      <c r="S110" s="104">
        <v>-0.83899999999999997</v>
      </c>
      <c r="T110" s="104">
        <v>-8.0359999999999996</v>
      </c>
      <c r="U110" s="104">
        <v>2.6560000000000001</v>
      </c>
      <c r="V110" s="105">
        <v>3.8420000000000001</v>
      </c>
      <c r="W110" s="105">
        <f t="shared" si="1"/>
        <v>3.6019450896299987</v>
      </c>
    </row>
    <row r="111" spans="1:23" x14ac:dyDescent="0.35">
      <c r="A111" s="95" t="s">
        <v>585</v>
      </c>
      <c r="B111" s="95" t="s">
        <v>692</v>
      </c>
      <c r="C111" s="103">
        <v>2.509308980392877</v>
      </c>
      <c r="D111" s="104">
        <v>4.3365366697670549</v>
      </c>
      <c r="E111" s="105">
        <v>4.4414058742941132</v>
      </c>
      <c r="G111" s="117" t="s">
        <v>587</v>
      </c>
      <c r="H111" s="115">
        <v>47.880656607147813</v>
      </c>
      <c r="I111" s="107">
        <v>141</v>
      </c>
      <c r="J111" s="108">
        <v>29</v>
      </c>
      <c r="K111" s="95"/>
      <c r="L111" s="103">
        <v>4.6701221485020756</v>
      </c>
      <c r="M111" s="104">
        <v>3.525153173819251</v>
      </c>
      <c r="N111" s="104">
        <v>6.0114828408077567</v>
      </c>
      <c r="O111" s="104">
        <v>3.976</v>
      </c>
      <c r="P111" s="104">
        <v>0.433</v>
      </c>
      <c r="Q111" s="104">
        <v>8.9770000000000003</v>
      </c>
      <c r="R111" s="104">
        <v>7.6219999999999999</v>
      </c>
      <c r="S111" s="104">
        <v>6.657</v>
      </c>
      <c r="T111" s="104">
        <v>-2.37</v>
      </c>
      <c r="U111" s="104">
        <v>4.2469999999999999</v>
      </c>
      <c r="V111" s="105">
        <v>5.8380000000000001</v>
      </c>
      <c r="W111" s="105">
        <f t="shared" si="1"/>
        <v>4.3889712720305845</v>
      </c>
    </row>
    <row r="112" spans="1:23" x14ac:dyDescent="0.35">
      <c r="A112" s="95" t="s">
        <v>231</v>
      </c>
      <c r="B112" s="95" t="s">
        <v>693</v>
      </c>
      <c r="C112" s="103">
        <v>1.7497887812736312</v>
      </c>
      <c r="D112" s="104">
        <v>1.8172353151896914</v>
      </c>
      <c r="E112" s="105">
        <v>1.7415218308118652</v>
      </c>
      <c r="G112" s="117" t="s">
        <v>422</v>
      </c>
      <c r="H112" s="115">
        <v>97.320188246923195</v>
      </c>
      <c r="I112" s="107">
        <v>6</v>
      </c>
      <c r="J112" s="108">
        <v>4</v>
      </c>
      <c r="K112" s="95"/>
      <c r="L112" s="103">
        <v>-1.0303540066027346</v>
      </c>
      <c r="M112" s="104">
        <v>-0.13017522863902575</v>
      </c>
      <c r="N112" s="104">
        <v>1.4233954098743582</v>
      </c>
      <c r="O112" s="104">
        <v>1.958</v>
      </c>
      <c r="P112" s="104">
        <v>2.1920000000000002</v>
      </c>
      <c r="Q112" s="104">
        <v>2.911</v>
      </c>
      <c r="R112" s="104">
        <v>2.3610000000000002</v>
      </c>
      <c r="S112" s="104">
        <v>1.956</v>
      </c>
      <c r="T112" s="104">
        <v>-3.9129999999999998</v>
      </c>
      <c r="U112" s="104">
        <v>4.883</v>
      </c>
      <c r="V112" s="105">
        <v>4.5179999999999998</v>
      </c>
      <c r="W112" s="105">
        <f t="shared" si="1"/>
        <v>1.7793785730007783</v>
      </c>
    </row>
    <row r="113" spans="1:23" x14ac:dyDescent="0.35">
      <c r="A113" s="95" t="s">
        <v>585</v>
      </c>
      <c r="B113" s="95" t="s">
        <v>694</v>
      </c>
      <c r="C113" s="103">
        <v>1.6101427265492019</v>
      </c>
      <c r="D113" s="104">
        <v>2.5126996765094445</v>
      </c>
      <c r="E113" s="105">
        <v>2.926527233523446</v>
      </c>
      <c r="G113" s="117" t="s">
        <v>422</v>
      </c>
      <c r="H113" s="115">
        <v>98.673978139326721</v>
      </c>
      <c r="I113" s="107">
        <v>1</v>
      </c>
      <c r="J113" s="108">
        <v>1</v>
      </c>
      <c r="K113" s="95"/>
      <c r="L113" s="103">
        <v>2.2395634845413639</v>
      </c>
      <c r="M113" s="104">
        <v>2.6288005896782796</v>
      </c>
      <c r="N113" s="104">
        <v>3.6255957672075687</v>
      </c>
      <c r="O113" s="104">
        <v>3.6909999999999998</v>
      </c>
      <c r="P113" s="104">
        <v>3.8839999999999999</v>
      </c>
      <c r="Q113" s="104">
        <v>3.46</v>
      </c>
      <c r="R113" s="104">
        <v>3.524</v>
      </c>
      <c r="S113" s="104">
        <v>3.0750000000000002</v>
      </c>
      <c r="T113" s="104">
        <v>-1.4770000000000001</v>
      </c>
      <c r="U113" s="104">
        <v>6.0880000000000001</v>
      </c>
      <c r="V113" s="105">
        <v>2.4350000000000001</v>
      </c>
      <c r="W113" s="105">
        <f t="shared" si="1"/>
        <v>2.7196134550164452</v>
      </c>
    </row>
    <row r="114" spans="1:23" x14ac:dyDescent="0.35">
      <c r="A114" s="95" t="s">
        <v>593</v>
      </c>
      <c r="B114" s="95" t="s">
        <v>695</v>
      </c>
      <c r="C114" s="103">
        <v>4.0750139508862748</v>
      </c>
      <c r="D114" s="104">
        <v>0.946067021483743</v>
      </c>
      <c r="E114" s="105">
        <v>2.8253976939387693</v>
      </c>
      <c r="G114" s="117" t="s">
        <v>429</v>
      </c>
      <c r="H114" s="115">
        <v>64.641996561099731</v>
      </c>
      <c r="I114" s="107">
        <v>115</v>
      </c>
      <c r="J114" s="108">
        <v>15</v>
      </c>
      <c r="K114" s="95"/>
      <c r="L114" s="103">
        <v>6.4967472990321502</v>
      </c>
      <c r="M114" s="104">
        <v>4.9267922688301464</v>
      </c>
      <c r="N114" s="104">
        <v>4.7858161704434874</v>
      </c>
      <c r="O114" s="104">
        <v>4.7919999999999998</v>
      </c>
      <c r="P114" s="104">
        <v>4.5629999999999997</v>
      </c>
      <c r="Q114" s="104">
        <v>4.6310000000000002</v>
      </c>
      <c r="R114" s="104">
        <v>-3.363</v>
      </c>
      <c r="S114" s="104">
        <v>-3.78</v>
      </c>
      <c r="T114" s="104">
        <v>-1.7889999999999999</v>
      </c>
      <c r="U114" s="104">
        <v>10.345000000000001</v>
      </c>
      <c r="V114" s="105">
        <v>4.024</v>
      </c>
      <c r="W114" s="105">
        <f t="shared" si="1"/>
        <v>1.8857323577112561</v>
      </c>
    </row>
    <row r="115" spans="1:23" x14ac:dyDescent="0.35">
      <c r="A115" s="95" t="s">
        <v>589</v>
      </c>
      <c r="B115" s="95" t="s">
        <v>696</v>
      </c>
      <c r="C115" s="103">
        <v>5.2681473931170952</v>
      </c>
      <c r="D115" s="104">
        <v>5.8171216819006277</v>
      </c>
      <c r="E115" s="105">
        <v>5.6255556295670361</v>
      </c>
      <c r="G115" s="117" t="s">
        <v>429</v>
      </c>
      <c r="H115" s="115">
        <v>68.812447501404833</v>
      </c>
      <c r="I115" s="107">
        <v>98</v>
      </c>
      <c r="J115" s="108">
        <v>19</v>
      </c>
      <c r="K115" s="95"/>
      <c r="L115" s="103">
        <v>10.599907397446637</v>
      </c>
      <c r="M115" s="104">
        <v>5.5657295960540178</v>
      </c>
      <c r="N115" s="104">
        <v>6.5644262265084619</v>
      </c>
      <c r="O115" s="104">
        <v>4.3929999999999998</v>
      </c>
      <c r="P115" s="104">
        <v>5.7409999999999997</v>
      </c>
      <c r="Q115" s="104">
        <v>5.0010000000000003</v>
      </c>
      <c r="R115" s="104">
        <v>7.0069999999999997</v>
      </c>
      <c r="S115" s="104">
        <v>6.1429999999999998</v>
      </c>
      <c r="T115" s="104">
        <v>3.55</v>
      </c>
      <c r="U115" s="104">
        <v>1.399</v>
      </c>
      <c r="V115" s="105">
        <v>11.111000000000001</v>
      </c>
      <c r="W115" s="105">
        <f t="shared" si="1"/>
        <v>5.7213386557338319</v>
      </c>
    </row>
    <row r="116" spans="1:23" x14ac:dyDescent="0.35">
      <c r="A116" s="95" t="s">
        <v>589</v>
      </c>
      <c r="B116" s="95" t="s">
        <v>697</v>
      </c>
      <c r="C116" s="103">
        <v>1.6711254984559387</v>
      </c>
      <c r="D116" s="104">
        <v>1.8286894595159531</v>
      </c>
      <c r="E116" s="105">
        <v>2.3705025942777347</v>
      </c>
      <c r="G116" s="117" t="s">
        <v>587</v>
      </c>
      <c r="H116" s="115">
        <v>54.117482987279544</v>
      </c>
      <c r="I116" s="107">
        <v>136</v>
      </c>
      <c r="J116" s="108">
        <v>35</v>
      </c>
      <c r="K116" s="95"/>
      <c r="L116" s="103">
        <v>4.2300611751055515</v>
      </c>
      <c r="M116" s="104">
        <v>6.6713353928837664</v>
      </c>
      <c r="N116" s="104">
        <v>6.3097186557238203</v>
      </c>
      <c r="O116" s="104">
        <v>2.653</v>
      </c>
      <c r="P116" s="104">
        <v>-1.617</v>
      </c>
      <c r="Q116" s="104">
        <v>0.80600000000000005</v>
      </c>
      <c r="R116" s="104">
        <v>1.923</v>
      </c>
      <c r="S116" s="104">
        <v>2.2080000000000002</v>
      </c>
      <c r="T116" s="104">
        <v>-1.794</v>
      </c>
      <c r="U116" s="104">
        <v>3.6469999999999998</v>
      </c>
      <c r="V116" s="105">
        <v>3.2519999999999998</v>
      </c>
      <c r="W116" s="105">
        <f t="shared" si="1"/>
        <v>2.0995960268968439</v>
      </c>
    </row>
    <row r="117" spans="1:23" x14ac:dyDescent="0.35">
      <c r="A117" s="95" t="s">
        <v>231</v>
      </c>
      <c r="B117" s="95" t="s">
        <v>698</v>
      </c>
      <c r="C117" s="103">
        <v>-7.5001429328758196E-2</v>
      </c>
      <c r="D117" s="104">
        <v>1.3021650287798892</v>
      </c>
      <c r="E117" s="105">
        <v>2.0797979747829265</v>
      </c>
      <c r="G117" s="117" t="s">
        <v>591</v>
      </c>
      <c r="H117" s="115">
        <v>78.35616814320835</v>
      </c>
      <c r="I117" s="107">
        <v>58</v>
      </c>
      <c r="J117" s="108">
        <v>35</v>
      </c>
      <c r="K117" s="95"/>
      <c r="L117" s="103">
        <v>-0.45618322360793873</v>
      </c>
      <c r="M117" s="104">
        <v>2.9252576645048585</v>
      </c>
      <c r="N117" s="104">
        <v>3.6291235127637393</v>
      </c>
      <c r="O117" s="104">
        <v>3.8559999999999999</v>
      </c>
      <c r="P117" s="104">
        <v>2.8479999999999999</v>
      </c>
      <c r="Q117" s="104">
        <v>1.0820000000000001</v>
      </c>
      <c r="R117" s="104">
        <v>2.8809999999999998</v>
      </c>
      <c r="S117" s="104">
        <v>3.91</v>
      </c>
      <c r="T117" s="104">
        <v>-4.6879999999999997</v>
      </c>
      <c r="U117" s="104">
        <v>3.931</v>
      </c>
      <c r="V117" s="105">
        <v>2.2170000000000001</v>
      </c>
      <c r="W117" s="105">
        <f t="shared" si="1"/>
        <v>1.6909815017814078</v>
      </c>
    </row>
    <row r="118" spans="1:23" x14ac:dyDescent="0.35">
      <c r="A118" s="95" t="s">
        <v>231</v>
      </c>
      <c r="B118" s="95" t="s">
        <v>699</v>
      </c>
      <c r="C118" s="103">
        <v>2.1276786032802697</v>
      </c>
      <c r="D118" s="104">
        <v>2.0038500872442633</v>
      </c>
      <c r="E118" s="105">
        <v>1.8376731142071945</v>
      </c>
      <c r="G118" s="117" t="s">
        <v>422</v>
      </c>
      <c r="H118" s="115">
        <v>96.569623372049904</v>
      </c>
      <c r="I118" s="107">
        <v>10</v>
      </c>
      <c r="J118" s="108">
        <v>8</v>
      </c>
      <c r="K118" s="95"/>
      <c r="L118" s="103">
        <v>2.7030738548426481</v>
      </c>
      <c r="M118" s="104">
        <v>1.0340729135363009</v>
      </c>
      <c r="N118" s="104">
        <v>1.9695443007938924</v>
      </c>
      <c r="O118" s="104">
        <v>1.857</v>
      </c>
      <c r="P118" s="104">
        <v>1.165</v>
      </c>
      <c r="Q118" s="104">
        <v>2.464</v>
      </c>
      <c r="R118" s="104">
        <v>0.82899999999999996</v>
      </c>
      <c r="S118" s="104">
        <v>1.1240000000000001</v>
      </c>
      <c r="T118" s="104">
        <v>-1.278</v>
      </c>
      <c r="U118" s="104">
        <v>3.8980000000000001</v>
      </c>
      <c r="V118" s="105">
        <v>3.2810000000000001</v>
      </c>
      <c r="W118" s="105">
        <f t="shared" si="1"/>
        <v>1.9207616007257289</v>
      </c>
    </row>
    <row r="119" spans="1:23" x14ac:dyDescent="0.35">
      <c r="A119" s="95" t="s">
        <v>600</v>
      </c>
      <c r="B119" s="95" t="s">
        <v>700</v>
      </c>
      <c r="C119" s="103">
        <v>1.2841572452507943</v>
      </c>
      <c r="D119" s="104">
        <v>3.5695383112497314</v>
      </c>
      <c r="E119" s="105">
        <v>3.4884405409466579</v>
      </c>
      <c r="G119" s="117" t="s">
        <v>591</v>
      </c>
      <c r="H119" s="115">
        <v>83.929015692724803</v>
      </c>
      <c r="I119" s="107">
        <v>38</v>
      </c>
      <c r="J119" s="108">
        <v>3</v>
      </c>
      <c r="K119" s="95"/>
      <c r="L119" s="103">
        <v>9.3317368265983944</v>
      </c>
      <c r="M119" s="104">
        <v>4.373453291056836</v>
      </c>
      <c r="N119" s="104">
        <v>2.7522002596044053</v>
      </c>
      <c r="O119" s="104">
        <v>5.0170000000000003</v>
      </c>
      <c r="P119" s="104">
        <v>5.0460000000000003</v>
      </c>
      <c r="Q119" s="104">
        <v>0.30399999999999999</v>
      </c>
      <c r="R119" s="104">
        <v>1.2869999999999999</v>
      </c>
      <c r="S119" s="104">
        <v>-1.1299999999999999</v>
      </c>
      <c r="T119" s="104">
        <v>-3.2</v>
      </c>
      <c r="U119" s="104">
        <v>2.9020000000000001</v>
      </c>
      <c r="V119" s="105">
        <v>4.3109999999999999</v>
      </c>
      <c r="W119" s="105">
        <f t="shared" si="1"/>
        <v>3.5289894260981947</v>
      </c>
    </row>
    <row r="120" spans="1:23" x14ac:dyDescent="0.35">
      <c r="A120" s="95" t="s">
        <v>585</v>
      </c>
      <c r="B120" s="95" t="s">
        <v>701</v>
      </c>
      <c r="C120" s="103">
        <v>-2.8988961286927073</v>
      </c>
      <c r="D120" s="104">
        <v>0.9425802646799708</v>
      </c>
      <c r="E120" s="105">
        <v>2.8446311877570185</v>
      </c>
      <c r="G120" s="117" t="s">
        <v>405</v>
      </c>
      <c r="H120" s="115">
        <v>69.599146780385112</v>
      </c>
      <c r="I120" s="107">
        <v>90</v>
      </c>
      <c r="J120" s="108">
        <v>17</v>
      </c>
      <c r="K120" s="95"/>
      <c r="L120" s="103">
        <v>2.8731257161786412</v>
      </c>
      <c r="M120" s="104">
        <v>4.4745926000517917</v>
      </c>
      <c r="N120" s="104">
        <v>5.7909341243793389</v>
      </c>
      <c r="O120" s="104">
        <v>4.0579999999999998</v>
      </c>
      <c r="P120" s="104">
        <v>4.5629999999999997</v>
      </c>
      <c r="Q120" s="104">
        <v>4.609</v>
      </c>
      <c r="R120" s="104">
        <v>6.0960000000000001</v>
      </c>
      <c r="S120" s="104">
        <v>3.12</v>
      </c>
      <c r="T120" s="104">
        <v>-0.94299999999999995</v>
      </c>
      <c r="U120" s="104">
        <v>5.742</v>
      </c>
      <c r="V120" s="105">
        <v>5.9669999999999996</v>
      </c>
      <c r="W120" s="105">
        <f t="shared" si="1"/>
        <v>1.8936057262184947</v>
      </c>
    </row>
    <row r="121" spans="1:23" x14ac:dyDescent="0.35">
      <c r="A121" s="95" t="s">
        <v>593</v>
      </c>
      <c r="B121" s="95" t="s">
        <v>702</v>
      </c>
      <c r="C121" s="103">
        <v>1.349334889011633</v>
      </c>
      <c r="D121" s="104">
        <v>2.1324418529624634</v>
      </c>
      <c r="E121" s="105">
        <v>3.875737232948695</v>
      </c>
      <c r="G121" s="117" t="s">
        <v>429</v>
      </c>
      <c r="H121" s="115">
        <v>61.957917699729606</v>
      </c>
      <c r="I121" s="107">
        <v>122</v>
      </c>
      <c r="J121" s="108">
        <v>19</v>
      </c>
      <c r="K121" s="95"/>
      <c r="L121" s="103">
        <v>9.7789039456094482</v>
      </c>
      <c r="M121" s="104">
        <v>6.9032725658169563</v>
      </c>
      <c r="N121" s="104">
        <v>5.0667432180278205</v>
      </c>
      <c r="O121" s="104">
        <v>5.7329999999999997</v>
      </c>
      <c r="P121" s="104">
        <v>4.9530000000000003</v>
      </c>
      <c r="Q121" s="104">
        <v>5.5910000000000002</v>
      </c>
      <c r="R121" s="104">
        <v>3.6850000000000001</v>
      </c>
      <c r="S121" s="104">
        <v>2.98</v>
      </c>
      <c r="T121" s="104">
        <v>-17.945</v>
      </c>
      <c r="U121" s="104">
        <v>15.336</v>
      </c>
      <c r="V121" s="105">
        <v>10</v>
      </c>
      <c r="W121" s="105">
        <f t="shared" si="1"/>
        <v>3.0040895429555792</v>
      </c>
    </row>
    <row r="122" spans="1:23" x14ac:dyDescent="0.35">
      <c r="A122" s="95" t="s">
        <v>585</v>
      </c>
      <c r="B122" s="95" t="s">
        <v>703</v>
      </c>
      <c r="C122" s="103">
        <v>0.50696592980361554</v>
      </c>
      <c r="D122" s="104">
        <v>1.127965129390196</v>
      </c>
      <c r="E122" s="105">
        <v>3.7955054005958777</v>
      </c>
      <c r="G122" s="117" t="s">
        <v>587</v>
      </c>
      <c r="H122" s="115">
        <v>55.401075093758223</v>
      </c>
      <c r="I122" s="107">
        <v>131</v>
      </c>
      <c r="J122" s="108">
        <v>27</v>
      </c>
      <c r="K122" s="95"/>
      <c r="L122" s="103">
        <v>4.6571195968623904</v>
      </c>
      <c r="M122" s="104">
        <v>3.8249463280067437</v>
      </c>
      <c r="N122" s="104">
        <v>13.543770621654581</v>
      </c>
      <c r="O122" s="104">
        <v>6.5759999999999996</v>
      </c>
      <c r="P122" s="104">
        <v>5.492</v>
      </c>
      <c r="Q122" s="104">
        <v>3.5350000000000001</v>
      </c>
      <c r="R122" s="104">
        <v>-0.27900000000000003</v>
      </c>
      <c r="S122" s="104">
        <v>4.4800000000000004</v>
      </c>
      <c r="T122" s="104">
        <v>-3.1669999999999998</v>
      </c>
      <c r="U122" s="104">
        <v>7.0000000000000007E-2</v>
      </c>
      <c r="V122" s="105">
        <v>4.5359999999999996</v>
      </c>
      <c r="W122" s="105">
        <f t="shared" si="1"/>
        <v>2.4617352649930369</v>
      </c>
    </row>
    <row r="123" spans="1:23" x14ac:dyDescent="0.35">
      <c r="A123" s="95" t="s">
        <v>593</v>
      </c>
      <c r="B123" s="95" t="s">
        <v>704</v>
      </c>
      <c r="C123" s="103">
        <v>1.1388134852348575</v>
      </c>
      <c r="D123" s="104">
        <v>1.2311721995777125</v>
      </c>
      <c r="E123" s="105">
        <v>3.152890592174673</v>
      </c>
      <c r="G123" s="117" t="s">
        <v>429</v>
      </c>
      <c r="H123" s="115">
        <v>63.814130726333779</v>
      </c>
      <c r="I123" s="107">
        <v>118</v>
      </c>
      <c r="J123" s="108">
        <v>17</v>
      </c>
      <c r="K123" s="95"/>
      <c r="L123" s="103">
        <v>-0.53851294250305837</v>
      </c>
      <c r="M123" s="104">
        <v>8.4174952847030529</v>
      </c>
      <c r="N123" s="104">
        <v>4.8608903705532152</v>
      </c>
      <c r="O123" s="104">
        <v>2.9569999999999999</v>
      </c>
      <c r="P123" s="104">
        <v>4.2679999999999998</v>
      </c>
      <c r="Q123" s="104">
        <v>4.8099999999999996</v>
      </c>
      <c r="R123" s="104">
        <v>3.2040000000000002</v>
      </c>
      <c r="S123" s="104">
        <v>-0.40200000000000002</v>
      </c>
      <c r="T123" s="104">
        <v>-0.82</v>
      </c>
      <c r="U123" s="104">
        <v>4.0170000000000003</v>
      </c>
      <c r="V123" s="105">
        <v>0.2</v>
      </c>
      <c r="W123" s="105">
        <f t="shared" si="1"/>
        <v>2.1920313958761928</v>
      </c>
    </row>
    <row r="124" spans="1:23" x14ac:dyDescent="0.35">
      <c r="A124" s="95" t="s">
        <v>593</v>
      </c>
      <c r="B124" s="95" t="s">
        <v>705</v>
      </c>
      <c r="C124" s="103">
        <v>1.205712245399182</v>
      </c>
      <c r="D124" s="104">
        <v>1.959755918859285</v>
      </c>
      <c r="E124" s="105">
        <v>2.7687545080362863</v>
      </c>
      <c r="G124" s="117" t="s">
        <v>429</v>
      </c>
      <c r="H124" s="115">
        <v>62.494421901152251</v>
      </c>
      <c r="I124" s="107">
        <v>121</v>
      </c>
      <c r="J124" s="108">
        <v>18</v>
      </c>
      <c r="K124" s="95"/>
      <c r="L124" s="103">
        <v>6.1397247056043467</v>
      </c>
      <c r="M124" s="104">
        <v>5.8525182108492944</v>
      </c>
      <c r="N124" s="104">
        <v>2.3821573718054045</v>
      </c>
      <c r="O124" s="104">
        <v>3.2519999999999998</v>
      </c>
      <c r="P124" s="104">
        <v>3.9529999999999998</v>
      </c>
      <c r="Q124" s="104">
        <v>2.5190000000000001</v>
      </c>
      <c r="R124" s="104">
        <v>3.9769999999999999</v>
      </c>
      <c r="S124" s="104">
        <v>2.2330000000000001</v>
      </c>
      <c r="T124" s="104">
        <v>-11.013999999999999</v>
      </c>
      <c r="U124" s="104">
        <v>13.551</v>
      </c>
      <c r="V124" s="105">
        <v>2.7010000000000001</v>
      </c>
      <c r="W124" s="105">
        <f t="shared" si="1"/>
        <v>2.3642552134477857</v>
      </c>
    </row>
    <row r="125" spans="1:23" x14ac:dyDescent="0.35">
      <c r="A125" s="95" t="s">
        <v>585</v>
      </c>
      <c r="B125" s="95" t="s">
        <v>706</v>
      </c>
      <c r="C125" s="103">
        <v>0.96069279950485864</v>
      </c>
      <c r="D125" s="104">
        <v>3.0362820733681239</v>
      </c>
      <c r="E125" s="105">
        <v>4.8545875775876546</v>
      </c>
      <c r="G125" s="117" t="s">
        <v>405</v>
      </c>
      <c r="H125" s="115">
        <v>74.806556985260698</v>
      </c>
      <c r="I125" s="107">
        <v>69</v>
      </c>
      <c r="J125" s="108">
        <v>10</v>
      </c>
      <c r="K125" s="95"/>
      <c r="L125" s="103">
        <v>6.8969517105747951</v>
      </c>
      <c r="M125" s="104">
        <v>6.7505313017782687</v>
      </c>
      <c r="N125" s="104">
        <v>6.3479874825028357</v>
      </c>
      <c r="O125" s="104">
        <v>6.3479999999999999</v>
      </c>
      <c r="P125" s="104">
        <v>7.149</v>
      </c>
      <c r="Q125" s="104">
        <v>6.931</v>
      </c>
      <c r="R125" s="104">
        <v>6.3410000000000002</v>
      </c>
      <c r="S125" s="104">
        <v>6.1189999999999998</v>
      </c>
      <c r="T125" s="104">
        <v>-9.5180000000000007</v>
      </c>
      <c r="U125" s="104">
        <v>5.7030000000000003</v>
      </c>
      <c r="V125" s="105">
        <v>7.5990000000000002</v>
      </c>
      <c r="W125" s="105">
        <f t="shared" si="1"/>
        <v>3.9454348254778893</v>
      </c>
    </row>
    <row r="126" spans="1:23" x14ac:dyDescent="0.35">
      <c r="A126" s="95" t="s">
        <v>231</v>
      </c>
      <c r="B126" s="95" t="s">
        <v>707</v>
      </c>
      <c r="C126" s="103">
        <v>3.162865203018228</v>
      </c>
      <c r="D126" s="104">
        <v>3.8363783613865499</v>
      </c>
      <c r="E126" s="105">
        <v>3.5697088266716248</v>
      </c>
      <c r="G126" s="117" t="s">
        <v>591</v>
      </c>
      <c r="H126" s="115">
        <v>85.420553644487129</v>
      </c>
      <c r="I126" s="107">
        <v>36</v>
      </c>
      <c r="J126" s="108">
        <v>23</v>
      </c>
      <c r="K126" s="95"/>
      <c r="L126" s="103">
        <v>1.6079066445646626</v>
      </c>
      <c r="M126" s="104">
        <v>1.3918923212492256</v>
      </c>
      <c r="N126" s="104">
        <v>3.3184475370007722</v>
      </c>
      <c r="O126" s="104">
        <v>4.383</v>
      </c>
      <c r="P126" s="104">
        <v>2.9540000000000002</v>
      </c>
      <c r="Q126" s="104">
        <v>5.14</v>
      </c>
      <c r="R126" s="104">
        <v>5.9450000000000003</v>
      </c>
      <c r="S126" s="104">
        <v>4.45</v>
      </c>
      <c r="T126" s="104">
        <v>-2.02</v>
      </c>
      <c r="U126" s="104">
        <v>6.8479999999999999</v>
      </c>
      <c r="V126" s="105">
        <v>4.8739999999999997</v>
      </c>
      <c r="W126" s="105">
        <f t="shared" si="1"/>
        <v>3.7030435940290873</v>
      </c>
    </row>
    <row r="127" spans="1:23" x14ac:dyDescent="0.35">
      <c r="A127" s="95" t="s">
        <v>231</v>
      </c>
      <c r="B127" s="95" t="s">
        <v>708</v>
      </c>
      <c r="C127" s="103">
        <v>1.0661443105445922</v>
      </c>
      <c r="D127" s="104">
        <v>1.7172276328006886</v>
      </c>
      <c r="E127" s="105">
        <v>1.5719478894561822</v>
      </c>
      <c r="G127" s="117" t="s">
        <v>422</v>
      </c>
      <c r="H127" s="115">
        <v>91.026987497789847</v>
      </c>
      <c r="I127" s="107">
        <v>25</v>
      </c>
      <c r="J127" s="108">
        <v>16</v>
      </c>
      <c r="K127" s="95"/>
      <c r="L127" s="103">
        <v>-4.0572943594235547</v>
      </c>
      <c r="M127" s="104">
        <v>-0.92264378725787455</v>
      </c>
      <c r="N127" s="104">
        <v>0.79219053837650444</v>
      </c>
      <c r="O127" s="104">
        <v>1.792</v>
      </c>
      <c r="P127" s="104">
        <v>2.0190000000000001</v>
      </c>
      <c r="Q127" s="104">
        <v>3.5059999999999998</v>
      </c>
      <c r="R127" s="104">
        <v>2.8490000000000002</v>
      </c>
      <c r="S127" s="104">
        <v>2.6829999999999998</v>
      </c>
      <c r="T127" s="104">
        <v>-8.3010000000000002</v>
      </c>
      <c r="U127" s="104">
        <v>5.5030000000000001</v>
      </c>
      <c r="V127" s="105">
        <v>6.726</v>
      </c>
      <c r="W127" s="105">
        <f t="shared" si="1"/>
        <v>1.6445877611284354</v>
      </c>
    </row>
    <row r="128" spans="1:23" x14ac:dyDescent="0.35">
      <c r="A128" s="95" t="s">
        <v>600</v>
      </c>
      <c r="B128" s="95" t="s">
        <v>709</v>
      </c>
      <c r="C128" s="103">
        <v>0.67674745765720079</v>
      </c>
      <c r="D128" s="104">
        <v>0.80775193577011795</v>
      </c>
      <c r="E128" s="105">
        <v>2.0997114519337501</v>
      </c>
      <c r="G128" s="117" t="s">
        <v>591</v>
      </c>
      <c r="H128" s="115">
        <v>78.783055534449289</v>
      </c>
      <c r="I128" s="107">
        <v>57</v>
      </c>
      <c r="J128" s="108">
        <v>6</v>
      </c>
      <c r="K128" s="95"/>
      <c r="L128" s="103">
        <v>4.730011843607838</v>
      </c>
      <c r="M128" s="104">
        <v>5.5560406430660754</v>
      </c>
      <c r="N128" s="104">
        <v>5.3343232919645871</v>
      </c>
      <c r="O128" s="104">
        <v>4.7530000000000001</v>
      </c>
      <c r="P128" s="104">
        <v>3.0640000000000001</v>
      </c>
      <c r="Q128" s="104">
        <v>-1.498</v>
      </c>
      <c r="R128" s="104">
        <v>1.2350000000000001</v>
      </c>
      <c r="S128" s="104">
        <v>0.68799999999999994</v>
      </c>
      <c r="T128" s="104">
        <v>-3.5579999999999998</v>
      </c>
      <c r="U128" s="104">
        <v>1.589</v>
      </c>
      <c r="V128" s="105">
        <v>4.2409999999999997</v>
      </c>
      <c r="W128" s="105">
        <f t="shared" si="1"/>
        <v>1.453731693851934</v>
      </c>
    </row>
    <row r="129" spans="1:23" x14ac:dyDescent="0.35">
      <c r="A129" s="95" t="s">
        <v>231</v>
      </c>
      <c r="B129" s="95" t="s">
        <v>710</v>
      </c>
      <c r="C129" s="103">
        <v>1.9886029006319417</v>
      </c>
      <c r="D129" s="104">
        <v>2.9733514596169686</v>
      </c>
      <c r="E129" s="105">
        <v>3.7501787507027151</v>
      </c>
      <c r="G129" s="117" t="s">
        <v>591</v>
      </c>
      <c r="H129" s="115">
        <v>84.261081453729389</v>
      </c>
      <c r="I129" s="107">
        <v>37</v>
      </c>
      <c r="J129" s="108">
        <v>24</v>
      </c>
      <c r="K129" s="95"/>
      <c r="L129" s="103">
        <v>2.0771650065377472</v>
      </c>
      <c r="M129" s="104">
        <v>3.5145518040847694</v>
      </c>
      <c r="N129" s="104">
        <v>3.4108091001793088</v>
      </c>
      <c r="O129" s="104">
        <v>3.1629999999999998</v>
      </c>
      <c r="P129" s="104">
        <v>2.8530000000000002</v>
      </c>
      <c r="Q129" s="104">
        <v>8.2129999999999992</v>
      </c>
      <c r="R129" s="104">
        <v>6.03</v>
      </c>
      <c r="S129" s="104">
        <v>3.8439999999999999</v>
      </c>
      <c r="T129" s="104">
        <v>-3.6920000000000002</v>
      </c>
      <c r="U129" s="104">
        <v>5.8739999999999997</v>
      </c>
      <c r="V129" s="105">
        <v>4.7910000000000004</v>
      </c>
      <c r="W129" s="105">
        <f t="shared" si="1"/>
        <v>3.3617651051598418</v>
      </c>
    </row>
    <row r="130" spans="1:23" x14ac:dyDescent="0.35">
      <c r="A130" s="95" t="s">
        <v>231</v>
      </c>
      <c r="B130" s="95" t="s">
        <v>711</v>
      </c>
      <c r="C130" s="103">
        <v>0.31321455831558875</v>
      </c>
      <c r="D130" s="104">
        <v>1.1211784185926943</v>
      </c>
      <c r="E130" s="105">
        <v>0.80914098391451361</v>
      </c>
      <c r="G130" s="117" t="s">
        <v>405</v>
      </c>
      <c r="H130" s="115">
        <v>76.528749373407479</v>
      </c>
      <c r="I130" s="107">
        <v>64</v>
      </c>
      <c r="J130" s="108">
        <v>36</v>
      </c>
      <c r="K130" s="95"/>
      <c r="L130" s="103">
        <v>4.0240861571797915</v>
      </c>
      <c r="M130" s="104">
        <v>1.7554221491628001</v>
      </c>
      <c r="N130" s="104">
        <v>0.736267221403759</v>
      </c>
      <c r="O130" s="104">
        <v>-1.9730000000000001</v>
      </c>
      <c r="P130" s="104">
        <v>0.19400000000000001</v>
      </c>
      <c r="Q130" s="104">
        <v>1.8260000000000001</v>
      </c>
      <c r="R130" s="104">
        <v>2.8069999999999999</v>
      </c>
      <c r="S130" s="104">
        <v>2.198</v>
      </c>
      <c r="T130" s="104">
        <v>-2.6539999999999999</v>
      </c>
      <c r="U130" s="104">
        <v>5.6239999999999997</v>
      </c>
      <c r="V130" s="105">
        <v>-2.0510000000000002</v>
      </c>
      <c r="W130" s="105">
        <f t="shared" si="1"/>
        <v>0.96515970125360395</v>
      </c>
    </row>
    <row r="131" spans="1:23" x14ac:dyDescent="0.35">
      <c r="A131" s="95" t="s">
        <v>589</v>
      </c>
      <c r="B131" s="95" t="s">
        <v>712</v>
      </c>
      <c r="C131" s="103">
        <v>4.5886571318858538</v>
      </c>
      <c r="D131" s="104">
        <v>6.3388189685080754</v>
      </c>
      <c r="E131" s="105">
        <v>6.1347836953729917</v>
      </c>
      <c r="G131" s="117" t="s">
        <v>405</v>
      </c>
      <c r="H131" s="115">
        <v>76.577775011818801</v>
      </c>
      <c r="I131" s="107">
        <v>63</v>
      </c>
      <c r="J131" s="108">
        <v>3</v>
      </c>
      <c r="K131" s="95"/>
      <c r="L131" s="103">
        <v>8.6415388651712988</v>
      </c>
      <c r="M131" s="104">
        <v>4.7198554996618309</v>
      </c>
      <c r="N131" s="104">
        <v>6.1642772027561934</v>
      </c>
      <c r="O131" s="104">
        <v>8.8539999999999992</v>
      </c>
      <c r="P131" s="104">
        <v>5.9720000000000004</v>
      </c>
      <c r="Q131" s="104">
        <v>3.9729999999999999</v>
      </c>
      <c r="R131" s="104">
        <v>8.5779999999999994</v>
      </c>
      <c r="S131" s="104">
        <v>9.4689999999999994</v>
      </c>
      <c r="T131" s="104">
        <v>-3.3570000000000002</v>
      </c>
      <c r="U131" s="104">
        <v>10.874000000000001</v>
      </c>
      <c r="V131" s="105">
        <v>6.7629999999999999</v>
      </c>
      <c r="W131" s="105">
        <f t="shared" si="1"/>
        <v>6.2368013319405335</v>
      </c>
    </row>
    <row r="132" spans="1:23" x14ac:dyDescent="0.35">
      <c r="A132" s="95" t="s">
        <v>600</v>
      </c>
      <c r="B132" s="95" t="s">
        <v>713</v>
      </c>
      <c r="C132" s="103">
        <v>2.4790435166051283</v>
      </c>
      <c r="D132" s="104">
        <v>2.0533451948943071</v>
      </c>
      <c r="E132" s="105">
        <v>2.158001329255721</v>
      </c>
      <c r="G132" s="117" t="s">
        <v>591</v>
      </c>
      <c r="H132" s="115">
        <v>76.963439522680929</v>
      </c>
      <c r="I132" s="107">
        <v>61</v>
      </c>
      <c r="J132" s="108">
        <v>8</v>
      </c>
      <c r="K132" s="95"/>
      <c r="L132" s="103">
        <v>5.4114449021643543</v>
      </c>
      <c r="M132" s="104">
        <v>2.6992547225567329</v>
      </c>
      <c r="N132" s="104">
        <v>3.6524816975790095</v>
      </c>
      <c r="O132" s="104">
        <v>4.6900000000000004</v>
      </c>
      <c r="P132" s="104">
        <v>2.363</v>
      </c>
      <c r="Q132" s="104">
        <v>-7.0000000000000007E-2</v>
      </c>
      <c r="R132" s="104">
        <v>2.762</v>
      </c>
      <c r="S132" s="104">
        <v>0.83199999999999996</v>
      </c>
      <c r="T132" s="104">
        <v>-4.3410000000000002</v>
      </c>
      <c r="U132" s="104">
        <v>3.9220000000000002</v>
      </c>
      <c r="V132" s="105">
        <v>8.7439999999999998</v>
      </c>
      <c r="W132" s="105">
        <f t="shared" si="1"/>
        <v>2.105673262075014</v>
      </c>
    </row>
    <row r="133" spans="1:23" x14ac:dyDescent="0.35">
      <c r="A133" s="95" t="s">
        <v>589</v>
      </c>
      <c r="B133" s="95" t="s">
        <v>714</v>
      </c>
      <c r="C133" s="103">
        <v>4.0137946463164598</v>
      </c>
      <c r="D133" s="104">
        <v>4.5694149693751296</v>
      </c>
      <c r="E133" s="105">
        <v>5.2331571951220512</v>
      </c>
      <c r="G133" s="117" t="s">
        <v>405</v>
      </c>
      <c r="H133" s="115">
        <v>69.313365081609845</v>
      </c>
      <c r="I133" s="107">
        <v>93</v>
      </c>
      <c r="J133" s="108">
        <v>15</v>
      </c>
      <c r="K133" s="95"/>
      <c r="L133" s="103">
        <v>5.1173942367478444</v>
      </c>
      <c r="M133" s="104">
        <v>2.8221056497235883</v>
      </c>
      <c r="N133" s="104">
        <v>6.6135001033739647</v>
      </c>
      <c r="O133" s="104">
        <v>6.367</v>
      </c>
      <c r="P133" s="104">
        <v>6.3559999999999999</v>
      </c>
      <c r="Q133" s="104">
        <v>7.407</v>
      </c>
      <c r="R133" s="104">
        <v>6.2089999999999996</v>
      </c>
      <c r="S133" s="104">
        <v>4.6139999999999999</v>
      </c>
      <c r="T133" s="104">
        <v>1.3260000000000001</v>
      </c>
      <c r="U133" s="104">
        <v>6.0670000000000002</v>
      </c>
      <c r="V133" s="105">
        <v>4.7089999999999996</v>
      </c>
      <c r="W133" s="105">
        <f t="shared" si="1"/>
        <v>4.9012860822485909</v>
      </c>
    </row>
    <row r="134" spans="1:23" x14ac:dyDescent="0.35">
      <c r="A134" s="95" t="s">
        <v>231</v>
      </c>
      <c r="B134" s="95" t="s">
        <v>715</v>
      </c>
      <c r="C134" s="103">
        <v>2.9071913241700997</v>
      </c>
      <c r="D134" s="104">
        <v>3.5107747978878168</v>
      </c>
      <c r="E134" s="105">
        <v>2.5987412011468258</v>
      </c>
      <c r="G134" s="117" t="s">
        <v>405</v>
      </c>
      <c r="H134" s="115">
        <v>74.50245157918026</v>
      </c>
      <c r="I134" s="107">
        <v>71</v>
      </c>
      <c r="J134" s="108">
        <v>38</v>
      </c>
      <c r="K134" s="95"/>
      <c r="L134" s="103">
        <v>-0.68154236933475798</v>
      </c>
      <c r="M134" s="104">
        <v>2.892636733558092</v>
      </c>
      <c r="N134" s="104">
        <v>-1.5895103199025831</v>
      </c>
      <c r="O134" s="104">
        <v>1.776</v>
      </c>
      <c r="P134" s="104">
        <v>3.339</v>
      </c>
      <c r="Q134" s="104">
        <v>2.101</v>
      </c>
      <c r="R134" s="104">
        <v>4.4950000000000001</v>
      </c>
      <c r="S134" s="104">
        <v>4.3319999999999999</v>
      </c>
      <c r="T134" s="104">
        <v>-0.90300000000000002</v>
      </c>
      <c r="U134" s="104">
        <v>7.55</v>
      </c>
      <c r="V134" s="105">
        <v>2.2509999999999999</v>
      </c>
      <c r="W134" s="105">
        <f t="shared" si="1"/>
        <v>3.0547579995173213</v>
      </c>
    </row>
    <row r="135" spans="1:23" x14ac:dyDescent="0.35">
      <c r="A135" s="95" t="s">
        <v>589</v>
      </c>
      <c r="B135" s="95" t="s">
        <v>716</v>
      </c>
      <c r="C135" s="103">
        <v>1.6001817079933423</v>
      </c>
      <c r="D135" s="104">
        <v>2.5822705421283176</v>
      </c>
      <c r="E135" s="104">
        <v>2.323464181185142</v>
      </c>
      <c r="G135" s="117" t="s">
        <v>587</v>
      </c>
      <c r="H135" s="115">
        <v>58.993492167204309</v>
      </c>
      <c r="I135" s="107">
        <v>126</v>
      </c>
      <c r="J135" s="107">
        <v>30</v>
      </c>
      <c r="K135" s="122"/>
      <c r="L135" s="103">
        <v>15.18176908302255</v>
      </c>
      <c r="M135" s="104">
        <v>20.715768285872748</v>
      </c>
      <c r="N135" s="104">
        <v>4.5567723661529431</v>
      </c>
      <c r="O135" s="104">
        <v>-20.492999999999999</v>
      </c>
      <c r="P135" s="104">
        <v>6.3540000000000001</v>
      </c>
      <c r="Q135" s="104">
        <v>3.7650000000000001</v>
      </c>
      <c r="R135" s="104">
        <v>3.4649999999999999</v>
      </c>
      <c r="S135" s="104">
        <v>5.2539999999999996</v>
      </c>
      <c r="T135" s="104">
        <v>-1.9690000000000001</v>
      </c>
      <c r="U135" s="104">
        <v>4.1050000000000004</v>
      </c>
      <c r="V135" s="104">
        <v>2.766</v>
      </c>
      <c r="W135" s="105">
        <f t="shared" si="1"/>
        <v>2.4528673616567298</v>
      </c>
    </row>
    <row r="136" spans="1:23" x14ac:dyDescent="0.35">
      <c r="A136" s="95" t="s">
        <v>585</v>
      </c>
      <c r="B136" s="95" t="s">
        <v>717</v>
      </c>
      <c r="C136" s="103">
        <v>2.254611894692915</v>
      </c>
      <c r="D136" s="104">
        <v>2.3804077568891469</v>
      </c>
      <c r="E136" s="104">
        <v>3.1207966515608421</v>
      </c>
      <c r="G136" s="117" t="s">
        <v>422</v>
      </c>
      <c r="H136" s="115">
        <v>97.805585083414968</v>
      </c>
      <c r="I136" s="107">
        <v>4</v>
      </c>
      <c r="J136" s="107">
        <v>2</v>
      </c>
      <c r="K136" s="122"/>
      <c r="L136" s="103">
        <v>4.461608951013317</v>
      </c>
      <c r="M136" s="104">
        <v>4.8372986457609866</v>
      </c>
      <c r="N136" s="104">
        <v>3.9380027286605586</v>
      </c>
      <c r="O136" s="104">
        <v>2.9769999999999999</v>
      </c>
      <c r="P136" s="104">
        <v>3.6019999999999999</v>
      </c>
      <c r="Q136" s="104">
        <v>4.5449999999999999</v>
      </c>
      <c r="R136" s="104">
        <v>3.5750000000000002</v>
      </c>
      <c r="S136" s="104">
        <v>1.331</v>
      </c>
      <c r="T136" s="104">
        <v>-3.9009999999999998</v>
      </c>
      <c r="U136" s="104">
        <v>8.8819999999999997</v>
      </c>
      <c r="V136" s="104">
        <v>3.6469999999999998</v>
      </c>
      <c r="W136" s="105">
        <f t="shared" si="1"/>
        <v>2.7506022042249945</v>
      </c>
    </row>
    <row r="137" spans="1:23" x14ac:dyDescent="0.35">
      <c r="A137" s="95" t="s">
        <v>231</v>
      </c>
      <c r="B137" s="95" t="s">
        <v>718</v>
      </c>
      <c r="C137" s="103">
        <v>0.39781205843958389</v>
      </c>
      <c r="D137" s="104">
        <v>0.97590941056187042</v>
      </c>
      <c r="E137" s="104">
        <v>1.8214852479931931</v>
      </c>
      <c r="G137" s="117" t="s">
        <v>591</v>
      </c>
      <c r="H137" s="115">
        <v>80.276897229698847</v>
      </c>
      <c r="I137" s="107">
        <v>47</v>
      </c>
      <c r="J137" s="107">
        <v>32</v>
      </c>
      <c r="K137" s="122"/>
      <c r="L137" s="103">
        <v>1.8958108123027844</v>
      </c>
      <c r="M137" s="104">
        <v>0.67084458223160615</v>
      </c>
      <c r="N137" s="104">
        <v>2.7524343314004627</v>
      </c>
      <c r="O137" s="104">
        <v>5.1669999999999998</v>
      </c>
      <c r="P137" s="104">
        <v>1.944</v>
      </c>
      <c r="Q137" s="104">
        <v>2.9380000000000002</v>
      </c>
      <c r="R137" s="104">
        <v>4.0309999999999997</v>
      </c>
      <c r="S137" s="104">
        <v>2.5190000000000001</v>
      </c>
      <c r="T137" s="104">
        <v>-3.375</v>
      </c>
      <c r="U137" s="104">
        <v>3.0139999999999998</v>
      </c>
      <c r="V137" s="104">
        <v>1.6679999999999999</v>
      </c>
      <c r="W137" s="105">
        <f t="shared" si="1"/>
        <v>1.3986973292775318</v>
      </c>
    </row>
    <row r="138" spans="1:23" x14ac:dyDescent="0.35">
      <c r="A138" s="95" t="s">
        <v>231</v>
      </c>
      <c r="B138" s="95" t="s">
        <v>719</v>
      </c>
      <c r="C138" s="103">
        <v>2.9453399614758569</v>
      </c>
      <c r="D138" s="104">
        <v>3.265722456681952</v>
      </c>
      <c r="E138" s="104">
        <v>2.8132202997918521</v>
      </c>
      <c r="G138" s="117" t="s">
        <v>422</v>
      </c>
      <c r="H138" s="115">
        <v>88.920325519387234</v>
      </c>
      <c r="I138" s="107">
        <v>30</v>
      </c>
      <c r="J138" s="107">
        <v>19</v>
      </c>
      <c r="K138" s="122"/>
      <c r="L138" s="103">
        <v>-2.6394387292630763</v>
      </c>
      <c r="M138" s="104">
        <v>-1.029283831306939</v>
      </c>
      <c r="N138" s="104">
        <v>2.7681580195902979</v>
      </c>
      <c r="O138" s="104">
        <v>2.21</v>
      </c>
      <c r="P138" s="104">
        <v>3.1920000000000002</v>
      </c>
      <c r="Q138" s="104">
        <v>4.8159999999999998</v>
      </c>
      <c r="R138" s="104">
        <v>4.4550000000000001</v>
      </c>
      <c r="S138" s="104">
        <v>3.4510000000000001</v>
      </c>
      <c r="T138" s="104">
        <v>-4.3209999999999997</v>
      </c>
      <c r="U138" s="104">
        <v>8.2110000000000003</v>
      </c>
      <c r="V138" s="104">
        <v>5.3739999999999997</v>
      </c>
      <c r="W138" s="105">
        <f t="shared" si="1"/>
        <v>3.0394713782369021</v>
      </c>
    </row>
    <row r="139" spans="1:23" x14ac:dyDescent="0.35">
      <c r="A139" s="95" t="s">
        <v>589</v>
      </c>
      <c r="B139" s="95" t="s">
        <v>720</v>
      </c>
      <c r="C139" s="103">
        <v>8.8409433265779214E-2</v>
      </c>
      <c r="D139" s="104">
        <v>2.1857023030043443</v>
      </c>
      <c r="E139" s="104">
        <v>1.8249844059199605</v>
      </c>
      <c r="G139" s="117" t="s">
        <v>405</v>
      </c>
      <c r="H139" s="115">
        <v>75.182844770260857</v>
      </c>
      <c r="I139" s="107">
        <v>68</v>
      </c>
      <c r="J139" s="107">
        <v>5</v>
      </c>
      <c r="K139" s="122"/>
      <c r="L139" s="103">
        <v>2.2133548084844037</v>
      </c>
      <c r="M139" s="104">
        <v>2.4852005003105813</v>
      </c>
      <c r="N139" s="104">
        <v>1.8469916036571876</v>
      </c>
      <c r="O139" s="104">
        <v>1.3220000000000001</v>
      </c>
      <c r="P139" s="104">
        <v>0.66500000000000004</v>
      </c>
      <c r="Q139" s="104">
        <v>1.1579999999999999</v>
      </c>
      <c r="R139" s="104">
        <v>1.522</v>
      </c>
      <c r="S139" s="104">
        <v>0.30299999999999999</v>
      </c>
      <c r="T139" s="104">
        <v>-6.3419999999999996</v>
      </c>
      <c r="U139" s="104">
        <v>4.9130000000000003</v>
      </c>
      <c r="V139" s="104">
        <v>2.0419999999999998</v>
      </c>
      <c r="W139" s="105">
        <f t="shared" ref="W139:W165" si="2">AVERAGE(D139,E139)</f>
        <v>2.0053433544621524</v>
      </c>
    </row>
    <row r="140" spans="1:23" x14ac:dyDescent="0.35">
      <c r="A140" s="95" t="s">
        <v>231</v>
      </c>
      <c r="B140" s="95" t="s">
        <v>721</v>
      </c>
      <c r="C140" s="103">
        <v>-0.43793400391870518</v>
      </c>
      <c r="D140" s="104">
        <v>0.55931383652465527</v>
      </c>
      <c r="E140" s="104">
        <v>1.23940470018431</v>
      </c>
      <c r="G140" s="117" t="s">
        <v>422</v>
      </c>
      <c r="H140" s="115">
        <v>90.367632171249966</v>
      </c>
      <c r="I140" s="107">
        <v>27</v>
      </c>
      <c r="J140" s="107">
        <v>17</v>
      </c>
      <c r="K140" s="122"/>
      <c r="L140" s="103">
        <v>-2.9594413017355699</v>
      </c>
      <c r="M140" s="104">
        <v>-1.4353942591932869</v>
      </c>
      <c r="N140" s="104">
        <v>1.3839079426702983</v>
      </c>
      <c r="O140" s="104">
        <v>3.8370000000000002</v>
      </c>
      <c r="P140" s="104">
        <v>3.0379999999999998</v>
      </c>
      <c r="Q140" s="104">
        <v>2.9769999999999999</v>
      </c>
      <c r="R140" s="104">
        <v>2.2829999999999999</v>
      </c>
      <c r="S140" s="104">
        <v>1.9830000000000001</v>
      </c>
      <c r="T140" s="104">
        <v>-11.324999999999999</v>
      </c>
      <c r="U140" s="104">
        <v>5.5220000000000002</v>
      </c>
      <c r="V140" s="104">
        <v>5.4749999999999996</v>
      </c>
      <c r="W140" s="105">
        <f t="shared" si="2"/>
        <v>0.89935926835448265</v>
      </c>
    </row>
    <row r="141" spans="1:23" x14ac:dyDescent="0.35">
      <c r="A141" s="95" t="s">
        <v>585</v>
      </c>
      <c r="B141" s="95" t="s">
        <v>722</v>
      </c>
      <c r="C141" s="103">
        <v>-3.0583991155611168</v>
      </c>
      <c r="D141" s="104">
        <v>7.8407546755454582E-2</v>
      </c>
      <c r="E141" s="104">
        <v>2.1593525209882225</v>
      </c>
      <c r="G141" s="117" t="s">
        <v>405</v>
      </c>
      <c r="H141" s="115">
        <v>73.00518117550061</v>
      </c>
      <c r="I141" s="107">
        <v>76</v>
      </c>
      <c r="J141" s="107">
        <v>13</v>
      </c>
      <c r="K141" s="122"/>
      <c r="L141" s="103">
        <v>9.1445722464256534</v>
      </c>
      <c r="M141" s="104">
        <v>3.3957326498342781</v>
      </c>
      <c r="N141" s="104">
        <v>4.960700591697301</v>
      </c>
      <c r="O141" s="104">
        <v>4.2060000000000004</v>
      </c>
      <c r="P141" s="104">
        <v>5.0540000000000003</v>
      </c>
      <c r="Q141" s="104">
        <v>6.4610000000000003</v>
      </c>
      <c r="R141" s="104">
        <v>2.31</v>
      </c>
      <c r="S141" s="104">
        <v>-0.22</v>
      </c>
      <c r="T141" s="104">
        <v>-3.472</v>
      </c>
      <c r="U141" s="104">
        <v>3.327</v>
      </c>
      <c r="V141" s="104">
        <v>-8.6590000000000007</v>
      </c>
      <c r="W141" s="105">
        <f t="shared" si="2"/>
        <v>1.1188800338718385</v>
      </c>
    </row>
    <row r="142" spans="1:23" x14ac:dyDescent="0.35">
      <c r="A142" s="95" t="s">
        <v>589</v>
      </c>
      <c r="B142" s="95" t="s">
        <v>723</v>
      </c>
      <c r="C142" s="103">
        <v>-2.6688383810210325</v>
      </c>
      <c r="D142" s="104">
        <v>-1.5401833642449736</v>
      </c>
      <c r="E142" s="104">
        <v>1.2842213840550842</v>
      </c>
      <c r="G142" s="117" t="s">
        <v>587</v>
      </c>
      <c r="H142" s="115">
        <v>29.302112762792021</v>
      </c>
      <c r="I142" s="107">
        <v>156</v>
      </c>
      <c r="J142" s="107">
        <v>47</v>
      </c>
      <c r="K142" s="122"/>
      <c r="L142" s="103">
        <v>-1.4398357186292348</v>
      </c>
      <c r="M142" s="104">
        <v>4.3946958327458523</v>
      </c>
      <c r="N142" s="104">
        <v>2.6794256681504725</v>
      </c>
      <c r="O142" s="104">
        <v>4.9059999999999997</v>
      </c>
      <c r="P142" s="104">
        <v>4.7</v>
      </c>
      <c r="Q142" s="104">
        <v>0.76800000000000002</v>
      </c>
      <c r="R142" s="104">
        <v>-2.29</v>
      </c>
      <c r="S142" s="104">
        <v>-2.5</v>
      </c>
      <c r="T142" s="104">
        <v>-3.63</v>
      </c>
      <c r="U142" s="104">
        <v>0.5</v>
      </c>
      <c r="V142" s="104">
        <v>-2.5</v>
      </c>
      <c r="W142" s="105">
        <f t="shared" si="2"/>
        <v>-0.12798099009494468</v>
      </c>
    </row>
    <row r="143" spans="1:23" x14ac:dyDescent="0.35">
      <c r="A143" s="95" t="s">
        <v>593</v>
      </c>
      <c r="B143" s="95" t="s">
        <v>724</v>
      </c>
      <c r="C143" s="103">
        <v>-6.0912921553037958</v>
      </c>
      <c r="D143" s="104">
        <v>-2.539464764773447</v>
      </c>
      <c r="E143" s="104">
        <v>-1.6533032843941364</v>
      </c>
      <c r="G143" s="117" t="s">
        <v>405</v>
      </c>
      <c r="H143" s="115">
        <v>69.385821977853183</v>
      </c>
      <c r="I143" s="107">
        <v>92</v>
      </c>
      <c r="J143" s="107">
        <v>12</v>
      </c>
      <c r="K143" s="122"/>
      <c r="L143" s="103">
        <v>2.6903497466884523</v>
      </c>
      <c r="M143" s="104">
        <v>2.9334416518612043</v>
      </c>
      <c r="N143" s="104">
        <v>0.25550303164546423</v>
      </c>
      <c r="O143" s="104">
        <v>-3.4140000000000001</v>
      </c>
      <c r="P143" s="104">
        <v>-4.9119999999999999</v>
      </c>
      <c r="Q143" s="104">
        <v>1.5660000000000001</v>
      </c>
      <c r="R143" s="104">
        <v>4.9480000000000004</v>
      </c>
      <c r="S143" s="104">
        <v>1.0980000000000001</v>
      </c>
      <c r="T143" s="104">
        <v>-15.906000000000001</v>
      </c>
      <c r="U143" s="104">
        <v>-2.742</v>
      </c>
      <c r="V143" s="104">
        <v>1.3280000000000001</v>
      </c>
      <c r="W143" s="105">
        <f t="shared" si="2"/>
        <v>-2.0963840245837915</v>
      </c>
    </row>
    <row r="144" spans="1:23" x14ac:dyDescent="0.35">
      <c r="A144" s="95" t="s">
        <v>231</v>
      </c>
      <c r="B144" s="95" t="s">
        <v>725</v>
      </c>
      <c r="C144" s="103">
        <v>1.8041121232050594</v>
      </c>
      <c r="D144" s="104">
        <v>1.5622302939160004</v>
      </c>
      <c r="E144" s="104">
        <v>2.0743232215396867</v>
      </c>
      <c r="G144" s="117" t="s">
        <v>422</v>
      </c>
      <c r="H144" s="115">
        <v>96.904206369440487</v>
      </c>
      <c r="I144" s="107">
        <v>7</v>
      </c>
      <c r="J144" s="107">
        <v>5</v>
      </c>
      <c r="K144" s="122"/>
      <c r="L144" s="103">
        <v>-0.58830456899072281</v>
      </c>
      <c r="M144" s="104">
        <v>1.1877757159060018</v>
      </c>
      <c r="N144" s="104">
        <v>2.6577982753164227</v>
      </c>
      <c r="O144" s="104">
        <v>4.4889999999999999</v>
      </c>
      <c r="P144" s="104">
        <v>2.0710000000000002</v>
      </c>
      <c r="Q144" s="104">
        <v>2.5680000000000001</v>
      </c>
      <c r="R144" s="104">
        <v>1.95</v>
      </c>
      <c r="S144" s="104">
        <v>1.986</v>
      </c>
      <c r="T144" s="104">
        <v>-2.17</v>
      </c>
      <c r="U144" s="104">
        <v>5.3860000000000001</v>
      </c>
      <c r="V144" s="104">
        <v>2.6419999999999999</v>
      </c>
      <c r="W144" s="105">
        <f t="shared" si="2"/>
        <v>1.8182767577278436</v>
      </c>
    </row>
    <row r="145" spans="1:23" x14ac:dyDescent="0.35">
      <c r="A145" s="95" t="s">
        <v>231</v>
      </c>
      <c r="B145" s="95" t="s">
        <v>726</v>
      </c>
      <c r="C145" s="103">
        <v>1.2890197152698013</v>
      </c>
      <c r="D145" s="104">
        <v>2.1594279609995271</v>
      </c>
      <c r="E145" s="104">
        <v>1.9949438623463989</v>
      </c>
      <c r="G145" s="117" t="s">
        <v>422</v>
      </c>
      <c r="H145" s="115">
        <v>98.385388118004073</v>
      </c>
      <c r="I145" s="107">
        <v>2</v>
      </c>
      <c r="J145" s="107">
        <v>1</v>
      </c>
      <c r="K145" s="122"/>
      <c r="L145" s="103">
        <v>1.0060240943135659</v>
      </c>
      <c r="M145" s="104">
        <v>1.852039766494749</v>
      </c>
      <c r="N145" s="104">
        <v>2.4492180871562819</v>
      </c>
      <c r="O145" s="104">
        <v>1.59</v>
      </c>
      <c r="P145" s="104">
        <v>2.073</v>
      </c>
      <c r="Q145" s="104">
        <v>1.427</v>
      </c>
      <c r="R145" s="104">
        <v>2.867</v>
      </c>
      <c r="S145" s="104">
        <v>1.161</v>
      </c>
      <c r="T145" s="104">
        <v>-2.5070000000000001</v>
      </c>
      <c r="U145" s="104">
        <v>4.2210000000000001</v>
      </c>
      <c r="V145" s="104">
        <v>2.1339999999999999</v>
      </c>
      <c r="W145" s="105">
        <f t="shared" si="2"/>
        <v>2.077185911672963</v>
      </c>
    </row>
    <row r="146" spans="1:23" x14ac:dyDescent="0.35">
      <c r="A146" s="95" t="s">
        <v>585</v>
      </c>
      <c r="B146" s="95" t="s">
        <v>727</v>
      </c>
      <c r="C146" s="103">
        <v>4.1942484708972883</v>
      </c>
      <c r="D146" s="104">
        <v>3.7202264352869774</v>
      </c>
      <c r="E146" s="104">
        <v>3.3189477234561782</v>
      </c>
      <c r="G146" s="117" t="s">
        <v>405</v>
      </c>
      <c r="H146" s="115">
        <v>74.109663332036064</v>
      </c>
      <c r="I146" s="107">
        <v>72</v>
      </c>
      <c r="J146" s="107">
        <v>11</v>
      </c>
      <c r="K146" s="122"/>
      <c r="L146" s="103">
        <v>2.2704029453876053</v>
      </c>
      <c r="M146" s="104">
        <v>2.5430680885972134</v>
      </c>
      <c r="N146" s="104">
        <v>4.9538203190596066</v>
      </c>
      <c r="O146" s="104">
        <v>1.466</v>
      </c>
      <c r="P146" s="104">
        <v>2.165</v>
      </c>
      <c r="Q146" s="104">
        <v>3.3109999999999999</v>
      </c>
      <c r="R146" s="104">
        <v>2.7869999999999999</v>
      </c>
      <c r="S146" s="104">
        <v>3.0640000000000001</v>
      </c>
      <c r="T146" s="104">
        <v>3.387</v>
      </c>
      <c r="U146" s="104">
        <v>6.5279999999999996</v>
      </c>
      <c r="V146" s="104">
        <v>2.452</v>
      </c>
      <c r="W146" s="105">
        <f t="shared" si="2"/>
        <v>3.5195870793715778</v>
      </c>
    </row>
    <row r="147" spans="1:23" x14ac:dyDescent="0.35">
      <c r="A147" s="95" t="s">
        <v>585</v>
      </c>
      <c r="B147" s="95" t="s">
        <v>728</v>
      </c>
      <c r="C147" s="103">
        <v>7.1805428191797027</v>
      </c>
      <c r="D147" s="104">
        <v>7.3081795758255463</v>
      </c>
      <c r="E147" s="104">
        <v>7.0632908095879854</v>
      </c>
      <c r="G147" s="117" t="s">
        <v>429</v>
      </c>
      <c r="H147" s="115">
        <v>65.502149613905985</v>
      </c>
      <c r="I147" s="107">
        <v>113</v>
      </c>
      <c r="J147" s="107">
        <v>23</v>
      </c>
      <c r="K147" s="122"/>
      <c r="L147" s="103">
        <v>7.4999994632152305</v>
      </c>
      <c r="M147" s="104">
        <v>7.3999997470037826</v>
      </c>
      <c r="N147" s="104">
        <v>6.7000006901625362</v>
      </c>
      <c r="O147" s="104">
        <v>6</v>
      </c>
      <c r="P147" s="104">
        <v>6.9</v>
      </c>
      <c r="Q147" s="104">
        <v>7.1</v>
      </c>
      <c r="R147" s="104">
        <v>7.6</v>
      </c>
      <c r="S147" s="104">
        <v>7.4</v>
      </c>
      <c r="T147" s="104">
        <v>4.3899999999999997</v>
      </c>
      <c r="U147" s="104">
        <v>9.4</v>
      </c>
      <c r="V147" s="104">
        <v>8</v>
      </c>
      <c r="W147" s="105">
        <f t="shared" si="2"/>
        <v>7.1857351927067654</v>
      </c>
    </row>
    <row r="148" spans="1:23" x14ac:dyDescent="0.35">
      <c r="A148" s="95" t="s">
        <v>589</v>
      </c>
      <c r="B148" s="95" t="s">
        <v>729</v>
      </c>
      <c r="C148" s="103">
        <v>3.6476767570704727</v>
      </c>
      <c r="D148" s="104">
        <v>4.4330707554891102</v>
      </c>
      <c r="E148" s="104">
        <v>5.5432278987954442</v>
      </c>
      <c r="G148" s="117" t="s">
        <v>429</v>
      </c>
      <c r="H148" s="115">
        <v>68.134404341049418</v>
      </c>
      <c r="I148" s="107">
        <v>101</v>
      </c>
      <c r="J148" s="107">
        <v>21</v>
      </c>
      <c r="K148" s="122"/>
      <c r="L148" s="103">
        <v>4.500153559821273</v>
      </c>
      <c r="M148" s="104">
        <v>6.7815856006531599</v>
      </c>
      <c r="N148" s="104">
        <v>6.732461868324811</v>
      </c>
      <c r="O148" s="104">
        <v>6.1609999999999996</v>
      </c>
      <c r="P148" s="104">
        <v>6.867</v>
      </c>
      <c r="Q148" s="104">
        <v>6.7729999999999997</v>
      </c>
      <c r="R148" s="104">
        <v>6.9589999999999996</v>
      </c>
      <c r="S148" s="104">
        <v>6.9889999999999999</v>
      </c>
      <c r="T148" s="104">
        <v>4.8159999999999998</v>
      </c>
      <c r="U148" s="104">
        <v>4.9470000000000001</v>
      </c>
      <c r="V148" s="104">
        <v>4.6879999999999997</v>
      </c>
      <c r="W148" s="105">
        <f t="shared" si="2"/>
        <v>4.9881493271422777</v>
      </c>
    </row>
    <row r="149" spans="1:23" x14ac:dyDescent="0.35">
      <c r="A149" s="95" t="s">
        <v>585</v>
      </c>
      <c r="B149" s="95" t="s">
        <v>730</v>
      </c>
      <c r="C149" s="103">
        <v>-0.75178730142027028</v>
      </c>
      <c r="D149" s="104">
        <v>0.80617945124625834</v>
      </c>
      <c r="E149" s="104">
        <v>1.8254251122560072</v>
      </c>
      <c r="G149" s="117" t="s">
        <v>429</v>
      </c>
      <c r="H149" s="115">
        <v>67.301316099527455</v>
      </c>
      <c r="I149" s="107">
        <v>104</v>
      </c>
      <c r="J149" s="107">
        <v>19</v>
      </c>
      <c r="K149" s="122"/>
      <c r="L149" s="103">
        <v>7.2427962024964359</v>
      </c>
      <c r="M149" s="104">
        <v>2.6874955632055553</v>
      </c>
      <c r="N149" s="104">
        <v>0.98442510993386245</v>
      </c>
      <c r="O149" s="104">
        <v>3.1339999999999999</v>
      </c>
      <c r="P149" s="104">
        <v>3.4350000000000001</v>
      </c>
      <c r="Q149" s="104">
        <v>4.1779999999999999</v>
      </c>
      <c r="R149" s="104">
        <v>4.2229999999999999</v>
      </c>
      <c r="S149" s="104">
        <v>2.1150000000000002</v>
      </c>
      <c r="T149" s="104">
        <v>-6.1609999999999996</v>
      </c>
      <c r="U149" s="104">
        <v>1.5629999999999999</v>
      </c>
      <c r="V149" s="104">
        <v>2.6440000000000001</v>
      </c>
      <c r="W149" s="105">
        <f t="shared" si="2"/>
        <v>1.3158022817511328</v>
      </c>
    </row>
    <row r="150" spans="1:23" x14ac:dyDescent="0.35">
      <c r="A150" s="95" t="s">
        <v>589</v>
      </c>
      <c r="B150" s="95" t="s">
        <v>731</v>
      </c>
      <c r="C150" s="103">
        <v>4.1237007551626403</v>
      </c>
      <c r="D150" s="104">
        <v>4.5599643087248731</v>
      </c>
      <c r="E150" s="104">
        <v>5.0461931715429786</v>
      </c>
      <c r="G150" s="117" t="s">
        <v>405</v>
      </c>
      <c r="H150" s="115">
        <v>71.06383353175876</v>
      </c>
      <c r="I150" s="107">
        <v>84</v>
      </c>
      <c r="J150" s="107">
        <v>12</v>
      </c>
      <c r="K150" s="122"/>
      <c r="L150" s="103">
        <v>6.543507029266066</v>
      </c>
      <c r="M150" s="104">
        <v>6.1123430766482372</v>
      </c>
      <c r="N150" s="104">
        <v>5.9205885732303445</v>
      </c>
      <c r="O150" s="104">
        <v>5.74</v>
      </c>
      <c r="P150" s="104">
        <v>5.6</v>
      </c>
      <c r="Q150" s="104">
        <v>4.3479999999999999</v>
      </c>
      <c r="R150" s="104">
        <v>4.9669999999999996</v>
      </c>
      <c r="S150" s="104">
        <v>5.4640000000000004</v>
      </c>
      <c r="T150" s="104">
        <v>1.758</v>
      </c>
      <c r="U150" s="104">
        <v>5.2590000000000003</v>
      </c>
      <c r="V150" s="104">
        <v>5.399</v>
      </c>
      <c r="W150" s="105">
        <f t="shared" si="2"/>
        <v>4.8030787401339259</v>
      </c>
    </row>
    <row r="151" spans="1:23" x14ac:dyDescent="0.35">
      <c r="A151" s="95" t="s">
        <v>593</v>
      </c>
      <c r="B151" s="95" t="s">
        <v>732</v>
      </c>
      <c r="C151" s="103">
        <v>-2.1662761553291388</v>
      </c>
      <c r="D151" s="104">
        <v>-0.32249691451342599</v>
      </c>
      <c r="E151" s="104">
        <v>-0.73360970360328848</v>
      </c>
      <c r="G151" s="117" t="s">
        <v>429</v>
      </c>
      <c r="H151" s="115">
        <v>65.576173252463747</v>
      </c>
      <c r="I151" s="107">
        <v>112</v>
      </c>
      <c r="J151" s="107">
        <v>14</v>
      </c>
      <c r="K151" s="122"/>
      <c r="L151" s="103">
        <v>1.2699643652024184</v>
      </c>
      <c r="M151" s="104">
        <v>2.2290748047658071</v>
      </c>
      <c r="N151" s="104">
        <v>-0.91254496880826241</v>
      </c>
      <c r="O151" s="104">
        <v>-0.75600000000000001</v>
      </c>
      <c r="P151" s="104">
        <v>-6.7640000000000002</v>
      </c>
      <c r="Q151" s="104">
        <v>-4.7069999999999999</v>
      </c>
      <c r="R151" s="104">
        <v>-0.871</v>
      </c>
      <c r="S151" s="104">
        <v>0.11</v>
      </c>
      <c r="T151" s="104">
        <v>-7.6779999999999999</v>
      </c>
      <c r="U151" s="104">
        <v>-1.0269999999999999</v>
      </c>
      <c r="V151" s="104">
        <v>2.4809999999999999</v>
      </c>
      <c r="W151" s="105">
        <f t="shared" si="2"/>
        <v>-0.52805330905835723</v>
      </c>
    </row>
    <row r="152" spans="1:23" x14ac:dyDescent="0.35">
      <c r="A152" s="95" t="s">
        <v>589</v>
      </c>
      <c r="B152" s="95" t="s">
        <v>733</v>
      </c>
      <c r="C152" s="103">
        <v>-0.76139414796470017</v>
      </c>
      <c r="D152" s="104">
        <v>1.515468696628397</v>
      </c>
      <c r="E152" s="104">
        <v>1.7677168413122724</v>
      </c>
      <c r="G152" s="117" t="s">
        <v>429</v>
      </c>
      <c r="H152" s="115">
        <v>68.074683718311135</v>
      </c>
      <c r="I152" s="107">
        <v>102</v>
      </c>
      <c r="J152" s="107">
        <v>22</v>
      </c>
      <c r="K152" s="122"/>
      <c r="L152" s="103">
        <v>3.9976740023093633</v>
      </c>
      <c r="M152" s="104">
        <v>2.8755238423073424</v>
      </c>
      <c r="N152" s="104">
        <v>2.9713983451090038</v>
      </c>
      <c r="O152" s="104">
        <v>0.96799999999999997</v>
      </c>
      <c r="P152" s="104">
        <v>1.117</v>
      </c>
      <c r="Q152" s="104">
        <v>2.238</v>
      </c>
      <c r="R152" s="104">
        <v>2.625</v>
      </c>
      <c r="S152" s="104">
        <v>1.5880000000000001</v>
      </c>
      <c r="T152" s="104">
        <v>-8.8179999999999996</v>
      </c>
      <c r="U152" s="104">
        <v>4.4050000000000002</v>
      </c>
      <c r="V152" s="104">
        <v>2.5219999999999998</v>
      </c>
      <c r="W152" s="105">
        <f t="shared" si="2"/>
        <v>1.6415927689703347</v>
      </c>
    </row>
    <row r="153" spans="1:23" x14ac:dyDescent="0.35">
      <c r="A153" s="95" t="s">
        <v>600</v>
      </c>
      <c r="B153" s="95" t="s">
        <v>734</v>
      </c>
      <c r="C153" s="103">
        <v>6.2162334826369348</v>
      </c>
      <c r="D153" s="104">
        <v>4.4468380199269797</v>
      </c>
      <c r="E153" s="104">
        <v>5.2521474880545149</v>
      </c>
      <c r="G153" s="117" t="s">
        <v>591</v>
      </c>
      <c r="H153" s="115">
        <v>79.725975588542326</v>
      </c>
      <c r="I153" s="107">
        <v>49</v>
      </c>
      <c r="J153" s="107">
        <v>4</v>
      </c>
      <c r="K153" s="122"/>
      <c r="L153" s="103">
        <v>4.7899402070344061</v>
      </c>
      <c r="M153" s="104">
        <v>8.4913093926863557</v>
      </c>
      <c r="N153" s="104">
        <v>5.1666907030455222</v>
      </c>
      <c r="O153" s="104">
        <v>6.0839999999999996</v>
      </c>
      <c r="P153" s="104">
        <v>3.323</v>
      </c>
      <c r="Q153" s="104">
        <v>7.5019999999999998</v>
      </c>
      <c r="R153" s="104">
        <v>2.98</v>
      </c>
      <c r="S153" s="104">
        <v>0.78400000000000003</v>
      </c>
      <c r="T153" s="104">
        <v>1.94</v>
      </c>
      <c r="U153" s="104">
        <v>11.353</v>
      </c>
      <c r="V153" s="104">
        <v>5.5659999999999998</v>
      </c>
      <c r="W153" s="105">
        <f t="shared" si="2"/>
        <v>4.8494927539907469</v>
      </c>
    </row>
    <row r="154" spans="1:23" x14ac:dyDescent="0.35">
      <c r="A154" s="95" t="s">
        <v>585</v>
      </c>
      <c r="B154" s="95" t="s">
        <v>735</v>
      </c>
      <c r="C154" s="103">
        <v>5.7825311290508274</v>
      </c>
      <c r="D154" s="104">
        <v>5.9692666570670072</v>
      </c>
      <c r="E154" s="104">
        <v>6.9419375690879193</v>
      </c>
      <c r="G154" s="117" t="s">
        <v>405</v>
      </c>
      <c r="H154" s="115">
        <v>73.971445285212496</v>
      </c>
      <c r="I154" s="107">
        <v>74</v>
      </c>
      <c r="J154" s="107">
        <v>12</v>
      </c>
      <c r="K154" s="122"/>
      <c r="L154" s="103">
        <v>11.099999961554488</v>
      </c>
      <c r="M154" s="104">
        <v>10.200000101398992</v>
      </c>
      <c r="N154" s="104">
        <v>10.299999970545908</v>
      </c>
      <c r="O154" s="104">
        <v>2.9860000000000002</v>
      </c>
      <c r="P154" s="104">
        <v>-0.97699999999999998</v>
      </c>
      <c r="Q154" s="104">
        <v>4.7069999999999999</v>
      </c>
      <c r="R154" s="104">
        <v>0.88200000000000001</v>
      </c>
      <c r="S154" s="104">
        <v>-3.3889999999999998</v>
      </c>
      <c r="T154" s="104">
        <v>-2.9369999999999998</v>
      </c>
      <c r="U154" s="104">
        <v>4.62</v>
      </c>
      <c r="V154" s="104">
        <v>1.7889999999999999</v>
      </c>
      <c r="W154" s="105">
        <f t="shared" si="2"/>
        <v>6.4556021130774628</v>
      </c>
    </row>
    <row r="155" spans="1:23" x14ac:dyDescent="0.35">
      <c r="A155" s="95" t="s">
        <v>589</v>
      </c>
      <c r="B155" s="95" t="s">
        <v>736</v>
      </c>
      <c r="C155" s="103">
        <v>3.8036415692147996</v>
      </c>
      <c r="D155" s="104">
        <v>4.8231874950755982</v>
      </c>
      <c r="E155" s="104">
        <v>4.6664450945707259</v>
      </c>
      <c r="G155" s="117" t="s">
        <v>405</v>
      </c>
      <c r="H155" s="115">
        <v>69.556086736265442</v>
      </c>
      <c r="I155" s="107">
        <v>91</v>
      </c>
      <c r="J155" s="107">
        <v>14</v>
      </c>
      <c r="K155" s="122"/>
      <c r="L155" s="103">
        <v>3.8374556059033003</v>
      </c>
      <c r="M155" s="104">
        <v>3.586905826320109</v>
      </c>
      <c r="N155" s="104">
        <v>5.1063073243118193</v>
      </c>
      <c r="O155" s="104">
        <v>8.0060000000000002</v>
      </c>
      <c r="P155" s="104">
        <v>0.159</v>
      </c>
      <c r="Q155" s="104">
        <v>6.83</v>
      </c>
      <c r="R155" s="104">
        <v>5.5019999999999998</v>
      </c>
      <c r="S155" s="104">
        <v>7.782</v>
      </c>
      <c r="T155" s="104">
        <v>-1.3009999999999999</v>
      </c>
      <c r="U155" s="104">
        <v>6.0039999999999996</v>
      </c>
      <c r="V155" s="104">
        <v>4.9329999999999998</v>
      </c>
      <c r="W155" s="105">
        <f t="shared" si="2"/>
        <v>4.7448162948231616</v>
      </c>
    </row>
    <row r="156" spans="1:23" x14ac:dyDescent="0.35">
      <c r="A156" s="95" t="s">
        <v>231</v>
      </c>
      <c r="B156" s="95" t="s">
        <v>737</v>
      </c>
      <c r="C156" s="103">
        <v>-11.461901799668306</v>
      </c>
      <c r="D156" s="104">
        <v>-5.8295559101049328</v>
      </c>
      <c r="E156" s="104">
        <v>-4.15839598326132</v>
      </c>
      <c r="G156" s="117" t="s">
        <v>405</v>
      </c>
      <c r="H156" s="115">
        <v>74.079326507080765</v>
      </c>
      <c r="I156" s="107">
        <v>73</v>
      </c>
      <c r="J156" s="107">
        <v>39</v>
      </c>
      <c r="K156" s="122"/>
      <c r="L156" s="103">
        <v>0.23868172076808841</v>
      </c>
      <c r="M156" s="104">
        <v>-2.66978900718703E-2</v>
      </c>
      <c r="N156" s="104">
        <v>-6.5526312936576572</v>
      </c>
      <c r="O156" s="104">
        <v>-9.7880000000000003</v>
      </c>
      <c r="P156" s="104">
        <v>2.4169999999999998</v>
      </c>
      <c r="Q156" s="104">
        <v>2.36</v>
      </c>
      <c r="R156" s="104">
        <v>3.488</v>
      </c>
      <c r="S156" s="104">
        <v>3.1989999999999998</v>
      </c>
      <c r="T156" s="104">
        <v>-3.7530000000000001</v>
      </c>
      <c r="U156" s="104">
        <v>3.3530000000000002</v>
      </c>
      <c r="V156" s="104">
        <v>-30.26</v>
      </c>
      <c r="W156" s="105">
        <f t="shared" si="2"/>
        <v>-4.9939759466831264</v>
      </c>
    </row>
    <row r="157" spans="1:23" x14ac:dyDescent="0.35">
      <c r="A157" s="95" t="s">
        <v>600</v>
      </c>
      <c r="B157" s="95" t="s">
        <v>738</v>
      </c>
      <c r="C157" s="103">
        <v>1.9883983839421138</v>
      </c>
      <c r="D157" s="104">
        <v>1.9344501122165347</v>
      </c>
      <c r="E157" s="104">
        <v>2.9471413005852209</v>
      </c>
      <c r="G157" s="117" t="s">
        <v>422</v>
      </c>
      <c r="H157" s="115">
        <v>91.971735408895199</v>
      </c>
      <c r="I157" s="107">
        <v>22</v>
      </c>
      <c r="J157" s="107">
        <v>1</v>
      </c>
      <c r="K157" s="122"/>
      <c r="L157" s="103">
        <v>4.4846260849086921</v>
      </c>
      <c r="M157" s="104">
        <v>5.0533458252665762</v>
      </c>
      <c r="N157" s="104">
        <v>4.2843036857947956</v>
      </c>
      <c r="O157" s="104">
        <v>6.7869999999999999</v>
      </c>
      <c r="P157" s="104">
        <v>5.5609999999999999</v>
      </c>
      <c r="Q157" s="104">
        <v>0.73499999999999999</v>
      </c>
      <c r="R157" s="104">
        <v>1.3140000000000001</v>
      </c>
      <c r="S157" s="104">
        <v>1.1080000000000001</v>
      </c>
      <c r="T157" s="104">
        <v>-4.9569999999999999</v>
      </c>
      <c r="U157" s="104">
        <v>3.9159999999999999</v>
      </c>
      <c r="V157" s="104">
        <v>7.4109999999999996</v>
      </c>
      <c r="W157" s="105">
        <f t="shared" si="2"/>
        <v>2.4407957064008778</v>
      </c>
    </row>
    <row r="158" spans="1:23" x14ac:dyDescent="0.35">
      <c r="A158" s="95" t="s">
        <v>231</v>
      </c>
      <c r="B158" s="95" t="s">
        <v>739</v>
      </c>
      <c r="C158" s="103">
        <v>-0.15570963242206304</v>
      </c>
      <c r="D158" s="104">
        <v>0.73784192060712961</v>
      </c>
      <c r="E158" s="104">
        <v>1.4574433295258649</v>
      </c>
      <c r="G158" s="117" t="s">
        <v>422</v>
      </c>
      <c r="H158" s="115">
        <v>95.869504572225566</v>
      </c>
      <c r="I158" s="107">
        <v>16</v>
      </c>
      <c r="J158" s="107">
        <v>11</v>
      </c>
      <c r="K158" s="122"/>
      <c r="L158" s="103">
        <v>1.4789239471568232</v>
      </c>
      <c r="M158" s="104">
        <v>2.1394857010831609</v>
      </c>
      <c r="N158" s="104">
        <v>2.6074759063105102</v>
      </c>
      <c r="O158" s="104">
        <v>2.3929999999999998</v>
      </c>
      <c r="P158" s="104">
        <v>2.165</v>
      </c>
      <c r="Q158" s="104">
        <v>2.444</v>
      </c>
      <c r="R158" s="104">
        <v>1.7050000000000001</v>
      </c>
      <c r="S158" s="104">
        <v>1.6040000000000001</v>
      </c>
      <c r="T158" s="104">
        <v>-11.031000000000001</v>
      </c>
      <c r="U158" s="104">
        <v>7.5970000000000004</v>
      </c>
      <c r="V158" s="104">
        <v>4.0449999999999999</v>
      </c>
      <c r="W158" s="105">
        <f t="shared" si="2"/>
        <v>1.0976426250664972</v>
      </c>
    </row>
    <row r="159" spans="1:23" x14ac:dyDescent="0.35">
      <c r="A159" s="95" t="s">
        <v>593</v>
      </c>
      <c r="B159" s="95" t="s">
        <v>740</v>
      </c>
      <c r="C159" s="103">
        <v>1.6858959431595322</v>
      </c>
      <c r="D159" s="104">
        <v>2.0522235488571683</v>
      </c>
      <c r="E159" s="104">
        <v>2.1214909700318696</v>
      </c>
      <c r="G159" s="117" t="s">
        <v>422</v>
      </c>
      <c r="H159" s="115">
        <v>95.916666666666671</v>
      </c>
      <c r="I159" s="107">
        <v>14</v>
      </c>
      <c r="J159" s="107">
        <v>1</v>
      </c>
      <c r="K159" s="122"/>
      <c r="L159" s="103">
        <v>2.249545852369943</v>
      </c>
      <c r="M159" s="104">
        <v>1.8420810710110016</v>
      </c>
      <c r="N159" s="104">
        <v>2.4519730353603584</v>
      </c>
      <c r="O159" s="104">
        <v>2.7069999999999999</v>
      </c>
      <c r="P159" s="104">
        <v>1.6679999999999999</v>
      </c>
      <c r="Q159" s="104">
        <v>2.242</v>
      </c>
      <c r="R159" s="104">
        <v>2.9449999999999998</v>
      </c>
      <c r="S159" s="104">
        <v>2.2949999999999999</v>
      </c>
      <c r="T159" s="104">
        <v>-2.7679999999999998</v>
      </c>
      <c r="U159" s="104">
        <v>5.9470000000000001</v>
      </c>
      <c r="V159" s="104">
        <v>2.0680000000000001</v>
      </c>
      <c r="W159" s="105">
        <f t="shared" si="2"/>
        <v>2.0868572594445189</v>
      </c>
    </row>
    <row r="160" spans="1:23" x14ac:dyDescent="0.35">
      <c r="A160" s="95" t="s">
        <v>593</v>
      </c>
      <c r="B160" s="95" t="s">
        <v>741</v>
      </c>
      <c r="C160" s="103">
        <v>0.91343850289404838</v>
      </c>
      <c r="D160" s="104">
        <v>2.2569945604846264</v>
      </c>
      <c r="E160" s="104">
        <v>2.3762166744240032</v>
      </c>
      <c r="G160" s="117" t="s">
        <v>591</v>
      </c>
      <c r="H160" s="115">
        <v>81.172173305315454</v>
      </c>
      <c r="I160" s="107">
        <v>43</v>
      </c>
      <c r="J160" s="107">
        <v>5</v>
      </c>
      <c r="K160" s="122"/>
      <c r="L160" s="103">
        <v>3.5381787068568795</v>
      </c>
      <c r="M160" s="104">
        <v>4.6375386431141186</v>
      </c>
      <c r="N160" s="104">
        <v>3.2387912162160193</v>
      </c>
      <c r="O160" s="104">
        <v>0.371</v>
      </c>
      <c r="P160" s="104">
        <v>1.69</v>
      </c>
      <c r="Q160" s="104">
        <v>1.6279999999999999</v>
      </c>
      <c r="R160" s="104">
        <v>0.47799999999999998</v>
      </c>
      <c r="S160" s="104">
        <v>0.35</v>
      </c>
      <c r="T160" s="104">
        <v>-6.1150000000000002</v>
      </c>
      <c r="U160" s="104">
        <v>4.4020000000000001</v>
      </c>
      <c r="V160" s="104">
        <v>4.8860000000000001</v>
      </c>
      <c r="W160" s="105">
        <f t="shared" si="2"/>
        <v>2.3166056174543148</v>
      </c>
    </row>
    <row r="161" spans="1:23" x14ac:dyDescent="0.35">
      <c r="A161" s="95" t="s">
        <v>585</v>
      </c>
      <c r="B161" s="95" t="s">
        <v>742</v>
      </c>
      <c r="C161" s="103">
        <v>4.966226080132774</v>
      </c>
      <c r="D161" s="104">
        <v>5.1922367720162121</v>
      </c>
      <c r="E161" s="104">
        <v>5.7634254597189516</v>
      </c>
      <c r="G161" s="117" t="s">
        <v>429</v>
      </c>
      <c r="H161" s="115">
        <v>68.759088115548678</v>
      </c>
      <c r="I161" s="107">
        <v>99</v>
      </c>
      <c r="J161" s="107">
        <v>18</v>
      </c>
      <c r="K161" s="122"/>
      <c r="L161" s="103">
        <v>7.1024448870695505</v>
      </c>
      <c r="M161" s="104">
        <v>7.2965503696402285</v>
      </c>
      <c r="N161" s="104">
        <v>6.8738384408295845</v>
      </c>
      <c r="O161" s="104">
        <v>7.2190000000000003</v>
      </c>
      <c r="P161" s="104">
        <v>5.9320000000000004</v>
      </c>
      <c r="Q161" s="104">
        <v>4.3949999999999996</v>
      </c>
      <c r="R161" s="104">
        <v>5.88</v>
      </c>
      <c r="S161" s="104">
        <v>5.9820000000000002</v>
      </c>
      <c r="T161" s="104">
        <v>1.996</v>
      </c>
      <c r="U161" s="104">
        <v>7.4029999999999996</v>
      </c>
      <c r="V161" s="104">
        <v>5.6689999999999996</v>
      </c>
      <c r="W161" s="105">
        <f t="shared" si="2"/>
        <v>5.4778311158675823</v>
      </c>
    </row>
    <row r="162" spans="1:23" x14ac:dyDescent="0.35">
      <c r="A162" s="95" t="s">
        <v>585</v>
      </c>
      <c r="B162" s="95" t="s">
        <v>743</v>
      </c>
      <c r="C162" s="103">
        <v>6.367284609117374</v>
      </c>
      <c r="D162" s="104">
        <v>8.0753375154714711</v>
      </c>
      <c r="E162" s="104">
        <v>8.6445538917790046</v>
      </c>
      <c r="G162" s="117" t="s">
        <v>429</v>
      </c>
      <c r="H162" s="115">
        <v>62.623537935388953</v>
      </c>
      <c r="I162" s="107">
        <v>120</v>
      </c>
      <c r="J162" s="107">
        <v>24</v>
      </c>
      <c r="K162" s="122"/>
      <c r="L162" s="103">
        <v>12.410056463111571</v>
      </c>
      <c r="M162" s="104">
        <v>7.2891294784445284</v>
      </c>
      <c r="N162" s="104">
        <v>9.6841913021478785</v>
      </c>
      <c r="O162" s="104">
        <v>6.9870000000000001</v>
      </c>
      <c r="P162" s="104">
        <v>6.69</v>
      </c>
      <c r="Q162" s="104">
        <v>6.94</v>
      </c>
      <c r="R162" s="104">
        <v>7.4649999999999999</v>
      </c>
      <c r="S162" s="104">
        <v>7.359</v>
      </c>
      <c r="T162" s="104">
        <v>2.867</v>
      </c>
      <c r="U162" s="104">
        <v>2.5619999999999998</v>
      </c>
      <c r="V162" s="104">
        <v>8.0180000000000007</v>
      </c>
      <c r="W162" s="105">
        <f t="shared" si="2"/>
        <v>8.3599457036252378</v>
      </c>
    </row>
    <row r="163" spans="1:23" x14ac:dyDescent="0.35">
      <c r="A163" s="95" t="s">
        <v>600</v>
      </c>
      <c r="B163" s="95" t="s">
        <v>744</v>
      </c>
      <c r="C163" s="103">
        <v>-1.1017371120758623</v>
      </c>
      <c r="D163" s="104">
        <v>-1.4008554823266794</v>
      </c>
      <c r="E163" s="104">
        <v>0.43888765074564517</v>
      </c>
      <c r="G163" s="117" t="s">
        <v>587</v>
      </c>
      <c r="H163" s="115">
        <v>44.737558430285063</v>
      </c>
      <c r="I163" s="107">
        <v>145</v>
      </c>
      <c r="J163" s="107">
        <v>11</v>
      </c>
      <c r="K163" s="122"/>
      <c r="L163" s="103">
        <v>16.665428768467855</v>
      </c>
      <c r="M163" s="104">
        <v>1.9894927620720551</v>
      </c>
      <c r="N163" s="104">
        <v>2.3769293269800476</v>
      </c>
      <c r="O163" s="104">
        <v>-27.995000000000001</v>
      </c>
      <c r="P163" s="104">
        <v>-9.375</v>
      </c>
      <c r="Q163" s="104">
        <v>-5.0720000000000001</v>
      </c>
      <c r="R163" s="104">
        <v>0.752</v>
      </c>
      <c r="S163" s="104">
        <v>1.4</v>
      </c>
      <c r="T163" s="104">
        <v>-8.5</v>
      </c>
      <c r="U163" s="104">
        <v>-1</v>
      </c>
      <c r="V163" s="104">
        <v>1.5</v>
      </c>
      <c r="W163" s="105">
        <f t="shared" si="2"/>
        <v>-0.48098391579051714</v>
      </c>
    </row>
    <row r="164" spans="1:23" x14ac:dyDescent="0.35">
      <c r="A164" s="95" t="s">
        <v>589</v>
      </c>
      <c r="B164" s="95" t="s">
        <v>745</v>
      </c>
      <c r="C164" s="103">
        <v>1.6991659105087376</v>
      </c>
      <c r="D164" s="104">
        <v>2.110140268966143</v>
      </c>
      <c r="E164" s="104">
        <v>3.0449788505192199</v>
      </c>
      <c r="G164" s="117" t="s">
        <v>429</v>
      </c>
      <c r="H164" s="115">
        <v>61.004320674622747</v>
      </c>
      <c r="I164" s="107">
        <v>124</v>
      </c>
      <c r="J164" s="107">
        <v>29</v>
      </c>
      <c r="K164" s="122"/>
      <c r="L164" s="103">
        <v>7.5975932105319126</v>
      </c>
      <c r="M164" s="104">
        <v>5.0572317397973361</v>
      </c>
      <c r="N164" s="104">
        <v>4.6979923625298614</v>
      </c>
      <c r="O164" s="104">
        <v>2.92</v>
      </c>
      <c r="P164" s="104">
        <v>3.7770000000000001</v>
      </c>
      <c r="Q164" s="104">
        <v>3.504</v>
      </c>
      <c r="R164" s="104">
        <v>4.0350000000000001</v>
      </c>
      <c r="S164" s="104">
        <v>1.4410000000000001</v>
      </c>
      <c r="T164" s="104">
        <v>-2.7850000000000001</v>
      </c>
      <c r="U164" s="104">
        <v>4.5990000000000002</v>
      </c>
      <c r="V164" s="104">
        <v>3.4409999999999998</v>
      </c>
      <c r="W164" s="105">
        <f t="shared" si="2"/>
        <v>2.5775595597426815</v>
      </c>
    </row>
    <row r="165" spans="1:23" x14ac:dyDescent="0.35">
      <c r="A165" s="95" t="s">
        <v>589</v>
      </c>
      <c r="B165" s="95" t="s">
        <v>746</v>
      </c>
      <c r="C165" s="103">
        <v>3.5464749905308901</v>
      </c>
      <c r="D165" s="104">
        <v>2.7818952866475843</v>
      </c>
      <c r="E165" s="104">
        <v>2.7261309103552733</v>
      </c>
      <c r="G165" s="117" t="s">
        <v>587</v>
      </c>
      <c r="H165" s="115">
        <v>55.033873809516088</v>
      </c>
      <c r="I165" s="107">
        <v>133</v>
      </c>
      <c r="J165" s="107">
        <v>33</v>
      </c>
      <c r="K165" s="122"/>
      <c r="L165" s="103">
        <v>17.615397198362849</v>
      </c>
      <c r="M165" s="104">
        <v>10.75800212279124</v>
      </c>
      <c r="N165" s="104">
        <v>3.9762602630956336</v>
      </c>
      <c r="O165" s="104">
        <v>1.794</v>
      </c>
      <c r="P165" s="104">
        <v>0.47799999999999998</v>
      </c>
      <c r="Q165" s="104">
        <v>4.9829999999999997</v>
      </c>
      <c r="R165" s="104">
        <v>4.7320000000000002</v>
      </c>
      <c r="S165" s="104">
        <v>-6.1219999999999999</v>
      </c>
      <c r="T165" s="104">
        <v>-7.8250000000000002</v>
      </c>
      <c r="U165" s="104">
        <v>8.4619999999999997</v>
      </c>
      <c r="V165" s="104">
        <v>3.0289999999999999</v>
      </c>
      <c r="W165" s="10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90625" bestFit="1" customWidth="1"/>
    <col min="8" max="8" width="27.90625" customWidth="1"/>
    <col min="9" max="9" width="21" customWidth="1"/>
    <col min="10" max="10" width="33.36328125" customWidth="1"/>
    <col min="11" max="11" width="16" customWidth="1"/>
    <col min="12" max="12" width="17.453125" customWidth="1"/>
    <col min="13" max="13" width="13.08984375" customWidth="1"/>
    <col min="14" max="14" width="13.54296875" customWidth="1"/>
    <col min="15" max="15" width="19.6328125" bestFit="1" customWidth="1"/>
    <col min="16" max="16" width="19.54296875" customWidth="1"/>
    <col min="17" max="17" width="15" customWidth="1"/>
    <col min="18" max="18" width="7.08984375" customWidth="1"/>
    <col min="19" max="19" width="10" customWidth="1"/>
    <col min="20" max="20" width="5.54296875" customWidth="1"/>
    <col min="21" max="21" width="13.08984375" customWidth="1"/>
  </cols>
  <sheetData>
    <row r="1" spans="1:21" x14ac:dyDescent="0.35">
      <c r="L1" s="5">
        <f>Assumption!F55</f>
        <v>0.2</v>
      </c>
      <c r="M1" s="5">
        <f>Assumption!G55</f>
        <v>0.4</v>
      </c>
      <c r="N1" s="5">
        <f>Assumption!H55</f>
        <v>0.4</v>
      </c>
      <c r="O1" s="5">
        <f>Assumption!E55</f>
        <v>0.5</v>
      </c>
      <c r="P1" s="5">
        <f>Assumption!E56</f>
        <v>0.3</v>
      </c>
      <c r="Q1" s="5">
        <f>Assumption!E57</f>
        <v>0.2</v>
      </c>
      <c r="U1" t="s">
        <v>524</v>
      </c>
    </row>
    <row r="2" spans="1:21" x14ac:dyDescent="0.35">
      <c r="B2" s="48" t="s">
        <v>387</v>
      </c>
      <c r="C2" s="48" t="s">
        <v>388</v>
      </c>
      <c r="D2" s="48" t="s">
        <v>62</v>
      </c>
      <c r="E2" s="48" t="s">
        <v>389</v>
      </c>
      <c r="F2" s="48" t="s">
        <v>393</v>
      </c>
      <c r="G2" s="48" t="s">
        <v>392</v>
      </c>
      <c r="H2" s="48" t="s">
        <v>493</v>
      </c>
      <c r="I2" s="48" t="s">
        <v>416</v>
      </c>
      <c r="J2" s="48" t="s">
        <v>487</v>
      </c>
      <c r="L2" s="55" t="s">
        <v>490</v>
      </c>
      <c r="M2" s="48" t="s">
        <v>491</v>
      </c>
      <c r="N2" s="48" t="s">
        <v>492</v>
      </c>
      <c r="O2" t="s">
        <v>504</v>
      </c>
      <c r="P2" t="s">
        <v>505</v>
      </c>
      <c r="Q2" t="s">
        <v>507</v>
      </c>
    </row>
    <row r="3" spans="1:21" x14ac:dyDescent="0.35">
      <c r="A3" t="s">
        <v>437</v>
      </c>
      <c r="B3" t="s">
        <v>478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7.1993499999999999</v>
      </c>
      <c r="E3" cm="1">
        <f t="array" ref="E3">_xll.FDSB(B3,"FG_PRICE_CHANGE(0,-1AY)")</f>
        <v>4.6531200000000004</v>
      </c>
      <c r="F3" cm="1">
        <f t="array" ref="F3">_xll.FDSB(B3,"FG_PRICE_CHANGE(0,-1AM)")</f>
        <v>-0.35501719999999998</v>
      </c>
      <c r="G3" cm="1">
        <f t="array" ref="G3">_xll.FDSB(B3,"FG_PRICE_CHANGE(0,-3AM)")</f>
        <v>1.2303472</v>
      </c>
      <c r="H3" cm="1">
        <f t="array" ref="H3">_xll.FDSB(B3,"FG_PRICE_CHANGE(0,-6AM)")</f>
        <v>-1.2170672</v>
      </c>
      <c r="I3" cm="1">
        <f t="array" ref="I3">_xll.FDS(B3,"STD(FG_PRICE_CHANGE(0,-1AY,AM))")</f>
        <v>1.1997662200735699</v>
      </c>
      <c r="J3" cm="1">
        <f t="array" ref="J3">_xll.FDS(B3,"STD(FG_PRICE_CHANGE(0,-3AY,M))")*SQRT(12)</f>
        <v>6.2639901813962879</v>
      </c>
      <c r="L3">
        <f t="shared" ref="L3:L23" si="0">(1-(_xlfn.PERCENTRANK.EXC($F$3:$F$23,F3)))*100</f>
        <v>50</v>
      </c>
      <c r="M3">
        <f t="shared" ref="M3:M23" si="1">(1-(_xlfn.PERCENTRANK.EXC($G$3:$G$23,G3)))*100</f>
        <v>41</v>
      </c>
      <c r="N3">
        <f t="shared" ref="N3:N23" si="2">(1-(_xlfn.PERCENTRANK.EXC($H$3:$H$23,H3)))*100</f>
        <v>72.8</v>
      </c>
      <c r="O3">
        <f>SUMPRODUCT($L$1:$N$1,L3:N3)</f>
        <v>55.52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57.290000000000006</v>
      </c>
      <c r="U3" cm="1">
        <f t="array" ref="U3">_xlfn.PERCENTRANK.EXC(_xlfn._xlws.FILTER(S$3:S$23, ISNUMBER(S$3:S$23)),S3)*100</f>
        <v>50</v>
      </c>
    </row>
    <row r="4" spans="1:21" x14ac:dyDescent="0.35">
      <c r="A4" t="s">
        <v>27</v>
      </c>
      <c r="B4" t="s">
        <v>485</v>
      </c>
      <c r="C4" t="str" cm="1">
        <f t="array" ref="C4">_xll.FDSB(B4,"FG_COMPANY_NAME")</f>
        <v>Chilean Peso per U.S. Dollar</v>
      </c>
      <c r="D4" cm="1">
        <f t="array" ref="D4">_xll.FDSB(B4,"FG_PRICE(0)")</f>
        <v>941.85</v>
      </c>
      <c r="E4" cm="1">
        <f t="array" ref="E4">_xll.FDSB(B4,"FG_PRICE_CHANGE(0,-1AY)")</f>
        <v>16.917933000000001</v>
      </c>
      <c r="F4" cm="1">
        <f t="array" ref="F4">_xll.FDSB(B4,"FG_PRICE_CHANGE(0,-1AM)")</f>
        <v>-1.6642511</v>
      </c>
      <c r="G4" cm="1">
        <f t="array" ref="G4">_xll.FDSB(B4,"FG_PRICE_CHANGE(0,-3AM)")</f>
        <v>8.7304119999999994</v>
      </c>
      <c r="H4" cm="1">
        <f t="array" ref="H4">_xll.FDSB(B4,"FG_PRICE_CHANGE(0,-6AM)")</f>
        <v>6.1239359999999996</v>
      </c>
      <c r="I4" cm="1">
        <f t="array" ref="I4">_xll.FDS(B4,"STD(FG_PRICE_CHANGE(0,-1AY,AM))")</f>
        <v>3.7040812092339701</v>
      </c>
      <c r="J4" cm="1">
        <f t="array" ref="J4">_xll.FDS(B4,"STD(FG_PRICE_CHANGE(0,-3AY,M))")*SQRT(12)</f>
        <v>15.152540340622528</v>
      </c>
      <c r="L4">
        <f t="shared" si="0"/>
        <v>77.3</v>
      </c>
      <c r="M4">
        <f t="shared" si="1"/>
        <v>9.0999999999999979</v>
      </c>
      <c r="N4">
        <f t="shared" si="2"/>
        <v>9.0999999999999979</v>
      </c>
      <c r="O4">
        <f t="shared" ref="O4:O23" si="4">SUMPRODUCT($L$1:$N$1,L4:N4)</f>
        <v>22.740000000000002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15.9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474</v>
      </c>
      <c r="C5" t="str" cm="1">
        <f t="array" ref="C5">_xll.FDSB(B5,"FG_COMPANY_NAME")</f>
        <v>Indonesian Rupiah per U.S. Dollar</v>
      </c>
      <c r="D5" cm="1">
        <f t="array" ref="D5">_xll.FDSB(B5,"FG_PRICE(0)")</f>
        <v>15580</v>
      </c>
      <c r="E5" cm="1">
        <f t="array" ref="E5">_xll.FDSB(B5,"FG_PRICE_CHANGE(0,-1AY)")</f>
        <v>1.2674688999999999</v>
      </c>
      <c r="F5" cm="1">
        <f t="array" ref="F5">_xll.FDSB(B5,"FG_PRICE_CHANGE(0,-1AM)")</f>
        <v>-9.2983246000000006E-2</v>
      </c>
      <c r="G5" cm="1">
        <f t="array" ref="G5">_xll.FDSB(B5,"FG_PRICE_CHANGE(0,-3AM)")</f>
        <v>0.53558349999999999</v>
      </c>
      <c r="H5" cm="1">
        <f t="array" ref="H5">_xll.FDSB(B5,"FG_PRICE_CHANGE(0,-6AM)")</f>
        <v>1.4653206000000001</v>
      </c>
      <c r="I5" cm="1">
        <f t="array" ref="I5">_xll.FDS(B5,"STD(FG_PRICE_CHANGE(0,-1AY,AM))")</f>
        <v>1.70263029074906</v>
      </c>
      <c r="J5" cm="1">
        <f t="array" ref="J5">_xll.FDS(B5,"STD(FG_PRICE_CHANGE(0,-3AY,M))")*SQRT(12)</f>
        <v>5.3588462057020436</v>
      </c>
      <c r="L5">
        <f t="shared" si="0"/>
        <v>36.4</v>
      </c>
      <c r="M5">
        <f t="shared" si="1"/>
        <v>54.6</v>
      </c>
      <c r="N5">
        <f t="shared" si="2"/>
        <v>22.799999999999997</v>
      </c>
      <c r="O5">
        <f t="shared" si="4"/>
        <v>38.24</v>
      </c>
      <c r="P5">
        <f t="shared" si="3"/>
        <v>72.8</v>
      </c>
      <c r="Q5">
        <f>VLOOKUP(A5,CAD!$A$3:$J$23, 10, FALSE)</f>
        <v>45.4</v>
      </c>
      <c r="S5">
        <f t="shared" si="5"/>
        <v>50.04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484</v>
      </c>
      <c r="C6" t="str" cm="1">
        <f t="array" ref="C6">_xll.FDSB(B6,"FG_COMPANY_NAME")</f>
        <v>Philippines Peso per U.S. Dollar</v>
      </c>
      <c r="D6" cm="1">
        <f t="array" ref="D6">_xll.FDSB(B6,"FG_PRICE(0)")</f>
        <v>55.407499999999999</v>
      </c>
      <c r="E6" cm="1">
        <f t="array" ref="E6">_xll.FDSB(B6,"FG_PRICE_CHANGE(0,-1AY)")</f>
        <v>0.56719779999999997</v>
      </c>
      <c r="F6" cm="1">
        <f t="array" ref="F6">_xll.FDSB(B6,"FG_PRICE_CHANGE(0,-1AM)")</f>
        <v>-1.2731193999999999</v>
      </c>
      <c r="G6" cm="1">
        <f t="array" ref="G6">_xll.FDSB(B6,"FG_PRICE_CHANGE(0,-3AM)")</f>
        <v>-0.70340040000000004</v>
      </c>
      <c r="H6" cm="1">
        <f t="array" ref="H6">_xll.FDSB(B6,"FG_PRICE_CHANGE(0,-6AM)")</f>
        <v>-2.3785352999999998</v>
      </c>
      <c r="I6" cm="1">
        <f t="array" ref="I6">_xll.FDS(B6,"STD(FG_PRICE_CHANGE(0,-1AY,AM))")</f>
        <v>1.6288731756502399</v>
      </c>
      <c r="J6" cm="1">
        <f t="array" ref="J6">_xll.FDS(B6,"STD(FG_PRICE_CHANGE(0,-3AY,M))")*SQRT(12)</f>
        <v>6.1225682989836159</v>
      </c>
      <c r="L6">
        <f t="shared" si="0"/>
        <v>54.6</v>
      </c>
      <c r="M6">
        <f t="shared" si="1"/>
        <v>86.4</v>
      </c>
      <c r="N6">
        <f t="shared" si="2"/>
        <v>86.4</v>
      </c>
      <c r="O6">
        <f t="shared" si="4"/>
        <v>80.040000000000006</v>
      </c>
      <c r="P6">
        <f t="shared" si="3"/>
        <v>63.7</v>
      </c>
      <c r="Q6">
        <f>VLOOKUP(A6,CAD!$A$3:$J$23, 10, FALSE)</f>
        <v>13.600000000000001</v>
      </c>
      <c r="S6">
        <f t="shared" si="5"/>
        <v>61.85</v>
      </c>
      <c r="U6" cm="1">
        <f t="array" ref="U6">_xlfn.PERCENTRANK.EXC(_xlfn._xlws.FILTER(S$3:S$23, ISNUMBER(S$3:S$23)),S6)*100</f>
        <v>72.7</v>
      </c>
    </row>
    <row r="7" spans="1:21" x14ac:dyDescent="0.35">
      <c r="A7" t="s">
        <v>23</v>
      </c>
      <c r="B7" t="s">
        <v>482</v>
      </c>
      <c r="C7" t="str" cm="1">
        <f t="array" ref="C7">_xll.FDSB(B7,"FG_COMPANY_NAME")</f>
        <v>Polish Zloty per U.S. Dollar</v>
      </c>
      <c r="D7" cm="1">
        <f t="array" ref="D7">_xll.FDSB(B7,"FG_PRICE(0)")</f>
        <v>3.9394499999999999</v>
      </c>
      <c r="E7" cm="1">
        <f t="array" ref="E7">_xll.FDSB(B7,"FG_PRICE_CHANGE(0,-1AY)")</f>
        <v>-10.081821</v>
      </c>
      <c r="F7" cm="1">
        <f t="array" ref="F7">_xll.FDSB(B7,"FG_PRICE_CHANGE(0,-1AM)")</f>
        <v>-2.7416347999999999</v>
      </c>
      <c r="G7" cm="1">
        <f t="array" ref="G7">_xll.FDSB(B7,"FG_PRICE_CHANGE(0,-3AM)")</f>
        <v>0.32470226000000002</v>
      </c>
      <c r="H7" cm="1">
        <f t="array" ref="H7">_xll.FDSB(B7,"FG_PRICE_CHANGE(0,-6AM)")</f>
        <v>-9.3504070000000006</v>
      </c>
      <c r="I7" cm="1">
        <f t="array" ref="I7">_xll.FDS(B7,"STD(FG_PRICE_CHANGE(0,-1AY,AM))")</f>
        <v>3.2715150785790899</v>
      </c>
      <c r="J7" cm="1">
        <f t="array" ref="J7">_xll.FDS(B7,"STD(FG_PRICE_CHANGE(0,-3AY,M))")*SQRT(12)</f>
        <v>12.172360695450246</v>
      </c>
      <c r="L7">
        <f t="shared" si="0"/>
        <v>91</v>
      </c>
      <c r="M7">
        <f t="shared" si="1"/>
        <v>59.099999999999994</v>
      </c>
      <c r="N7">
        <f t="shared" si="2"/>
        <v>95.5</v>
      </c>
      <c r="O7">
        <f t="shared" si="4"/>
        <v>80.040000000000006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57.760000000000005</v>
      </c>
      <c r="U7" cm="1">
        <f t="array" ref="U7">_xlfn.PERCENTRANK.EXC(_xlfn._xlws.FILTER(S$3:S$23, ISNUMBER(S$3:S$23)),S7)*100</f>
        <v>59</v>
      </c>
    </row>
    <row r="8" spans="1:21" x14ac:dyDescent="0.35">
      <c r="A8" t="s">
        <v>29</v>
      </c>
      <c r="B8" t="s">
        <v>486</v>
      </c>
      <c r="C8" t="str" cm="1">
        <f t="array" ref="C8">_xll.FDSB(B8,"FG_COMPANY_NAME")</f>
        <v>Peruvian New Sol per U.S. Dollar</v>
      </c>
      <c r="D8" cm="1">
        <f t="array" ref="D8">_xll.FDSB(B8,"FG_PRICE(0)")</f>
        <v>3.6705000000000001</v>
      </c>
      <c r="E8" cm="1">
        <f t="array" ref="E8">_xll.FDSB(B8,"FG_PRICE_CHANGE(0,-1AY)")</f>
        <v>-3.1747459999999998</v>
      </c>
      <c r="F8" cm="1">
        <f t="array" ref="F8">_xll.FDSB(B8,"FG_PRICE_CHANGE(0,-1AM)")</f>
        <v>-5.2639722999999998</v>
      </c>
      <c r="G8" cm="1">
        <f t="array" ref="G8">_xll.FDSB(B8,"FG_PRICE_CHANGE(0,-3AM)")</f>
        <v>-2.8557062000000002</v>
      </c>
      <c r="H8" cm="1">
        <f t="array" ref="H8">_xll.FDSB(B8,"FG_PRICE_CHANGE(0,-6AM)")</f>
        <v>-1.0166645000000001</v>
      </c>
      <c r="I8" cm="1">
        <f t="array" ref="I8">_xll.FDS(B8,"STD(FG_PRICE_CHANGE(0,-1AY,AM))")</f>
        <v>2.9205530369015502</v>
      </c>
      <c r="J8" cm="1">
        <f t="array" ref="J8">_xll.FDS(B8,"STD(FG_PRICE_CHANGE(0,-3AY,M))")*SQRT(12)</f>
        <v>8.3546697976472206</v>
      </c>
      <c r="L8">
        <f t="shared" si="0"/>
        <v>95.5</v>
      </c>
      <c r="M8">
        <f t="shared" si="1"/>
        <v>91</v>
      </c>
      <c r="N8">
        <f t="shared" si="2"/>
        <v>63.7</v>
      </c>
      <c r="O8">
        <f t="shared" si="4"/>
        <v>80.98</v>
      </c>
      <c r="P8">
        <f t="shared" si="3"/>
        <v>36.4</v>
      </c>
      <c r="Q8">
        <f>VLOOKUP(A8,CAD!$A$3:$J$23, 10, FALSE)</f>
        <v>36.299999999999997</v>
      </c>
      <c r="S8">
        <f t="shared" si="5"/>
        <v>58.67</v>
      </c>
      <c r="U8" cm="1">
        <f t="array" ref="U8">_xlfn.PERCENTRANK.EXC(_xlfn._xlws.FILTER(S$3:S$23, ISNUMBER(S$3:S$23)),S8)*100</f>
        <v>63.6</v>
      </c>
    </row>
    <row r="9" spans="1:21" x14ac:dyDescent="0.35">
      <c r="A9" t="s">
        <v>33</v>
      </c>
      <c r="B9" t="s">
        <v>479</v>
      </c>
      <c r="C9" t="str" cm="1">
        <f t="array" ref="C9">_xll.FDSB(B9,"FG_COMPANY_NAME")</f>
        <v>Malaysian Ringgit per U.S. Dollar</v>
      </c>
      <c r="D9" cm="1">
        <f t="array" ref="D9">_xll.FDSB(B9,"FG_PRICE(0)")</f>
        <v>4.6859999999999999</v>
      </c>
      <c r="E9" cm="1">
        <f t="array" ref="E9">_xll.FDSB(B9,"FG_PRICE_CHANGE(0,-1AY)")</f>
        <v>4.4350265999999996</v>
      </c>
      <c r="F9" cm="1">
        <f t="array" ref="F9">_xll.FDSB(B9,"FG_PRICE_CHANGE(0,-1AM)")</f>
        <v>-2.0873845000000002</v>
      </c>
      <c r="G9" cm="1">
        <f t="array" ref="G9">_xll.FDSB(B9,"FG_PRICE_CHANGE(0,-3AM)")</f>
        <v>0.28891562999999998</v>
      </c>
      <c r="H9" cm="1">
        <f t="array" ref="H9">_xll.FDSB(B9,"FG_PRICE_CHANGE(0,-6AM)")</f>
        <v>8.5425379999999995E-2</v>
      </c>
      <c r="I9" cm="1">
        <f t="array" ref="I9">_xll.FDS(B9,"STD(FG_PRICE_CHANGE(0,-1AY,AM))")</f>
        <v>2.0024020060057</v>
      </c>
      <c r="J9" cm="1">
        <f t="array" ref="J9">_xll.FDS(B9,"STD(FG_PRICE_CHANGE(0,-3AY,M))")*SQRT(12)</f>
        <v>7.690018788879363</v>
      </c>
      <c r="L9">
        <f t="shared" si="0"/>
        <v>81.899999999999991</v>
      </c>
      <c r="M9">
        <f t="shared" si="1"/>
        <v>63.7</v>
      </c>
      <c r="N9">
        <f t="shared" si="2"/>
        <v>27.3</v>
      </c>
      <c r="O9">
        <f t="shared" si="4"/>
        <v>52.78</v>
      </c>
      <c r="P9">
        <f t="shared" si="3"/>
        <v>50</v>
      </c>
      <c r="Q9">
        <f>VLOOKUP(A9,CAD!$A$3:$J$23, 10, FALSE)</f>
        <v>68.100000000000009</v>
      </c>
      <c r="S9">
        <f t="shared" si="5"/>
        <v>55.010000000000005</v>
      </c>
      <c r="U9" cm="1">
        <f t="array" ref="U9">_xlfn.PERCENTRANK.EXC(_xlfn._xlws.FILTER(S$3:S$23, ISNUMBER(S$3:S$23)),S9)*100</f>
        <v>45.4</v>
      </c>
    </row>
    <row r="10" spans="1:21" x14ac:dyDescent="0.35">
      <c r="A10" t="s">
        <v>24</v>
      </c>
      <c r="B10" t="s">
        <v>480</v>
      </c>
      <c r="C10" t="str" cm="1">
        <f t="array" ref="C10">_xll.FDSB(B10,"FG_COMPANY_NAME")</f>
        <v>Taiwan Dollar per U.S. Dollar</v>
      </c>
      <c r="D10" cm="1">
        <f t="array" ref="D10">_xll.FDSB(B10,"FG_PRICE(0)")</f>
        <v>31.488</v>
      </c>
      <c r="E10" cm="1">
        <f t="array" ref="E10">_xll.FDSB(B10,"FG_PRICE_CHANGE(0,-1AY)")</f>
        <v>2.8431416</v>
      </c>
      <c r="F10" cm="1">
        <f t="array" ref="F10">_xll.FDSB(B10,"FG_PRICE_CHANGE(0,-1AM)")</f>
        <v>0.41296482000000001</v>
      </c>
      <c r="G10" cm="1">
        <f t="array" ref="G10">_xll.FDSB(B10,"FG_PRICE_CHANGE(0,-3AM)")</f>
        <v>0.62797069999999999</v>
      </c>
      <c r="H10" cm="1">
        <f t="array" ref="H10">_xll.FDSB(B10,"FG_PRICE_CHANGE(0,-6AM)")</f>
        <v>-1.3070047</v>
      </c>
      <c r="I10" cm="1">
        <f t="array" ref="I10">_xll.FDS(B10,"STD(FG_PRICE_CHANGE(0,-1AY,AM))")</f>
        <v>1.4730634504697</v>
      </c>
      <c r="J10" cm="1">
        <f t="array" ref="J10">_xll.FDS(B10,"STD(FG_PRICE_CHANGE(0,-3AY,M))")*SQRT(12)</f>
        <v>6.1199447936821878</v>
      </c>
      <c r="L10">
        <f t="shared" si="0"/>
        <v>13.700000000000001</v>
      </c>
      <c r="M10">
        <f t="shared" si="1"/>
        <v>50</v>
      </c>
      <c r="N10">
        <f t="shared" si="2"/>
        <v>77.3</v>
      </c>
      <c r="O10">
        <f t="shared" si="4"/>
        <v>53.660000000000004</v>
      </c>
      <c r="P10">
        <f t="shared" si="3"/>
        <v>68.2</v>
      </c>
      <c r="Q10">
        <f>VLOOKUP(A10,CAD!$A$3:$J$23, 10, FALSE)</f>
        <v>86.3</v>
      </c>
      <c r="S10">
        <f t="shared" si="5"/>
        <v>64.550000000000011</v>
      </c>
      <c r="U10" cm="1">
        <f t="array" ref="U10">_xlfn.PERCENTRANK.EXC(_xlfn._xlws.FILTER(S$3:S$23, ISNUMBER(S$3:S$23)),S10)*100</f>
        <v>77.2</v>
      </c>
    </row>
    <row r="11" spans="1:21" x14ac:dyDescent="0.35">
      <c r="A11" t="s">
        <v>7</v>
      </c>
      <c r="B11" t="s">
        <v>483</v>
      </c>
      <c r="C11" t="str" cm="1">
        <f t="array" ref="C11">_xll.FDSB(B11,"FG_COMPANY_NAME")</f>
        <v>Mexican Peso per U.S. Dollar</v>
      </c>
      <c r="D11" cm="1">
        <f t="array" ref="D11">_xll.FDSB(B11,"FG_PRICE(0)")</f>
        <v>16.684999999999999</v>
      </c>
      <c r="E11" cm="1">
        <f t="array" ref="E11">_xll.FDSB(B11,"FG_PRICE_CHANGE(0,-1AY)")</f>
        <v>-10.892153</v>
      </c>
      <c r="F11" cm="1">
        <f t="array" ref="F11">_xll.FDSB(B11,"FG_PRICE_CHANGE(0,-1AM)")</f>
        <v>-2.4554252999999999</v>
      </c>
      <c r="G11" cm="1">
        <f t="array" ref="G11">_xll.FDSB(B11,"FG_PRICE_CHANGE(0,-3AM)")</f>
        <v>-3.4251273000000002</v>
      </c>
      <c r="H11" cm="1">
        <f t="array" ref="H11">_xll.FDSB(B11,"FG_PRICE_CHANGE(0,-6AM)")</f>
        <v>-2.5835693000000002</v>
      </c>
      <c r="I11" cm="1">
        <f t="array" ref="I11">_xll.FDS(B11,"STD(FG_PRICE_CHANGE(0,-1AY,AM))")</f>
        <v>2.46371175626129</v>
      </c>
      <c r="J11" cm="1">
        <f t="array" ref="J11">_xll.FDS(B11,"STD(FG_PRICE_CHANGE(0,-3AY,M))")*SQRT(12)</f>
        <v>7.8692351999114933</v>
      </c>
      <c r="L11">
        <f t="shared" si="0"/>
        <v>86.4</v>
      </c>
      <c r="M11">
        <f t="shared" si="1"/>
        <v>95.5</v>
      </c>
      <c r="N11">
        <f t="shared" si="2"/>
        <v>91</v>
      </c>
      <c r="O11">
        <f t="shared" si="4"/>
        <v>91.88</v>
      </c>
      <c r="P11">
        <f t="shared" si="3"/>
        <v>45.499999999999993</v>
      </c>
      <c r="Q11">
        <f>VLOOKUP(A11,CAD!$A$3:$J$23, 10, FALSE)</f>
        <v>36.299999999999997</v>
      </c>
      <c r="S11">
        <f t="shared" si="5"/>
        <v>66.849999999999994</v>
      </c>
      <c r="U11" cm="1">
        <f t="array" ref="U11">_xlfn.PERCENTRANK.EXC(_xlfn._xlws.FILTER(S$3:S$23, ISNUMBER(S$3:S$23)),S11)*100</f>
        <v>81.8</v>
      </c>
    </row>
    <row r="12" spans="1:21" x14ac:dyDescent="0.35">
      <c r="A12" t="s">
        <v>21</v>
      </c>
      <c r="B12" t="s">
        <v>395</v>
      </c>
      <c r="C12" t="str" cm="1">
        <f t="array" ref="C12">_xll.FDSB(B12,"FG_COMPANY_NAME")</f>
        <v>South Korean Won per U.S. Dollar</v>
      </c>
      <c r="D12" cm="1">
        <f t="array" ref="D12">_xll.FDSB(B12,"FG_PRICE(0)")</f>
        <v>1317.7</v>
      </c>
      <c r="E12" cm="1">
        <f t="array" ref="E12">_xll.FDSB(B12,"FG_PRICE_CHANGE(0,-1AY)")</f>
        <v>0.49955844999999999</v>
      </c>
      <c r="F12" cm="1">
        <f t="array" ref="F12">_xll.FDSB(B12,"FG_PRICE_CHANGE(0,-1AM)")</f>
        <v>-1.3217509000000001</v>
      </c>
      <c r="G12" cm="1">
        <f t="array" ref="G12">_xll.FDSB(B12,"FG_PRICE_CHANGE(0,-3AM)")</f>
        <v>1.7175555</v>
      </c>
      <c r="H12" cm="1">
        <f t="array" ref="H12">_xll.FDSB(B12,"FG_PRICE_CHANGE(0,-6AM)")</f>
        <v>-0.60720443999999996</v>
      </c>
      <c r="I12" cm="1">
        <f t="array" ref="I12">_xll.FDS(B12,"STD(FG_PRICE_CHANGE(0,-1AY,AM))")</f>
        <v>2.6060546819911998</v>
      </c>
      <c r="J12" cm="1">
        <f t="array" ref="J12">_xll.FDS(B12,"STD(FG_PRICE_CHANGE(0,-3AY,M))")*SQRT(12)</f>
        <v>10.430020045116146</v>
      </c>
      <c r="L12">
        <f t="shared" si="0"/>
        <v>59.099999999999994</v>
      </c>
      <c r="M12">
        <f t="shared" si="1"/>
        <v>27.3</v>
      </c>
      <c r="N12">
        <f t="shared" si="2"/>
        <v>54.6</v>
      </c>
      <c r="O12">
        <f t="shared" si="4"/>
        <v>44.580000000000005</v>
      </c>
      <c r="P12">
        <f t="shared" si="3"/>
        <v>31.899999999999991</v>
      </c>
      <c r="Q12">
        <f>VLOOKUP(A12,CAD!$A$3:$J$23, 10, FALSE)</f>
        <v>72.7</v>
      </c>
      <c r="S12">
        <f t="shared" si="5"/>
        <v>46.4</v>
      </c>
      <c r="U12" cm="1">
        <f t="array" ref="U12">_xlfn.PERCENTRANK.EXC(_xlfn._xlws.FILTER(S$3:S$23, ISNUMBER(S$3:S$23)),S12)*100</f>
        <v>36.299999999999997</v>
      </c>
    </row>
    <row r="13" spans="1:21" x14ac:dyDescent="0.35">
      <c r="A13" t="s">
        <v>12</v>
      </c>
      <c r="B13" t="s">
        <v>475</v>
      </c>
      <c r="C13" t="str" cm="1">
        <f t="array" ref="C13">_xll.FDSB(B13,"FG_COMPANY_NAME")</f>
        <v>Brazilian Real per U.S. Dollar</v>
      </c>
      <c r="D13" cm="1">
        <f t="array" ref="D13">_xll.FDSB(B13,"FG_PRICE(0)")</f>
        <v>4.9814499999999997</v>
      </c>
      <c r="E13" cm="1">
        <f t="array" ref="E13">_xll.FDSB(B13,"FG_PRICE_CHANGE(0,-1AY)")</f>
        <v>-5.250597</v>
      </c>
      <c r="F13" cm="1">
        <f t="array" ref="F13">_xll.FDSB(B13,"FG_PRICE_CHANGE(0,-1AM)")</f>
        <v>0.31616687999999998</v>
      </c>
      <c r="G13" cm="1">
        <f t="array" ref="G13">_xll.FDSB(B13,"FG_PRICE_CHANGE(0,-3AM)")</f>
        <v>1.8576383999999999</v>
      </c>
      <c r="H13" cm="1">
        <f t="array" ref="H13">_xll.FDSB(B13,"FG_PRICE_CHANGE(0,-6AM)")</f>
        <v>2.219236</v>
      </c>
      <c r="I13" cm="1">
        <f t="array" ref="I13">_xll.FDS(B13,"STD(FG_PRICE_CHANGE(0,-1AY,AM))")</f>
        <v>2.7408822241139599</v>
      </c>
      <c r="J13" cm="1">
        <f t="array" ref="J13">_xll.FDS(B13,"STD(FG_PRICE_CHANGE(0,-3AY,M))")*SQRT(12)</f>
        <v>12.682998825200471</v>
      </c>
      <c r="L13">
        <f t="shared" si="0"/>
        <v>18.200000000000006</v>
      </c>
      <c r="M13">
        <f t="shared" si="1"/>
        <v>22.799999999999997</v>
      </c>
      <c r="N13">
        <f t="shared" si="2"/>
        <v>13.700000000000001</v>
      </c>
      <c r="O13">
        <f t="shared" si="4"/>
        <v>18.240000000000002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20.020000000000003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390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18.741250000000001</v>
      </c>
      <c r="E14" cm="1">
        <f t="array" ref="E14">_xll.FDSB(B14,"FG_PRICE_CHANGE(0,-1AY)")</f>
        <v>3.0517460000000001</v>
      </c>
      <c r="F14" cm="1">
        <f t="array" ref="F14">_xll.FDSB(B14,"FG_PRICE_CHANGE(0,-1AM)")</f>
        <v>-1.6594589</v>
      </c>
      <c r="G14" cm="1">
        <f t="array" ref="G14">_xll.FDSB(B14,"FG_PRICE_CHANGE(0,-3AM)")</f>
        <v>2.2887944999999998</v>
      </c>
      <c r="H14" cm="1">
        <f t="array" ref="H14">_xll.FDSB(B14,"FG_PRICE_CHANGE(0,-6AM)")</f>
        <v>-0.99710226000000002</v>
      </c>
      <c r="I14" cm="1">
        <f t="array" ref="I14">_xll.FDS(B14,"STD(FG_PRICE_CHANGE(0,-1AY,AM))")</f>
        <v>3.28039794214666</v>
      </c>
      <c r="J14" cm="1">
        <f t="array" ref="J14">_xll.FDS(B14,"STD(FG_PRICE_CHANGE(0,-3AY,M))")*SQRT(12)</f>
        <v>14.029869238448757</v>
      </c>
      <c r="L14">
        <f t="shared" si="0"/>
        <v>72.8</v>
      </c>
      <c r="M14">
        <f t="shared" si="1"/>
        <v>13.700000000000001</v>
      </c>
      <c r="N14">
        <f t="shared" si="2"/>
        <v>59.099999999999994</v>
      </c>
      <c r="O14">
        <f t="shared" si="4"/>
        <v>43.68</v>
      </c>
      <c r="P14">
        <f t="shared" si="3"/>
        <v>13.700000000000003</v>
      </c>
      <c r="Q14">
        <f>VLOOKUP(A14,CAD!$A$3:$J$23, 10, FALSE)</f>
        <v>22.7</v>
      </c>
      <c r="S14">
        <f t="shared" si="5"/>
        <v>30.49</v>
      </c>
      <c r="U14" cm="1">
        <f t="array" ref="U14">_xlfn.PERCENTRANK.EXC(_xlfn._xlws.FILTER(S$3:S$23, ISNUMBER(S$3:S$23)),S14)*100</f>
        <v>18.099999999999998</v>
      </c>
    </row>
    <row r="15" spans="1:21" x14ac:dyDescent="0.35">
      <c r="A15" t="s">
        <v>28</v>
      </c>
      <c r="B15" t="s">
        <v>473</v>
      </c>
      <c r="C15" t="str" cm="1">
        <f t="array" ref="C15">_xll.FDSB(B15,"FG_COMPANY_NAME")</f>
        <v>Euro per U.S. Dollar</v>
      </c>
      <c r="D15" cm="1">
        <f t="array" ref="D15">_xll.FDSB(B15,"FG_PRICE(0)")</f>
        <v>0.91844230000000004</v>
      </c>
      <c r="E15" cm="1">
        <f t="array" ref="E15">_xll.FDSB(B15,"FG_PRICE_CHANGE(0,-1AY)")</f>
        <v>-1.5108406999999999</v>
      </c>
      <c r="F15" cm="1">
        <f t="array" ref="F15">_xll.FDSB(B15,"FG_PRICE_CHANGE(0,-1AM)")</f>
        <v>-1.5338004000000001</v>
      </c>
      <c r="G15" cm="1">
        <f t="array" ref="G15">_xll.FDSB(B15,"FG_PRICE_CHANGE(0,-3AM)")</f>
        <v>0.97814800000000002</v>
      </c>
      <c r="H15" cm="1">
        <f t="array" ref="H15">_xll.FDSB(B15,"FG_PRICE_CHANGE(0,-6AM)")</f>
        <v>-2.0435392999999999</v>
      </c>
      <c r="I15" cm="1">
        <f t="array" ref="I15">_xll.FDS(B15,"STD(FG_PRICE_CHANGE(0,-1AY,AM))")</f>
        <v>2.16792121696743</v>
      </c>
      <c r="J15" cm="1">
        <f t="array" ref="J15">_xll.FDS(B15,"STD(FG_PRICE_CHANGE(0,-3AY,M))")*SQRT(12)</f>
        <v>7.8939456392796519</v>
      </c>
      <c r="L15">
        <f t="shared" si="0"/>
        <v>68.199999999999989</v>
      </c>
      <c r="M15">
        <f t="shared" si="1"/>
        <v>45.499999999999993</v>
      </c>
      <c r="N15">
        <f t="shared" si="2"/>
        <v>81.899999999999991</v>
      </c>
      <c r="O15">
        <f t="shared" si="4"/>
        <v>64.599999999999994</v>
      </c>
      <c r="P15">
        <f t="shared" si="3"/>
        <v>41</v>
      </c>
      <c r="Q15">
        <f>VLOOKUP(A15,CAD!$A$3:$J$23, 10, FALSE)</f>
        <v>4.5</v>
      </c>
      <c r="S15">
        <f t="shared" si="5"/>
        <v>45.499999999999993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391</v>
      </c>
      <c r="C16" t="str" cm="1">
        <f t="array" ref="C16">_xll.FDSB(B16,"FG_COMPANY_NAME")</f>
        <v>Indian Rupee per U.S. Dollar</v>
      </c>
      <c r="D16" cm="1">
        <f t="array" ref="D16">_xll.FDSB(B16,"FG_PRICE(0)")</f>
        <v>82.826899999999995</v>
      </c>
      <c r="E16" cm="1">
        <f t="array" ref="E16">_xll.FDSB(B16,"FG_PRICE_CHANGE(0,-1AY)")</f>
        <v>0.41145085999999997</v>
      </c>
      <c r="F16" cm="1">
        <f t="array" ref="F16">_xll.FDSB(B16,"FG_PRICE_CHANGE(0,-1AM)")</f>
        <v>-0.24310946</v>
      </c>
      <c r="G16" cm="1">
        <f t="array" ref="G16">_xll.FDSB(B16,"FG_PRICE_CHANGE(0,-3AM)")</f>
        <v>-0.60524343999999997</v>
      </c>
      <c r="H16" cm="1">
        <f t="array" ref="H16">_xll.FDSB(B16,"FG_PRICE_CHANGE(0,-6AM)")</f>
        <v>-0.2521217</v>
      </c>
      <c r="I16" cm="1">
        <f t="array" ref="I16">_xll.FDS(B16,"STD(FG_PRICE_CHANGE(0,-1AY,AM))")</f>
        <v>0.42415512758576701</v>
      </c>
      <c r="J16" cm="1">
        <f t="array" ref="J16">_xll.FDS(B16,"STD(FG_PRICE_CHANGE(0,-3AY,M))")*SQRT(12)</f>
        <v>3.8064421872424559</v>
      </c>
      <c r="L16">
        <f t="shared" si="0"/>
        <v>41</v>
      </c>
      <c r="M16">
        <f t="shared" si="1"/>
        <v>81.899999999999991</v>
      </c>
      <c r="N16">
        <f t="shared" si="2"/>
        <v>45.499999999999993</v>
      </c>
      <c r="O16">
        <f t="shared" si="4"/>
        <v>59.16</v>
      </c>
      <c r="P16">
        <f t="shared" si="3"/>
        <v>81.900000000000006</v>
      </c>
      <c r="Q16">
        <f>VLOOKUP(A16,CAD!$A$3:$J$23, 10, FALSE)</f>
        <v>31.8</v>
      </c>
      <c r="S16">
        <f t="shared" si="5"/>
        <v>60.51</v>
      </c>
      <c r="U16" cm="1">
        <f t="array" ref="U16">_xlfn.PERCENTRANK.EXC(_xlfn._xlws.FILTER(S$3:S$23, ISNUMBER(S$3:S$23)),S16)*100</f>
        <v>68.100000000000009</v>
      </c>
    </row>
    <row r="17" spans="1:21" x14ac:dyDescent="0.35">
      <c r="A17" t="s">
        <v>26</v>
      </c>
      <c r="B17" t="s">
        <v>478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7.1993499999999999</v>
      </c>
      <c r="E17" cm="1">
        <f t="array" ref="E17">_xll.FDSB(B17,"FG_PRICE_CHANGE(0,-1AY)")</f>
        <v>4.6531200000000004</v>
      </c>
      <c r="F17" cm="1">
        <f t="array" ref="F17">_xll.FDSB(B17,"FG_PRICE_CHANGE(0,-1AM)")</f>
        <v>-0.35501719999999998</v>
      </c>
      <c r="G17" cm="1">
        <f t="array" ref="G17">_xll.FDSB(B17,"FG_PRICE_CHANGE(0,-3AM)")</f>
        <v>1.2303472</v>
      </c>
      <c r="H17" cm="1">
        <f t="array" ref="H17">_xll.FDSB(B17,"FG_PRICE_CHANGE(0,-6AM)")</f>
        <v>-1.2170672</v>
      </c>
      <c r="I17" cm="1">
        <f t="array" ref="I17">_xll.FDS(B17,"STD(FG_PRICE_CHANGE(0,-1AY,AM))")</f>
        <v>1.1997662200735699</v>
      </c>
      <c r="J17" cm="1">
        <f t="array" ref="J17">_xll.FDS(B17,"STD(FG_PRICE_CHANGE(0,-3AY,M))")*SQRT(12)</f>
        <v>6.2639901813962879</v>
      </c>
      <c r="L17">
        <f t="shared" si="0"/>
        <v>50</v>
      </c>
      <c r="M17">
        <f t="shared" si="1"/>
        <v>41</v>
      </c>
      <c r="N17">
        <f t="shared" si="2"/>
        <v>72.8</v>
      </c>
      <c r="O17">
        <f t="shared" si="4"/>
        <v>55.52</v>
      </c>
      <c r="P17">
        <f t="shared" si="3"/>
        <v>59.1</v>
      </c>
      <c r="Q17">
        <f>VLOOKUP(A17,CAD!$A$3:$J$23, 10, FALSE)</f>
        <v>59</v>
      </c>
      <c r="S17">
        <f t="shared" si="5"/>
        <v>57.290000000000006</v>
      </c>
      <c r="U17" cm="1">
        <f t="array" ref="U17">_xlfn.PERCENTRANK.EXC(_xlfn._xlws.FILTER(S$3:S$23, ISNUMBER(S$3:S$23)),S17)*100</f>
        <v>50</v>
      </c>
    </row>
    <row r="18" spans="1:21" x14ac:dyDescent="0.35">
      <c r="A18" t="s">
        <v>31</v>
      </c>
      <c r="B18" t="s">
        <v>574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-2.0593404999999999E-2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3.9440701829219424E-2</v>
      </c>
      <c r="L18">
        <f t="shared" si="0"/>
        <v>22.799999999999997</v>
      </c>
      <c r="M18">
        <f t="shared" si="1"/>
        <v>72.8</v>
      </c>
      <c r="N18">
        <f t="shared" si="2"/>
        <v>31.899999999999995</v>
      </c>
      <c r="O18">
        <f t="shared" si="4"/>
        <v>46.44</v>
      </c>
      <c r="P18">
        <f t="shared" si="3"/>
        <v>91</v>
      </c>
      <c r="Q18">
        <f>VLOOKUP(A18,CAD!$A$3:$J$23, 10, FALSE)</f>
        <v>90.9</v>
      </c>
      <c r="S18">
        <f t="shared" si="5"/>
        <v>68.7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764</v>
      </c>
      <c r="B19" t="s">
        <v>476</v>
      </c>
      <c r="C19" t="str" cm="1">
        <f t="array" ref="C19">_xll.FDSB(B19,"FG_COMPANY_NAME")</f>
        <v>Thailand Baht per U.S. Dollar</v>
      </c>
      <c r="D19" cm="1">
        <f t="array" ref="D19">_xll.FDSB(B19,"FG_PRICE(0)")</f>
        <v>35.619999999999997</v>
      </c>
      <c r="E19" cm="1">
        <f t="array" ref="E19">_xll.FDSB(B19,"FG_PRICE_CHANGE(0,-1AY)")</f>
        <v>3.2015085000000001</v>
      </c>
      <c r="F19" cm="1">
        <f t="array" ref="F19">_xll.FDSB(B19,"FG_PRICE_CHANGE(0,-1AM)")</f>
        <v>-1.4115751000000001</v>
      </c>
      <c r="G19" cm="1">
        <f t="array" ref="G19">_xll.FDSB(B19,"FG_PRICE_CHANGE(0,-3AM)")</f>
        <v>1.6987801</v>
      </c>
      <c r="H19" cm="1">
        <f t="array" ref="H19">_xll.FDSB(B19,"FG_PRICE_CHANGE(0,-6AM)")</f>
        <v>-0.48889517999999998</v>
      </c>
      <c r="I19" cm="1">
        <f t="array" ref="I19">_xll.FDS(B19,"STD(FG_PRICE_CHANGE(0,-1AY,AM))")</f>
        <v>1.6958356116278801</v>
      </c>
      <c r="J19" cm="1">
        <f t="array" ref="J19">_xll.FDS(B19,"STD(FG_PRICE_CHANGE(0,-3AY,M))")*SQRT(12)</f>
        <v>10.496710501713254</v>
      </c>
      <c r="L19">
        <f t="shared" si="0"/>
        <v>63.7</v>
      </c>
      <c r="M19">
        <f t="shared" si="1"/>
        <v>31.899999999999995</v>
      </c>
      <c r="N19">
        <f t="shared" si="2"/>
        <v>50</v>
      </c>
      <c r="O19">
        <f t="shared" si="4"/>
        <v>45.5</v>
      </c>
      <c r="P19">
        <f t="shared" si="3"/>
        <v>27.299999999999997</v>
      </c>
      <c r="Q19">
        <f>VLOOKUP(A19,CAD!$A$3:$J$23, 10, FALSE)</f>
        <v>72.7</v>
      </c>
      <c r="S19">
        <f t="shared" si="5"/>
        <v>45.48</v>
      </c>
      <c r="U19" cm="1">
        <f t="array" ref="U19">_xlfn.PERCENTRANK.EXC(_xlfn._xlws.FILTER(S$3:S$23, ISNUMBER(S$3:S$23)),S19)*100</f>
        <v>27.200000000000003</v>
      </c>
    </row>
    <row r="20" spans="1:21" x14ac:dyDescent="0.35">
      <c r="A20" t="s">
        <v>25</v>
      </c>
      <c r="B20" t="s">
        <v>481</v>
      </c>
      <c r="C20" t="str" cm="1">
        <f t="array" ref="C20">_xll.FDSB(B20,"FG_COMPANY_NAME")</f>
        <v>Turkish New Lira per U.S. Dollar</v>
      </c>
      <c r="D20" cm="1">
        <f t="array" ref="D20">_xll.FDSB(B20,"FG_PRICE(0)")</f>
        <v>32.116</v>
      </c>
      <c r="E20" cm="1">
        <f t="array" ref="E20">_xll.FDSB(B20,"FG_PRICE_CHANGE(0,-1AY)")</f>
        <v>69.276595999999998</v>
      </c>
      <c r="F20" cm="1">
        <f t="array" ref="F20">_xll.FDSB(B20,"FG_PRICE_CHANGE(0,-1AM)")</f>
        <v>4.4168114999999997</v>
      </c>
      <c r="G20" cm="1">
        <f t="array" ref="G20">_xll.FDSB(B20,"FG_PRICE_CHANGE(0,-3AM)")</f>
        <v>10.791062999999999</v>
      </c>
      <c r="H20" cm="1">
        <f t="array" ref="H20">_xll.FDSB(B20,"FG_PRICE_CHANGE(0,-6AM)")</f>
        <v>19.176579</v>
      </c>
      <c r="I20" cm="1">
        <f t="array" ref="I20">_xll.FDS(B20,"STD(FG_PRICE_CHANGE(0,-1AY,AM))")</f>
        <v>5.5548357674540201</v>
      </c>
      <c r="J20" cm="1">
        <f t="array" ref="J20">_xll.FDS(B20,"STD(FG_PRICE_CHANGE(0,-3AY,M))")*SQRT(12)</f>
        <v>26.476765574336852</v>
      </c>
      <c r="L20">
        <f t="shared" si="0"/>
        <v>4.6000000000000041</v>
      </c>
      <c r="M20">
        <f t="shared" si="1"/>
        <v>4.6000000000000041</v>
      </c>
      <c r="N20">
        <f t="shared" si="2"/>
        <v>4.6000000000000041</v>
      </c>
      <c r="O20">
        <f t="shared" si="4"/>
        <v>4.6000000000000041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7.3000000000000043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572</v>
      </c>
      <c r="C21" t="str" cm="1">
        <f t="array" ref="C21">_xll.FDSB(B21,"FG_COMPANY_NAME")</f>
        <v>UAE Dirham per U.S. Dollar</v>
      </c>
      <c r="D21" cm="1">
        <f t="array" ref="D21">_xll.FDSB(B21,"FG_PRICE(0)")</f>
        <v>3.6726000000000001</v>
      </c>
      <c r="E21" cm="1">
        <f t="array" ref="E21">_xll.FDSB(B21,"FG_PRICE_CHANGE(0,-1AY)")</f>
        <v>-4.0829179999999996E-3</v>
      </c>
      <c r="F21" cm="1">
        <f t="array" ref="F21">_xll.FDSB(B21,"FG_PRICE_CHANGE(0,-1AM)")</f>
        <v>-8.1658359999999992E-3</v>
      </c>
      <c r="G21" cm="1">
        <f t="array" ref="G21">_xll.FDSB(B21,"FG_PRICE_CHANGE(0,-3AM)")</f>
        <v>0</v>
      </c>
      <c r="H21" cm="1">
        <f t="array" ref="H21">_xll.FDSB(B21,"FG_PRICE_CHANGE(0,-6AM)")</f>
        <v>-1.22487545E-2</v>
      </c>
      <c r="I21" cm="1">
        <f t="array" ref="I21">_xll.FDS(B21,"STD(FG_PRICE_CHANGE(0,-1AY,AM))")</f>
        <v>9.2912396739563106E-3</v>
      </c>
      <c r="J21" cm="1">
        <f t="array" ref="J21">_xll.FDS(B21,"STD(FG_PRICE_CHANGE(0,-3AY,M))")*SQRT(12)</f>
        <v>2.6155669863642775E-2</v>
      </c>
      <c r="L21">
        <f t="shared" si="0"/>
        <v>31.899999999999995</v>
      </c>
      <c r="M21">
        <f t="shared" si="1"/>
        <v>72.8</v>
      </c>
      <c r="N21">
        <f t="shared" si="2"/>
        <v>41</v>
      </c>
      <c r="O21">
        <f t="shared" si="4"/>
        <v>51.900000000000006</v>
      </c>
      <c r="P21">
        <f t="shared" si="3"/>
        <v>95.5</v>
      </c>
      <c r="Q21">
        <f>VLOOKUP(A21,CAD!$A$3:$J$23, 10, FALSE)</f>
        <v>95.399999999999991</v>
      </c>
      <c r="S21">
        <f t="shared" si="5"/>
        <v>73.680000000000007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477</v>
      </c>
      <c r="C22" t="str" cm="1">
        <f t="array" ref="C22">_xll.FDSB(B22,"FG_COMPANY_NAME")</f>
        <v>Vietnam Dong per U.S. Dollar</v>
      </c>
      <c r="D22" cm="1">
        <f t="array" ref="D22">_xll.FDSB(B22,"FG_PRICE(0)")</f>
        <v>24700</v>
      </c>
      <c r="E22" cm="1">
        <f t="array" ref="E22">_xll.FDSB(B22,"FG_PRICE_CHANGE(0,-1AY)")</f>
        <v>4.7275780000000003</v>
      </c>
      <c r="F22" cm="1">
        <f t="array" ref="F22">_xll.FDSB(B22,"FG_PRICE_CHANGE(0,-1AM)")</f>
        <v>1.2087703000000001</v>
      </c>
      <c r="G22" cm="1">
        <f t="array" ref="G22">_xll.FDSB(B22,"FG_PRICE_CHANGE(0,-3AM)")</f>
        <v>1.8766761000000001</v>
      </c>
      <c r="H22" cm="1">
        <f t="array" ref="H22">_xll.FDSB(B22,"FG_PRICE_CHANGE(0,-6AM)")</f>
        <v>1.9397496999999999</v>
      </c>
      <c r="I22" cm="1">
        <f t="array" ref="I22">_xll.FDS(B22,"STD(FG_PRICE_CHANGE(0,-1AY,AM))")</f>
        <v>0.74994454357971596</v>
      </c>
      <c r="J22" cm="1">
        <f t="array" ref="J22">_xll.FDS(B22,"STD(FG_PRICE_CHANGE(0,-3AY,M))")*SQRT(12)</f>
        <v>4.2861120152845427</v>
      </c>
      <c r="L22">
        <f t="shared" si="0"/>
        <v>9.0999999999999979</v>
      </c>
      <c r="M22">
        <f t="shared" si="1"/>
        <v>18.200000000000006</v>
      </c>
      <c r="N22">
        <f t="shared" si="2"/>
        <v>18.200000000000006</v>
      </c>
      <c r="O22">
        <f t="shared" si="4"/>
        <v>16.380000000000006</v>
      </c>
      <c r="P22">
        <f t="shared" si="3"/>
        <v>77.3</v>
      </c>
      <c r="Q22">
        <f>VLOOKUP(A22,CAD!$A$3:$J$23, 10, FALSE)</f>
        <v>50</v>
      </c>
      <c r="S22">
        <f t="shared" si="5"/>
        <v>41.38</v>
      </c>
      <c r="U22" cm="1">
        <f t="array" ref="U22">_xlfn.PERCENTRANK.EXC(_xlfn._xlws.FILTER(S$3:S$23, ISNUMBER(S$3:S$23)),S22)*100</f>
        <v>22.7</v>
      </c>
    </row>
    <row r="23" spans="1:21" x14ac:dyDescent="0.35">
      <c r="A23" t="s">
        <v>36</v>
      </c>
      <c r="B23" t="s">
        <v>573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3.7503000000000002</v>
      </c>
      <c r="E23" cm="1">
        <f t="array" ref="E23">_xll.FDSB(B23,"FG_PRICE_CHANGE(0,-1AY)")</f>
        <v>-0.12384057</v>
      </c>
      <c r="F23" cm="1">
        <f t="array" ref="F23">_xll.FDSB(B23,"FG_PRICE_CHANGE(0,-1AM)")</f>
        <v>-2.6702879999999998E-3</v>
      </c>
      <c r="G23" cm="1">
        <f t="array" ref="G23">_xll.FDSB(B23,"FG_PRICE_CHANGE(0,-3AM)")</f>
        <v>-2.6661158000000001E-2</v>
      </c>
      <c r="H23" cm="1">
        <f t="array" ref="H23">_xll.FDSB(B23,"FG_PRICE_CHANGE(0,-6AM)")</f>
        <v>-8.0049040000000002E-3</v>
      </c>
      <c r="I23" cm="1">
        <f t="array" ref="I23">_xll.FDS(B23,"STD(FG_PRICE_CHANGE(0,-1AY,AM))")</f>
        <v>4.0198491925221701E-2</v>
      </c>
      <c r="J23" cm="1">
        <f t="array" ref="J23">_xll.FDS(B23,"STD(FG_PRICE_CHANGE(0,-3AY,M))")*SQRT(12)</f>
        <v>0.14930738978445626</v>
      </c>
      <c r="L23">
        <f t="shared" si="0"/>
        <v>27.3</v>
      </c>
      <c r="M23">
        <f t="shared" si="1"/>
        <v>77.3</v>
      </c>
      <c r="N23">
        <f t="shared" si="2"/>
        <v>36.4</v>
      </c>
      <c r="O23">
        <f t="shared" si="4"/>
        <v>50.940000000000005</v>
      </c>
      <c r="P23">
        <f t="shared" si="3"/>
        <v>86.4</v>
      </c>
      <c r="Q23">
        <f>VLOOKUP(A23,CAD!$A$3:$J$23, 10, FALSE)</f>
        <v>81.8</v>
      </c>
      <c r="S23">
        <f t="shared" si="5"/>
        <v>67.75</v>
      </c>
      <c r="U23" cm="1">
        <f t="array" ref="U23">_xlfn.PERCENTRANK.EXC(_xlfn._xlws.FILTER(S$3:S$23, ISNUMBER(S$3:S$23)),S23)*100</f>
        <v>86.3</v>
      </c>
    </row>
    <row r="36" spans="10:10" x14ac:dyDescent="0.35">
      <c r="J36" s="65"/>
    </row>
    <row r="38" spans="10:10" x14ac:dyDescent="0.35">
      <c r="J38" s="79"/>
    </row>
    <row r="40" spans="10:10" x14ac:dyDescent="0.35">
      <c r="J40" s="7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A32" sqref="A24:XFD32"/>
    </sheetView>
  </sheetViews>
  <sheetFormatPr defaultRowHeight="14.5" x14ac:dyDescent="0.35"/>
  <cols>
    <col min="3" max="3" width="13.9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6328125" customWidth="1"/>
  </cols>
  <sheetData>
    <row r="1" spans="1:10" x14ac:dyDescent="0.35">
      <c r="F1" t="s">
        <v>497</v>
      </c>
      <c r="G1" t="s">
        <v>498</v>
      </c>
      <c r="H1" t="s">
        <v>499</v>
      </c>
      <c r="J1" t="s">
        <v>508</v>
      </c>
    </row>
    <row r="2" spans="1:10" x14ac:dyDescent="0.35">
      <c r="C2" t="s">
        <v>500</v>
      </c>
      <c r="D2" t="s">
        <v>156</v>
      </c>
      <c r="E2" t="s">
        <v>501</v>
      </c>
      <c r="F2" t="s">
        <v>502</v>
      </c>
      <c r="G2" t="s">
        <v>495</v>
      </c>
      <c r="H2" t="s">
        <v>496</v>
      </c>
    </row>
    <row r="3" spans="1:10" x14ac:dyDescent="0.35">
      <c r="A3" t="s">
        <v>437</v>
      </c>
      <c r="B3" t="s">
        <v>478</v>
      </c>
      <c r="C3" t="str" cm="1">
        <f t="array" ref="C3">_xll.FDS($E3,"FG_COMPANY_NAME")</f>
        <v>China</v>
      </c>
      <c r="D3" t="s">
        <v>108</v>
      </c>
      <c r="E3" t="s">
        <v>181</v>
      </c>
      <c r="F3" t="str">
        <f>_xlfn.CONCAT($F$1,D3)</f>
        <v>CAGDPY@CN</v>
      </c>
      <c r="G3" cm="1">
        <f t="array" ref="G3">IFERROR(_xll.FDS($F3,"EE_ACTUAL_ANNUAL(MED,0)"),0)</f>
        <v>1.65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485</v>
      </c>
      <c r="C4" t="str" cm="1">
        <f t="array" ref="C4">_xll.FDS($E4,"FG_COMPANY_NAME")</f>
        <v>Chile</v>
      </c>
      <c r="D4" t="s">
        <v>111</v>
      </c>
      <c r="E4" t="s">
        <v>298</v>
      </c>
      <c r="F4" t="str">
        <f t="shared" ref="F4:F23" si="0">_xlfn.CONCAT($F$1,D4)</f>
        <v>CAGDPY@CL</v>
      </c>
      <c r="G4" cm="1">
        <f t="array" ref="G4">IFERROR(_xll.FDS($F4,"EE_ACTUAL_ANNUAL(MED,0)"),0)</f>
        <v>-3.35</v>
      </c>
      <c r="H4" cm="1">
        <f t="array" ref="H4">IFERROR(_xll.FDS($F4,"EE_ACTUAL_ANNUAL(MED,+1)"),0)</f>
        <v>-3.8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474</v>
      </c>
      <c r="C5" t="str" cm="1">
        <f t="array" ref="C5">_xll.FDS($E5,"FG_COMPANY_NAME")</f>
        <v>Indonesia</v>
      </c>
      <c r="D5" t="s">
        <v>128</v>
      </c>
      <c r="E5" t="s">
        <v>191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484</v>
      </c>
      <c r="C6" t="str" cm="1">
        <f t="array" ref="C6">_xll.FDS($E6,"FG_COMPANY_NAME")</f>
        <v>Philippines</v>
      </c>
      <c r="D6" t="s">
        <v>121</v>
      </c>
      <c r="E6" t="s">
        <v>209</v>
      </c>
      <c r="F6" t="str">
        <f t="shared" si="0"/>
        <v>CAGDPY@PH</v>
      </c>
      <c r="G6" cm="1">
        <f t="array" ref="G6">IFERROR(_xll.FDS($F6,"EE_ACTUAL_ANNUAL(MED,0)"),0)</f>
        <v>0</v>
      </c>
      <c r="H6" cm="1">
        <f t="array" ref="H6">IFERROR(_xll.FDS($F6,"EE_ACTUAL_ANNUAL(MED,+1)"),0)</f>
        <v>-3.15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482</v>
      </c>
      <c r="C7" t="str" cm="1">
        <f t="array" ref="C7">_xll.FDS($E7,"FG_COMPANY_NAME")</f>
        <v>Poland</v>
      </c>
      <c r="D7" t="s">
        <v>104</v>
      </c>
      <c r="E7" t="s">
        <v>261</v>
      </c>
      <c r="F7" t="str">
        <f t="shared" si="0"/>
        <v>CAGDPY@PL</v>
      </c>
      <c r="G7" cm="1">
        <f t="array" ref="G7">IFERROR(_xll.FDS($F7,"EE_ACTUAL_ANNUAL(MED,0)"),0)</f>
        <v>1.60702813566805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486</v>
      </c>
      <c r="C8" t="str" cm="1">
        <f t="array" ref="C8">_xll.FDS($E8,"FG_COMPANY_NAME")</f>
        <v>Peru</v>
      </c>
      <c r="D8" t="s">
        <v>116</v>
      </c>
      <c r="E8" t="s">
        <v>308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479</v>
      </c>
      <c r="C9" t="str" cm="1">
        <f t="array" ref="C9">_xll.FDS($E9,"FG_COMPANY_NAME")</f>
        <v>Malaysia</v>
      </c>
      <c r="D9" t="s">
        <v>126</v>
      </c>
      <c r="E9" t="s">
        <v>198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2.2000000000000002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480</v>
      </c>
      <c r="C10" t="str" cm="1">
        <f t="array" ref="C10">_xll.FDS($E10,"FG_COMPANY_NAME")</f>
        <v>Taiwan, China</v>
      </c>
      <c r="D10" t="s">
        <v>107</v>
      </c>
      <c r="E10" t="s">
        <v>221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11.5</v>
      </c>
      <c r="J10" cm="1">
        <f t="array" ref="J10">_xlfn.PERCENTRANK.EXC(_xlfn._xlws.FILTER(H$3:H$23, ISNUMBER(H$3:H$23)),H10)*100</f>
        <v>86.3</v>
      </c>
    </row>
    <row r="11" spans="1:10" x14ac:dyDescent="0.35">
      <c r="A11" t="s">
        <v>7</v>
      </c>
      <c r="B11" t="s">
        <v>483</v>
      </c>
      <c r="C11" t="str" cm="1">
        <f t="array" ref="C11">_xll.FDS($E11,"FG_COMPANY_NAME")</f>
        <v>Mexico</v>
      </c>
      <c r="D11" t="s">
        <v>125</v>
      </c>
      <c r="E11" t="s">
        <v>305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-0.8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395</v>
      </c>
      <c r="C12" t="str" cm="1">
        <f t="array" ref="C12">_xll.FDS($E12,"FG_COMPANY_NAME")</f>
        <v>South Korea</v>
      </c>
      <c r="D12" t="s">
        <v>105</v>
      </c>
      <c r="E12" t="s">
        <v>214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72.7</v>
      </c>
    </row>
    <row r="13" spans="1:10" x14ac:dyDescent="0.35">
      <c r="A13" t="s">
        <v>12</v>
      </c>
      <c r="B13" t="s">
        <v>475</v>
      </c>
      <c r="C13" t="str" cm="1">
        <f t="array" ref="C13">_xll.FDS($E13,"FG_COMPANY_NAME")</f>
        <v>Brazil</v>
      </c>
      <c r="D13" t="s">
        <v>131</v>
      </c>
      <c r="E13" t="s">
        <v>295</v>
      </c>
      <c r="F13" t="str">
        <f t="shared" si="0"/>
        <v>CAGDPY@BR</v>
      </c>
      <c r="G13" cm="1">
        <f t="array" ref="G13">IFERROR(_xll.FDS($F13,"EE_ACTUAL_ANNUAL(MED,0)"),0)</f>
        <v>-1.3117808640311901</v>
      </c>
      <c r="H13" cm="1">
        <f t="array" ref="H13">IFERROR(_xll.FDS($F13,"EE_ACTUAL_ANNUAL(MED,+1)"),0)</f>
        <v>-1.54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390</v>
      </c>
      <c r="C14" t="str" cm="1">
        <f t="array" ref="C14">_xll.FDS($E14,"FG_COMPANY_NAME")</f>
        <v>South Africa</v>
      </c>
      <c r="D14" t="s">
        <v>103</v>
      </c>
      <c r="E14" t="s">
        <v>370</v>
      </c>
      <c r="F14" t="str">
        <f t="shared" si="0"/>
        <v>CAGDPY@ZA</v>
      </c>
      <c r="G14" cm="1">
        <f t="array" ref="G14">IFERROR(_xll.FDS($F14,"EE_ACTUAL_ANNUAL(MED,0)"),0)</f>
        <v>-1.5</v>
      </c>
      <c r="H14" cm="1">
        <f t="array" ref="H14">IFERROR(_xll.FDS($F14,"EE_ACTUAL_ANNUAL(MED,+1)"),0)</f>
        <v>-2.2000000000000002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473</v>
      </c>
      <c r="C15" t="str" cm="1">
        <f t="array" ref="C15">_xll.FDS($E15,"FG_COMPANY_NAME")</f>
        <v>Greece</v>
      </c>
      <c r="D15" t="s">
        <v>115</v>
      </c>
      <c r="E15" t="s">
        <v>503</v>
      </c>
      <c r="F15" t="str">
        <f t="shared" si="0"/>
        <v>CAGDPY@GR</v>
      </c>
      <c r="G15" cm="1">
        <f t="array" ref="G15">IFERROR(_xll.FDS($F15,"EE_ACTUAL_ANNUAL(MED,0)"),0)</f>
        <v>-6.4144387239393001</v>
      </c>
      <c r="H15" cm="1">
        <f t="array" ref="H15">IFERROR(_xll.FDS($F15,"EE_ACTUAL_ANNUAL(MED,+1)"),0)</f>
        <v>-6.5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391</v>
      </c>
      <c r="C16" t="str" cm="1">
        <f t="array" ref="C16">_xll.FDS($E16,"FG_COMPANY_NAME")</f>
        <v>India</v>
      </c>
      <c r="D16" t="s">
        <v>122</v>
      </c>
      <c r="E16" t="s">
        <v>188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478</v>
      </c>
      <c r="C17" t="str" cm="1">
        <f t="array" ref="C17">_xll.FDS($E17,"FG_COMPANY_NAME")</f>
        <v>China</v>
      </c>
      <c r="D17" t="s">
        <v>108</v>
      </c>
      <c r="E17" t="s">
        <v>181</v>
      </c>
      <c r="F17" t="str">
        <f t="shared" si="0"/>
        <v>CAGDPY@CN</v>
      </c>
      <c r="G17" cm="1">
        <f t="array" ref="G17">IFERROR(_xll.FDS($F17,"EE_ACTUAL_ANNUAL(MED,0)"),0)</f>
        <v>1.65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574</v>
      </c>
      <c r="C18" t="str" cm="1">
        <f t="array" ref="C18">_xll.FDS($E18,"FG_COMPANY_NAME")</f>
        <v>Qatar</v>
      </c>
      <c r="D18" t="s">
        <v>124</v>
      </c>
      <c r="E18" t="s">
        <v>364</v>
      </c>
      <c r="F18" t="str">
        <f t="shared" si="0"/>
        <v>CAGDPY@QA</v>
      </c>
      <c r="G18" cm="1">
        <f t="array" ref="G18">IFERROR(_xll.FDS($F18,"EE_ACTUAL_ANNUAL(MED,0)"),0)</f>
        <v>16.399999999999999</v>
      </c>
      <c r="H18" cm="1">
        <f t="array" ref="H18">IFERROR(_xll.FDS($F18,"EE_ACTUAL_ANNUAL(MED,+1)"),0)</f>
        <v>12.05</v>
      </c>
      <c r="J18" cm="1">
        <f t="array" ref="J18">_xlfn.PERCENTRANK.EXC(_xlfn._xlws.FILTER(H$3:H$23, ISNUMBER(H$3:H$23)),H18)*100</f>
        <v>90.9</v>
      </c>
    </row>
    <row r="19" spans="1:10" x14ac:dyDescent="0.35">
      <c r="A19" t="s">
        <v>764</v>
      </c>
      <c r="B19" t="s">
        <v>476</v>
      </c>
      <c r="C19" t="str" cm="1">
        <f t="array" ref="C19">_xll.FDS($E19,"FG_COMPANY_NAME")</f>
        <v>Thailand</v>
      </c>
      <c r="D19" t="s">
        <v>224</v>
      </c>
      <c r="E19" t="s">
        <v>225</v>
      </c>
      <c r="F19" t="str">
        <f t="shared" si="0"/>
        <v>CAGDPY@TH</v>
      </c>
      <c r="G19" cm="1">
        <f t="array" ref="G19">IFERROR(_xll.FDS($F19,"EE_ACTUAL_ANNUAL(MED,0)"),0)</f>
        <v>1.10427993908671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481</v>
      </c>
      <c r="C20" t="str" cm="1">
        <f t="array" ref="C20">_xll.FDS($E20,"FG_COMPANY_NAME")</f>
        <v>Turkey</v>
      </c>
      <c r="D20" t="s">
        <v>109</v>
      </c>
      <c r="E20" t="s">
        <v>283</v>
      </c>
      <c r="F20" t="str">
        <f t="shared" si="0"/>
        <v>CAGDPY@TR</v>
      </c>
      <c r="G20" cm="1">
        <f t="array" ref="G20">IFERROR(_xll.FDS($F20,"EE_ACTUAL_ANNUAL(MED,0)"),0)</f>
        <v>-5.1009509661712302</v>
      </c>
      <c r="H20" cm="1">
        <f t="array" ref="H20">IFERROR(_xll.FDS($F20,"EE_ACTUAL_ANNUAL(MED,+1)"),0)</f>
        <v>-3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572</v>
      </c>
      <c r="C21" t="str" cm="1">
        <f t="array" ref="C21">_xll.FDS($E21,"FG_COMPANY_NAME")</f>
        <v>United Arab Emirates</v>
      </c>
      <c r="D21" t="s">
        <v>127</v>
      </c>
      <c r="E21" t="s">
        <v>377</v>
      </c>
      <c r="F21" t="str">
        <f t="shared" si="0"/>
        <v>CAGDPY@AE</v>
      </c>
      <c r="G21" cm="1">
        <f t="array" ref="G21">IFERROR(_xll.FDS($F21,"EE_ACTUAL_ANNUAL(MED,0)"),0)</f>
        <v>12.7</v>
      </c>
      <c r="H21" cm="1">
        <f t="array" ref="H21">IFERROR(_xll.FDS($F21,"EE_ACTUAL_ANNUAL(MED,+1)"),0)</f>
        <v>12.6</v>
      </c>
      <c r="J21" cm="1">
        <f t="array" ref="J21">_xlfn.PERCENTRANK.EXC(_xlfn._xlws.FILTER(H$3:H$23, ISNUMBER(H$3:H$23)),H21)*100</f>
        <v>95.399999999999991</v>
      </c>
    </row>
    <row r="22" spans="1:10" x14ac:dyDescent="0.35">
      <c r="A22" t="s">
        <v>37</v>
      </c>
      <c r="B22" t="s">
        <v>477</v>
      </c>
      <c r="C22" t="str" cm="1">
        <f t="array" ref="C22">_xll.FDS($E22,"FG_COMPANY_NAME")</f>
        <v>Vietnam</v>
      </c>
      <c r="D22" t="s">
        <v>130</v>
      </c>
      <c r="E22" t="s">
        <v>228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573</v>
      </c>
      <c r="C23" t="str" cm="1">
        <f t="array" ref="C23">_xll.FDS($E23,"FG_COMPANY_NAME")</f>
        <v>Saudi Arabia</v>
      </c>
      <c r="D23" t="s">
        <v>129</v>
      </c>
      <c r="E23" t="s">
        <v>367</v>
      </c>
      <c r="F23" t="str">
        <f t="shared" si="0"/>
        <v>CAGDPY@SA</v>
      </c>
      <c r="G23" cm="1">
        <f t="array" ref="G23">IFERROR(_xll.FDS($F23,"EE_ACTUAL_ANNUAL(MED,0)"),0)</f>
        <v>4.1500000000000004</v>
      </c>
      <c r="H23" cm="1">
        <f t="array" ref="H23">IFERROR(_xll.FDS($F23,"EE_ACTUAL_ANNUAL(MED,+1)"),0)</f>
        <v>4.8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6328125" customWidth="1"/>
    <col min="2" max="2" width="14" customWidth="1"/>
    <col min="3" max="3" width="11.6328125" customWidth="1"/>
    <col min="24" max="24" width="11.08984375" bestFit="1" customWidth="1"/>
    <col min="25" max="25" width="13.6328125" bestFit="1" customWidth="1"/>
    <col min="40" max="40" width="11.36328125" customWidth="1"/>
  </cols>
  <sheetData>
    <row r="1" spans="1:40" x14ac:dyDescent="0.3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108</v>
      </c>
      <c r="I1" t="s">
        <v>109</v>
      </c>
      <c r="J1" t="s">
        <v>108</v>
      </c>
      <c r="K1" t="s">
        <v>110</v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T1" t="s">
        <v>119</v>
      </c>
      <c r="U1" t="s">
        <v>120</v>
      </c>
      <c r="W1" t="s">
        <v>108</v>
      </c>
      <c r="Y1" t="s">
        <v>121</v>
      </c>
      <c r="AA1" t="s">
        <v>122</v>
      </c>
      <c r="AB1" t="s">
        <v>123</v>
      </c>
      <c r="AC1" t="s">
        <v>123</v>
      </c>
      <c r="AD1" t="s">
        <v>124</v>
      </c>
      <c r="AE1" t="s">
        <v>122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L1" t="s">
        <v>130</v>
      </c>
      <c r="AM1" t="s">
        <v>131</v>
      </c>
    </row>
    <row r="3" spans="1:40" x14ac:dyDescent="0.35">
      <c r="B3" t="s">
        <v>132</v>
      </c>
      <c r="C3" t="s">
        <v>133</v>
      </c>
      <c r="D3" t="s">
        <v>134</v>
      </c>
      <c r="E3" t="s">
        <v>19</v>
      </c>
      <c r="F3" t="s">
        <v>135</v>
      </c>
      <c r="G3" t="s">
        <v>17</v>
      </c>
      <c r="H3" t="s">
        <v>17</v>
      </c>
      <c r="I3" t="s">
        <v>136</v>
      </c>
      <c r="J3" t="s">
        <v>17</v>
      </c>
      <c r="K3" t="s">
        <v>137</v>
      </c>
      <c r="L3" t="s">
        <v>112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144</v>
      </c>
      <c r="W3" t="s">
        <v>17</v>
      </c>
      <c r="X3" t="s">
        <v>144</v>
      </c>
      <c r="Y3" t="s">
        <v>147</v>
      </c>
      <c r="Z3" t="s">
        <v>144</v>
      </c>
      <c r="AA3" t="s">
        <v>18</v>
      </c>
      <c r="AB3" t="s">
        <v>14</v>
      </c>
      <c r="AC3" t="s">
        <v>14</v>
      </c>
      <c r="AD3" t="s">
        <v>148</v>
      </c>
      <c r="AE3" t="s">
        <v>18</v>
      </c>
      <c r="AF3" t="s">
        <v>15</v>
      </c>
      <c r="AG3" t="s">
        <v>149</v>
      </c>
      <c r="AH3" t="s">
        <v>150</v>
      </c>
      <c r="AI3" t="s">
        <v>151</v>
      </c>
      <c r="AJ3" t="s">
        <v>152</v>
      </c>
      <c r="AL3" t="s">
        <v>153</v>
      </c>
      <c r="AM3" t="s">
        <v>20</v>
      </c>
      <c r="AN3" t="s">
        <v>144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t="e" cm="1">
        <f t="array" ref="AA4:AA13">_xll.FDS(AA3,"FG_YIELD(-10AY,0,y,,""YTM"")")</f>
        <v>#N/A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t="e" cm="1">
        <f t="array" ref="AE4:AE13">_xll.FDS(AE3,"FG_YIELD(-10AY,0,y,,""YTM"")")</f>
        <v>#N/A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 t="e">
        <v>#N/A</v>
      </c>
      <c r="AB5">
        <v>2.2961</v>
      </c>
      <c r="AC5">
        <v>2.2961</v>
      </c>
      <c r="AD5" t="e">
        <v>#N/A</v>
      </c>
      <c r="AE5" t="e">
        <v>#N/A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7.4903000000000004</v>
      </c>
      <c r="AB7">
        <v>2.4325000000000001</v>
      </c>
      <c r="AC7">
        <v>2.4325000000000001</v>
      </c>
      <c r="AD7" t="e">
        <v>#N/A</v>
      </c>
      <c r="AE7">
        <v>7.4903000000000004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 t="e">
        <v>#N/A</v>
      </c>
      <c r="AB8">
        <v>2.6836000000000002</v>
      </c>
      <c r="AC8">
        <v>2.6836000000000002</v>
      </c>
      <c r="AD8" t="e">
        <v>#N/A</v>
      </c>
      <c r="AE8" t="e">
        <v>#N/A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 t="e">
        <v>#N/A</v>
      </c>
      <c r="AB9">
        <v>1.9185000000000001</v>
      </c>
      <c r="AC9">
        <v>1.9185000000000001</v>
      </c>
      <c r="AD9" t="e">
        <v>#N/A</v>
      </c>
      <c r="AE9" t="e">
        <v>#N/A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 t="e">
        <v>#N/A</v>
      </c>
      <c r="AB10">
        <v>0.91739999999999999</v>
      </c>
      <c r="AC10">
        <v>0.91739999999999999</v>
      </c>
      <c r="AD10" t="e">
        <v>#N/A</v>
      </c>
      <c r="AE10" t="e">
        <v>#N/A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6.4687999999999999</v>
      </c>
      <c r="AB11">
        <v>1.5119</v>
      </c>
      <c r="AC11">
        <v>1.5119</v>
      </c>
      <c r="AD11" t="e">
        <v>#N/A</v>
      </c>
      <c r="AE11">
        <v>6.4687999999999999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7.3388</v>
      </c>
      <c r="AB12">
        <v>3.8776000000000002</v>
      </c>
      <c r="AC12">
        <v>3.8776000000000002</v>
      </c>
      <c r="AD12" t="e">
        <v>#N/A</v>
      </c>
      <c r="AE12">
        <v>7.3388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7.2</v>
      </c>
      <c r="AB13">
        <v>3.8791000000000002</v>
      </c>
      <c r="AC13">
        <v>3.8791000000000002</v>
      </c>
      <c r="AD13" t="e">
        <v>#N/A</v>
      </c>
      <c r="AE13">
        <v>7.2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95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 t="e">
        <f t="shared" si="0"/>
        <v>#N/A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 t="e">
        <f t="shared" si="0"/>
        <v>#N/A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401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 t="e">
        <f t="shared" si="1"/>
        <v>#N/A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 t="e">
        <f t="shared" si="1"/>
        <v>#N/A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512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7.2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7.2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6328125" customWidth="1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85" t="str">
        <v/>
      </c>
      <c r="K3" s="8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85" t="str">
        <v/>
      </c>
      <c r="K4" s="8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85" t="str">
        <v/>
      </c>
      <c r="K5" s="8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85" t="str">
        <v/>
      </c>
      <c r="K6" s="8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85" t="str">
        <v/>
      </c>
      <c r="K7" s="8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85" t="str">
        <v/>
      </c>
      <c r="K8" s="8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85" t="str">
        <v/>
      </c>
      <c r="K9" s="8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85" t="str">
        <v/>
      </c>
      <c r="K10" s="8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85" t="str">
        <v/>
      </c>
      <c r="K11" s="8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85" t="str">
        <v/>
      </c>
      <c r="K12" s="8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85" t="str">
        <v/>
      </c>
      <c r="K13" s="8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85">
        <v>12.236196707276701</v>
      </c>
      <c r="K14" s="8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85">
        <v>12.6640790394995</v>
      </c>
      <c r="K15" s="8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85">
        <v>12.897214341888199</v>
      </c>
      <c r="K16" s="8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13.475671715587101</v>
      </c>
      <c r="C17">
        <v>9.8359095445121802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85">
        <v>12.086926249365201</v>
      </c>
      <c r="K17" s="85">
        <v>7.6764812978912396</v>
      </c>
      <c r="L17">
        <v>14.523025635774401</v>
      </c>
      <c r="M17">
        <v>13.618522645445299</v>
      </c>
      <c r="N17">
        <v>5.8100215417249901</v>
      </c>
      <c r="O17">
        <v>14.5354845941958</v>
      </c>
      <c r="P17">
        <v>12.8854801395228</v>
      </c>
      <c r="Q17">
        <v>11.644637815588201</v>
      </c>
      <c r="R17">
        <v>10.939594922582099</v>
      </c>
      <c r="S17">
        <v>14.960285076136699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12.992301639356601</v>
      </c>
      <c r="C18">
        <v>8.7546394285479305</v>
      </c>
      <c r="D18">
        <v>11.4814604290421</v>
      </c>
      <c r="E18">
        <v>8.9157572982520694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85">
        <v>11.7827107635903</v>
      </c>
      <c r="K18" s="85">
        <v>8.3077031776299393</v>
      </c>
      <c r="L18">
        <v>16.600407780565199</v>
      </c>
      <c r="M18">
        <v>16.711537192718801</v>
      </c>
      <c r="N18">
        <v>5.3671121826145196</v>
      </c>
      <c r="O18">
        <v>12.8423838581616</v>
      </c>
      <c r="P18">
        <v>12.3573578879857</v>
      </c>
      <c r="Q18">
        <v>11.2380998666164</v>
      </c>
      <c r="R18">
        <v>8.3884974997986603</v>
      </c>
      <c r="S18">
        <v>12.998128179312999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13.7666448363476</v>
      </c>
      <c r="C19">
        <v>10.603891183835101</v>
      </c>
      <c r="D19">
        <v>13.6928560240483</v>
      </c>
      <c r="E19">
        <v>9.5994541019286803</v>
      </c>
      <c r="F19">
        <v>10.146010220110499</v>
      </c>
      <c r="G19">
        <v>15.0555655388878</v>
      </c>
      <c r="H19">
        <v>9.4736311465114298</v>
      </c>
      <c r="I19">
        <v>14.724411980088</v>
      </c>
      <c r="J19" s="85">
        <v>13.687162530624599</v>
      </c>
      <c r="K19" s="85">
        <v>10.145877646555199</v>
      </c>
      <c r="L19">
        <v>20.358518612779601</v>
      </c>
      <c r="M19">
        <v>16.932589581546001</v>
      </c>
      <c r="N19">
        <v>8.8257668466653296</v>
      </c>
      <c r="O19">
        <v>15.161283532760899</v>
      </c>
      <c r="P19">
        <v>11.973905842199001</v>
      </c>
      <c r="Q19">
        <v>12.7317850147387</v>
      </c>
      <c r="R19">
        <v>9.9474702734013505</v>
      </c>
      <c r="S19">
        <v>18.799460333949298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13.371191955749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85">
        <v>13.339469917390399</v>
      </c>
      <c r="K20" s="85">
        <v>7.5097939609220798</v>
      </c>
      <c r="L20">
        <v>19.409523908352099</v>
      </c>
      <c r="M20">
        <v>16.8118349535848</v>
      </c>
      <c r="N20">
        <v>11.0341923380188</v>
      </c>
      <c r="O20">
        <v>14.9254235326562</v>
      </c>
      <c r="P20">
        <v>11.5506323774735</v>
      </c>
      <c r="Q20">
        <v>13.290131357764499</v>
      </c>
      <c r="R20">
        <v>10.1243577100024</v>
      </c>
      <c r="S20">
        <v>24.2938213733918</v>
      </c>
      <c r="T20">
        <v>12.9338493780006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12.022061295483301</v>
      </c>
      <c r="C21">
        <v>13.7800684317394</v>
      </c>
      <c r="D21">
        <v>14.023411117857201</v>
      </c>
      <c r="E21">
        <v>11.9407094450334</v>
      </c>
      <c r="F21">
        <v>12.394579327579899</v>
      </c>
      <c r="G21">
        <v>12.932447367368299</v>
      </c>
      <c r="H21">
        <v>9.5588573391121194</v>
      </c>
      <c r="I21">
        <v>11.9152161134332</v>
      </c>
      <c r="J21" s="85">
        <v>13.7042990237853</v>
      </c>
      <c r="K21" s="85">
        <v>8.9018524262112599</v>
      </c>
      <c r="L21">
        <v>18.6294532976694</v>
      </c>
      <c r="M21">
        <v>14.5722752976358</v>
      </c>
      <c r="N21">
        <v>13.1253657894167</v>
      </c>
      <c r="O21">
        <v>16.075803560414201</v>
      </c>
      <c r="P21">
        <v>11.559621581612101</v>
      </c>
      <c r="Q21">
        <v>12.1192289718939</v>
      </c>
      <c r="R21">
        <v>9.3489236353139802</v>
      </c>
      <c r="S21">
        <v>26.056797757333701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95</v>
      </c>
      <c r="B23" s="8">
        <f t="shared" ref="B23:V23" si="0">MIN(_xlfn.ANCHORARRAY(B2))</f>
        <v>12.022061295483301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8.9157572982520694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11.7827107635903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11.5506323774735</v>
      </c>
      <c r="Q23" s="8">
        <f t="shared" si="0"/>
        <v>11.2380998666164</v>
      </c>
      <c r="R23" s="8">
        <f t="shared" si="0"/>
        <v>8.3884974997986603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401</v>
      </c>
      <c r="B24" s="8">
        <f t="shared" ref="B24:V24" si="1">MEDIAN(_xlfn.ANCHORARRAY(B2))</f>
        <v>13.110180178021199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10.013481596831063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14.78925912646825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12.8854801395228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14.8344890006952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512</v>
      </c>
      <c r="B25" s="8">
        <f t="shared" ref="B25:V25" si="2">B21</f>
        <v>12.022061295483301</v>
      </c>
      <c r="C25" s="8">
        <f t="shared" si="2"/>
        <v>13.7800684317394</v>
      </c>
      <c r="D25" s="8">
        <f t="shared" si="2"/>
        <v>14.023411117857201</v>
      </c>
      <c r="E25" s="8">
        <f t="shared" si="2"/>
        <v>11.9407094450334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13.7042990237853</v>
      </c>
      <c r="K25" s="8">
        <f t="shared" si="2"/>
        <v>8.9018524262112599</v>
      </c>
      <c r="L25" s="8">
        <f t="shared" si="2"/>
        <v>18.6294532976694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16.075803560414201</v>
      </c>
      <c r="P25" s="8">
        <f t="shared" si="2"/>
        <v>11.559621581612101</v>
      </c>
      <c r="Q25" s="8">
        <f t="shared" si="2"/>
        <v>12.1192289718939</v>
      </c>
      <c r="R25" s="8">
        <f t="shared" si="2"/>
        <v>9.3489236353139802</v>
      </c>
      <c r="S25" s="8">
        <f t="shared" si="2"/>
        <v>26.056797757333701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T30" sqref="T30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bestFit="1" customWidth="1"/>
    <col min="11" max="11" width="19.36328125" customWidth="1"/>
    <col min="12" max="12" width="11" customWidth="1"/>
    <col min="13" max="13" width="11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8" ht="18.5" x14ac:dyDescent="0.55000000000000004">
      <c r="K1" s="74" t="s">
        <v>802</v>
      </c>
      <c r="L1" s="195">
        <f ca="1">EDATE(TODAY(), -1)</f>
        <v>45337</v>
      </c>
      <c r="M1" s="131"/>
    </row>
    <row r="2" spans="1:28" ht="15" thickBot="1" x14ac:dyDescent="0.4">
      <c r="K2" s="12" t="s">
        <v>803</v>
      </c>
      <c r="L2" s="196">
        <f ca="1">EDATE(TODAY(), -4)</f>
        <v>45245</v>
      </c>
    </row>
    <row r="3" spans="1:28" ht="50.25" customHeight="1" x14ac:dyDescent="0.35">
      <c r="E3" t="s">
        <v>767</v>
      </c>
      <c r="F3" t="s">
        <v>768</v>
      </c>
      <c r="H3" t="s">
        <v>786</v>
      </c>
      <c r="I3" t="s">
        <v>581</v>
      </c>
      <c r="J3" t="s">
        <v>534</v>
      </c>
      <c r="M3" s="129" t="s">
        <v>787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29" t="s">
        <v>793</v>
      </c>
      <c r="Q3" s="129" t="s">
        <v>805</v>
      </c>
      <c r="R3" s="132" t="s">
        <v>806</v>
      </c>
      <c r="S3" s="132" t="s">
        <v>568</v>
      </c>
      <c r="T3" s="132" t="s">
        <v>757</v>
      </c>
    </row>
    <row r="4" spans="1:28" x14ac:dyDescent="0.35">
      <c r="A4" t="s">
        <v>437</v>
      </c>
      <c r="B4" t="s">
        <v>440</v>
      </c>
      <c r="C4" t="s">
        <v>437</v>
      </c>
      <c r="D4" t="s">
        <v>769</v>
      </c>
      <c r="E4">
        <v>53.6</v>
      </c>
      <c r="F4">
        <v>2.4</v>
      </c>
      <c r="G4" t="s">
        <v>108</v>
      </c>
      <c r="H4" s="126" t="s">
        <v>772</v>
      </c>
      <c r="I4" s="127" t="s">
        <v>622</v>
      </c>
      <c r="J4" s="128" t="s">
        <v>440</v>
      </c>
      <c r="K4" s="128" t="s">
        <v>437</v>
      </c>
      <c r="L4" t="s">
        <v>769</v>
      </c>
      <c r="M4" cm="1">
        <f t="array" ref="M4">IF(_xll.FDSRC(,"DUMMY","ECON_EXPR_DATA('FDS_ECON["&amp;H4&amp;"]',,,M)")=0,$J$28,_xll.FDSRC(,"DUMMY","ECON_EXPR_DATA('FDS_ECON["&amp;H4&amp;"]',,,M)"))</f>
        <v>50.918056</v>
      </c>
      <c r="N4" cm="1">
        <f t="array" aca="1" ref="N4" ca="1">_xll.FDSRC("-","DUMMY","ECON_EXPR_DATA('FDS_ECON["&amp;H4&amp;"]',"&amp;$N$3&amp;",,Q)")</f>
        <v>50.34384</v>
      </c>
      <c r="O4" cm="1">
        <f t="array" aca="1" ref="O4" ca="1">_xll.FDSRC("-","DUMMY","ECON_EXPR_DATA('FDS_ECON["&amp;H4&amp;"]',"&amp;$O$3&amp;",,Q)")</f>
        <v>50.266373000000002</v>
      </c>
      <c r="P4">
        <f t="shared" ref="P4:P24" ca="1" si="0">IFERROR(N4-O4,$M$28)</f>
        <v>7.746699999999862E-2</v>
      </c>
      <c r="Q4" cm="1">
        <f t="array" ref="Q4">_xlfn.PERCENTRANK.EXC(_xlfn._xlws.FILTER(M$4:M$24, ISNUMBER(M$4:M$24)),M4)*100</f>
        <v>36.299999999999997</v>
      </c>
      <c r="R4" cm="1">
        <f t="array" aca="1" ref="R4" ca="1">_xlfn.PERCENTRANK.EXC(_xlfn._xlws.FILTER(P$4:P$24, ISNUMBER(P$4:P$24)),P4)*100</f>
        <v>63.6</v>
      </c>
      <c r="S4">
        <f ca="1">Q4*Assumption!$E$27 + R4*Assumption!$F$27</f>
        <v>47.22</v>
      </c>
      <c r="T4" cm="1">
        <f t="array" aca="1" ref="T4" ca="1">_xlfn.PERCENTRANK.EXC(_xlfn._xlws.FILTER(S$4:S$24, ISNUMBER(S$4:S$24)),S4)*100</f>
        <v>45.4</v>
      </c>
    </row>
    <row r="5" spans="1:28" x14ac:dyDescent="0.35">
      <c r="A5" t="s">
        <v>27</v>
      </c>
      <c r="B5" t="s">
        <v>441</v>
      </c>
      <c r="C5" t="s">
        <v>27</v>
      </c>
      <c r="D5" t="s">
        <v>769</v>
      </c>
      <c r="E5">
        <v>54.9</v>
      </c>
      <c r="F5">
        <v>3.1</v>
      </c>
      <c r="G5" t="s">
        <v>111</v>
      </c>
      <c r="H5" s="126" t="s">
        <v>788</v>
      </c>
      <c r="I5" s="127" t="s">
        <v>621</v>
      </c>
      <c r="J5" s="128" t="s">
        <v>441</v>
      </c>
      <c r="K5" s="128" t="s">
        <v>27</v>
      </c>
      <c r="L5" t="s">
        <v>769</v>
      </c>
      <c r="M5" cm="1">
        <f t="array" ref="M5">IF(_xll.FDSRC(,"DUMMY","ECON_EXPR_DATA('FDS_ECON["&amp;H5&amp;"]',,,M)")=0,$J$28,_xll.FDSRC(,"DUMMY","ECON_EXPR_DATA('FDS_ECON["&amp;H5&amp;"]',,,M)"))</f>
        <v>51.447499999999998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-0.17349399999999804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45.4</v>
      </c>
      <c r="S5">
        <f ca="1">Q5*Assumption!$E$27 + R5*Assumption!$F$27</f>
        <v>48.16</v>
      </c>
      <c r="T5" cm="1">
        <f t="array" aca="1" ref="T5" ca="1">_xlfn.PERCENTRANK.EXC(_xlfn._xlws.FILTER(S$4:S$24, ISNUMBER(S$4:S$24)),S5)*100</f>
        <v>54.500000000000007</v>
      </c>
    </row>
    <row r="6" spans="1:28" x14ac:dyDescent="0.35">
      <c r="A6" t="s">
        <v>35</v>
      </c>
      <c r="B6" t="s">
        <v>442</v>
      </c>
      <c r="C6" t="s">
        <v>35</v>
      </c>
      <c r="D6" t="s">
        <v>769</v>
      </c>
      <c r="E6">
        <v>54.9</v>
      </c>
      <c r="F6">
        <v>3.1</v>
      </c>
      <c r="G6" t="s">
        <v>128</v>
      </c>
      <c r="H6" s="126" t="s">
        <v>774</v>
      </c>
      <c r="I6" s="127" t="s">
        <v>658</v>
      </c>
      <c r="J6" s="128" t="s">
        <v>442</v>
      </c>
      <c r="K6" s="128" t="s">
        <v>35</v>
      </c>
      <c r="L6" t="s">
        <v>769</v>
      </c>
      <c r="M6" cm="1">
        <f t="array" ref="M6">IF(_xll.FDSRC(,"DUMMY","ECON_EXPR_DATA('FDS_ECON["&amp;H6&amp;"]',,,M)")=0,$J$28,_xll.FDSRC(,"DUMMY","ECON_EXPR_DATA('FDS_ECON["&amp;H6&amp;"]',,,M)"))</f>
        <v>52.654536999999998</v>
      </c>
      <c r="N6" cm="1">
        <f t="array" aca="1" ref="N6" ca="1">_xll.FDSRC("-","DUMMY","ECON_EXPR_DATA('FDS_ECON["&amp;H6&amp;"]',"&amp;$N$3&amp;",,Q)")</f>
        <v>51.828487000000003</v>
      </c>
      <c r="O6" cm="1">
        <f t="array" aca="1" ref="O6" ca="1">_xll.FDSRC("-","DUMMY","ECON_EXPR_DATA('FDS_ECON["&amp;H6&amp;"]',"&amp;$O$3&amp;",,Q)")</f>
        <v>53.156506</v>
      </c>
      <c r="P6">
        <f t="shared" ca="1" si="0"/>
        <v>-1.3280189999999976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22.7</v>
      </c>
      <c r="S6">
        <f ca="1">Q6*Assumption!$E$27 + R6*Assumption!$F$27</f>
        <v>55.4</v>
      </c>
      <c r="T6" cm="1">
        <f t="array" aca="1" ref="T6" ca="1">_xlfn.PERCENTRANK.EXC(_xlfn._xlws.FILTER(S$4:S$24, ISNUMBER(S$4:S$24)),S6)*100</f>
        <v>68.100000000000009</v>
      </c>
    </row>
    <row r="7" spans="1:28" x14ac:dyDescent="0.35">
      <c r="A7" t="s">
        <v>30</v>
      </c>
      <c r="B7" t="s">
        <v>443</v>
      </c>
      <c r="C7" t="s">
        <v>30</v>
      </c>
      <c r="D7" t="s">
        <v>769</v>
      </c>
      <c r="E7">
        <v>54.9</v>
      </c>
      <c r="F7">
        <v>3.1</v>
      </c>
      <c r="G7" t="s">
        <v>121</v>
      </c>
      <c r="H7" s="126" t="s">
        <v>796</v>
      </c>
      <c r="I7" s="127" t="s">
        <v>706</v>
      </c>
      <c r="J7" s="128" t="s">
        <v>443</v>
      </c>
      <c r="K7" s="128" t="s">
        <v>30</v>
      </c>
      <c r="L7" t="s">
        <v>769</v>
      </c>
      <c r="M7" cm="1">
        <f t="array" ref="M7">IF(_xll.FDSRC(,"DUMMY","ECON_EXPR_DATA('FDS_ECON["&amp;H7&amp;"]',,,M)")=0,$J$28,_xll.FDSRC(,"DUMMY","ECON_EXPR_DATA('FDS_ECON["&amp;H7&amp;"]',,,M)"))</f>
        <v>51.447499999999998</v>
      </c>
      <c r="N7" cm="1">
        <f t="array" aca="1" ref="N7" ca="1">_xll.FDSRC("-","DUMMY","ECON_EXPR_DATA('FDS_ECON["&amp;H7&amp;"]',"&amp;$N$3&amp;",,Q)")</f>
        <v>52.222515000000001</v>
      </c>
      <c r="O7" cm="1">
        <f t="array" aca="1" ref="O7" ca="1">_xll.FDSRC("-","DUMMY","ECON_EXPR_DATA('FDS_ECON["&amp;H7&amp;"]',"&amp;$O$3&amp;",,Q)")</f>
        <v>50.747214999999997</v>
      </c>
      <c r="P7">
        <f t="shared" ca="1" si="0"/>
        <v>1.4753000000000043</v>
      </c>
      <c r="Q7" cm="1">
        <f t="array" ref="Q7">_xlfn.PERCENTRANK.EXC(_xlfn._xlws.FILTER(M$4:M$24, ISNUMBER(M$4:M$24)),M7)*100</f>
        <v>50</v>
      </c>
      <c r="R7" cm="1">
        <f t="array" aca="1" ref="R7" ca="1">_xlfn.PERCENTRANK.EXC(_xlfn._xlws.FILTER(P$4:P$24, ISNUMBER(P$4:P$24)),P7)*100</f>
        <v>86.3</v>
      </c>
      <c r="S7">
        <f ca="1">Q7*Assumption!$E$27 + R7*Assumption!$F$27</f>
        <v>64.52000000000001</v>
      </c>
      <c r="T7" cm="1">
        <f t="array" aca="1" ref="T7" ca="1">_xlfn.PERCENTRANK.EXC(_xlfn._xlws.FILTER(S$4:S$24, ISNUMBER(S$4:S$24)),S7)*100</f>
        <v>81.8</v>
      </c>
    </row>
    <row r="8" spans="1:28" x14ac:dyDescent="0.35">
      <c r="A8" t="s">
        <v>23</v>
      </c>
      <c r="B8" t="s">
        <v>444</v>
      </c>
      <c r="C8" t="s">
        <v>23</v>
      </c>
      <c r="D8" t="s">
        <v>769</v>
      </c>
      <c r="E8">
        <v>54.9</v>
      </c>
      <c r="F8">
        <v>3.1</v>
      </c>
      <c r="G8" t="s">
        <v>104</v>
      </c>
      <c r="H8" s="126" t="s">
        <v>780</v>
      </c>
      <c r="I8" s="127" t="s">
        <v>707</v>
      </c>
      <c r="J8" s="128" t="s">
        <v>444</v>
      </c>
      <c r="K8" s="128" t="s">
        <v>23</v>
      </c>
      <c r="L8" t="s">
        <v>769</v>
      </c>
      <c r="M8" cm="1">
        <f t="array" ref="M8">IF(_xll.FDSRC(,"DUMMY","ECON_EXPR_DATA('FDS_ECON["&amp;H8&amp;"]',,,M)")=0,$J$28,_xll.FDSRC(,"DUMMY","ECON_EXPR_DATA('FDS_ECON["&amp;H8&amp;"]',,,M)"))</f>
        <v>47.877330000000001</v>
      </c>
      <c r="N8" cm="1">
        <f t="array" aca="1" ref="N8" ca="1">_xll.FDSRC("-","DUMMY","ECON_EXPR_DATA('FDS_ECON["&amp;H8&amp;"]',"&amp;$N$3&amp;",,Q)")</f>
        <v>46.884846000000003</v>
      </c>
      <c r="O8" cm="1">
        <f t="array" aca="1" ref="O8" ca="1">_xll.FDSRC("-","DUMMY","ECON_EXPR_DATA('FDS_ECON["&amp;H8&amp;"]',"&amp;$O$3&amp;",,Q)")</f>
        <v>43.504345000000001</v>
      </c>
      <c r="P8">
        <f t="shared" ca="1" si="0"/>
        <v>3.3805010000000024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40.86</v>
      </c>
      <c r="T8" cm="1">
        <f t="array" aca="1" ref="T8" ca="1">_xlfn.PERCENTRANK.EXC(_xlfn._xlws.FILTER(S$4:S$24, ISNUMBER(S$4:S$24)),S8)*100</f>
        <v>31.8</v>
      </c>
    </row>
    <row r="9" spans="1:28" x14ac:dyDescent="0.35">
      <c r="A9" t="s">
        <v>29</v>
      </c>
      <c r="B9" t="s">
        <v>445</v>
      </c>
      <c r="C9" t="s">
        <v>29</v>
      </c>
      <c r="D9" t="s">
        <v>769</v>
      </c>
      <c r="E9">
        <v>54.9</v>
      </c>
      <c r="F9">
        <v>3.1</v>
      </c>
      <c r="G9" t="s">
        <v>116</v>
      </c>
      <c r="H9" s="126" t="s">
        <v>789</v>
      </c>
      <c r="I9" s="127" t="s">
        <v>705</v>
      </c>
      <c r="J9" s="128" t="s">
        <v>445</v>
      </c>
      <c r="K9" s="128" t="s">
        <v>29</v>
      </c>
      <c r="L9" t="s">
        <v>769</v>
      </c>
      <c r="M9" cm="1">
        <f t="array" ref="M9">IF(_xll.FDSRC(,"DUMMY","ECON_EXPR_DATA('FDS_ECON["&amp;H9&amp;"]',,,M)")=0,$J$28,_xll.FDSRC(,"DUMMY","ECON_EXPR_DATA('FDS_ECON["&amp;H9&amp;"]',,,M)"))</f>
        <v>51.447499999999998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-0.17349399999999804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45.4</v>
      </c>
      <c r="S9">
        <f ca="1">Q9*Assumption!$E$27 + R9*Assumption!$F$27</f>
        <v>48.16</v>
      </c>
      <c r="T9" cm="1">
        <f t="array" aca="1" ref="T9" ca="1">_xlfn.PERCENTRANK.EXC(_xlfn._xlws.FILTER(S$4:S$24, ISNUMBER(S$4:S$24)),S9)*100</f>
        <v>54.500000000000007</v>
      </c>
    </row>
    <row r="10" spans="1:28" x14ac:dyDescent="0.35">
      <c r="A10" t="s">
        <v>33</v>
      </c>
      <c r="B10" t="s">
        <v>446</v>
      </c>
      <c r="C10" t="s">
        <v>33</v>
      </c>
      <c r="D10" t="s">
        <v>769</v>
      </c>
      <c r="E10">
        <v>54.9</v>
      </c>
      <c r="F10">
        <v>3.1</v>
      </c>
      <c r="G10" t="s">
        <v>126</v>
      </c>
      <c r="H10" s="126" t="s">
        <v>797</v>
      </c>
      <c r="I10" s="127" t="s">
        <v>680</v>
      </c>
      <c r="J10" s="128" t="s">
        <v>446</v>
      </c>
      <c r="K10" s="128" t="s">
        <v>33</v>
      </c>
      <c r="L10" t="s">
        <v>769</v>
      </c>
      <c r="M10" cm="1">
        <f t="array" ref="M10">IF(_xll.FDSRC(,"DUMMY","ECON_EXPR_DATA('FDS_ECON["&amp;H10&amp;"]',,,M)")=0,$J$28,_xll.FDSRC(,"DUMMY","ECON_EXPR_DATA('FDS_ECON["&amp;H10&amp;"]',,,M)"))</f>
        <v>49.473457000000003</v>
      </c>
      <c r="N10" cm="1">
        <f t="array" aca="1" ref="N10" ca="1">_xll.FDSRC("-","DUMMY","ECON_EXPR_DATA('FDS_ECON["&amp;H10&amp;"]',"&amp;$N$3&amp;",,Q)")</f>
        <v>47.499214000000002</v>
      </c>
      <c r="O10" cm="1">
        <f t="array" aca="1" ref="O10" ca="1">_xll.FDSRC("-","DUMMY","ECON_EXPR_DATA('FDS_ECON["&amp;H10&amp;"]',"&amp;$O$3&amp;",,Q)")</f>
        <v>47.470973999999998</v>
      </c>
      <c r="P10">
        <f t="shared" ca="1" si="0"/>
        <v>2.8240000000003818E-2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59</v>
      </c>
      <c r="S10">
        <f ca="1">Q10*Assumption!$E$27 + R10*Assumption!$F$27</f>
        <v>31.76</v>
      </c>
      <c r="T10" cm="1">
        <f t="array" aca="1" ref="T10" ca="1">_xlfn.PERCENTRANK.EXC(_xlfn._xlws.FILTER(S$4:S$24, ISNUMBER(S$4:S$24)),S10)*100</f>
        <v>18.099999999999998</v>
      </c>
    </row>
    <row r="11" spans="1:28" x14ac:dyDescent="0.35">
      <c r="A11" t="s">
        <v>24</v>
      </c>
      <c r="B11" t="s">
        <v>40</v>
      </c>
      <c r="C11" t="s">
        <v>24</v>
      </c>
      <c r="D11" t="s">
        <v>769</v>
      </c>
      <c r="E11">
        <v>54.9</v>
      </c>
      <c r="F11">
        <v>3.1</v>
      </c>
      <c r="G11" t="s">
        <v>107</v>
      </c>
      <c r="H11" s="126" t="s">
        <v>777</v>
      </c>
      <c r="I11" s="127" t="s">
        <v>727</v>
      </c>
      <c r="J11" s="128" t="s">
        <v>40</v>
      </c>
      <c r="K11" s="128" t="s">
        <v>24</v>
      </c>
      <c r="L11" t="s">
        <v>769</v>
      </c>
      <c r="M11" cm="1">
        <f t="array" ref="M11">IF(_xll.FDSRC(,"DUMMY","ECON_EXPR_DATA('FDS_ECON["&amp;H11&amp;"]',,,M)")=0,$J$28,_xll.FDSRC(,"DUMMY","ECON_EXPR_DATA('FDS_ECON["&amp;H11&amp;"]',,,M)"))</f>
        <v>48.6</v>
      </c>
      <c r="N11" cm="1">
        <f t="array" aca="1" ref="N11" ca="1">_xll.FDSRC("-","DUMMY","ECON_EXPR_DATA('FDS_ECON["&amp;H11&amp;"]',"&amp;$N$3&amp;",,Q)")</f>
        <v>47.63588</v>
      </c>
      <c r="O11" cm="1">
        <f t="array" aca="1" ref="O11" ca="1">_xll.FDSRC("-","DUMMY","ECON_EXPR_DATA('FDS_ECON["&amp;H11&amp;"]',"&amp;$O$3&amp;",,Q)")</f>
        <v>44.970745000000001</v>
      </c>
      <c r="P11">
        <f t="shared" ca="1" si="0"/>
        <v>2.6651349999999994</v>
      </c>
      <c r="Q11" cm="1">
        <f t="array" ref="Q11">_xlfn.PERCENTRANK.EXC(_xlfn._xlws.FILTER(M$4:M$24, ISNUMBER(M$4:M$24)),M11)*100</f>
        <v>9</v>
      </c>
      <c r="R11" cm="1">
        <f t="array" aca="1" ref="R11" ca="1">_xlfn.PERCENTRANK.EXC(_xlfn._xlws.FILTER(P$4:P$24, ISNUMBER(P$4:P$24)),P11)*100</f>
        <v>90.9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36.299999999999997</v>
      </c>
    </row>
    <row r="12" spans="1:28" x14ac:dyDescent="0.35">
      <c r="A12" t="s">
        <v>7</v>
      </c>
      <c r="B12" t="s">
        <v>53</v>
      </c>
      <c r="C12" t="s">
        <v>7</v>
      </c>
      <c r="D12" t="s">
        <v>769</v>
      </c>
      <c r="E12">
        <v>54.9</v>
      </c>
      <c r="F12">
        <v>3.1</v>
      </c>
      <c r="G12" t="s">
        <v>125</v>
      </c>
      <c r="H12" s="126" t="s">
        <v>771</v>
      </c>
      <c r="I12" s="127" t="s">
        <v>685</v>
      </c>
      <c r="J12" s="128" t="s">
        <v>53</v>
      </c>
      <c r="K12" s="128" t="s">
        <v>7</v>
      </c>
      <c r="L12" t="s">
        <v>769</v>
      </c>
      <c r="M12" cm="1">
        <f t="array" ref="M12">IF(_xll.FDSRC(,"DUMMY","ECON_EXPR_DATA('FDS_ECON["&amp;H12&amp;"]',,,M)")=0,$J$28,_xll.FDSRC(,"DUMMY","ECON_EXPR_DATA('FDS_ECON["&amp;H12&amp;"]',,,M)"))</f>
        <v>52.298340000000003</v>
      </c>
      <c r="N12" cm="1">
        <f t="array" aca="1" ref="N12" ca="1">_xll.FDSRC("-","DUMMY","ECON_EXPR_DATA('FDS_ECON["&amp;H12&amp;"]',"&amp;$N$3&amp;",,Q)")</f>
        <v>52.180695</v>
      </c>
      <c r="O12" cm="1">
        <f t="array" aca="1" ref="O12" ca="1">_xll.FDSRC("-","DUMMY","ECON_EXPR_DATA('FDS_ECON["&amp;H12&amp;"]',"&amp;$O$3&amp;",,Q)")</f>
        <v>51.404536999999998</v>
      </c>
      <c r="P12">
        <f t="shared" ca="1" si="0"/>
        <v>0.77615800000000235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81.8</v>
      </c>
      <c r="S12">
        <f ca="1">Q12*Assumption!$E$27 + R12*Assumption!$F$27</f>
        <v>76.34</v>
      </c>
      <c r="T12" cm="1">
        <f t="array" aca="1" ref="T12" ca="1">_xlfn.PERCENTRANK.EXC(_xlfn._xlws.FILTER(S$4:S$24, ISNUMBER(S$4:S$24)),S12)*100</f>
        <v>90.9</v>
      </c>
    </row>
    <row r="13" spans="1:28" x14ac:dyDescent="0.35">
      <c r="A13" t="s">
        <v>21</v>
      </c>
      <c r="B13" t="s">
        <v>38</v>
      </c>
      <c r="C13" t="s">
        <v>21</v>
      </c>
      <c r="D13" t="s">
        <v>769</v>
      </c>
      <c r="E13">
        <v>54.9</v>
      </c>
      <c r="F13">
        <v>3.1</v>
      </c>
      <c r="G13" t="s">
        <v>105</v>
      </c>
      <c r="H13" s="126" t="s">
        <v>775</v>
      </c>
      <c r="I13" s="127" t="s">
        <v>776</v>
      </c>
      <c r="J13" s="128" t="s">
        <v>38</v>
      </c>
      <c r="K13" s="128" t="s">
        <v>21</v>
      </c>
      <c r="L13" t="s">
        <v>769</v>
      </c>
      <c r="M13" cm="1">
        <f t="array" ref="M13">IF(_xll.FDSRC(,"DUMMY","ECON_EXPR_DATA('FDS_ECON["&amp;H13&amp;"]',,,M)")=0,$J$28,_xll.FDSRC(,"DUMMY","ECON_EXPR_DATA('FDS_ECON["&amp;H13&amp;"]',,,M)"))</f>
        <v>50.65793</v>
      </c>
      <c r="N13" cm="1">
        <f t="array" aca="1" ref="N13" ca="1">_xll.FDSRC("-","DUMMY","ECON_EXPR_DATA('FDS_ECON["&amp;H13&amp;"]',"&amp;$N$3&amp;",,Q)")</f>
        <v>49.900604000000001</v>
      </c>
      <c r="O13" cm="1">
        <f t="array" aca="1" ref="O13" ca="1">_xll.FDSRC("-","DUMMY","ECON_EXPR_DATA('FDS_ECON["&amp;H13&amp;"]',"&amp;$O$3&amp;",,Q)")</f>
        <v>49.420245999999999</v>
      </c>
      <c r="P13">
        <f t="shared" ca="1" si="0"/>
        <v>0.48035800000000251</v>
      </c>
      <c r="Q13" cm="1">
        <f t="array" ref="Q13">_xlfn.PERCENTRANK.EXC(_xlfn._xlws.FILTER(M$4:M$24, ISNUMBER(M$4:M$24)),M13)*100</f>
        <v>27.200000000000003</v>
      </c>
      <c r="R13" cm="1">
        <f t="array" aca="1" ref="R13" ca="1">_xlfn.PERCENTRANK.EXC(_xlfn._xlws.FILTER(P$4:P$24, ISNUMBER(P$4:P$24)),P13)*100</f>
        <v>72.7</v>
      </c>
      <c r="S13">
        <f ca="1">Q13*Assumption!$E$27 + R13*Assumption!$F$27</f>
        <v>45.400000000000006</v>
      </c>
      <c r="T13" cm="1">
        <f t="array" aca="1" ref="T13" ca="1">_xlfn.PERCENTRANK.EXC(_xlfn._xlws.FILTER(S$4:S$24, ISNUMBER(S$4:S$24)),S13)*100</f>
        <v>40.9</v>
      </c>
    </row>
    <row r="14" spans="1:28" x14ac:dyDescent="0.35">
      <c r="A14" t="s">
        <v>12</v>
      </c>
      <c r="B14" t="s">
        <v>54</v>
      </c>
      <c r="C14" t="s">
        <v>12</v>
      </c>
      <c r="D14" t="s">
        <v>769</v>
      </c>
      <c r="E14">
        <v>51.8</v>
      </c>
      <c r="F14">
        <v>1.9</v>
      </c>
      <c r="G14" t="s">
        <v>131</v>
      </c>
      <c r="H14" s="126" t="s">
        <v>770</v>
      </c>
      <c r="I14" s="127" t="s">
        <v>610</v>
      </c>
      <c r="J14" s="128" t="s">
        <v>54</v>
      </c>
      <c r="K14" s="128" t="s">
        <v>12</v>
      </c>
      <c r="L14" t="s">
        <v>769</v>
      </c>
      <c r="M14" cm="1">
        <f t="array" ref="M14">IF(_xll.FDSRC(,"DUMMY","ECON_EXPR_DATA('FDS_ECON["&amp;H14&amp;"]',,,M)")=0,$J$28,_xll.FDSRC(,"DUMMY","ECON_EXPR_DATA('FDS_ECON["&amp;H14&amp;"]',,,M)"))</f>
        <v>54.056939999999997</v>
      </c>
      <c r="N14" cm="1">
        <f t="array" aca="1" ref="N14" ca="1">_xll.FDSRC("-","DUMMY","ECON_EXPR_DATA('FDS_ECON["&amp;H14&amp;"]',"&amp;$N$3&amp;",,Q)")</f>
        <v>48.798813000000003</v>
      </c>
      <c r="O14" cm="1">
        <f t="array" aca="1" ref="O14" ca="1">_xll.FDSRC("-","DUMMY","ECON_EXPR_DATA('FDS_ECON["&amp;H14&amp;"]',"&amp;$O$3&amp;",,Q)")</f>
        <v>48.996009999999998</v>
      </c>
      <c r="P14">
        <f t="shared" ca="1" si="0"/>
        <v>-0.19719699999999563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40.9</v>
      </c>
      <c r="S14">
        <f ca="1">Q14*Assumption!$E$27 + R14*Assumption!$F$27</f>
        <v>65.44</v>
      </c>
      <c r="T14" cm="1">
        <f t="array" aca="1" ref="T14" ca="1">_xlfn.PERCENTRANK.EXC(_xlfn._xlws.FILTER(S$4:S$24, ISNUMBER(S$4:S$24)),S14)*100</f>
        <v>86.3</v>
      </c>
      <c r="AA14" s="1" t="s">
        <v>910</v>
      </c>
    </row>
    <row r="15" spans="1:28" x14ac:dyDescent="0.35">
      <c r="A15" t="s">
        <v>22</v>
      </c>
      <c r="B15" t="s">
        <v>447</v>
      </c>
      <c r="C15" t="s">
        <v>22</v>
      </c>
      <c r="D15" t="s">
        <v>769</v>
      </c>
      <c r="E15">
        <v>47.5</v>
      </c>
      <c r="F15">
        <v>1.1000000000000001</v>
      </c>
      <c r="G15" t="s">
        <v>103</v>
      </c>
      <c r="H15" s="126" t="s">
        <v>798</v>
      </c>
      <c r="I15" s="127" t="s">
        <v>720</v>
      </c>
      <c r="J15" s="128" t="s">
        <v>447</v>
      </c>
      <c r="K15" s="128" t="s">
        <v>22</v>
      </c>
      <c r="L15" t="s">
        <v>769</v>
      </c>
      <c r="M15" cm="1">
        <f t="array" ref="M15">IF(_xll.FDSRC(,"DUMMY","ECON_EXPR_DATA('FDS_ECON["&amp;H15&amp;"]',,,M)")=0,$J$28,_xll.FDSRC(,"DUMMY","ECON_EXPR_DATA('FDS_ECON["&amp;H15&amp;"]',,,M)"))</f>
        <v>50.781660000000002</v>
      </c>
      <c r="N15" cm="1">
        <f t="array" aca="1" ref="N15" ca="1">_xll.FDSRC("-","DUMMY","ECON_EXPR_DATA('FDS_ECON["&amp;H15&amp;"]',"&amp;$N$3&amp;",,Q)")</f>
        <v>49.293605999999997</v>
      </c>
      <c r="O15" cm="1">
        <f t="array" aca="1" ref="O15" ca="1">_xll.FDSRC("-","DUMMY","ECON_EXPR_DATA('FDS_ECON["&amp;H15&amp;"]',"&amp;$O$3&amp;",,Q)")</f>
        <v>49.704177999999999</v>
      </c>
      <c r="P15">
        <f t="shared" ca="1" si="0"/>
        <v>-0.41057200000000194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36.299999999999997</v>
      </c>
      <c r="S15">
        <f ca="1">Q15*Assumption!$E$27 + R15*Assumption!$F$27</f>
        <v>33.599999999999994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448</v>
      </c>
      <c r="C16" t="s">
        <v>28</v>
      </c>
      <c r="D16" t="s">
        <v>769</v>
      </c>
      <c r="E16">
        <v>54.9</v>
      </c>
      <c r="F16">
        <v>3.1</v>
      </c>
      <c r="G16" t="s">
        <v>115</v>
      </c>
      <c r="H16" s="126" t="s">
        <v>779</v>
      </c>
      <c r="I16" s="127" t="s">
        <v>647</v>
      </c>
      <c r="J16" s="128" t="s">
        <v>448</v>
      </c>
      <c r="K16" s="128" t="s">
        <v>28</v>
      </c>
      <c r="L16" t="s">
        <v>769</v>
      </c>
      <c r="M16" cm="1">
        <f t="array" ref="M16">IF(_xll.FDSRC(,"DUMMY","ECON_EXPR_DATA('FDS_ECON["&amp;H16&amp;"]',,,M)")=0,$J$28,_xll.FDSRC(,"DUMMY","ECON_EXPR_DATA('FDS_ECON["&amp;H16&amp;"]',,,M)"))</f>
        <v>55.729667999999997</v>
      </c>
      <c r="N16" cm="1">
        <f t="array" aca="1" ref="N16" ca="1">_xll.FDSRC("-","DUMMY","ECON_EXPR_DATA('FDS_ECON["&amp;H16&amp;"]',"&amp;$N$3&amp;",,Q)")</f>
        <v>50.995750000000001</v>
      </c>
      <c r="O16" cm="1">
        <f t="array" aca="1" ref="O16" ca="1">_xll.FDSRC("-","DUMMY","ECON_EXPR_DATA('FDS_ECON["&amp;H16&amp;"]',"&amp;$O$3&amp;",,Q)")</f>
        <v>52.236584000000001</v>
      </c>
      <c r="P16">
        <f t="shared" ca="1" si="0"/>
        <v>-1.2408339999999995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27.200000000000003</v>
      </c>
      <c r="S16">
        <f ca="1">Q16*Assumption!$E$27 + R16*Assumption!$F$27</f>
        <v>62.66</v>
      </c>
      <c r="T16" cm="1">
        <f t="array" aca="1" ref="T16" ca="1">_xlfn.PERCENTRANK.EXC(_xlfn._xlws.FILTER(S$4:S$24, ISNUMBER(S$4:S$24)),S16)*100</f>
        <v>77.2</v>
      </c>
      <c r="AB16" t="s">
        <v>904</v>
      </c>
    </row>
    <row r="17" spans="1:31" x14ac:dyDescent="0.35">
      <c r="A17" t="s">
        <v>32</v>
      </c>
      <c r="B17" t="s">
        <v>52</v>
      </c>
      <c r="C17" t="s">
        <v>32</v>
      </c>
      <c r="D17" t="s">
        <v>769</v>
      </c>
      <c r="E17">
        <v>61.6</v>
      </c>
      <c r="F17">
        <v>3.2</v>
      </c>
      <c r="G17" t="s">
        <v>122</v>
      </c>
      <c r="H17" s="126" t="s">
        <v>773</v>
      </c>
      <c r="I17" s="127" t="s">
        <v>657</v>
      </c>
      <c r="J17" s="128" t="s">
        <v>52</v>
      </c>
      <c r="K17" s="128" t="s">
        <v>32</v>
      </c>
      <c r="L17" t="s">
        <v>769</v>
      </c>
      <c r="M17" cm="1">
        <f t="array" ref="M17">IF(_xll.FDSRC(,"DUMMY","ECON_EXPR_DATA('FDS_ECON["&amp;H17&amp;"]',,,M)")=0,$J$28,_xll.FDSRC(,"DUMMY","ECON_EXPR_DATA('FDS_ECON["&amp;H17&amp;"]',,,M)"))</f>
        <v>56.899436999999999</v>
      </c>
      <c r="N17" cm="1">
        <f t="array" aca="1" ref="N17" ca="1">_xll.FDSRC("-","DUMMY","ECON_EXPR_DATA('FDS_ECON["&amp;H17&amp;"]',"&amp;$N$3&amp;",,Q)")</f>
        <v>55.461708000000002</v>
      </c>
      <c r="O17" cm="1">
        <f t="array" aca="1" ref="O17" ca="1">_xll.FDSRC("-","DUMMY","ECON_EXPR_DATA('FDS_ECON["&amp;H17&amp;"]',"&amp;$O$3&amp;",,Q)")</f>
        <v>57.930667999999997</v>
      </c>
      <c r="P17">
        <f t="shared" ca="1" si="0"/>
        <v>-2.4689599999999956</v>
      </c>
      <c r="Q17" cm="1">
        <f t="array" ref="Q17">_xlfn.PERCENTRANK.EXC(_xlfn._xlws.FILTER(M$4:M$24, ISNUMBER(M$4:M$24)),M17)*100</f>
        <v>90.9</v>
      </c>
      <c r="R17" cm="1">
        <f t="array" aca="1" ref="R17" ca="1">_xlfn.PERCENTRANK.EXC(_xlfn._xlws.FILTER(P$4:P$24, ISNUMBER(P$4:P$24)),P17)*100</f>
        <v>9</v>
      </c>
      <c r="S17">
        <f ca="1">Q17*Assumption!$E$27 + R17*Assumption!$F$27</f>
        <v>58.14</v>
      </c>
      <c r="T17" cm="1">
        <f t="array" aca="1" ref="T17" ca="1">_xlfn.PERCENTRANK.EXC(_xlfn._xlws.FILTER(S$4:S$24, ISNUMBER(S$4:S$24)),S17)*100</f>
        <v>72.7</v>
      </c>
    </row>
    <row r="18" spans="1:31" x14ac:dyDescent="0.35">
      <c r="A18" t="s">
        <v>26</v>
      </c>
      <c r="B18" t="s">
        <v>41</v>
      </c>
      <c r="C18" t="s">
        <v>26</v>
      </c>
      <c r="D18" t="s">
        <v>769</v>
      </c>
      <c r="E18">
        <v>53.6</v>
      </c>
      <c r="F18">
        <v>2.4</v>
      </c>
      <c r="G18" t="s">
        <v>108</v>
      </c>
      <c r="H18" s="126" t="s">
        <v>772</v>
      </c>
      <c r="I18" s="127" t="s">
        <v>622</v>
      </c>
      <c r="J18" s="128" t="s">
        <v>41</v>
      </c>
      <c r="K18" s="128" t="s">
        <v>26</v>
      </c>
      <c r="L18" t="s">
        <v>769</v>
      </c>
      <c r="M18" cm="1">
        <f t="array" ref="M18">IF(_xll.FDSRC(,"DUMMY","ECON_EXPR_DATA('FDS_ECON["&amp;H18&amp;"]',,,M)")=0,$J$28,_xll.FDSRC(,"DUMMY","ECON_EXPR_DATA('FDS_ECON["&amp;H18&amp;"]',,,M)"))</f>
        <v>50.918056</v>
      </c>
      <c r="N18" cm="1">
        <f t="array" aca="1" ref="N18" ca="1">_xll.FDSRC("-","DUMMY","ECON_EXPR_DATA('FDS_ECON["&amp;H18&amp;"]',"&amp;$N$3&amp;",,Q)")</f>
        <v>50.34384</v>
      </c>
      <c r="O18" cm="1">
        <f t="array" aca="1" ref="O18" ca="1">_xll.FDSRC("-","DUMMY","ECON_EXPR_DATA('FDS_ECON["&amp;H18&amp;"]',"&amp;$O$3&amp;",,Q)")</f>
        <v>50.266373000000002</v>
      </c>
      <c r="P18">
        <f t="shared" ca="1" si="0"/>
        <v>7.746699999999862E-2</v>
      </c>
      <c r="Q18" cm="1">
        <f t="array" ref="Q18">_xlfn.PERCENTRANK.EXC(_xlfn._xlws.FILTER(M$4:M$24, ISNUMBER(M$4:M$24)),M18)*100</f>
        <v>36.299999999999997</v>
      </c>
      <c r="R18" cm="1">
        <f t="array" aca="1" ref="R18" ca="1">_xlfn.PERCENTRANK.EXC(_xlfn._xlws.FILTER(P$4:P$24, ISNUMBER(P$4:P$24)),P18)*100</f>
        <v>63.6</v>
      </c>
      <c r="S18">
        <f ca="1">Q18*Assumption!$E$27 + R18*Assumption!$F$27</f>
        <v>47.22</v>
      </c>
      <c r="T18" cm="1">
        <f t="array" aca="1" ref="T18" ca="1">_xlfn.PERCENTRANK.EXC(_xlfn._xlws.FILTER(S$4:S$24, ISNUMBER(S$4:S$24)),S18)*100</f>
        <v>45.4</v>
      </c>
      <c r="AB18" t="s">
        <v>787</v>
      </c>
      <c r="AC18" t="s">
        <v>905</v>
      </c>
      <c r="AE18" t="s">
        <v>508</v>
      </c>
    </row>
    <row r="19" spans="1:31" x14ac:dyDescent="0.35">
      <c r="A19" t="s">
        <v>31</v>
      </c>
      <c r="B19" t="s">
        <v>449</v>
      </c>
      <c r="C19" t="s">
        <v>31</v>
      </c>
      <c r="D19" t="s">
        <v>769</v>
      </c>
      <c r="E19">
        <v>56</v>
      </c>
      <c r="F19">
        <v>10.3</v>
      </c>
      <c r="G19" t="s">
        <v>124</v>
      </c>
      <c r="H19" s="126" t="s">
        <v>799</v>
      </c>
      <c r="I19" s="127" t="s">
        <v>709</v>
      </c>
      <c r="J19" s="128" t="s">
        <v>449</v>
      </c>
      <c r="K19" s="128" t="s">
        <v>31</v>
      </c>
      <c r="L19" t="s">
        <v>769</v>
      </c>
      <c r="M19" cm="1">
        <f t="array" ref="M19">IF(_xll.FDSRC(,"DUMMY","ECON_EXPR_DATA('FDS_ECON["&amp;H19&amp;"]',,,M)")=0,$J$28,_xll.FDSRC(,"DUMMY","ECON_EXPR_DATA('FDS_ECON["&amp;H19&amp;"]',,,M)"))</f>
        <v>51.025199999999998</v>
      </c>
      <c r="N19" cm="1">
        <f t="array" aca="1" ref="N19" ca="1">_xll.FDSRC("-","DUMMY","ECON_EXPR_DATA('FDS_ECON["&amp;H19&amp;"]',"&amp;$N$3&amp;",,Q)")</f>
        <v>50.688426999999997</v>
      </c>
      <c r="O19" cm="1">
        <f t="array" aca="1" ref="O19" ca="1">_xll.FDSRC("-","DUMMY","ECON_EXPR_DATA('FDS_ECON["&amp;H19&amp;"]',"&amp;$O$3&amp;",,Q)")</f>
        <v>53.860751999999998</v>
      </c>
      <c r="P19">
        <f t="shared" ca="1" si="0"/>
        <v>-3.1723250000000007</v>
      </c>
      <c r="Q19" cm="1">
        <f t="array" ref="Q19">_xlfn.PERCENTRANK.EXC(_xlfn._xlws.FILTER(M$4:M$24, ISNUMBER(M$4:M$24)),M19)*100</f>
        <v>45.4</v>
      </c>
      <c r="R19" cm="1">
        <f t="array" aca="1" ref="R19" ca="1">_xlfn.PERCENTRANK.EXC(_xlfn._xlws.FILTER(P$4:P$24, ISNUMBER(P$4:P$24)),P19)*100</f>
        <v>4.5</v>
      </c>
      <c r="S19">
        <f ca="1">Q19*Assumption!$E$27 + R19*Assumption!$F$27</f>
        <v>29.04</v>
      </c>
      <c r="T19" cm="1">
        <f t="array" aca="1" ref="T19" ca="1">_xlfn.PERCENTRANK.EXC(_xlfn._xlws.FILTER(S$4:S$24, ISNUMBER(S$4:S$24)),S19)*100</f>
        <v>13.600000000000001</v>
      </c>
      <c r="AB19" t="s">
        <v>906</v>
      </c>
      <c r="AC19" t="s">
        <v>907</v>
      </c>
      <c r="AE19">
        <v>100</v>
      </c>
    </row>
    <row r="20" spans="1:31" x14ac:dyDescent="0.35">
      <c r="A20" t="s">
        <v>439</v>
      </c>
      <c r="B20" t="s">
        <v>450</v>
      </c>
      <c r="C20" t="s">
        <v>439</v>
      </c>
      <c r="D20" t="s">
        <v>769</v>
      </c>
      <c r="E20">
        <v>54.9</v>
      </c>
      <c r="F20">
        <v>3.1</v>
      </c>
      <c r="G20" t="s">
        <v>224</v>
      </c>
      <c r="H20" s="126" t="s">
        <v>800</v>
      </c>
      <c r="I20" s="127" t="s">
        <v>730</v>
      </c>
      <c r="J20" s="128" t="s">
        <v>765</v>
      </c>
      <c r="K20" s="128" t="s">
        <v>764</v>
      </c>
      <c r="L20" t="s">
        <v>769</v>
      </c>
      <c r="M20" cm="1">
        <f t="array" ref="M20">IF(_xll.FDSRC(,"DUMMY","ECON_EXPR_DATA('FDS_ECON["&amp;H20&amp;"]',,,M)")=0,$J$28,_xll.FDSRC(,"DUMMY","ECON_EXPR_DATA('FDS_ECON["&amp;H20&amp;"]',,,M)"))</f>
        <v>51.447499999999998</v>
      </c>
      <c r="N20" cm="1">
        <f t="array" aca="1" ref="N20" ca="1">_xll.FDSRC("-","DUMMY","ECON_EXPR_DATA('FDS_ECON["&amp;H20&amp;"]',"&amp;$N$3&amp;",,Q)")</f>
        <v>46.695160000000001</v>
      </c>
      <c r="O20" cm="1">
        <f t="array" aca="1" ref="O20" ca="1">_xll.FDSRC("-","DUMMY","ECON_EXPR_DATA('FDS_ECON["&amp;H20&amp;"]',"&amp;$O$3&amp;",,Q)")</f>
        <v>49.120173999999999</v>
      </c>
      <c r="P20">
        <f t="shared" ca="1" si="0"/>
        <v>-2.4250139999999973</v>
      </c>
      <c r="Q20" cm="1">
        <f t="array" ref="Q20">_xlfn.PERCENTRANK.EXC(_xlfn._xlws.FILTER(M$4:M$24, ISNUMBER(M$4:M$24)),M20)*100</f>
        <v>50</v>
      </c>
      <c r="R20" cm="1">
        <f t="array" aca="1" ref="R20" ca="1">_xlfn.PERCENTRANK.EXC(_xlfn._xlws.FILTER(P$4:P$24, ISNUMBER(P$4:P$24)),P20)*100</f>
        <v>13.600000000000001</v>
      </c>
      <c r="S20">
        <f ca="1">Q20*Assumption!$E$27 + R20*Assumption!$F$27</f>
        <v>35.44</v>
      </c>
      <c r="T20" cm="1">
        <f t="array" aca="1" ref="T20" ca="1">_xlfn.PERCENTRANK.EXC(_xlfn._xlws.FILTER(S$4:S$24, ISNUMBER(S$4:S$24)),S20)*100</f>
        <v>27.200000000000003</v>
      </c>
      <c r="AB20" t="s">
        <v>906</v>
      </c>
      <c r="AC20" t="s">
        <v>908</v>
      </c>
      <c r="AE20">
        <v>75</v>
      </c>
    </row>
    <row r="21" spans="1:31" x14ac:dyDescent="0.35">
      <c r="A21" t="s">
        <v>25</v>
      </c>
      <c r="B21" t="s">
        <v>451</v>
      </c>
      <c r="C21" t="s">
        <v>25</v>
      </c>
      <c r="D21" t="s">
        <v>769</v>
      </c>
      <c r="E21">
        <v>54.9</v>
      </c>
      <c r="F21">
        <v>3.1</v>
      </c>
      <c r="G21" t="s">
        <v>109</v>
      </c>
      <c r="H21" s="126" t="s">
        <v>781</v>
      </c>
      <c r="I21" s="127" t="s">
        <v>734</v>
      </c>
      <c r="J21" s="128" t="s">
        <v>451</v>
      </c>
      <c r="K21" s="128" t="s">
        <v>25</v>
      </c>
      <c r="L21" t="s">
        <v>769</v>
      </c>
      <c r="M21" cm="1">
        <f t="array" ref="M21">IF(_xll.FDSRC(,"DUMMY","ECON_EXPR_DATA('FDS_ECON["&amp;H21&amp;"]',,,M)")=0,$J$28,_xll.FDSRC(,"DUMMY","ECON_EXPR_DATA('FDS_ECON["&amp;H21&amp;"]',,,M)"))</f>
        <v>50.248722000000001</v>
      </c>
      <c r="N21" cm="1">
        <f t="array" aca="1" ref="N21" ca="1">_xll.FDSRC("-","DUMMY","ECON_EXPR_DATA('FDS_ECON["&amp;H21&amp;"]',"&amp;$N$3&amp;",,Q)")</f>
        <v>47.664864000000001</v>
      </c>
      <c r="O21" cm="1">
        <f t="array" aca="1" ref="O21" ca="1">_xll.FDSRC("-","DUMMY","ECON_EXPR_DATA('FDS_ECON["&amp;H21&amp;"]',"&amp;$O$3&amp;",,Q)")</f>
        <v>49.509234999999997</v>
      </c>
      <c r="P21">
        <f t="shared" ca="1" si="0"/>
        <v>-1.8443709999999953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18.099999999999998</v>
      </c>
      <c r="T21" cm="1">
        <f t="array" aca="1" ref="T21" ca="1">_xlfn.PERCENTRANK.EXC(_xlfn._xlws.FILTER(S$4:S$24, ISNUMBER(S$4:S$24)),S21)*100</f>
        <v>4.5</v>
      </c>
      <c r="AB21" t="s">
        <v>909</v>
      </c>
      <c r="AC21" t="s">
        <v>907</v>
      </c>
      <c r="AE21">
        <v>50</v>
      </c>
    </row>
    <row r="22" spans="1:31" x14ac:dyDescent="0.35">
      <c r="A22" t="s">
        <v>34</v>
      </c>
      <c r="B22" t="s">
        <v>452</v>
      </c>
      <c r="C22" t="s">
        <v>34</v>
      </c>
      <c r="D22" t="s">
        <v>769</v>
      </c>
      <c r="E22">
        <v>62.7</v>
      </c>
      <c r="F22">
        <v>3.8</v>
      </c>
      <c r="G22" t="s">
        <v>127</v>
      </c>
      <c r="H22" s="126" t="s">
        <v>790</v>
      </c>
      <c r="I22" s="127" t="s">
        <v>34</v>
      </c>
      <c r="J22" s="128" t="s">
        <v>452</v>
      </c>
      <c r="K22" s="128" t="s">
        <v>34</v>
      </c>
      <c r="L22" t="s">
        <v>769</v>
      </c>
      <c r="M22" cm="1">
        <f t="array" ref="M22">IF(_xll.FDSRC(,"DUMMY","ECON_EXPR_DATA('FDS_ECON["&amp;H22&amp;"]',,,M)")=0,$J$28,_xll.FDSRC(,"DUMMY","ECON_EXPR_DATA('FDS_ECON["&amp;H22&amp;"]',,,M)"))</f>
        <v>51.447499999999998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-0.17349399999999804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45.4</v>
      </c>
      <c r="S22">
        <f ca="1">Q22*Assumption!$E$27 + R22*Assumption!$F$27</f>
        <v>48.16</v>
      </c>
      <c r="T22" cm="1">
        <f t="array" aca="1" ref="T22" ca="1">_xlfn.PERCENTRANK.EXC(_xlfn._xlws.FILTER(S$4:S$24, ISNUMBER(S$4:S$24)),S22)*100</f>
        <v>54.500000000000007</v>
      </c>
      <c r="AB22" t="s">
        <v>909</v>
      </c>
      <c r="AC22" t="s">
        <v>908</v>
      </c>
      <c r="AE22">
        <v>25</v>
      </c>
    </row>
    <row r="23" spans="1:31" x14ac:dyDescent="0.35">
      <c r="A23" t="s">
        <v>37</v>
      </c>
      <c r="B23" t="s">
        <v>453</v>
      </c>
      <c r="C23" t="s">
        <v>37</v>
      </c>
      <c r="D23" t="s">
        <v>769</v>
      </c>
      <c r="E23">
        <v>54.9</v>
      </c>
      <c r="F23">
        <v>3.1</v>
      </c>
      <c r="G23" t="s">
        <v>130</v>
      </c>
      <c r="H23" s="126" t="s">
        <v>778</v>
      </c>
      <c r="I23" s="127" t="s">
        <v>743</v>
      </c>
      <c r="J23" s="128" t="s">
        <v>453</v>
      </c>
      <c r="K23" s="128" t="s">
        <v>37</v>
      </c>
      <c r="L23" t="s">
        <v>769</v>
      </c>
      <c r="M23" cm="1">
        <f t="array" ref="M23">IF(_xll.FDSRC(,"DUMMY","ECON_EXPR_DATA('FDS_ECON["&amp;H23&amp;"]',,,M)")=0,$J$28,_xll.FDSRC(,"DUMMY","ECON_EXPR_DATA('FDS_ECON["&amp;H23&amp;"]',,,M)"))</f>
        <v>50.372390000000003</v>
      </c>
      <c r="N23" cm="1">
        <f t="array" aca="1" ref="N23" ca="1">_xll.FDSRC("-","DUMMY","ECON_EXPR_DATA('FDS_ECON["&amp;H23&amp;"]',"&amp;$N$3&amp;",,Q)")</f>
        <v>48.597430000000003</v>
      </c>
      <c r="O23" cm="1">
        <f t="array" aca="1" ref="O23" ca="1">_xll.FDSRC("-","DUMMY","ECON_EXPR_DATA('FDS_ECON["&amp;H23&amp;"]',"&amp;$O$3&amp;",,Q)")</f>
        <v>49.616585000000001</v>
      </c>
      <c r="P23">
        <f t="shared" ca="1" si="0"/>
        <v>-1.0191549999999978</v>
      </c>
      <c r="Q23" cm="1">
        <f t="array" ref="Q23">_xlfn.PERCENTRANK.EXC(_xlfn._xlws.FILTER(M$4:M$24, ISNUMBER(M$4:M$24)),M23)*100</f>
        <v>22.7</v>
      </c>
      <c r="R23" cm="1">
        <f t="array" aca="1" ref="R23" ca="1">_xlfn.PERCENTRANK.EXC(_xlfn._xlws.FILTER(P$4:P$24, ISNUMBER(P$4:P$24)),P23)*100</f>
        <v>31.8</v>
      </c>
      <c r="S23">
        <f ca="1">Q23*Assumption!$E$27 + R23*Assumption!$F$27</f>
        <v>26.34</v>
      </c>
      <c r="T23" cm="1">
        <f t="array" aca="1" ref="T23" ca="1">_xlfn.PERCENTRANK.EXC(_xlfn._xlws.FILTER(S$4:S$24, ISNUMBER(S$4:S$24)),S23)*100</f>
        <v>9</v>
      </c>
    </row>
    <row r="24" spans="1:31" x14ac:dyDescent="0.35">
      <c r="A24" t="s">
        <v>36</v>
      </c>
      <c r="B24" t="s">
        <v>454</v>
      </c>
      <c r="C24" t="s">
        <v>36</v>
      </c>
      <c r="D24" t="s">
        <v>769</v>
      </c>
      <c r="E24">
        <v>64.400000000000006</v>
      </c>
      <c r="F24">
        <v>0.8</v>
      </c>
      <c r="G24" t="s">
        <v>129</v>
      </c>
      <c r="H24" s="126" t="s">
        <v>801</v>
      </c>
      <c r="I24" s="127" t="s">
        <v>713</v>
      </c>
      <c r="J24" s="128" t="s">
        <v>454</v>
      </c>
      <c r="K24" s="128" t="s">
        <v>36</v>
      </c>
      <c r="L24" t="s">
        <v>769</v>
      </c>
      <c r="M24" cm="1">
        <f t="array" ref="M24">IF(_xll.FDSRC(,"DUMMY","ECON_EXPR_DATA('FDS_ECON["&amp;H24&amp;"]',,,M)")=0,$J$28,_xll.FDSRC(,"DUMMY","ECON_EXPR_DATA('FDS_ECON["&amp;H24&amp;"]',,,M)"))</f>
        <v>57.158000000000001</v>
      </c>
      <c r="N24" cm="1">
        <f t="array" aca="1" ref="N24" ca="1">_xll.FDSRC("-","DUMMY","ECON_EXPR_DATA('FDS_ECON["&amp;H24&amp;"]',"&amp;$N$3&amp;",,Q)")</f>
        <v>57.793106000000002</v>
      </c>
      <c r="O24" cm="1">
        <f t="array" aca="1" ref="O24" ca="1">_xll.FDSRC("-","DUMMY","ECON_EXPR_DATA('FDS_ECON["&amp;H24&amp;"]',"&amp;$O$3&amp;",,Q)")</f>
        <v>57.151814000000002</v>
      </c>
      <c r="P24">
        <f t="shared" ca="1" si="0"/>
        <v>0.64129199999999997</v>
      </c>
      <c r="Q24" cm="1">
        <f t="array" ref="Q24">_xlfn.PERCENTRANK.EXC(_xlfn._xlws.FILTER(M$4:M$24, ISNUMBER(M$4:M$24)),M24)*100</f>
        <v>95.399999999999991</v>
      </c>
      <c r="R24" cm="1">
        <f t="array" aca="1" ref="R24" ca="1">_xlfn.PERCENTRANK.EXC(_xlfn._xlws.FILTER(P$4:P$24, ISNUMBER(P$4:P$24)),P24)*100</f>
        <v>77.2</v>
      </c>
      <c r="S24">
        <f ca="1">Q24*Assumption!$E$27 + R24*Assumption!$F$27</f>
        <v>88.12</v>
      </c>
      <c r="T24" cm="1">
        <f t="array" aca="1" ref="T24" ca="1">_xlfn.PERCENTRANK.EXC(_xlfn._xlws.FILTER(S$4:S$24, ISNUMBER(S$4:S$24)),S24)*100</f>
        <v>95.399999999999991</v>
      </c>
    </row>
    <row r="26" spans="1:31" x14ac:dyDescent="0.35">
      <c r="K26" t="str" cm="1">
        <f t="array" aca="1" ref="K26" ca="1">_xll.FDSRC("-","DUMMY","ECON_DATE("&amp;$L$1&amp;",,, 'MM/YYYY')")</f>
        <v>02/2024</v>
      </c>
      <c r="L26" t="str" cm="1">
        <f t="array" aca="1" ref="L26" ca="1">_xll.FDSRC("-","DUMMY","ECON_DATE("&amp;$L$2&amp;",,, 'MM/YYYY')")</f>
        <v>11/2023</v>
      </c>
      <c r="M26" t="s">
        <v>804</v>
      </c>
    </row>
    <row r="27" spans="1:31" x14ac:dyDescent="0.35">
      <c r="H27" s="126" t="s">
        <v>782</v>
      </c>
      <c r="I27" s="126" t="s">
        <v>783</v>
      </c>
      <c r="J27" cm="1">
        <f t="array" ref="J27">_xll.FDSRC("-","DUMMY","ECON_EXPR_DATA('FDS_ECON["&amp;H27&amp;"]',,,M)")</f>
        <v>49.253857000000004</v>
      </c>
      <c r="K27" cm="1">
        <f t="array" aca="1" ref="K27" ca="1">_xll.FDSRC("-","DUMMY","ECON_EXPR_DATA('FDS_ECON["&amp;H27&amp;"]',"&amp;$K$26&amp;",,Q)")</f>
        <v>47.378044000000003</v>
      </c>
      <c r="L27" cm="1">
        <f t="array" aca="1" ref="L27" ca="1">_xll.FDSRC("-","DUMMY","ECON_EXPR_DATA('FDS_ECON["&amp;H27&amp;"]',"&amp;$L$26&amp;",,Q)")</f>
        <v>47.086407000000001</v>
      </c>
      <c r="M27">
        <f ca="1">K27-L27</f>
        <v>0.29163700000000148</v>
      </c>
    </row>
    <row r="28" spans="1:31" x14ac:dyDescent="0.35">
      <c r="H28" s="126" t="s">
        <v>784</v>
      </c>
      <c r="I28" s="126" t="s">
        <v>785</v>
      </c>
      <c r="J28" cm="1">
        <f t="array" ref="J28">_xll.FDSRC("-","DUMMY","ECON_EXPR_DATA('FDS_ECON["&amp;H28&amp;"]',,,M)")</f>
        <v>51.447499999999998</v>
      </c>
      <c r="K28" cm="1">
        <f t="array" aca="1" ref="K28" ca="1">_xll.FDSRC("-","DUMMY","ECON_EXPR_DATA('FDS_ECON["&amp;H28&amp;"]',"&amp;$K$26&amp;",,Q)")</f>
        <v>50.640650000000001</v>
      </c>
      <c r="L28" cm="1">
        <f t="array" aca="1" ref="L28" ca="1">_xll.FDSRC("-","DUMMY","ECON_EXPR_DATA('FDS_ECON["&amp;H28&amp;"]',"&amp;$L$26&amp;",,Q)")</f>
        <v>50.814143999999999</v>
      </c>
      <c r="M28">
        <f ca="1">K28-L28</f>
        <v>-0.17349399999999804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08984375" customWidth="1"/>
    <col min="2" max="2" width="34.36328125" bestFit="1" customWidth="1"/>
    <col min="3" max="3" width="9.6328125" bestFit="1" customWidth="1"/>
    <col min="4" max="4" width="15.36328125" customWidth="1"/>
    <col min="5" max="5" width="17.6328125" customWidth="1"/>
    <col min="6" max="6" width="19.453125" customWidth="1"/>
    <col min="7" max="7" width="18" customWidth="1"/>
  </cols>
  <sheetData>
    <row r="1" spans="1:7" x14ac:dyDescent="0.35">
      <c r="A1" t="s">
        <v>760</v>
      </c>
      <c r="B1" t="s">
        <v>535</v>
      </c>
      <c r="C1" t="s">
        <v>854</v>
      </c>
      <c r="D1" t="s">
        <v>891</v>
      </c>
      <c r="E1" t="s">
        <v>581</v>
      </c>
      <c r="F1" t="s">
        <v>892</v>
      </c>
      <c r="G1" t="s">
        <v>893</v>
      </c>
    </row>
    <row r="2" spans="1:7" x14ac:dyDescent="0.35">
      <c r="A2" t="s">
        <v>181</v>
      </c>
      <c r="B2" t="s">
        <v>440</v>
      </c>
      <c r="C2" t="s">
        <v>437</v>
      </c>
      <c r="D2" s="168" cm="1">
        <f t="array" ref="D2">_xll.FDS(C2,"FREF_MARKET_VALUE_COMPANY(0,,,USD,,0,,""LEGACY"")")</f>
        <v>188.79217499999999</v>
      </c>
      <c r="E2" t="s">
        <v>622</v>
      </c>
      <c r="F2" t="str">
        <f>_xlfn.CONCAT("FC0000",RIGHT(A2,2))</f>
        <v>FC0000CN</v>
      </c>
      <c r="G2" s="163" cm="1">
        <f t="array" ref="G2">_xll.FDSZ(F2,"FMA_MCAP(0,,,USD,""PORTAGG"")")</f>
        <v>7704829</v>
      </c>
    </row>
    <row r="3" spans="1:7" x14ac:dyDescent="0.35">
      <c r="A3" t="s">
        <v>298</v>
      </c>
      <c r="B3" t="s">
        <v>441</v>
      </c>
      <c r="C3" t="s">
        <v>27</v>
      </c>
      <c r="D3" s="168" cm="1">
        <f t="array" ref="D3">_xll.FDS(C3,"FREF_MARKET_VALUE_COMPANY(0,,,USD,,0,,""LEGACY"")")</f>
        <v>579.01199999999994</v>
      </c>
      <c r="E3" t="s">
        <v>621</v>
      </c>
      <c r="F3" t="str">
        <f t="shared" ref="F3:F17" si="0">_xlfn.CONCAT("FC0000",RIGHT(A3,2))</f>
        <v>FC0000CL</v>
      </c>
      <c r="G3" s="163" cm="1">
        <f t="array" ref="G3">_xll.FDSZ(F3,"FMA_MCAP(0,,,USD,""PORTAGG"")")</f>
        <v>145370.07999999999</v>
      </c>
    </row>
    <row r="4" spans="1:7" x14ac:dyDescent="0.35">
      <c r="A4" t="s">
        <v>191</v>
      </c>
      <c r="B4" t="s">
        <v>442</v>
      </c>
      <c r="C4" t="s">
        <v>35</v>
      </c>
      <c r="D4" s="168" cm="1">
        <f t="array" ref="D4">_xll.FDS(C4,"FREF_MARKET_VALUE_COMPANY(0,,,USD,,0,,""LEGACY"")")</f>
        <v>514.08000000000004</v>
      </c>
      <c r="E4" t="s">
        <v>658</v>
      </c>
      <c r="F4" t="str">
        <f t="shared" si="0"/>
        <v>FC0000ID</v>
      </c>
      <c r="G4" s="163" cm="1">
        <f t="array" ref="G4">_xll.FDSZ(F4,"FMA_MCAP(0,,,USD,""PORTAGG"")")</f>
        <v>665976.43999999994</v>
      </c>
    </row>
    <row r="5" spans="1:7" x14ac:dyDescent="0.35">
      <c r="A5" t="s">
        <v>209</v>
      </c>
      <c r="B5" t="s">
        <v>443</v>
      </c>
      <c r="C5" t="s">
        <v>30</v>
      </c>
      <c r="D5" s="168" cm="1">
        <f t="array" ref="D5">_xll.FDS(C5,"FREF_MARKET_VALUE_COMPANY(0,,,USD,,0,,""LEGACY"")")</f>
        <v>125.86499999999999</v>
      </c>
      <c r="E5" t="s">
        <v>706</v>
      </c>
      <c r="F5" t="str">
        <f t="shared" si="0"/>
        <v>FC0000PH</v>
      </c>
      <c r="G5" s="163" cm="1">
        <f t="array" ref="G5">_xll.FDSZ(F5,"FMA_MCAP(0,,,USD,""PORTAGG"")")</f>
        <v>222019.4</v>
      </c>
    </row>
    <row r="6" spans="1:7" x14ac:dyDescent="0.35">
      <c r="A6" t="s">
        <v>261</v>
      </c>
      <c r="B6" t="s">
        <v>444</v>
      </c>
      <c r="C6" t="s">
        <v>23</v>
      </c>
      <c r="D6" s="168" cm="1">
        <f t="array" ref="D6">_xll.FDS(C6,"FREF_MARKET_VALUE_COMPANY(0,,,USD,,0,,""LEGACY"")")</f>
        <v>263.363</v>
      </c>
      <c r="E6" t="s">
        <v>707</v>
      </c>
      <c r="F6" t="str">
        <f t="shared" si="0"/>
        <v>FC0000PL</v>
      </c>
      <c r="G6" s="163" cm="1">
        <f t="array" ref="G6">_xll.FDSZ(F6,"FMA_MCAP(0,,,USD,""PORTAGG"")")</f>
        <v>205383.28</v>
      </c>
    </row>
    <row r="7" spans="1:7" x14ac:dyDescent="0.35">
      <c r="A7" t="s">
        <v>308</v>
      </c>
      <c r="B7" t="s">
        <v>445</v>
      </c>
      <c r="C7" t="s">
        <v>29</v>
      </c>
      <c r="D7" s="168" cm="1">
        <f t="array" ref="D7">_xll.FDS(C7,"FREF_MARKET_VALUE_COMPANY(0,,,USD,,0,,""LEGACY"")")</f>
        <v>105.530975</v>
      </c>
      <c r="E7" t="s">
        <v>705</v>
      </c>
      <c r="F7" t="str">
        <f t="shared" si="0"/>
        <v>FC0000PE</v>
      </c>
      <c r="G7" s="163" cm="1">
        <f t="array" ref="G7">_xll.FDSZ(F7,"FMA_MCAP(0,,,USD,""PORTAGG"")")</f>
        <v>40302.51</v>
      </c>
    </row>
    <row r="8" spans="1:7" x14ac:dyDescent="0.35">
      <c r="A8" t="s">
        <v>198</v>
      </c>
      <c r="B8" t="s">
        <v>446</v>
      </c>
      <c r="C8" t="s">
        <v>33</v>
      </c>
      <c r="D8" s="168" cm="1">
        <f t="array" ref="D8">_xll.FDS(C8,"FREF_MARKET_VALUE_COMPANY(0,,,USD,,0,,""LEGACY"")")</f>
        <v>247.16249999999999</v>
      </c>
      <c r="E8" t="s">
        <v>680</v>
      </c>
      <c r="F8" t="str">
        <f t="shared" si="0"/>
        <v>FC0000MY</v>
      </c>
      <c r="G8" s="163" cm="1">
        <f t="array" ref="G8">_xll.FDSZ(F8,"FMA_MCAP(0,,,USD,""PORTAGG"")")</f>
        <v>369061.34</v>
      </c>
    </row>
    <row r="9" spans="1:7" x14ac:dyDescent="0.35">
      <c r="A9" t="s">
        <v>221</v>
      </c>
      <c r="B9" t="s">
        <v>40</v>
      </c>
      <c r="C9" t="s">
        <v>24</v>
      </c>
      <c r="D9" s="168" cm="1">
        <f t="array" ref="D9">_xll.FDS(C9,"FREF_MARKET_VALUE_COMPANY(0,,,USD,,0,,""LEGACY"")")</f>
        <v>4029.5189999999998</v>
      </c>
      <c r="E9" t="s">
        <v>727</v>
      </c>
      <c r="F9" t="str">
        <f t="shared" si="0"/>
        <v>FC0000TW</v>
      </c>
      <c r="G9" s="163" cm="1">
        <f t="array" ref="G9">_xll.FDSZ(F9,"FMA_MCAP(0,,,USD,""PORTAGG"")")</f>
        <v>2192252.5</v>
      </c>
    </row>
    <row r="10" spans="1:7" x14ac:dyDescent="0.35">
      <c r="A10" t="s">
        <v>305</v>
      </c>
      <c r="B10" t="s">
        <v>53</v>
      </c>
      <c r="C10" t="s">
        <v>7</v>
      </c>
      <c r="D10" s="168" cm="1">
        <f t="array" ref="D10">_xll.FDS(C10,"FREF_MARKET_VALUE_COMPANY(0,,,USD,,0,,""LEGACY"")")</f>
        <v>1977.7380000000001</v>
      </c>
      <c r="E10" t="s">
        <v>685</v>
      </c>
      <c r="F10" t="str">
        <f t="shared" si="0"/>
        <v>FC0000MX</v>
      </c>
      <c r="G10" s="163" cm="1">
        <f t="array" ref="G10">_xll.FDSZ(F10,"FMA_MCAP(0,,,USD,""PORTAGG"")")</f>
        <v>539225.80000000005</v>
      </c>
    </row>
    <row r="11" spans="1:7" x14ac:dyDescent="0.35">
      <c r="A11" t="s">
        <v>214</v>
      </c>
      <c r="B11" t="s">
        <v>38</v>
      </c>
      <c r="C11" t="s">
        <v>21</v>
      </c>
      <c r="D11" s="168" cm="1">
        <f t="array" ref="D11">_xll.FDS(C11,"FREF_MARKET_VALUE_COMPANY(0,,,USD,,0,,""LEGACY"")")</f>
        <v>4841.01</v>
      </c>
      <c r="E11" t="s">
        <v>667</v>
      </c>
      <c r="F11" t="str">
        <f t="shared" si="0"/>
        <v>FC0000KR</v>
      </c>
      <c r="G11" s="163" cm="1">
        <f t="array" ref="G11">_xll.FDSZ(F11,"FMA_MCAP(0,,,USD,""PORTAGG"")")</f>
        <v>1963733.9</v>
      </c>
    </row>
    <row r="12" spans="1:7" x14ac:dyDescent="0.35">
      <c r="A12" t="s">
        <v>295</v>
      </c>
      <c r="B12" t="s">
        <v>54</v>
      </c>
      <c r="C12" t="s">
        <v>12</v>
      </c>
      <c r="D12" s="168" cm="1">
        <f t="array" ref="D12">_xll.FDS(C12,"FREF_MARKET_VALUE_COMPANY(0,,,USD,,0,,""LEGACY"")")</f>
        <v>5088.42</v>
      </c>
      <c r="E12" t="s">
        <v>610</v>
      </c>
      <c r="F12" t="str">
        <f t="shared" si="0"/>
        <v>FC0000BR</v>
      </c>
      <c r="G12" s="163" cm="1">
        <f t="array" ref="G12">_xll.FDSZ(F12,"FMA_MCAP(0,,,USD,""PORTAGG"")")</f>
        <v>781767.7</v>
      </c>
    </row>
    <row r="13" spans="1:7" x14ac:dyDescent="0.35">
      <c r="A13" t="s">
        <v>370</v>
      </c>
      <c r="B13" t="s">
        <v>447</v>
      </c>
      <c r="C13" t="s">
        <v>22</v>
      </c>
      <c r="D13" s="168" cm="1">
        <f t="array" ref="D13">_xll.FDS(C13,"FREF_MARKET_VALUE_COMPANY(0,,,USD,,0,,""LEGACY"")")</f>
        <v>263.56799999999998</v>
      </c>
      <c r="E13" t="s">
        <v>720</v>
      </c>
      <c r="F13" t="str">
        <f t="shared" si="0"/>
        <v>FC0000ZA</v>
      </c>
      <c r="G13" s="163" cm="1">
        <f t="array" ref="G13">_xll.FDSZ(F13,"FMA_MCAP(0,,,USD,""PORTAGG"")")</f>
        <v>296158.71999999997</v>
      </c>
    </row>
    <row r="14" spans="1:7" x14ac:dyDescent="0.35">
      <c r="A14" t="s">
        <v>503</v>
      </c>
      <c r="B14" t="s">
        <v>448</v>
      </c>
      <c r="C14" t="s">
        <v>28</v>
      </c>
      <c r="D14" s="168" cm="1">
        <f t="array" ref="D14">_xll.FDS(C14,"FREF_MARKET_VALUE_COMPANY(0,,,USD,,0,,""LEGACY"")")</f>
        <v>195.80717108499999</v>
      </c>
      <c r="E14" t="s">
        <v>647</v>
      </c>
      <c r="F14" t="str">
        <f t="shared" si="0"/>
        <v>FC0000GR</v>
      </c>
      <c r="G14" s="163" cm="1">
        <f t="array" ref="G14">_xll.FDSZ(F14,"FMA_MCAP(0,,,USD,""PORTAGG"")")</f>
        <v>82401.289999999994</v>
      </c>
    </row>
    <row r="15" spans="1:7" x14ac:dyDescent="0.35">
      <c r="A15" t="s">
        <v>188</v>
      </c>
      <c r="B15" t="s">
        <v>52</v>
      </c>
      <c r="C15" t="s">
        <v>32</v>
      </c>
      <c r="D15" s="168" cm="1">
        <f t="array" ref="D15">_xll.FDS(C15,"FREF_MARKET_VALUE_COMPANY(0,,,USD,,0,,""LEGACY"")")</f>
        <v>8932.5665000000008</v>
      </c>
      <c r="E15" t="s">
        <v>657</v>
      </c>
      <c r="F15" t="str">
        <f t="shared" si="0"/>
        <v>FC0000IN</v>
      </c>
      <c r="G15" s="163" cm="1">
        <f t="array" ref="G15">_xll.FDSZ(F15,"FMA_MCAP(0,,,USD,""PORTAGG"")")</f>
        <v>4513078</v>
      </c>
    </row>
    <row r="16" spans="1:7" x14ac:dyDescent="0.35">
      <c r="A16" t="s">
        <v>181</v>
      </c>
      <c r="B16" t="s">
        <v>41</v>
      </c>
      <c r="C16" t="s">
        <v>26</v>
      </c>
      <c r="D16" s="168" cm="1">
        <f t="array" ref="D16">_xll.FDS(C16,"FREF_MARKET_VALUE_COMPANY(0,,,USD,,0,,""LEGACY"")")</f>
        <v>5157.8280000000004</v>
      </c>
      <c r="E16" t="s">
        <v>622</v>
      </c>
      <c r="F16" t="str">
        <f t="shared" si="0"/>
        <v>FC0000CN</v>
      </c>
      <c r="G16" s="163" cm="1">
        <f t="array" ref="G16">_xll.FDSZ(F16,"FMA_MCAP(0,,,USD,""PORTAGG"")")</f>
        <v>7704829</v>
      </c>
    </row>
    <row r="17" spans="1:7" x14ac:dyDescent="0.35">
      <c r="A17" t="s">
        <v>364</v>
      </c>
      <c r="B17" t="s">
        <v>449</v>
      </c>
      <c r="C17" t="s">
        <v>31</v>
      </c>
      <c r="D17" s="168" cm="1">
        <f t="array" ref="D17">_xll.FDS(C17,"FREF_MARKET_VALUE_COMPANY(0,,,USD,,0,,""LEGACY"")")</f>
        <v>81.763499999999993</v>
      </c>
      <c r="E17" t="s">
        <v>709</v>
      </c>
      <c r="F17" t="str">
        <f t="shared" si="0"/>
        <v>FC0000QA</v>
      </c>
      <c r="G17" s="163" cm="1">
        <f t="array" ref="G17">_xll.FDSZ(F17,"FMA_MCAP(0,,,USD,""PORTAGG"")")</f>
        <v>161365</v>
      </c>
    </row>
    <row r="18" spans="1:7" x14ac:dyDescent="0.35">
      <c r="A18" t="s">
        <v>225</v>
      </c>
      <c r="B18" t="s">
        <v>765</v>
      </c>
      <c r="C18" t="s">
        <v>764</v>
      </c>
      <c r="D18" s="168" cm="1">
        <f t="array" ref="D18">_xll.FDS(C18,"FG_MCAP_IDX(0,,,USD)")</f>
        <v>483039.97461314203</v>
      </c>
      <c r="E18" t="s">
        <v>730</v>
      </c>
      <c r="F18" t="s">
        <v>764</v>
      </c>
      <c r="G18" s="163" cm="1">
        <f t="array" ref="G18">_xll.FDSZ(F18,"FMA_MCAP(0,,,USD,""PORTAGG"")")</f>
        <v>483039.97461314203</v>
      </c>
    </row>
    <row r="19" spans="1:7" x14ac:dyDescent="0.35">
      <c r="A19" t="s">
        <v>283</v>
      </c>
      <c r="B19" t="s">
        <v>451</v>
      </c>
      <c r="C19" t="s">
        <v>25</v>
      </c>
      <c r="D19" s="168" cm="1">
        <f t="array" ref="D19">_xll.FDS(C19,"FREF_MARKET_VALUE_COMPANY(0,,,USD,,0,,""LEGACY"")")</f>
        <v>205.6275</v>
      </c>
      <c r="E19" t="s">
        <v>734</v>
      </c>
      <c r="F19" t="str">
        <f t="shared" ref="F19:F20" si="1">_xlfn.CONCAT("FC0000",RIGHT(A19,2))</f>
        <v>FC0000TR</v>
      </c>
      <c r="G19" s="163" cm="1">
        <f t="array" ref="G19">_xll.FDSZ(F19,"FMA_MCAP(0,,,USD,""PORTAGG"")")</f>
        <v>361966.16</v>
      </c>
    </row>
    <row r="20" spans="1:7" x14ac:dyDescent="0.35">
      <c r="A20" t="s">
        <v>377</v>
      </c>
      <c r="B20" t="s">
        <v>452</v>
      </c>
      <c r="C20" t="s">
        <v>34</v>
      </c>
      <c r="D20" s="168" cm="1">
        <f t="array" ref="D20">_xll.FDS(C20,"FREF_MARKET_VALUE_COMPANY(0,,,USD,,0,,""LEGACY"")")</f>
        <v>39.366</v>
      </c>
      <c r="E20" t="s">
        <v>738</v>
      </c>
      <c r="F20" t="str">
        <f t="shared" si="1"/>
        <v>FC0000AE</v>
      </c>
      <c r="G20" s="163" cm="1">
        <f t="array" ref="G20">_xll.FDSZ(F20,"FMA_MCAP(0,,,USD,""PORTAGG"")")</f>
        <v>889479.7</v>
      </c>
    </row>
    <row r="21" spans="1:7" x14ac:dyDescent="0.35">
      <c r="A21" t="s">
        <v>228</v>
      </c>
      <c r="B21" t="s">
        <v>453</v>
      </c>
      <c r="C21" t="s">
        <v>37</v>
      </c>
      <c r="D21" s="168" cm="1">
        <f t="array" ref="D21">_xll.FDS(C21,"FREF_MARKET_VALUE_COMPANY(0,,,USD,,0,,""LEGACY"")")</f>
        <v>551.68849999999998</v>
      </c>
      <c r="E21" t="s">
        <v>743</v>
      </c>
      <c r="F21" t="s">
        <v>889</v>
      </c>
      <c r="G21" s="163" cm="1">
        <f t="array" ref="G21">_xll.FDSZ(F21,"FMA_MCAP(0,,,USD,""PORTAGG"")")</f>
        <v>25353.038894000001</v>
      </c>
    </row>
    <row r="22" spans="1:7" x14ac:dyDescent="0.35">
      <c r="A22" t="s">
        <v>367</v>
      </c>
      <c r="B22" t="s">
        <v>454</v>
      </c>
      <c r="C22" t="s">
        <v>36</v>
      </c>
      <c r="D22" s="168" cm="1">
        <f t="array" ref="D22">_xll.FDS(C22,"FREF_MARKET_VALUE_COMPANY(0,,,USD,,0,,""LEGACY"")")</f>
        <v>831.21500000000003</v>
      </c>
      <c r="E22" t="s">
        <v>713</v>
      </c>
      <c r="F22" t="str">
        <f t="shared" ref="F22:F31" si="2">_xlfn.CONCAT("FC0000",RIGHT(A22,2))</f>
        <v>FC0000SA</v>
      </c>
      <c r="G22" s="163" cm="1">
        <f t="array" ref="G22">_xll.FDSZ(F22,"FMA_MCAP(0,,,USD,""PORTAGG"")")</f>
        <v>2975066.5</v>
      </c>
    </row>
    <row r="23" spans="1:7" x14ac:dyDescent="0.35">
      <c r="A23" t="s">
        <v>202</v>
      </c>
      <c r="B23" t="s">
        <v>455</v>
      </c>
      <c r="C23" t="s">
        <v>438</v>
      </c>
      <c r="D23" s="168" cm="1">
        <f t="array" ref="D23">_xll.FDS(C23,"FREF_MARKET_VALUE_COMPANY(0,,,USD,,0,,""LEGACY"")")</f>
        <v>99.99</v>
      </c>
      <c r="E23" t="s">
        <v>694</v>
      </c>
      <c r="F23" t="str">
        <f t="shared" si="2"/>
        <v>FC0000NZ</v>
      </c>
      <c r="G23" s="163" cm="1">
        <f t="array" ref="G23">_xll.FDSZ(F23,"FMA_MCAP(0,,,USD,""PORTAGG"")")</f>
        <v>91759.45</v>
      </c>
    </row>
    <row r="24" spans="1:7" x14ac:dyDescent="0.35">
      <c r="A24" t="s">
        <v>178</v>
      </c>
      <c r="B24" t="s">
        <v>45</v>
      </c>
      <c r="C24" t="s">
        <v>44</v>
      </c>
      <c r="D24" s="168" cm="1">
        <f t="array" ref="D24">_xll.FDS(C24,"FREF_MARKET_VALUE_COMPANY(0,,,USD,,0,,""LEGACY"")")</f>
        <v>1968.192</v>
      </c>
      <c r="E24" t="s">
        <v>596</v>
      </c>
      <c r="F24" t="str">
        <f t="shared" si="2"/>
        <v>FC0000AU</v>
      </c>
      <c r="G24" s="163" cm="1">
        <f t="array" ref="G24">_xll.FDSZ(F24,"FMA_MCAP(0,,,USD,""PORTAGG"")")</f>
        <v>1666016.6</v>
      </c>
    </row>
    <row r="25" spans="1:7" x14ac:dyDescent="0.35">
      <c r="A25" t="s">
        <v>161</v>
      </c>
      <c r="B25" t="s">
        <v>50</v>
      </c>
      <c r="C25" t="s">
        <v>49</v>
      </c>
      <c r="D25" s="168" cm="1">
        <f t="array" ref="D25">_xll.FDS(C25,"FREF_MARKET_VALUE_COMPANY(0,,,USD,,0,,""LEGACY"")")</f>
        <v>2798.7570000000001</v>
      </c>
      <c r="E25" t="s">
        <v>618</v>
      </c>
      <c r="F25" t="str">
        <f t="shared" si="2"/>
        <v>FC0000CA</v>
      </c>
      <c r="G25" s="163" cm="1">
        <f t="array" ref="G25">_xll.FDSZ(F25,"FMA_MCAP(0,,,USD,""PORTAGG"")")</f>
        <v>2704108.8</v>
      </c>
    </row>
    <row r="26" spans="1:7" s="1" customFormat="1" x14ac:dyDescent="0.35">
      <c r="A26" s="170" t="s">
        <v>575</v>
      </c>
      <c r="B26" s="170" t="s">
        <v>39</v>
      </c>
      <c r="C26" s="170" t="s">
        <v>11</v>
      </c>
      <c r="D26" s="168" cm="1">
        <f t="array" ref="D26">_xll.FDS(C26,"FREF_MARKET_VALUE_COMPANY(0,,,USD,,0,,""LEGACY"")")</f>
        <v>1009.26</v>
      </c>
      <c r="E26" s="170" t="s">
        <v>645</v>
      </c>
      <c r="F26" s="170" t="str">
        <f t="shared" si="2"/>
        <v>FC0000DE</v>
      </c>
      <c r="G26" s="171" cm="1">
        <f t="array" ref="G26">_xll.FDSZ(F26,"FMA_MCAP(0,,,USD,""PORTAGG"")")</f>
        <v>2337301</v>
      </c>
    </row>
    <row r="27" spans="1:7" x14ac:dyDescent="0.35">
      <c r="A27" t="s">
        <v>168</v>
      </c>
      <c r="B27" t="s">
        <v>47</v>
      </c>
      <c r="C27" t="s">
        <v>46</v>
      </c>
      <c r="D27" s="168" cm="1">
        <f t="array" ref="D27">_xll.FDS(C27,"FREF_MARKET_VALUE_COMPANY(0,,,USD,,0,,""LEGACY"")")</f>
        <v>16450.092000000001</v>
      </c>
      <c r="E27" t="s">
        <v>663</v>
      </c>
      <c r="F27" t="str">
        <f t="shared" si="2"/>
        <v>FC0000JP</v>
      </c>
      <c r="G27" s="163" cm="1">
        <f t="array" ref="G27">_xll.FDSZ(F27,"FMA_MCAP(0,,,USD,""PORTAGG"")")</f>
        <v>6652499</v>
      </c>
    </row>
    <row r="28" spans="1:7" x14ac:dyDescent="0.35">
      <c r="A28" t="s">
        <v>280</v>
      </c>
      <c r="B28" t="s">
        <v>43</v>
      </c>
      <c r="C28" t="s">
        <v>42</v>
      </c>
      <c r="D28" s="168" cm="1">
        <f t="array" ref="D28">_xll.FDS(C28,"FREF_MARKET_VALUE_COMPANY(0,,,USD,,0,,""LEGACY"")")</f>
        <v>1178.2874999999999</v>
      </c>
      <c r="E28" t="s">
        <v>726</v>
      </c>
      <c r="F28" t="str">
        <f t="shared" si="2"/>
        <v>FC0000CH</v>
      </c>
      <c r="G28" s="163" cm="1">
        <f t="array" ref="G28">_xll.FDSZ(F28,"FMA_MCAP(0,,,USD,""PORTAGG"")")</f>
        <v>2177973.5</v>
      </c>
    </row>
    <row r="29" spans="1:7" x14ac:dyDescent="0.35">
      <c r="A29" t="s">
        <v>171</v>
      </c>
      <c r="B29" t="s">
        <v>456</v>
      </c>
      <c r="C29" t="s">
        <v>48</v>
      </c>
      <c r="D29" s="168" cm="1">
        <f t="array" ref="D29">_xll.FDS(C29,"FREF_MARKET_VALUE_COMPANY(0,,,USD,,0,,""LEGACY"")")</f>
        <v>2542.65</v>
      </c>
      <c r="E29" t="s">
        <v>739</v>
      </c>
      <c r="F29" t="str">
        <f t="shared" si="2"/>
        <v>FC0000GB</v>
      </c>
      <c r="G29" s="163" cm="1">
        <f t="array" ref="G29">_xll.FDSZ(F29,"FMA_MCAP(0,,,USD,""PORTAGG"")")</f>
        <v>3096719.5</v>
      </c>
    </row>
    <row r="30" spans="1:7" x14ac:dyDescent="0.35">
      <c r="A30" t="s">
        <v>174</v>
      </c>
      <c r="B30" t="s">
        <v>457</v>
      </c>
      <c r="C30" t="s">
        <v>51</v>
      </c>
      <c r="D30" s="168" cm="1">
        <f t="array" ref="D30">_xll.FDS(C30,"FREF_MARKET_VALUE_COMPANY(0,,,USD,,0,,""LEGACY"")")</f>
        <v>253252.038</v>
      </c>
      <c r="E30" t="s">
        <v>740</v>
      </c>
      <c r="F30" t="str">
        <f t="shared" si="2"/>
        <v>FC0000US</v>
      </c>
      <c r="G30" s="163" cm="1">
        <f t="array" ref="G30">_xll.FDSZ(F30,"FMA_MCAP(0,,,USD,""PORTAGG"")")</f>
        <v>53747804</v>
      </c>
    </row>
    <row r="31" spans="1:7" x14ac:dyDescent="0.35">
      <c r="A31" t="s">
        <v>174</v>
      </c>
      <c r="B31" t="s">
        <v>1</v>
      </c>
      <c r="C31" t="s">
        <v>1</v>
      </c>
      <c r="D31" s="168" cm="1">
        <f t="array" ref="D31">_xll.FDS(C31,"FREF_MARKET_VALUE_COMPANY(0,,,USD,,0,,""LEGACY"")")</f>
        <v>506263.89549299999</v>
      </c>
      <c r="E31" t="s">
        <v>740</v>
      </c>
      <c r="F31" t="str">
        <f t="shared" si="2"/>
        <v>FC0000US</v>
      </c>
      <c r="G31" s="163" cm="1">
        <f t="array" ref="G31">_xll.FDSZ(F31,"FMA_MCAP(0,,,USD,""PORTAGG"")")</f>
        <v>53747804</v>
      </c>
    </row>
    <row r="33" spans="1:7" x14ac:dyDescent="0.35">
      <c r="A33" s="55" t="s">
        <v>370</v>
      </c>
      <c r="B33" s="55" t="str" cm="1">
        <f t="array" ref="B33">_xll.FDS(C33,"FG_COMPANY_NAME")</f>
        <v>Nasdaq South Africa</v>
      </c>
      <c r="C33" s="55" t="s">
        <v>897</v>
      </c>
      <c r="D33" s="174" cm="1">
        <f t="array" ref="D33">_xll.FDSZ(C33,"FMA_MCAP(0,,,USD,""PORTAGG"")")</f>
        <v>0</v>
      </c>
      <c r="E33" s="55" t="str" cm="1">
        <f t="array" ref="E33">_xll.FDS(A33,"FG_COMPANY_NAME")</f>
        <v>South Africa</v>
      </c>
      <c r="F33" s="55" t="str">
        <f>_xlfn.CONCAT("FC0000",RIGHT(A33,2))</f>
        <v>FC0000ZA</v>
      </c>
      <c r="G33" s="174" cm="1">
        <f t="array" ref="G33">_xll.FDS(F33,"FG_MCAP_IDX(0,,,USD)")</f>
        <v>296158.71999999997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502641"><![CDATA[{"FC0000ZA^FG_MCAP_IDX(0,,,USD)":296158.72,"FC0000CN^FMA_MCAP(0,,,USD,\"PORTAGG\")":7704829.0,"NQG00809^FMA_MCAP(0,,,USD,\"PORTAGG\")":null,"MCHI^FREF_MARKET_VALUE_COMPANY(0,,,USD,,0,,\"LEGACY\")":5157.828,"FC0000TR^FMA_MCAP(0,,,USD,\"PORTAGG\")":361966.16,"FC0000US^FMA_MCAP(0,,,USD,\"PORTAGG\")":53747804.0,"SPY^FREF_MARKET_VALUE_COMPANY(0,,,USD,,0,,\"LEGACY\")":506263.895493,"INDA^FREF_MARKET_VALUE_COMPANY(0,,,USD,,0,,\"LEGACY\")":8932.5665,"FC0000GR^FMA_MCAP(0,,,USD,\"PORTAGG\")":82401.29,"QQQ^FREF_MARKET_VALUE_COMPANY(0,,,USD,,0,,\"LEGACY\")":253252.038,"GREK^FREF_MARKET_VALUE_COMPANY(0,,,USD,,0,,\"LEGACY\")":195.807171085,"FC0000GB^FMA_MCAP(0,,,USD,\"PORTAGG\")":3096719.5,"FC0000ZA^FMA_MCAP(0,,,USD,\"PORTAGG\")":296158.72,"EWU^FREF_MARKET_VALUE_COMPANY(0,,,USD,,0,,\"LEGACY\")":2542.65,"EZA^FREF_MARKET_VALUE_COMPANY(0,,,USD,,0,,\"LEGACY\")":263.568,"FC0000CH^FMA_MCAP(0,,,USD,\"PORTAGG\")":2177973.5,"FC0000BR^FMA_MCAP(0,,,USD,\"PORTAGG\")":781767.7,"EWL^FREF_MARKET_VALUE_COMPANY(0,,,USD,,0,,\"LEGACY\")":1178.2875,"EWZ^FREF_MARKET_VALUE_COMPANY(0,,,USD,,0,,\"LEGACY\")":5088.42,"FC0000JP^FMA_MCAP(0,,,USD,\"PORTAGG\")":6652499.0,"FC0000KR^FMA_MCAP(0,,,USD,\"PORTAGG\")":1963733.9,"EWJ^FREF_MARKET_VALUE_COMPANY(0,,,USD,,0,,\"LEGACY\")":16450.092,"EWY^FREF_MARKET_VALUE_COMPANY(0,,,USD,,0,,\"LEGACY\")":4841.01,"FC0000DE^FMA_MCAP(0,,,USD,\"PORTAGG\")":2337301.0,"FC0000MX^FMA_MCAP(0,,,USD,\"PORTAGG\")":539225.8,"EWG^FREF_MARKET_VALUE_COMPANY(0,,,USD,,0,,\"LEGACY\")":1009.26,"EWW^FREF_MARKET_VALUE_COMPANY(0,,,USD,,0,,\"LEGACY\")":1977.738,"FC0000CA^FMA_MCAP(0,,,USD,\"PORTAGG\")":2704108.8,"FC0000TW^FMA_MCAP(0,,,USD,\"PORTAGG\")":2192252.5,"EWC^FREF_MARKET_VALUE_COMPANY(0,,,USD,,0,,\"LEGACY\")":2798.757,"EWT^FREF_MARKET_VALUE_COMPANY(0,,,USD,,0,,\"LEGACY\")":4029.519,"FC0000MY^FMA_MCAP(0,,,USD,\"PORTAGG\")":369061.34,"EWM^FREF_MARKET_VALUE_COMPANY(0,,,USD,,0,,\"LEGACY\")":247.1625,"EPU^FREF_MARKET_VALUE_COMPANY(0,,,USD,,0,,\"LEGACY\")":105.530975,"FC0000SA^FMA_MCAP(0,,,USD,\"PORTAGG\")":2975066.5,"FC0000PL^FMA_MCAP(0,,,USD,\"PORTAGG\")":205383.28,"KSA^FREF_MARKET_VALUE_COMPANY(0,,,USD,,0,,\"LEGACY\")":831.215,"FC0000PH^FMA_MCAP(0,,,USD,\"PORTAGG\")":222019.4,"EPHE^FREF_MARKET_VALUE_COMPANY(0,,,USD,,0,,\"LEGACY\")":125.865,"UAE^FREF_MARKET_VALUE_COMPANY(0,,,USD,,0,,\"LEGACY\")":39.366,"EIDO^FREF_MARKET_VALUE_COMPANY(0,,,USD,,0,,\"LEGACY\")":514.08,"FC0000CL^FMA_MCAP(0,,,USD,\"PORTAGG\")":145370.08,"ECH^FREF_MARKET_VALUE_COMPANY(0,,,USD,,0,,\"LEGACY\")":579.012,"SET-BKK^FMA_MCAP(0,,,USD,\"PORTAGG\")":483039.974613142,"QAT^FREF_MARKET_VALUE_COMPANY(0,,,USD,,0,,\"LEGACY\")":81.7635,"FC0000IN^FMA_MCAP(0,,,USD,\"PORTAGG\")":4513078.0,"EPOL^FREF_MARKET_VALUE_COMPANY(0,,,USD,,0,,\"LEGACY\")":263.363,"FC0000AU^FMA_MCAP(0,,,USD,\"PORTAGG\")":1666016.6,"EWA^FREF_MARKET_VALUE_COMPANY(0,,,USD,,0,,\"LEGACY\")":1968.192,"FC0000NZ^FMA_MCAP(0,,,USD,\"PORTAGG\")":91759.45,"FC0000PE^FMA_MCAP(0,,,USD,\"PORTAGG\")":40302.51,"ENZL^FREF_MARKET_VALUE_COMPANY(0,,,USD,,0,,\"LEGACY\")":99.99,"FTSEWIVNXXXX^FMA_MCAP(0,,,USD,\"PORTAGG\")":25353.038894,"VNM^FREF_MARKET_VALUE_COMPANY(0,,,USD,,0,,\"LEGACY\")":551.6885,"FC0000AE^FMA_MCAP(0,,,USD,\"PORTAGG\")":889479.7,"FC0000ID^FMA_MCAP(0,,,USD,\"PORTAGG\")":665976.44,"TUR^FREF_MARKET_VALUE_COMPANY(0,,,USD,,0,,\"LEGACY\")":205.6275,"SET-BKK^FG_MCAP_IDX(0,,,USD)":483039.974613142,"CNYA^FREF_MARKET_VALUE_COMPANY(0,,,USD,,0,,\"LEGACY\")":188.792175,"FC0000QA^FMA_MCAP(0,,,USD,\"PORTAGG\")":161365.0,"CC_ZA^FG_COMPANY_NAME":"South Africa","NQG00809^FG_COMPANY_NAME":"Nasdaq South Africa","DUMMY^ECON_EXPR_DATA('FDS_ECON[NTCPMIMFGSA@PL]',,,M)":47.87733,"DUMMY^ECON_EXPR_DATA('FDS_ECON[NTCPMIINDEXSA@SA]',,,M)":57.158,"DUMMY^ECON_EXPR_DATA('FDS_ECON[NTCPMIMFGSA@IN]',,,M)":56.899437,"DUMMY^ECON_EXPR_DATA('FDS_ECON[PMIMFGSA@ZA]',,,M)":50.78166,"DUMMY^ECON_EXPR_DATA('FDS_ECON[NTCPMIPHMANHE]',,,M)":null,"DUMMY^ECON_EXPR_DATA('FDS_ECON[NTCPMIMFGSA@CN]',,,M)":50.918056,"DUMMY^ECON_EXPR_DATA('FDS_ECON[NTCPMIMFGSA@VN]',,,M)":50.37239,"DUMMY^ECON_EXPR_DATA('FDS_ECON[NTCPMIMFGSA@ID]',,,M)":52.654537,"DUMMY^ECON_EXPR_DATA('FDS_ECON[NTCPMIMFGSA@AE]',,,M)":null,"DUMMY^ECON_EXPR_DATA('FDS_ECON[NTCPMIMFGSA@GR]',,,M)":55.729668,"DUMMY^ECON_EXPR_DATA('FDS_ECON[NTCPMIMFGSA@BR]',,,M)":54.05694,"DUMMY^ECON_EXPR_DATA('FDS_ECON[NTCPMIMFGSA@KR]',,,M)":50.65793,"DUMMY^ECON_EXPR_DATA('FDS_ECON[NTCPMIMFGSA@PE]',,,M)":null,"DUMMY^ECON_EXPR_DATA('FDS_ECON[NTCPMIMFGSA@CL]',,,M)":null,"DUMMY^ECON_EXPR_DATA('FDS_ECON[NTCPMIMFGSA@MX]',,,M)":52.29834,"DUMMY^ECON_EXPR_DATA('FDS_ECON[NTCPMIMFGSA@TR]',,,M)":50.248722,"DUMMY^ECON_EXPR_DATA('FDS_ECON[PMIMYMANHE]',,,M)":49.473457,"DUMMY^ECON_EXPR_DATA('FDS_ECON[NTCPMITHMANHE]',,,M)":null,"DUMMY^ECON_EXPR_DATA('FDS_ECON[NTCPMIMFGSA@TW]',,,M)":48.6,"DUMMY^ECON_EXPR_DATA('FDS_ECON[PMIQAWHEHE]',,,M)":51.0252,"CAGDPY@QA^EE_ACTUAL_ANNUAL(MED,0)":16.4,"CAGDPY@TW^EE_ACTUAL_ANNUAL(MED,0)":13.7260418671641,"CC_VN^FG_COMPANY_NAME":"Vietnam","CC_PH^FG_COMPANY_NAME":"Philippines","USDVND^FG_PRICE_CHANGE(0,-1AM)":1.2087703,"USDTRY^FG_PRICE_CHANGE(0,-1AM)":4.4168115,"USDQAR^FG_PRICE_CHANGE(0,-1AM)":0.0,"USDINR^FG_PRICE_CHANGE(0,-1AM)":-0.24310946,"USDZAR^FG_PRICE_CHANGE(0,-1AM)":-1.6594589,"USDKRW^FG_PRICE_CHANGE(0,-1AM)":-1.3217509,"USDTWD^FG_PRICE_CHANGE(0,-1AM)":0.41296482,"USDPEN^FG_PRICE_CHANGE(0,-1AM)":-5.2639723,"USDPHP^FG_PRICE_CHANGE(0,-1AM)":-1.2731194,"USDCLP^FG_PRICE_CHANGE(0,-1AM)":-1.6642511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4,34.7106307447247,40.2723415306575,42.4815782670558,40.1815773704769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EWM^P_PRICE_RETURNS_PR('52W',2,-10AY,0,AM)":[6.8627477,5.780852,-1.1349738,4.264426,6.079948,8.741307,8.556056,-2.7749658,-2.9180288,-12.546987,-12.983948,-5.5847526,-11.775571,-12.11732,-11.597931,-19.337273,-22.204994,-33.05499,-33.66143,-24.206543,-30.267876,-21.599186,-21.322744,-18.93227,-11.27221,-7.9589963,-17.673748,-11.76486,-3.4213066,8.777356,9.151018,-0.19113421,2.4038196,0.19526482,5.5543065,-0.33368468,-3.5547793,-9.2333975,3.804624,9.231615,-0.9005904,0.4333377,8.15481,7.492912,13.932716,20.694946,25.516558,25.240648,24.812067,24.423717,14.262236,6.4524174,6.751418,8.999419,5.8375955,2.3578525,-0.020217896,-5.7383957,-9.649408,-9.761077,-11.090774,-15.71666,-14.585233,-8.271951,-1.485467,-11.867607,-9.228367,-7.4716034,-1.8645465,-2.1020293,-3.2049239,-8.793038,-24.23448,-18.67224,-14.017129,-7.2141705,-5.546933,2.0052075,-4.713565,-0.68074465,0.3623247,6.3738704,3.5684943,4.9009085,30.271435,20.119143,17.54545,5.0679207,-5.8427753,-6.682992,2.596891,3.7699819,-3.769511,-12.965059,-7.059866,-3.5847068,-3.5441458,-0.7980108,-6.487894,-11.989432,-9.785056,-2.59372,-11.599695,-22.043478,-11.117381,-0.4660666,-4.3502865,-6.3230157,-12.508732,-9.791136,-5.792671,-5.810237,1.5897036,-4.1065636,-0.17751455,7.7584505,2.4134517,-4.185045,-4.7212067,-4.129571,6.967938],"GREK^FG_TOTAL_RETURNC(-10AY,0,AM)":[4.8832536,-9.068834,-3.428316,7.883811,-6.02563,-5.866301,-1.0628104,-18.554688,-7.434058,-10.751289,-4.7702312,4.9992204,-21.757662,-0.28090477,19.24883,-7.1653485,-16.709084,1.8329978,1.6000032,-0.9842515,-8.747519,-12.3093605,-5.950099,-21.447723,25.938559,-2.7100325,15.041792,-8.716715,-2.5198936,-0.54421425,-4.240763,4.571426,-2.0491838,7.391906,6.47614,-4.601991,1.0430217,3.6129117,19.053532,1.9874454,10.153842,-3.1657398,-5.1923094,-3.144008,-7.3298454,10.960447,14.100468,-1.7319977,-4.1743994,-3.0977726,0.59940815,-6.653428,-1.3829708,-7.119751,-5.342621,-6.993866,-0.39576292,-0.7947147,-0.55845976,1.3755202,8.955229,6.849313,-6.643361,15.980029,2.2832155,-10.676538,10.295868,1.394844,3.386259,1.5353084,2.9813051,-6.8793535,-37.152035,4.5996666,-5.3202033,12.672007,0.98154545,5.175042,3.7626624,-7.2524366,2.7568936,24.195122,0.83158016,-3.6580503,10.028887,5.1012754,4.2112827,2.4657488,-8.455885,2.1175623,1.966393,-2.5245488,0.57554245,-5.114442,10.081232,1.5745282,-15.294522,10.695398,-7.935339,-6.2250557,-5.7600737,13.354468,-7.5878677,-4.1918755,16.01262,5.4821134,8.195126,12.476408,-2.7020335,2.970302,-0.9305239,14.026297,7.795787,-4.509348,-7.6469064,-5.752468,12.083853,4.5104504,4.764855,2.383399,0.95119476],"UAE^FMA_DIV_YLD(NTMA,-10AY,0,AM,\"PORTAGG\",\"MEANR\")":[null,null,null,2.42520158067288,2.62507568099265,2.59433982615833,2.51901215759423,2.8074585904729,2.85221934030609,3.54092010856906,3.3739825600536,3.40757706133488,3.66240834446095,3.2769844532272,3.21854038356857,3.46100746433188,3.55377854870387,3.62532465032494,4.13027599623142,3.82305965671159,4.40936724737157,4.62719578897697,4.72710505314767,4.65105595687221,3.92978859124455,3.85158064845527,4.14270633433081,4.00680619194666,3.83330721145852,3.77743177030132,3.7365617613306,3.70667340518336,3.99796332274729,4.08796837433287,3.95581155142963,4.0830634928556,4.12516091589537,4.02399231374829,3.86803731421877,4.04548121704641,3.95392224818792,3.95343692415837,4.08664674126943,4.16690147914318,4.39558609831088,4.57607349830207,4.31534132704103,4.34699832096862,4.52314263972987,4.77649621562799,4.96684108933992,4.72143344386515,4.87378389879356,4.78174459789623,4.7508450455146,4.90406983789996,4.85885804777859,5.07724200477105,5.15079384526773,5.25512180538668,5.26225070295304,4.97141166676353,5.35895352756002,5.22776612489663,5.10395582729664,5.08334557190805,4.7856348913475,4.6660056243527,4.76221152054627,5.01750285297598,5.12320334864357,5.36669499190765,6.8070780418677,5.70632104593332,4.68524514913413,4.30772235164414,4.65371085339315,4.60859665345177,4.37747270119575,4.37487865190405,4.73273720111018,4.36371279273478,4.28497955442143,4.41669137551379,4.61365619576114,4.46227056736384,4.51629774361376,4.32038280028207,4.67494144965055,4.54836046309871,4.29342346899139,4.16137023272335,3.83259681424538,4.10384711621115,4.38239652989179,4.23902303785769,3.71662900003546,3.45886645369584,3.93496734598787,4.22933786532662,4.39731571260909,3.98850548434889,4.21721748634049,4.41844828929357,4.27535541310352,4.85145335654375,4.76199453049417,4.60731158911141,4.88274373357738,4.47074494631038,4.46132252815698,4.5626135752087,4.25115679491414,4.17337470410626,4.37271172377432,4.56247205661282,4.67918687851136,4.7199177335951,4.48015252220897,4.82391872254859,5.11455645593357],"EIDO^FMA_DIV_YLD(NTMA,-10AY,0,AM,\"PORTAGG\",\"MEANR\")":[2.48402675686067,2.51569151286455,2.47512820966174,2.56690228688447,2.5723425571523,2.50661006369909,2.55204084830015,2.6762419999251,2.55545135381422,2.48510706264369,2.52868896291171,2.33756193081708,2.32519625327416,2.3125560482655,2.33908156487854,2.51282427943528,2.45174401498606,2.62144752606373,2.73026580882485,2.65399723034603,2.59923314073628,2.64601579665314,2.52627791107383,2.42737578055174,2.34477758480987,2.4246432047522,2.45171444809328,2.39904127362361,2.24477656468991,2.15819790513306,2.3056104709213,2.2455777944861,2.48377732661779,2.45480257494028,2.44817319197847,2.42652457716125,2.48774184933002,2.43414026709788,2.48874387503843,2.49986228621769,2.54000183225974,2.55925319937675,2.59318614094459,2.54683824099853,2.63838657607522,2.59976843939333,2.51214813977289,2.46698623207253,2.61100335504216,2.6812356426141,2.96315544659044,2.98785101520814,3.0730432077457,3.12904549808804,3.02161956225716,3.09240089233836,3.02702901536499,2.82786900229236,2.82365298773689,2.86750405546036,2.84158810897646,2.84712902168398,3.04210864206093,2.83541822986589,2.72190175386289,2.79135432447967,2.77700934356662,2.84513998251025,2.85175528518019,2.83332678852113,2.71633545382664,2.90995925062908,3.70148951206828,3.78033775036386,3.89965258221067,3.25783780427778,2.85312746630289,2.76192647450554,2.80931641392298,2.81554182798618,2.56606546358066,2.28648324737188,2.21490918371543,2.43560489560419,2.51942011302654,2.72750900446651,2.80489331252411,2.81500858837163,3.11249179737521,3.0412600383485,3.07853395176762,2.85039019919078,3.00414662942278,3.15722783961866,3.11855056417672,3.15088213344961,3.19112527309212,3.36954860733204,3.58581919344516,3.53180993394792,3.75618866752286,3.61590269540191,3.54764922200037,3.90225412061347,3.9147362325895,4.02121446667648,4.29776476012899,4.1414542327056,4.41921571988252,4.34577549202049,4.60656388096905,4.29205632305423,4.16727995754216,4.12189044653567,4.12768420599467,4.1835145932066,4.24905446570216,4.16463215025983,4.01973898508872,4.08980300106646,4.07197618581503],"EWW^FMA_PE(NTMA,-10AY,0,AM,\"PORTAGG\",\"MEANR\")":[null,null,null,null,null,null,null,null,null,null,null,null,null,null,null,null,null,null,null,null,null,null,16.4168232592063,16.9871603931493,18.067635057245,19.5203985564185,19.5606323235829,18.1040850852312,18.4491069274755,18.9663880056276,17.3760874982732,17.9407766140363,16.6902879830985,16.6020833787986,16.1299522916406,16.5298576183377,16.3686748028274,16.8083670147445,16.6546638099653,16.5795694588291,17.1188168479523,17.2029743129655,16.8413419361109,16.3806985132717,15.6623523948327,15.7092116117517,15.8364382547891,15.5741452926348,15.5132947546591,15.7553504837776,14.8511128902784,14.8336070171226,15.2962673778055,15.1739952528294,15.1784482987076,14.3728784463364,12.6605024775505,12.4013279465262,13.0546838075126,12.8196261670895,12.5472025675722,13.4555432612126,13.0683691748181,12.9231764536576,12.894043820952,11.9400368990336,13.4203648004817,13.5900805319479,13.619088161856,14.0018047827623,14.1410135789042,14.4431380369799,11.8994944398608,11.3502770768495,14.4495089686195,16.557802689066,16.0599547033776,17.7073672923958,15.6401309028013,15.0229708174494,15.3152776928938,15.3068134396635,15.3081813782471,14.3740362919667,14.9580901525356,15.122961680346,14.8050694433243,15.3324984934656,14.4155899105908,14.4253206567086,14.1848766682914,13.9152673384532,13.6522489001571,13.3786098171108,14.0002531489385,13.4832199147132,13.4940503671028,13.8259773207486,12.3821503502107,11.6533435972933,11.3475918913296,11.9574609628419,11.2621692391965,11.3353812011793,12.7158269597256,12.1076758630844,12.8791840747966,12.6084298585893,12.4941781803045,12.6333837620398,12.3507257184444,12.1041332753147,11.7682144088142,11.7890245233016,11.5272134113903,11.0282133130148,11.8866964960576,12.9394201107978,12.5007265896736,12.9934162627801,12.3190283722558],"MCHI^FMA_PE(LTMA,-10AY,0,AM,\"PORTAGG\",\"MEANR\")":[9.19277861274629,9.31047032175789,9.21744818226181,9.35218983080319,9.43357630635385,9.71533142087142,9.70446357713076,9.20337914266309,9.63599234112523,9.74923165044468,10.424657395005,10.6770037947935,10.767097093531,11.3645423292829,11.4282746854634,11.4648994424259,10.7246007540273,10.5209645957984,9.80653906781495,10.1447296114445,10.1207151532743,9.55919388842376,9.67734134779772,8.88895106541258,9.42110127847282,9.72361250367311,9.50641809349905,10.1946298065781,10.8260969892175,11.6285740448091,12.2534230724026,12.7170695384082,12.5517619067707,13.1131051967979,13.6055268016578,14.0806745083328,14.036142747003,13.8458772631525,14.0210789977721,14.07646928722,14.3037271061468,14.5173371551247,14.7089045844849,15.1395349072996,15.4111506325051,15.1458925830263,16.2357375370667,15.3101997509441,15.3436071394532,14.9452050749564,14.9051901661451,14.6862322789041,14.1725207142022,13.6266768469918,13.1725821062905,12.3891802374179,12.0971058074494,12.0438449424264,11.5732503016246,12.7531494889251,12.8268901304909,12.9562707737553,12.6386174440595,12.4274137149822,12.5800257211556,12.1096306515176,12.7656287375329,12.4197541294764,12.3716209398608,13.2842793577006,14.109061902845,13.8078783303972,12.9010913837501,13.0850726112033,13.249108192295,13.869636712439,15.0633183826673,15.1803437820025,15.8097919968745,16.7751374996824,17.2330119320125,17.4843005501224,19.8975782521858,21.983464490677,19.6577862352028,19.2381984737976,18.6247464000449,18.8109138559055,18.1869094683021,17.1255186825889,16.5800620293816,16.0914888126124,15.8271680387898,14.586055872284,14.277941347493,13.9114439597793,12.552906302384,12.6722827131261,12.4402093699969,12.8597586592383,12.7955259798605,12.4287216194823,12.244997928965,10.9908647623977,11.2990780262787,12.4330631932565,13.625183754586,13.1815270676516,12.2464123327898,12.2711574207266,12.0023067401761,11.9672614761542,11.9441018388617,11.8263701482677,11.6887929107756,11.4338924749575,11.2935832972362,10.5942658483974,10.4538435504438,10.1519474146564,10.5018002897154],"DDR3512M-FDS^MAX(FG_PRICE(0,-5AY))":3.3053632,"PASP-FDS^MAX(FG_PRICE(0,-5AY))":3158.12,"PLATI-FDS^MAX(FG_PRICE(0,-5AY))":1272.59,"W-FDS^MAX(FG_PRICE(0,-5AY))":14.2525,"COPP-FDS^MAX(FG_PRICE(0,-5AY))":4.929,"FC0000SA^FG_PRICE(0)":53.004597,"SET-BKK^FG_PRICE(0)":1394.93,"DUMMY^ECON_EXPR_DATA('FDS_ECON[NTCPMIMFGSA@EME]',,,M)":51.4475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C_AE^FG_COMPANY_NAME":"United Arab Emirates","CC_ID^FG_COMPANY_NAME":"Indonesia","CAGDPY@CN^EE_ACTUAL_ANNUAL(MED,+1)":1.3,"CAGDPY@MY^EE_ACTUAL_ANNUAL(MED,+1)":2.2,"USDVND^FG_PRICE_CHANGE(0,-1AY)":4.727578,"DUMMY^ECON_EXPR_DATA('FDS_ECON[PMIDMMANHE]',,,M)":49.253857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null,null,6.63,7.4903,null,null,null,6.4688,7.3388,7.2],"TRYGR10Y-FDS^FG_YIELD(-10AY,0,Y,,\"YTM\")":[9.61,8.24,7.15,4.14,4.37,1.45,0.618,1.315,4.585,3.099],"CAGDPY@CN^EE_ACTUAL_ANNUAL(MED,0)":1.65,"CAGDPY@MY^EE_ACTUAL_ANNUAL(MED,0)":1.24988666555076,"CC_TR^FG_COMPANY_NAME":"Turkey","CC_CL^FG_COMPANY_NAME":"Chile","USDVND^FG_PRICE(0)":24700.0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5,10.9641857238333,12.3945793275799],"TRYQA10Y-FDS^FG_YIELD(-10AY,0,Y,,\"YTM\")":[null,null,null,null,null,null,null,null,null,null],"TRYCH10Y-FDS^FG_YIELD(-10AY,0,Y,,\"YTM\")":[0.314,null,-0.12,-0.09,-0.176,-0.434,-0.49,-0.111,1.617,0.703],"W-FDS^FG_PRICE_CHANGE(0,-6AM)":-8.45814977973568,"COPP-FDS^FG_PRICE_CHANGE(0,-6AM)":6.72835426305354,"CAGDPY@IN^EE_ACTUAL_ANNUAL(MED,+1)":-1.5,"CAGDPY@PE^EE_ACTUAL_ANNUAL(MED,+1)":-0.8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046,33.7058784937619,47.0200163276941,46.0469770059164,54.6834646415869],"VNM^P_PRICE_RETURNS_PR('52W',2,-10AY,0,AM)":[11.115253,10.42651,0.8258939,4.8440337,15.959894,21.58382,30.887245,17.611622,14.335799,6.056428,-2.1839738,-12.173325,-14.244479,-15.41335,-10.811937,-9.901685,-5.581379,-19.640755,-30.102032,-17.574024,-20.392822,-22.445744,-24.077398,-29.499275,-19.488222,-15.845436,-14.0113535,-16.433352,-18.81352,-10.626918,-4.196602,-10.558599,-13.3178,-8.017522,1.7103672,8.014261,-3.1650484,1.0605931,0.38090944,2.1826744,-0.5464852,-2.6260197,6.390357,6.068146,23.166656,31.884098,42.749275,34.222557,43.210613,41.032265,31.185759,17.967403,7.283783,16.536856,12.7776985,3.839445,-6.6749153,-6.528348,-19.611078,-11.372882,-10.0500345,-12.258363,-8.904499,-3.5105586,6.521392,-7.163948,-4.828209,3.7869334,9.089518,2.861786,6.3232303,-5.9480133,-34.19391,-29.264671,-20.739264,-14.789253,-11.807114,-2.8048456,-3.8117826,-4.501563,-4.0942907,6.1514497,15.600157,18.202019,60.991455,58.28414,47.51022,47.374058,34.423256,35.804485,31.07828,29.426432,33.823277,22.57259,12.669206,8.257044,2.8745055,-1.9842625,-17.442167,-25.047958,-25.133663,-20.462496,-24.790012,-37.129593,-46.9109,-38.40763,-39.183258,-38.447876,-35.60964,-34.2316,-17.491419,-11.200296,-1.1020601,-0.22024512,2.8514981,10.452676,23.359943,5.874753,7.123077,16.135597,23.10425],"EPHE^P_PRICE_RETURNS_PR('52W',2,-10AY,0,AM)":[-15.679634,-12.114364,-12.639541,5.24441,5.0354958,8.324075,17.837513,4.2286158,13.575851,26.05139,28.87231,31.442822,24.027275,20.776987,11.758971,5.595219,5.161786,-2.9036582,-8.560437,-1.8071234,-11.664939,-11.783737,-21.908205,-20.975489,-13.644916,-11.262428,-8.26627,-1.7301023,4.229617,7.07134,6.049466,0.09801388,-1.7708957,-2.4963558,12.847746,5.353868,-3.1762838,-2.7320325,0.39803982,0.13606548,-8.447033,-10.213417,0.30333996,7.4868917,13.1888275,18.21376,15.021515,9.654343,5.5902123,-4.772621,-7.526106,-15.090984,-14.537966,-10.594881,-15.491337,-22.473782,-20.999563,-15.32579,-11.939645,-7.703972,-6.373453,0.43395758,-1.327914,9.460009,18.673658,5.3482413,11.642254,19.875336,22.351706,9.0289,-1.190126,-5.2402377,-26.003426,-28.314156,-24.915195,-20.98028,-23.803026,-16.584324,-21.847015,-22.383673,-9.195227,-3.4851313,-1.8770814,-2.8407335,36.99753,20.116783,17.232275,16.014708,9.862328,4.7550797,15.973103,22.385098,7.1141243,-1.4790535,-2.975911,3.2567263,-1.7127156,2.3888826,-1.1480391,-13.563657,-16.342752,-2.3682415,-15.227384,-29.196918,-24.141289,-17.027605,-8.799171,-11.667686,-8.8754835,-10.789418,-4.8898754,-3.880936,11.294675,-7.5200977,-3.085333,10.597348,0.41782856,-1.3988554,-3.5935402,-0.3599465,9.141981],"EWY^FG_TOTAL_RETURNC(-10AY,0,AM)":[-3.4579277,8.374548,1.6052842,-0.44919848,0.12447834,3.3566475,-4.1948614,-10.295046,-0.9797096,-3.0388653,3.671658,-0.3379643,-2.2130966,10.348606,-0.21501184,-8.155149,-3.9884508,-7.5375977,-2.073592,10.234583,-3.4651577,-2.204442,-3.0188322,-2.1478236,8.112764,5.374193,-6.3468037,1.4723659,8.28861,5.01101,-4.0202737,0.8195281,-5.473262,3.3059478,6.1335564,2.5577664,2.0811796,0.96040964,9.946596,4.022467,2.77251,-4.4441223,1.5007377,6.6315293,2.0730376,0.96839666,6.8697214,-5.160469,3.4244776,-2.7090788,0.21523237,-3.718114,-7.7094736,-2.2054374,2.9039264,-6.7847548,-4.7987103,-0.67658424,2.129066,7.402396,-4.248625,5.0945044,-11.696636,0.31875372,1.6946197,-11.161256,13.384128,-0.9477854,4.975641,1.3921142,6.677079,-2.8021276,-19.906586,0.26141405,2.0056129,13.016117,2.7313828,11.532604,-0.030374527,1.5947819,9.941697,11.477113,17.098963,-1.2177229,-6.4505816,5.929804,-2.9168904,2.6952386,-1.8177927,-5.400962,-2.3045719,-5.749166,0.2641201,-0.4628837,-0.51493645,-6.5217376,-7.5027647,2.858436,-4.7141075,-6.9170833,-8.2021,11.132956,-11.400545,-11.778582,22.546804,-1.4528453,7.6021433,0.28836727,-6.9648504,8.774031,-6.440407,12.839544,0.44857264,-6.8770466,0.44757128,-6.4926805,5.32676,4.459524,-2.606362,4.090607,4.9788713],"QAT^FMA_DIV_YLD(NTMA,-10AY,0,AM,\"PORTAGG\",\"MEANR\")":[null,null,null,3.94143974203303,3.99108241098755,3.95198047843085,3.96493730500454,4.10282703164165,4.04015573858667,4.64683935598619,4.73839013742717,4.12145885331825,4.30989037462588,4.63524400872218,4.4544420676245,4.67417106619338,4.67605908108325,4.73252893335704,4.91312050003577,4.83889913225814,5.20341893910424,5.82863827077735,6.0791227405237,5.58673225376874,4.27710402768189,4.24406519739124,4.32844727746677,4.28499817401948,4.06170700522114,3.80029362800013,3.89544503369506,3.97615697320165,4.1498897870195,3.91035574033461,3.74294542291117,3.77932404318173,3.94679629127313,3.84376686409609,3.88327770583891,4.34434561993584,4.20582409469313,4.21822918296584,4.71201230710005,4.66124103883022,4.6148718772981,4.46028272367255,4.01987436423977,4.52400251936745,4.87384335866794,4.79327844220205,4.77066447269241,4.82557121217034,4.72430150081675,4.51098213176131,4.22860358064569,4.34643410447886,4.39377023800907,4.51770781615583,4.39231282588472,4.69534813184249,4.67047148721801,4.3442461432923,4.49676164240907,4.12895356946972,4.12130777250396,4.47575968732072,4.13116500267095,4.11537714696952,4.08626719603656,4.08390478332868,3.9496438048922,4.4149890429091,4.91136408638166,4.31020815000081,4.22231777924859,3.93776958115015,3.79587744022563,3.65404124093543,3.5094325353126,3.51232337741073,3.67110760707628,3.61221670617466,3.73529668982014,3.69865950403446,3.89094351748863,3.74208556595954,3.76319425440413,3.8164162534392,3.86768156426967,3.89192893802028,4.08447883002663,3.8283776142013,3.7760299458673,3.96327798729856,3.87394235540587,3.88284395881628,3.70255105397816,3.65043921026572,3.98064422052076,4.36963355122074,4.39886710109417,3.7699087688683,3.93432547207864,3.98589106043412,4.04173838056961,4.62929363267991,4.69412678085577,4.78564211521189,4.94646633650125,4.97426807297086,4.56518862094974,4.64961569845918,4.74695634714036,4.49267153645827,4.69258962769225,4.77179831946605,4.91287432983318,5.01499812336248,4.77241989319436,4.78803315068786,4.82878253264332],"ECH^JULIAN(FMA_DIV_YLD(NTMA,-10AY,0,AM,\"PORTAGG\",\"MEANR\"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4],"EPU^FMA_PE(NTMA,-10AY,0,AM,\"PORTAGG\",\"MEANR\")":[11.1340388548397,11.7811613208988,12.3085007107338,13.6673261391633,14.644157723437,14.1444110692173,13.5044769701258,12.0815265953511,12.0472672022998,12.1601624679698,11.4728836683543,13.4359273578305,12.4175163314223,13.1309702211002,13.6766101072723,13.9270073740004,12.9879045953054,11.7438627369396,11.1931087113268,12.125921233956,7.7886467560923,7.31495112775734,11.1371067944533,13.7536641994313,14.7972212809325,15.1656472498987,15.2030761444689,13.9151124498972,14.5686505110911,14.5877483216097,13.6616659923113,12.0845557197738,11.6703169130393,11.40426921785,12.1474103665228,13.5752773219112,12.7962456461354,12.0730429282066,12.0069001331464,11.8822869636684,12.2570392213441,12.739820496284,13.0562473496064,13.253149676717,12.8577820228856,11.9238731583563,14.0259735028596,13.3655284135716,13.5501261405459,13.8418089628649,13.5813185444245,14.0767426490036,13.1586006554334,13.834699214682,12.6086455948526,13.1218107139205,13.0207339515557,13.135596356772,13.8531289364848,15.6795598048999,15.5185014795609,15.343752470848,13.2808781627888,13.2834591448977,13.8210840083633,13.9249156551792,14.0571852692611,13.723801441546,13.6551573098,14.1035287698929,14.4969061473859,14.390594213956,11.2928758649343,11.4710067258226,14.1565475178668,17.8946370041667,19.7125865217103,20.5144855668726,21.3218829691629,18.7274368896007,17.5671063206723,15.5441304871884,14.626539143201,15.284789142488,14.7045843409396,11.9495562083254,11.9925800341375,9.32137313454351,9.39591153705801,8.5197419801993,8.97379961289258,9.75621562059787,10.1047944141813,9.64991996923275,11.3799514595765,10.9193881943013,11.2515669873101,10.087973359124,7.84022538575122,7.63464262889899,6.71496848211673,7.79292180523835,7.75742157939058,8.25766494397258,9.88235860793572,9.28715727604694,10.6193714890123,9.7171012504241,9.58195371277568,10.0451241128744,9.68675723139355,10.0032353634116,10.3968544679387,10.6850295161283,10.1273284730554,9.40095674846664,9.7951421570645,11.2827485014038,11.4569459054213,11.4801077729169,12.2626556902301],"EZA^FMA_PE(LTMA,-10AY,0,AM,\"PORTAGG\",\"MEANR\")":[15.705393622386,15.6201302077645,15.6954837717576,15.8192955505512,16.0020992091557,16.3034311942042,16.3908533153015,15.886308340544,17.0143588206501,15.8798745785001,16.8168135639135,18.4769607179044,18.3312699334837,18.5536141135688,18.3934810983629,17.9748799175406,17.95403645499,17.322836005805,16.9655391376494,17.6347014058902,17.0351869564272,15.6265896013659,15.1204006562304,15.6245780224226,15.9382578718079,16.0789869080696,15.6581590476905,15.6669313222584,16.1296803574843,16.9963795685535,16.637919561273,16.4451065594403,15.6703918496092,16.6632648043877,17.5670004694888,17.9648944836542,18.4210018942772,18.3542630305518,18.3071475060839,17.6424511426831,17.8815597935066,18.0455158866594,17.9295907307421,18.3048798983255,18.3413897772181,17.5718765028407,18.332445979567,17.8836571160528,18.0480654352051,17.8153726129323,17.7141137305268,17.2523688413766,16.7189862034536,16.3487589069829,15.8584421180676,14.9311602064292,14.4406517322805,14.6448532502815,15.1982538402476,15.0119342412511,15.2887788075919,15.3260264682638,15.1210414014902,14.9879161165611,14.8246362861308,13.9917072668395,14.0286454680342,13.6467623559386,13.7381146264143,14.2412030600801,14.5246396806828,14.4690122004525,12.2984931146383,12.2663799762642,12.3671655178831,12.9086202290455,13.4006900570765,13.4833823127675,13.5271792535367,13.3596570103376,13.8044763003723,13.7240344318042,13.8992511806377,14.63275198999,13.5737421822886,13.0937638238206,12.6147279643108,12.4067400385967,11.8787078910801,11.5799094213508,10.8799946767158,10.8858266436775,10.6530237477187,10.3148671583572,10.7724890167641,11.0467707942255,11.0799464989298,10.8882809382589,10.5625473192414,10.1183578773754,10.0214031291853,10.461435036391,9.85955139779729,9.38710200008004,10.2481259558,10.2616633996701,11.0568462922138,10.6230328797658,10.2006306828446,10.2366138385858,10.1023128990818,10.1881262380281,10.5760728133247,10.5333311767578,10.6144209535498,10.6848658073928,10.9756561402445,11.5124336138916,11.2448827508429,10.8126700024077,10.7126214077158],"DDR3512M-FDS^FG_PRICE_CHANGE(0,-6AM)":-0.39237407545607,"PASP-FDS^FG_PRICE_CHANGE(0,-6AM)":-14.3307086614173,"PLATI-FDS^FG_PRICE_CHANGE(0,-6AM)":3.1868131868132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8,10.6731246353468,11.9407094450334],"TRYZA10Y-FDS^JULIAN(FG_YIELD(-10AY,0,CY,,\"YTM\").DATES)":[42004,42369,42734,43098,43465,43830,44196,44561,44925,45289],"CAGDPY@IN^EE_ACTUAL_ANNUAL(MED,0)":-2.0,"CAGDPY@PE^EE_ACTUAL_ANNUAL(MED,0)":0.625680870863723,"CC_QA^FG_COMPANY_NAME":"Qatar","USDSAR^STD(FG_PRICE_CHANGE(0,-3AY,M))":0.0431013308420281,"USDAED^STD(FG_PRICE_CHANGE(0,-3AY,M))":0.00755049151830457,"USDTHB^STD(FG_PRICE_CHANGE(0,-3AY,M))":3.03013931688486,"USDCNH^STD(FG_PRICE_CHANGE(0,-3AY,M))":1.80825820871516,"USDEUR^STD(FG_PRICE_CHANGE(0,-3AY,M))":2.27878581990319,"USDBRL^STD(FG_PRICE_CHANGE(0,-3AY,M))":3.6612663929306,"USDMXN^STD(FG_PRICE_CHANGE(0,-3AY,M))":2.27165253049269,"UAE^FMA_ROE(NTMA,-20AY,NOW,FY,\"PORTAGG\",\"MEANR\")":[null,null,null,null,null,null,null,null,null,null,11.0777984350957,12.3046871114493,11.0383578639711,12.0257898837902,10.3907544258318,8.12845515854192,6.7620176250091,11.2349425542518,12.9338493780006,13.225118228357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111178572],"TRYUS10Y-FDS^FG_YIELD(-10AY,0,Y,,\"YTM\")":[2.1881,2.2961,2.4752,2.4325,2.6836,1.9185,0.9174,1.5119,3.8776,3.8791],"TIPSCL10Y-FDS^FG_YIELD(-10AY,0,Y,,\"YTM\")":[null,null,null,null,null,null,null,null,null,5.3314],"CAGDPY@SA^EE_ACTUAL_ANNUAL(MED,+1)":4.8,"CAGDPY@GR^EE_ACTUAL_ANNUAL(MED,+1)":-6.5,"CAGDPY@PL^EE_ACTUAL_ANNUAL(MED,+1)":0.9,"USDSAR^STD(FG_PRICE_CHANGE(0,-1AY,AM))":0.0401984919252217,"USDAED^STD(FG_PRICE_CHANGE(0,-1AY,AM))":0.00929123967395631,"USDTHB^STD(FG_PRICE_CHANGE(0,-1AY,AM))":1.69583561162788,"USDCNH^STD(FG_PRICE_CHANGE(0,-1AY,AM))":1.19976622007357,"USDEUR^STD(FG_PRICE_CHANGE(0,-1AY,AM))":2.16792121696743,"USDBRL^STD(FG_PRICE_CHANGE(0,-1AY,AM))":2.74088222411396,"USDMXN^STD(FG_PRICE_CHANGE(0,-1AY,AM))":2.46371175626129,"USDMYR^STD(FG_PRICE_CHANGE(0,-1AY,AM))":2.0024020060057,"USDPLN^STD(FG_PRICE_CHANGE(0,-1AY,AM))":3.27151507857909,"USDIDR^STD(FG_PRICE_CHANGE(0,-1AY,AM))":1.70263029074906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235607,34.3219020154309,36.7799117259767,38.5431317680411,33.8852084537244],"TUR^P_PRICE_RETURNS_PR('52W',2,-10AY,0,AM)":[-36.074223,-25.554455,-26.090622,-9.544438,2.5316358,-6.3758907,-0.65842867,-14.598876,0.4218936,1.1095762,23.264063,19.671785,3.7468314,-10.80051,-7.295549,-19.992996,-16.771751,-23.737812,-32.11952,-16.217274,-19.271088,-33.000214,-36.556618,-29.033237,-1.4461279,0.79898834,-18.801218,-10.737312,-6.2927303,-3.4097493,10.086929,-6.1787367,-19.3303,-7.61866,-4.4052243,0.7011533,-13.894743,-17.764694,2.1202207,11.153257,4.421127,17.164755,25.217665,16.23274,25.593685,30.629276,43.681885,26.525414,28.112804,9.68976,-10.899716,-28.634792,-35.36986,-51.19609,-50.025646,-42.013824,-37.30313,-37.63464,-42.75644,-33.989918,-36.33191,-36.227776,-35.424465,-20.800453,-4.8522053,20.258844,20.970058,0.65968037,8.154165,13.573527,23.523867,3.0992985,-17.069191,-11.468458,-2.002865,-0.056636333,-2.1605074,-17.213266,-20.97842,-11.241251,-11.615401,-10.741782,-2.0471036,5.895591,33.753014,17.351269,16.753578,7.0170164,-6.1527133,16.16844,16.671335,6.6155553,3.1726956,-10.874939,-24.272902,-29.734308,-29.661947,0.6042838,-4.338312,-14.313823,-13.321429,-4.470527,11.559176,24.456882,41.629074,73.31405,68.813385,66.5071,94.736824,53.617825,58.44877,56.74132,82.09773,78.91969,60.995438,56.611336,16.588688,4.081011,5.475223,22.832024,3.7215352],"ECH^P_PRICE_RETURNS_PR('52W',2,-10AY,0,AM)":[-34.863842,-24.82,-22.137987,-16.644955,-5.3252993,-10.264188,-13.185531,-18.068272,-12.160277,-13.351482,-14.791214,-4.3183684,-7.273853,-9.454018,-6.0014606,-12.130732,-17.016161,-20.263863,-19.16949,-14.501322,-19.379162,-19.423939,-18.457138,-17.592358,-5.0879836,-9.526378,-16.27345,-9.624636,2.5247931,13.194979,7.529962,8.713234,12.60537,27.140785,30.777668,28.262102,17.232143,24.771477,20.456291,26.228369,18.602455,18.733524,36.187016,39.741302,33.973873,23.283493,45.744167,32.956898,34.00011,23.298418,24.678982,15.331554,6.764579,0.19187927,-6.642932,-13.474459,-9.907013,-6.238425,-16.917974,-14.122004,-15.792924,-16.610146,-21.94742,-18.261707,-10.395712,-17.439865,-11.565036,-8.399653,-28.33972,-19.551928,-22.130007,-29.738785,-45.998234,-44.150715,-39.751305,-32.531254,-30.285824,-25.74823,-32.444633,-37.55089,-10.323697,-14.211189,-1.9620776,5.1065803,53.698277,45.747303,40.39316,16.839684,0.5342245,8.225048,11.113441,2.3574233,5.205846,-14.257347,-19.111282,-15.726018,-19.938051,-15.796405,-12.17407,-4.8888445,-12.788475,9.115732,8.75882,5.159807,7.312572,20.514275,16.248154,20.67548,17.250263,12.091673,28.55134,16.45075,47.845795,10.542965,3.9816618,10.980738,1.2450695,13.653315,-0.7864833,-10.711897,-0.5166352],"TUR^FMA_ROE(NTMA,-20AY,NOW,FY,\"PORTAGG\",\"MEANR\")":[null,null,null,null,14.5323662756041,15.0832531129689,15.8676026141806,14.4769185864537,15.0590425800443,13.6524897976729,12.866544620472,12.7726870869254,12.8458107179109,15.2051271731034,14.7086929252537,14.9602850761367,12.998128179313,18.7994603339493,24.2938213733918,26.056797757333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800684317394],"TRYFR10Y-FDS^FG_YIELD(-10AY,0,Y,,\"YTM\")":[0.837,0.9989,0.682,0.785,0.71,0.118,-0.344,0.201,3.07,2.534],"CAGDPY@SA^EE_ACTUAL_ANNUAL(MED,0)":4.15,"CAGDPY@GR^EE_ACTUAL_ANNUAL(MED,0)":-6.4144387239393,"CAGDPY@PL^EE_ACTUAL_ANNUAL(MED,0)":1.60702813566805,"CC_IN^FG_COMPANY_NAME":"India","USDSAR^FG_PRICE_CHANGE(0,-6AM)":-0.008004904,"USDAED^FG_PRICE_CHANGE(0,-6AM)":-0.0122487545,"USDTHB^FG_PRICE_CHANGE(0,-6AM)":-0.48889518,"USDCNH^FG_PRICE_CHANGE(0,-6AM)":-1.2170672,"USDEUR^FG_PRICE_CHANGE(0,-6AM)":-2.0435393,"USDBRL^FG_PRICE_CHANGE(0,-6AM)":2.219236,"USDMXN^FG_PRICE_CHANGE(0,-6AM)":-2.5835693,"USDMYR^FG_PRICE_CHANGE(0,-6AM)":0.08542538,"USDPLN^FG_PRICE_CHANGE(0,-6AM)":-9.350407,"USDIDR^FG_PRICE_CHANGE(0,-6AM)":1.4653206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79866,9.94747027340135,10.1243577100024,9.34892363531398],"CNYA^FMA_ROE(NTMA,-20AY,NOW,FY,\"PORTAGG\",\"MEANR\")":[null,null,null,null,null,null,null,null,null,null,null,null,12.0357109832906,13.2280587166858,12.9587909941324,13.4756717155871,12.9923016393566,13.7666448363476,13.371191955749,12.0220612954833],"TRY10Y-FDS^FG_YIELD(-10AY,0,Y,,\"YTM\")":[null,null,null,null,null,null,null,null,null,null],"TRYCN10Y-FDS^FG_YIELD(-10AY,0,Y,,\"YTM\")":[3.653331,2.901145,3.070911,3.93859,3.259862,3.197311,3.1948,2.7893,2.855,2.574],"CAGDPY@VN^EE_ACTUAL_ANNUAL(MED,+1)":null,"CAGDPY@AE^EE_ACTUAL_ANNUAL(MED,0)":12.7,"CAGDPY@BR^EE_ACTUAL_ANNUAL(MED,0)":-1.31178086403119,"CAGDPY@ID^EE_ACTUAL_ANNUAL(MED,0)":-0.11,"CC_KR^FG_COMPANY_NAME":"South Korea","USDSAR^FG_PRICE(0)":3.7503,"USDAED^FG_PRICE(0)":3.6726,"USDTHB^FG_PRICE(0)":35.62,"USDCNH^FG_PRICE(0)":7.19935,"USDEUR^FG_PRICE(0)":0.9184423,"USDBRL^FG_PRICE(0)":4.98145,"USDMXN^FG_PRICE(0)":16.685,"USDMYR^FG_PRICE(0)":4.686,"USDPLN^FG_PRICE(0)":3.93945,"USDIDR^FG_PRICE(0)":1558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64523,16.3882261582609,16.010960211197,16.7075627041747,16.7744907423],"GREK^P_PRICE_RETURNS_PR('52W',2,-10AY,0,AM)":[42.533134,34.73232,8.065128,42.50574,45.706593,15.329563,9.884548,-22.649742,-28.499348,-38.98073,-45.185204,-41.837513,-55.816505,-52.13496,-40.8952,-50.14141,-54.921978,-51.235,-49.92253,-39.11917,-38.651974,-41.03079,-41.761406,-54.217033,-29.87054,-31.578869,-31.623793,-35.09578,-24.038898,-27.409142,-30.077045,-26.153738,-20.7331,-2.9243827,11.850775,33.4703,7.0858955,14.204538,14.420855,31.862164,49.006046,45.078434,43.63681,31.957458,25.866758,30.049217,36.642277,43.554127,36.14162,27.324152,7.588017,-1.527375,-11.262411,-15.440565,-15.574628,-17.37302,-12.864322,-22.09549,-32.104183,-29.957115,-20.360136,-11.921072,-18.50738,1.2518883,5.815065,0.9945154,17.824532,28.294134,33.165527,33.44257,41.144707,29.651474,-24.079388,-26.788532,-25.7509,-27.399742,-28.786594,-16.148884,-21.115667,-27.843178,-26.70704,-12.277097,-14.108306,-11.51601,76.98014,56.319748,72.056564,56.471027,41.84773,38.998127,35.33995,42.239044,41.567505,6.364286,16.121483,22.428345,-5.748832,-0.73221326,-10.991896,-19.740837,-17.377346,-7.7579856,-16.87929,-18.30107,-5.7613134,4.7629952,2.9680133,14.019453,30.969833,21.829832,33.82281,59.411167,82.34154,53.605877,53.507744,46.96363,45.893433,44.549526,40.605556,27.406824,32.190536],"UAE^FG_TOTAL_RETURNC(-10AY,0,AM)":[null,null,null,-4.1988077,-6.674713,3.2313704,2.2120237,-7.513273,1.3686538,-19.207317,6.217611,2.649355,-5.9716644,6.771517,4.9233556,-1.6949356,1.6072273,-2.7187288,-10.924792,5.8773518,-15.841884,-5.057621,-2.244532,2.2160769,12.195122,6.5217376,-7.0861697,2.5625348,6.929028,0.40415525,-3.8527906,-1.8540621,-6.5204144,11.14732,3.3607244,-0.67220926,-3.7668705,1.6199231,2.1238804,1.3576031,3.1706572,-0.56753755,1.5411019,0.84878206,-5.44005,-2.2104323,8.068716,-3.422588,-3.0981958,-0.5204797,-3.7371874,5.385089,-3.9854646,-0.12919307,0.90556145,-3.5897434,0.78125,-7.570511,0.6030083,-1.8544972,3.5610437,4.8421025,-5.5555525,-3.8270712,2.1710515,1.6442418,4.411757,-1.0690153,-1.6955853,-0.724113,-2.3340583,-4.7050056,-26.410658,8.94568,-3.079176,6.5052986,0.88903904,5.297029,2.4917722,-1.4678895,2.2346377,11.362672,5.237305,1.9828916,0.87685585,1.1715889,3.2499075,8.678495,-3.4458995,3.085649,3.8615704,-2.1146655,9.788322,8.707178,-4.848284,3.6376834,6.470585,4.2607784,-8.325922,-4.5899334,-5.700117,11.695135,-6.411767,-5.0282836,6.287229,-7.5196924,1.248312,0.066649914,-6.7599115,4.571426,1.0928988,-0.12410879,4.586518,0.9966731,0.06579161,-6.1143994,3.5014033,-0.87956786,4.50058,-2.82709,-1.3531804],"EIDO^FG_TOTAL_RETURNC(-10AY,0,AM)":[10.913396,-0.7843137,4.563427,-6.49485,5.746615,2.283907,-4.534525,-6.4051867,4.613602,-2.6460826,-0.047034025,4.999995,-4.870123,3.7163377,-4.643512,-9.5092,1.4459848,-11.68006,-9.918552,10.478735,-3.5146832,-2.4950087,6.496763,8.858931,5.6612015,-2.134788,-5.004275,2.296269,12.069332,4.4065,-7.110262,7.2861195,-11.064476,2.0592093,3.098297,1.9591808,-0.88070035,5.0484657,2.614379,2.3978949,1.260984,-1.9019783,-0.41014552,1.0857344,-1.8148124,3.3195019,6.834471,1.4368773,-6.037098,-1.9382656,-7.8330874,0.43685436,-5.135006,-3.8641155,0.7508874,-5.918461,8.7604885,6.383884,6.2039495,-1.2538016,-3.0011594,2.4196744,-8.055771,5.6444883,6.617546,-7.414442,5.7084203,-5.5944085,0.78189373,2.368319,5.3764224,-8.646191,-25.031137,-12.126244,0.56711435,15.789473,5.4207563,0.7257581,-4.7349453,0.32414198,15.024233,8.9500065,7.8354955,-4.01445,-3.638643,-6.1197996,0.6934881,1.4203191,-9.020508,3.9559364,4.1425824,13.737273,-2.6433468,-3.2055497,2.8248549,0.38038492,3.8315773,-1.0543406,-4.5901594,-0.46266317,-5.9956255,12.849164,1.7739296,-8.552903,3.5904288,-1.3676047,-2.1910608,5.33154,-6.5929413,10.154831,-2.6043892,1.6401172,0.63939095,-2.4989426,-1.2163341,-4.4415116,-0.7363081,2.271676,3.4588695,0.2650261,1.101327],"EWW^FMA_DIV_YLD(NTMA,-10AY,0,AM,\"PORTAGG\",\"MEANR\")":[null,null,null,null,null,null,null,null,null,null,null,null,null,null,null,null,null,null,null,null,null,null,2.1800865168081,2.17216508970875,2.11227385482614,2.04787651120166,2.08761627041335,2.16321410384774,2.07037160318268,2.01269919321066,2.13537425167844,2.09529591331297,2.2891897475866,2.32576393482951,2.37921063886803,2.36058921507444,2.46200107687187,2.39160630382268,2.42040231940838,2.46599823646183,2.38015194007871,2.36735832881289,2.47323662865491,2.47324139836795,2.56737275217308,2.52420799260963,2.50060829980277,2.59478355763088,2.57310566735269,2.59143943627369,2.88780235368261,2.85777231052029,2.73667939955696,2.76303652304662,2.75412792647965,2.90238950445167,3.42798277864144,3.46995198441177,3.29157158239539,3.37698847745192,3.50886688470639,3.32578481047205,3.49686815456441,3.54712752247688,3.59252282048766,4.01747818169226,3.62168878610078,3.52381218411962,3.55381975617385,3.47456273648378,3.45265895444068,3.3253642162433,3.96650559695324,4.30139824620144,3.57633783722879,3.08946109959865,3.20979177578487,2.94600229938725,3.21669806543134,3.35253421400417,3.30395349566235,3.44780569311906,3.37010979502711,3.48138195437324,3.34934707309795,3.22348840585368,3.14159421316579,3.10461930725957,3.16750784575911,3.15025745888915,3.12335836984284,3.32072580641508,3.48347797468741,3.49268616143161,3.38725189118075,3.6424506768058,3.63567410388044,3.52425221076254,3.82496177222142,4.11733094494983,4.12027656742476,3.93502749658173,4.12230949190738,4.1894886916569,3.65426508375427,3.84563916279662,3.62588266300382,3.63077596237093,3.79758063904997,3.66648011290507,3.58262949111639,3.65663154394495,3.89081157488502,3.9806582007763,4.1246110984037,4.37118434814817,4.09190347748023,3.78758220177453,3.89631864604842,3.72273156283275,4.13755101306713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PH10Y-FDS^FG_YIELD(-10AY,0,Y,,\"YTM\")":[3.8633,4.1,4.6281,5.6986,7.1730304,4.847582,3.4208684,4.796723,6.9293385,6.0028777],"CAGDPY@MX^EE_ACTUAL_ANNUAL(MED,0)":-0.475,"CC_TW^FG_COMPANY_NAME":"Taiwan, China","USDQAR^FG_PRICE_CHANGE(0,-1AY)":-0.020593405,"USDZAR^STD(FG_PRICE_CHANGE(0,-3AY,M))":4.05007439075682,"USDIDR^FG_PRICE_CHANGE(0,-1AM)":-0.092983246,"QAT^P_PRICE_RETURNS_PR('52W',2,-10AY,0,AM)":[null,null,null,null,null,null,null,null,null,null,null,null,null,null,-4.5538244,-7.6449394,-6.4428926,-12.925476,-14.384472,-11.983479,-20.3237,-16.622824,-23.811363,-24.929165,-14.624929,-13.158762,-19.255632,-17.55768,-12.556023,-4.7095537,-8.932853,-7.2928905,-6.368989,8.254564,19.945358,17.025995,1.8949151,4.6308756,3.784299,-0.8213997,-5.1827135,-11.067367,-13.978153,-15.870208,-19.793236,-14.512068,-9.150112,-14.040375,-11.425388,-11.261135,-8.036226,3.0342102,-0.642854,6.5018654,19.238413,18.372452,40.308525,31.024551,18.772327,14.560736,14.735567,16.766666,9.849489,14.401126,12.290632,-3.0208468,4.0958643,5.6146502,0.21656752,-4.330641,-3.2096982,-0.67082644,-18.112707,-12.081713,-6.7781267,-10.187298,-2.9692113,9.037125,0.75018406,3.552258,4.667604,6.8107963,8.4697485,12.088955,41.211735,24.052547,28.49567,25.294315,14.818394,14.952099,14.681315,18.126476,21.542322,13.599407,14.178014,23.247349,30.705238,32.686604,23.86105,16.729605,9.063458,23.952866,16.134584,7.765496,4.829073,-3.9710462,-7.2205124,-17.317402,-20.942867,-23.746777,-14.540075999999999,-11.401075,-6.2957706,-16.36514,-16.281635,-17.991453,-15.657557,-5.646187,-1.3353705,1.778543,4.2167068],"UAE^FMA_PE(LTMA,-10AY,0,AM,\"PORTAGG\",\"MEANR\")":[null,null,null,null,null,null,null,null,null,null,12.2060936148386,12.7421974482564,13.0195215302235,13.1927507351925,13.7187592220672,13.470590577656,13.5649862407143,13.26297200995,13.1471415383858,13.7543599209515,12.3369098598145,11.0580725255088,12.2174348621877,12.0583959859233,13.0698997004361,13.3128142497544,13.2441455188145,13.1409414977848,13.5882062374599,13.5115498794573,13.3902839237153,13.5621685608179,12.3756673417996,12.8229594359417,13.4743003618392,13.468907304609,13.349565172985,13.3266114317899,13.2973974627674,12.9247460333957,12.9965339423324,12.9851389726755,12.4168790408547,12.3599050290478,11.7481819224735,11.5742686710893,12.2457234607723,12.3522765524563,12.3472762451974,12.4335824520444,11.9767225732206,12.1534755625325,12.0831115367591,12.0923259633942,12.9446838736589,12.6442149652715,12.9496337586369,12.2098435550627,11.9642124901666,11.6857967558272,12.7412678877012,12.7272619436116,12.432951470249,12.751024303854,13.36721997739,13.7511321913086,14.4835428871437,14.2839707056444,14.5640756992059,15.9250740604985,16.0148232039303,15.0822936187957,14.1406711538311,14.7638159752999,15.7984973111663,17.204136491999,17.9683864158761,16.0060105984265,16.4177148126433,16.1190673442855,25.3056719143111,24.5390879667186,25.349159312788,23.7017722684143,27.0448839781818,25.5644596079959,24.2392571115729,23.7744249613936,22.3382983368265,21.2860647038582,20.058334091912,19.1872813384728,18.9131093890607,18.0945835687382,16.5488785659226,16.8795399024677,17.2920980453906,17.4083407139677,16.7261414929179,16.1830208583206,15.3988103389046,15.7429201278504,15.0912015872765,14.2039675998015,14.3228966041843,12.8837553459121,12.4726516567784,12.7092217104149,12.1224368750278,12.0927043204954,11.9744280243045,11.7345861288193,11.7919317382141,11.5913288270894,11.1427212763039,10.6703740000942,10.346617934498,9.98330028143882,10.3715043412293,9.55245405410446,9.42074610950214],"ECH^JULIAN(FMA_DIV_YLD(LTMA,-10AY,0,AM,\"PORTAGG\",\"MEANR\"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4],"PASP-FDS^FG_PRICE_CHANGE(0,-3AM)":5.12077294685991,"PLATI-FDS^FG_PRICE(0)":939.0,"TIOS-FDS^FG_PRICE_CHANGE(0,-3AM)":-17.955923679929,"FC0000GR^FG_PRICE(0)":9.666257,"FC0000PL^FG_PRICE(0)":212.91728,"KSA^FG_PRICE_MAVG(0,,,,200)":41.0181,"SET-BKK^FG_PRICE_MAVG(0,,,,60)":1391.333,"GREK^FG_PRICE_MAVG(0,,,,30)":40.196,"EWW^FG_PRICE(0)":67.27,"EPHE^FG_PRICE_MAVG(0,,,,200)":25.668972,"SPY^P_PRICE(0)/P_PRICE_HIGH_PR(0,,,USD,,,\"PRICE\",\"INTRA\",\"52W\")":0.9936898,"VGK^FG_TOTAL_RETURNC(0,-6AM)":12.6433735,"TUR^FG_TOTAL_RETURNC(0,-3AM)":3.2033205,"GREK^P_PRICE(0)/P_PRICE_LOW_PR(0,,,USD,,,\"PRICE\",\"INTRA\",\"52W\")-1":0.40278268,"EWW^P_PRICE(0)/P_PRICE_HIGH_PR(0,,,USD,,,\"PRICE\",\"INTRA\",\"52W\")":0.96485937,"EPOL^FG_TOTAL_RETURNC(0,-6AM)":36.921753,"CNYA^FG_TOTAL_RETURNC(0,-3AM)":3.2464862,"KSA^PERCENT_CHANGE(FMA_EPS(+1,0,,,,\"PORTAGG\",\"MEAN\"),FMA_EPS(+1,-1AM,,,,\"PORTAGG\",\"MEAN\"))":2.09922989151461,"EWW^PERCENT_CHANGE(FMA_EPS(+1,0,,,,\"PORTAGG\",\"MEAN\"),FMA_EPS(+1,-3AM,,,,\"PORTAGG\",\"MEAN\"))":-1.33497790636445,"EPHE^FMA_PCT_ABOVE_MAVG(200,0,,,,\"PORTAGG\")":60.0,"URTH^FMA_COS_DOWN(\"EPS\",\"1M\",+1,NOW,,,\"PORTAGG\",\"MEANR\")":632.0,"TUR^SIZE(FG_CONSTITUENTS)":98,"GREK^FMA_COS_UP(\"EPS\",\"1M\",+1,NOW,,,\"PORTAGG\",\"MEANR\")":7.0,"EWM^FMA_COS_DOWN(\"EPS\",\"1M\",+1,NOW,,,\"PORTAGG\",\"MEANR\")":20.0,"CNYA^SIZE(FG_CONSTITUENTS)":519,"EWM^FMA_RBICS_REV_CURRENT(30, LOC, \"PORTAGG\")":41.739834751553,"EWZ^FG_ROE(0)":19.5118956615056,"TRYCN10Y-FDS^FG_YIELD_NAME":"Treasury - China Benchmark Bond 10Y","REFSAREPO-FDS^PROPER_NAME(0,,,\"SECURITY\",\"NAME\")":"Saudi Arabia Repo Rate","REFCNRMB-FDS^FG_YIELD(NOW,,,0)":3.45,"REFMXTON-FDS^(SUBARRAY(NOT_NA(NO_REPEAT_F(FG_YIELD(NOW,-10AY,D))),0,1)-SUBARRAY(NOT_NA(NO_REPEAT_F(FG_YIELD(NOW,-10AY,D))),1,1))*100":25.0,"REFPHRREPO-FDS^PROPER_NAME(0,,,\"SECURITY\",\"NAME\")":"Philippines Reverse Repo Rate - Overnight","TRYMX10Y-FDS^PCTCHG(FG_YIELD(0,,,,\"YTM\"),FG_YIELD(-1AM,,,,\"YTM\"))":0.18067501,"TRYUS10Y-FDS^FG_YIELD(0,,,,\"YTM\")":4.2952,"USDQAR^FG_PRICE(0)":3.641,"USDMXN^FG_PRICE_CHANGE(0,-1AM)":-2.4554253,"USDPEN^FG_PRICE_CHANGE(0,-6AM)":-1.0166645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3,5.12773396532515,7.54796836303461,11.3918613611305,11.0543542614851],"QAT^FG_TOTAL_RETURNC(-10AY,0,AM)":[null,null,null,0.6669283,-2.2213578,4.145074,0.38269758,-2.2112072,1.501751,-14.346737,3.2735467,8.163261,-4.781479,-1.0272026,3.6376119,-5.094862,1.6621709,-3.0711412,-1.2992918,0.53117275,-8.522856,-9.969866,-5.630398,4.052055,10.915291,0.6724715,-4.0287733,-2.7050495,7.829869,5.5060387,-5.5661144,2.3415685,-7.611209,4.0912867,5.8288813,0.303185,-3.4256935,2.8429866,-3.8802922,-7.440633,3.0881166,-1.0419965,-8.656949,-0.75874925,-11.16556,10.945129,12.8076315,-5.3828,-0.4878044,3.0336976,-0.38715005,3.7014961,0.49587488,4.926944,2.2667646,-1.6741037,5.505109,3.6040902,2.2588968,-8.737862,-0.33595562,5.44945,-6.814069,7.998395,-1.1808932,-9.542948,10.797548,-1.1633456,0.112617016,-0.22384524,2.5518775,-6.3439965,-17.60584,12.89866,-1.1927187,2.160108,8.734835,1.6499758,2.3768067,1.5855074,-0.11148453,3.1467676,4.1446924,-2.5974035,-1.2714624,3.6107063,2.3461938,-0.38511753,-0.35654902,1.6002059,2.3046732,4.6372533,2.6049256,-3.4323215,4.675138,5.1394224,4.702747,5.1813483,-5.2886844,-5.3004503,-6.900561,16.09683,-4.6650887,-2.9032886,-0.19088387,-11.538911,0.95288754,-6.135291,0.11173487,1.4508963,5.830586,-1.528871,-1.5359223,3.621173,-4.569894,-3.8309872,1.5231371,-1.0386646,4.9562693,-2.6111066,2.5099754],"MCHI^FMA_DIV_YLD(NTMA,-10AY,0,AM,\"PORTAGG\",\"MEANR\")":[3.98883004708661,3.67617350433006,3.78303707843552,3.64753670770342,3.62780782444194,3.484741912865,3.52251079821063,3.80338907694602,3.6151344375327,3.52228076969911,3.25923764522901,3.11642304364207,3.18082055930112,2.5624368626356,2.60862494067447,2.66242804439867,3.08679842136818,3.19310299037334,3.48233673892023,3.25780223011027,3.22532564184625,3.37464725869615,3.20644017345417,3.47644487757892,3.06224651100387,2.81193665676069,3.09980989192608,2.66412897351325,2.48308581209926,2.34339260823528,2.28402301447513,2.28394896684378,2.40252395610926,2.36605696246806,2.33550618755486,2.25606318839385,2.23881502092829,2.290371955352,2.22089940140297,2.17587384102616,2.13770379353573,2.15815633374484,2.11415637350057,2.06407831417834,2.02814381949957,2.09270146911783,1.97408539656461,2.11876357236489,2.07624531378173,2.29252650851017,2.21955025927294,2.26472192956185,2.41735084865551,2.54288222077128,2.64929019207485,2.82996235230493,2.82637020329804,2.73894717936275,2.78595401757959,2.52249447816222,2.45765341870469,2.32960569299857,2.50752691075783,2.60077132724781,2.50717563136051,2.67191911261738,2.43089168516129,2.51467483290685,2.50835372920226,2.32336374167318,2.19976243346242,2.23133340458105,2.43104215483547,2.23956509045784,2.18060645570908,1.97491922549018,1.77209058108287,1.80995581003233,1.76973393873453,1.70511766966959,1.69852139673963,1.71832981875979,1.48761577565625,1.31769057755562,1.48833106209971,1.60366201121653,1.73122016130114,1.62163942244899,1.68515946674902,1.86844917588814,1.89886092401529,1.94002718568553,1.93290496353968,2.11381095217906,2.12923435215765,2.19810407823903,2.95243727861662,2.59497526753603,2.65479898623682,2.43763667558563,2.46941015233907,2.5491563753127,2.57743899431808,2.92893829573465,2.76744566253919,2.43770296435697,2.22768023953091,2.29389137004758,2.52122027625488,2.45203891465862,2.56858000705118,2.47032872476821,2.45009070281992,2.45523696610398,2.50829152507603,2.56468109100711,2.60122134036828,2.75296476669442,2.79896049832991,2.97347504007329,2.83444853934661],"QAT^FMA_PE(NTMA,-10AY,0,AM,\"PORTAGG\",\"MEANR\")":[null,null,null,15.7784890421407,15.6013430936648,15.9097690198561,15.8099939088822,15.2381208292088,15.0898572315843,12.9295834463674,12.8485838429153,14.0631887232072,13.5247147359348,13.0795543149273,13.8340050601105,13.1182487625105,13.1890963071012,13.1645435587468,12.8228024789561,12.8369032986924,11.8680489698312,10.6491207693453,10.213276851193,11.0176893045224,12.1294260906913,12.1120279958638,11.7673603000057,11.6686796947348,12.4214674431982,13.0946907970708,12.8755185509239,12.7817233117288,12.2169400854017,13.111101322807,13.6157654480041,13.2643602766323,12.6895658930347,13.1020496288886,13.0903639335419,12.190584295517,12.3243589510694,12.2314464583441,11.0265503262377,10.8684098024653,10.8668952345098,11.4709183457052,12.2786909143358,11.698129709343,11.2029011366722,11.3673432590023,11.276417995783,11.3881863017569,11.4044289935257,12.1457184986182,12.81333632479,12.3996687355839,12.6775888699759,13.0651369859864,13.3396504538343,12.3969011744174,12.4000282018327,12.8857704275563,12.2148774458388,13.163902694753,13.342512339606,12.2586257373919,13.4044387059296,13.6101059346204,13.3520908926479,13.4362877585066,14.100090953352,13.0419750104075,11.0710074533714,12.5590708909899,13.4667562370431,14.596936062959,15.0325636532608,15.3925124432864,15.0545312186864,15.6273181359149,15.2421959037621,14.552819520542,14.5410819253212,13.8511881242193,13.3870224456442,13.9290504118991,14.0063343074385,13.5878574769125,13.1336983063226,13.329915036937,13.25014748578,13.4405003840206,13.6391507806645,13.2236745020462,13.6509780359312,13.6525120601041,14.2463734147004,14.2789235779855,13.303569585987,12.269849228912,11.9776288866104,13.9590183919693,12.9580620136723,12.5977385117108,13.0666664720545,11.5754202173304,11.4428859766123,11.0001024496863,10.7134545114831,10.7719187919866,11.5116272672371,11.2432448665932,11.1127683229307,11.5897322610684,10.9301598857136,10.6963850172472,10.5323381292997,10.2953514450205,10.8396274262509,10.4181406999633,10.4825756242714],"BRENT-FDS^FG_PRICE_CHANGE(0,-1AY)":8.66978863435008,"FC0000TR^FG_PRICE(0)":227.9572,"FC0000MX^FG_PRICE(0)":531.4194,"KSA^FMA_PCT_ABOVE_MAVG(200,0,,,,\"PORTAGG\")":68.9075630252101,"MCHI^PERCENT_CHANGE(FMA_EPS(+1,0,,,,\"PORTAGG\",\"MEAN\"),FMA_EPS(+1,-1AM,,,,\"PORTAGG\",\"MEAN\"))":-0.710782295369666,"REFIDRREPO-FDS^(SUBARRAY(NOT_NA(NO_REPEAT_F(FG_YIELD(NOW,-10AY,D))),0,1)-SUBARRAY(NOT_NA(NO_REPEAT_F(FG_YIELD(NOW,-10AY,D))),1,1))*100":25.0,"TRYTH10Y-FDS^PCTCHG(FG_YIELD(0,,,,\"YTM\"),FG_YIELD(-3AM,,,,\"YTM\"))":-8.191458,"EIDO^FMA_EVAL_EBIT(LTMA,NOW,NOW,M,\"PORTAGG\",\"MEANR\")":9.59566167846553,"CNYA^FMA_DIV_YLD(NTMA,NOW,NOW,M,\"PORTAGG\",\"MEANR\")":2.69782104158445,"SPY^FG_TOTAL_RETURNC(0,-6AM)":15.216184,"VGK^FG_TOTAL_RETURNC(0,-3AM)":5.320728,"SET-BKK^P_PRICE(0)/P_PRICE_LOW_PR(0,,,USD,,,\"PRICE\",\"INTRA\",\"52W\")-1":35.981953,"GREK^P_PRICE(0)/P_PRICE_HIGH_PR(0,,,USD,,,\"PRICE\",\"INTRA\",\"52W\")":0.97983485,"EWW^FG_TOTAL_RETURNC(0,-6AM)":13.336992,"EPOL^FG_TOTAL_RETURNC(0,-3AM)":5.0127745,"SPY^PERCENT_CHANGE(FMA_EPS(+1,0,,,,\"PORTAGG\",\"MEAN\"),FMA_EPS(+1,-3AM,,,,\"PORTAGG\",\"MEAN\"))":-0.510625980101564,"MCHI^FMA_PCT_ABOVE_MAVG(200,0,,,,\"PORTAGG\")":42.2727272727273,"VNM^FMA_EVAL_EBIT(LTMA,NOW,NOW,M,\"PORTAGG\",\"MEANR\")":20.0446545207236,"GREK^FG_FCF_YIELD_NTM(0)":null,"EWT^FMA_EVAL_EBITDA(NTMA,0,,,\"PORTAGG\",\"MEANR\")":10.1594035761756,"EPU^FMA_PE(NTMA,0,,,\"PORTAGG\",\"MEANR\")":12.2626556902301,"CNYA^FMA_PE(NTMA,0,,,\"PORTAGG\",\"MEANR\")":11.7066303882655,"EWT^FG_COMPANY_NAME":"iShares MSCI Taiwan ETF","SET-BKK^FMA_PE(LTMA,-10AY,0,AM,\"PORTAGG\",\"MEANR\")":[18.6948639585117,18.3668411150082,18.0760941056204,17.7944897557262,17.8528903012393,17.549408947902,19.2037552145908,18.8730393669956,19.6714145935558,19.2811699165371,19.5735627887884,22.7534217983063,23.2990891317377,22.6397296296378,22.0507109064419,21.4209569265571,20.8049904991828,19.7850470700912,18.9453730257804,18.6785051477931,16.4389837248691,14.375095418507,14.0100936496815,15.6622928561776,16.6526418255704,16.4429498807039,16.2886829761174,16.3753952933237,16.6356362167791,16.8126172436834,15.9953365173505,15.9645244206547,15.708800938861,16.1034096863179,16.5927435552979,16.4796020806059,16.2763890165279,16.3012463566416,16.040569475432,16.0721178483869,15.9517094297254,15.9292314494995,16.4856041156486,16.8330552875108,17.1149911430423,17.3672439733506,18.3818558183904,17.8817440742293,17.6740504727037,17.3552635589799,17.1428112618496,16.9082364445681,16.3852748592559,16.2712532796407,16.3331794681043,15.9301851196892,15.3890203618616,14.8151687910768,14.6076022317983,15.6512767134967,16.1844053491019,16.145818027051,15.9975120382092,16.2055932816753,16.5280355400416,16.1406233314837,16.5660258072846,16.6736829526228,17.0904323729858,17.0185995990268,17.0755098209197,16.6235538512701,14.4973255473084,15.1946509411883,16.4534307279999,17.9708034468257,18.6901865019591,20.0196658994639,20.5983101431568,21.8886735549299,22.471012202536,25.6279741881937,28.7138567457342,27.2091515795737,27.510185688805,26.5716900367682,25.5339367576532,24.6218159188601,23.3012823526414,22.0966196965819,21.9364283033676,21.1351835676369,20.394871609293,19.0276688771131,19.2134099616027,19.0997650140796,18.7682577404276,18.6039092769898,18.1024360360926,17.8042913116207,17.2886978472557,17.3074730547736,17.0470895493201,16.1027287622095,16.6993469866318,16.6375286590629,17.0864740763821,17.3130258744362,17.2178743071448,17.3094557230104,17.2130258420651,17.2885910387928,17.2443198176246,17.4202393634198,17.5464696354263,16.8366019196219,16.2370387695171,15.9979636835123,15.8807733936003,16.1534680780192,16.8627136301842],"CPALM-FDS^FG_PRICE(0)/MAX(FG_PRICE(0,-1AY))":1.0,"TIOS-FDS^FG_PRICE_MAVG(0,,,,30)":123.59534,"FC0000TW^FG_PRICE(0)":343.06744,"FC0000PH^FG_PRICE(0)":337.67328,"KSA^FG_PRICE_MAVG(0,,,,30)":44.005333,"MCHI^FMA_ROE(NTMA,-20AY,NOW,FY,\"PORTAGG\",\"MEANR\")":[null,null,null,null,null,null,null,16.2489448712134,14.7844836511748,14.7477410048543,13.8220324417748,12.2640889399399,12.007707790005,13.3821124977803,13.2137488528733,12.8854801395228,12.3573578879857,11.973905842199,11.5506323774735,11.5596215816121],"CAGDPY@TW^EE_ACTUAL_ANNUAL(MED,+1)":11.5,"CC_MY^FG_COMPANY_NAME":"Malaysia","USDAED^FG_COMPANY_NAME":"UAE Dirham per U.S. Dollar","USDZAR^STD(FG_PRICE_CHANGE(0,-1AY,AM))":3.28039794214666,"USDIDR^FG_PRICE_CHANGE(0,-1AY)":1.2674689,"MCHI^P_PRICE_RETURNS_PR('52W',2,-10AY,0,AM)":[-5.8262167,6.4556003,-0.8150041,12.193192,18.021011,15.040958,10.096561,0.14001131,10.174667,2.6687741,13.133657,18.596184,22.950958,39.02545,38.787697,30.66802,11.650837,-0.40689707,-10.222912,1.824975,-3.9097667,-6.3699245,-20.354383,-27.705336,-16.87721,-27.489298,-33.098125,-29.660923,-14.552784,-3.6382735,9.259057,3.7186265,-1.3791025,3.7997127,20.583773,35.36682,20.851158,15.243685,33.226906,35.119354,33.181107,29.249048,34.463943,40.067123,51.184784,48.269188,58.506714,45.862316,48.479416,37.99006,36.43427,31.69186,15.460098,3.5000324,-6.1819196,-14.279037,-15.783435,-13.961345,-23.029535,-13.968044,-13.670683,-4.527056,-15.18094,-19.385635,-7.472664,-9.869867,3.5427213,6.6591263,8.94599,11.989117,24.600327,11.18474,-3.6632717,-6.6997766,5.0504327,14.549136,25.317776,36.67523,24.969292,35.99633,37.81358,29.060507,29.551197,48.19549,54.53129,38.019646,30.092705,29.784561,8.400763,-0.5765438,-4.0619493,-9.319538,-10.512018,-17.501068,-25.094133,-35.325726,-45.585175,-35.339153,-36.387856,-34.509956,-32.773827,-29.246342,-31.332785,-41.888554,-38.119823,-23.08944,-12.977398,-14.441091,6.1522484,-4.5131626,1.5700817,-9.0635,-7.9339266,-6.71345,-4.0199337,9.338212,4.3723106,-13.70421,-24.291718,-23.813856,-12.261444],"INDA^FMA_DIV_YLD(NTMA,-10AY,0,AM,\"PORTAGG\",\"MEANR\")":[1.66838813568916,1.61106047771105,1.64604985064358,1.55865821005529,1.58866855889442,1.5878206462726,1.54372246134438,1.61554382495664,1.54308187711936,1.59612365071495,1.58337096968439,1.47844129967979,1.50730326624187,1.49352584514868,1.6674945336881,1.73424927328639,1.56549963684379,1.54615575220477,1.67987302724151,1.66271082989992,1.75245541621816,1.76351615861387,1.76142421765654,1.88295515939835,1.75176918528782,1.72462445462487,1.70719648384464,1.62540443534734,1.54499737809849,1.53183066659167,1.53291856125277,1.55965357511255,1.67546427184686,1.67175479941672,1.65598610414733,1.6046014366382,1.55875853639209,1.56669565535325,1.55411992462682,1.60780577713089,1.56499121677194,1.55986216265484,1.51525499656593,1.52580713078238,1.54365562249043,1.54393960028084,1.47869181648237,1.5530933710853,1.56640018505552,1.60201673651181,1.61584629435933,1.59051530088537,1.58457568734656,1.5130489052456,1.49708581666888,1.67856663462639,1.66077088284993,1.64254045898453,1.67151552328573,1.66212765078401,1.59315828325734,1.58872858716687,1.73565803198857,1.67874966546443,1.75935614882917,1.81450611136586,1.80122368872902,1.84423838386469,1.76494864822712,1.67233148368505,1.64115735645432,1.65321535442251,2.02862717382321,2.15154372948333,1.94898998429022,1.71367760799264,1.59992673364602,1.53142318211819,1.5266176913237,1.48406147922768,1.46745047720839,1.36136681460281,1.30085762502028,1.31783394319182,1.34179624568277,1.40115216440109,1.41918726701077,1.38157012015208,1.38937113551499,1.34775058220678,1.28188239519363,1.25343702756574,1.32289753710989,1.36317413598227,1.31059071133936,1.47969505208766,1.49493874652065,1.45303128199067,1.70772016132584,1.68442480666998,1.6589795264226,1.46697742758943,1.46493695048086,1.54345448085783,1.48389185905566,1.43864178065758,1.50759197748781,1.54081379861908,1.6354574673298,1.59370634208739,1.59031191926619,1.53501034952885,1.46382642128637,1.50449103234213,1.48855642959191,1.49166311392,1.52997186873219,1.40034142915598,1.36266910284762,1.36162400337251,1.37851381027639],"TUR^FMA_PE(LTMA,-10AY,0,AM,\"PORTAGG\",\"MEANR\")":[9.21247366145261,9.72861982126586,10.0431067721084,10.2857069627281,10.6106683594271,10.4016007093914,10.5131102491627,10.2970016285988,11.1571192368584,11.4186440851666,12.1111529736482,12.1991769848505,11.6918908357789,11.6949060281181,11.8845976209972,11.4541142481822,11.5398224375478,10.9639085565603,10.2796156021628,11.0243647049337,11.4291238460324,9.62699136526328,9.78118265204885,9.4397744237744,9.80816692958209,9.90202770317696,9.59807221830603,9.43003540671061,9.77081942241238,9.52088886345407,9.46601867868515,9.34906706712831,8.86151807847329,8.94284161666545,9.27721060183414,9.98631786109163,9.82842294003037,9.71741067696934,9.73560341395201,9.71314399813474,9.76059733396984,9.64680679008272,9.44089474899492,9.11554732308356,9.15983896632164,8.77031608078435,8.91886399465183,8.81280069976752,9.16177431005328,8.88410006033291,8.57975151590845,8.15493396432951,7.74161226784388,7.57313127525988,7.36972791037923,7.52113058960596,6.94259479233053,6.63717414495642,6.67990511418466,7.32408868659014,7.46030929381178,7.30165887339977,7.08240829875758,7.21503157509292,7.47599510756931,7.78392767046034,7.96413847597759,7.50518969106143,8.39035874973709,9.05274463028896,9.90157270562768,9.65047107082019,8.23294093889418,8.14800669641747,8.47135264885918,9.65250694545761,10.0899602812712,10.0376977695123,10.6592710262538,11.4491012357493,13.1536731267089,13.2645016448167,14.5317471550249,13.0475500870068,11.9949781790852,11.3020080145902,10.802646629373,10.2516954877562,9.48814528196093,8.90862460965334,8.16304987145218,7.47377837243611,7.43396923209257,8.43596923872181,7.46334862838411,6.38940846968522,5.97750652969721,6.05379545410149,5.64811285923484,5.72974182860644,5.32922196123095,5.26390022178,5.25880847808617,5.08563883511697,5.32566581436093,5.17745299249804,5.05510286543309,4.37239145396154,5.00247458424297,5.00420869326829,4.90115934220668,5.10832294830713,5.70230223849257,6.44584349741846,6.69157540712428,6.71746892598912,5.84572388645803,5.87364159986045,6.10078744583011,6.6841926425149,6.53255679296386],"DDR3512M-FDS^FG_PRICE(0)/MAX(FG_PRICE(0,-1AY))":0.813886738668961,"PASP-FDS^FG_PRICE_CHANGE(0,-1AM)":19.5604395604396,"CPALM-FDS^MAX(FG_PRICE(0,-5AY))":8163.0,"TIOS-FDS^FG_PRICE_CHANGE(0,-1AM)":-14.0666150271108,"KSA^FG_PRICE_MAVG(0,,,,60)":43.231667,"SET-BKK^FG_PRICE_MAVG(0,,,,30)":1383.878,"GREK^FG_PRICE(0)":40.33,"EWT^FG_PRICE_MAVG(0,,,,200)":46.3257,"EPHE^FG_PRICE_MAVG(0,,,,60)":26.823767,"EWW^PERCENT_CHANGE(FMA_EPS(+1,0,,,,\"PORTAGG\",\"MEAN\"),FMA_EPS(+1,-1AM,,,,\"PORTAGG\",\"MEAN\"))":1.78408189657956,"EIDO^PERCENT_CHANGE(FMA_EPS(+1,0,,,,\"PORTAGG\",\"MEAN\"),FMA_EPS(+1,-3AM,,,,\"PORTAGG\",\"MEAN\"))":-3.17444905332896,"URTH^FMA_COS_UP(\"EPS\",\"1M\",+1,NOW,,,\"PORTAGG\",\"MEANR\")":593.0,"TUR^FMA_COS_DOWN(\"EPS\",\"1M\",+1,NOW,,,\"PORTAGG\",\"MEANR\")":18.0,"EZA^SIZE(FG_CONSTITUENTS)":33,"EWM^FMA_COS_UP(\"EPS\",\"1M\",+1,NOW,,,\"PORTAGG\",\"MEANR\")":11.0,"CNYA^FMA_COS_DOWN(\"EPS\",\"1M\",+1,NOW,,,\"PORTAGG\",\"MEANR\")":164.0,"EPU^FMA_RBICS_REV_CURRENT(30, LOC, \"PORTAGG\")":32.4825470100704,"EWY^FG_ROE(0)":5.32634835136052,"TRYIN10Y-FDS^FG_YIELD_NAME":"India Benchmark Bond - 10 Year","REFVNDISC-FDS^(SUBARRAY(NOT_NA(NO_REPEAT_F(FG_YIELD(NOW,-10AY,D))),0,1)-SUBARRAY(NOT_NA(NO_REPEAT_F(FG_YIELD(NOW,-10AY,D))),1,1))*100":-50.0,"REFCNRMB-FDS^PROPER_NAME(0,,,\"SECURITY\",\"NAME\")":"China Loan Prime Rate (LPR) - 1 Year","REFMXTON-FDS^FG_YIELD(NOW,,,0)":11.25,"TRYTH10Y-FDS^PCTCHG(FG_YIELD(0,,,,\"YTM\"),FG_YIELD(-1AM,,,,\"YTM\"))":-2.1943834,"TRYTW10Y-FDS^PCTCHG(FG_YIELD(0,,,,\"YTM\"),FG_YIELD(-3AM,,,,\"YTM\"))":-0.19819319,"TRYUS10Y-FDS^FG_YIELD_NAME":"US Benchmark Bond - 10 Year","TRYGR10Y-FDS^FG_YIELD(0,,,,\"YTM\")":3.331,"TRYPL10Y-FDS^FG_YIELD_NAME":"Treasury - Poland Benchmark Bond 10Y","CC_GR^IMF_IFS_RCPI_Q(0)":3.309465,"VWO^FG_PE_NTM(0,,,90,0)":11.8406596277676,"TUR^FMA_DIV_YLD(NTMA,NOW,NOW,M,\"PORTAGG\",\"MEANR\")":4.18868628008185,"QAT^JULIAN(FMA_DIV_YLD(NTMA,NOW,NOW,M,\"PORTAGG\",\"MEANR\").DATES)":45351,"EWZ^FMA_PE(LTM,0,,,\"PORTAGG\",\"MEANR\")":7.68517110512843,"CAGDPY@VN^EE_ACTUAL_ANNUAL(MED,0)":null,"USDCNH^FG_PRICE_CHANGE(0,-3AM)":1.2303472,"USDMXN^FG_PRICE_CHANGE(0,-1AY)":-10.892153,"USDPEN^FG_PRICE_CHANGE(0,-3AM)":-2.8557062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6],"MCHI^FG_TOTAL_RETURNC(-10AY,0,AM)":[-6.605017,8.156538,-2.1795988,5.5481195,2.8537273,6.1718106,-0.84445477,-6.5557537,6.0618877,-3.796965,6.7148805,2.3968458,-2.264005,22.124063,-2.3468852,-1.8436193,-11.026012,-5.2942276,-10.617333,5.9842467,-1.9316494,-4.329002,-9.223902,-7.6067686,13.047051,6.5327764,-10.538268,3.9350033,8.084738,5.986798,2.1262884,0.60988665,-6.7516685,0.6949067,4.095137,5.074489,0.9247899,1.7511725,4.8829317,3.7779093,6.5342903,2.8576374,6.246841,4.3423057,1.0935664,-1.2469888,10.946142,-3.0143023,2.7356148,-5.4370584,3.7004232,0.17060041,-7.890791,-6.5015435,-3.6920607,-5.3292036,0.018167496,0.88961124,-0.74721575,8.403516,3.0906916,6.5366983,-9.564811,-4.795104,5.8845162,-9.064674,11.666977,-3.3767998,2.1626353,5.1820517,8.881831,-3.2681704,-10.120338,2.540338,1.8245697,4.833138,14.71175,-0.8232713,2.1029353,5.1490426,3.6855698,-1.6483665,9.295809,12.291729,-12.274324,-3.5836875,-4.023552,4.584825,-4.188609,-8.98633,-1.5308917,-0.6133199,1.4064312,-8.5109825,-0.7635951,-3.0464828,-26.190477,14.570988,-7.450676,9.848452,-1.6486645,-3.6994278,-4.9419823,-15.891391,7.982993,13.71125,11.43744,-3.9532304,-8.425122,3.059721,-5.364454,2.3075223,-0.4269898,-2.4228156,-2.1973193,-3.010559,1.8299818,-5.982703,-3.795129,-1.7792642,5.460751],"MCHI^FMA_PE(NTMA,-10AY,0,AM,\"PORTAGG\",\"MEANR\")":[8.02896768402934,8.73002837713311,8.51808543184506,8.85154865551953,8.93823792604311,9.29485141858772,9.15122957491429,8.43133447776541,8.93568437376669,9.08631439665512,9.74365599421504,10.1782912535411,9.92807250081178,12.0834616607412,11.7829384991447,11.518781463985,9.93487288485087,9.6152858252699,8.80020613881501,9.35438318817162,9.4600885266505,8.99975949274616,9.13780668926094,8.44687337170201,9.75172458927963,10.4648669143856,9.46744278450773,10.6246486657292,11.3688965404897,12.0710779395762,12.2358096352522,12.1936352815595,11.4951445440845,11.6191601920255,11.7854980632747,12.2863873320623,12.4310331792781,12.1143429453847,12.8514905729206,12.9687884834143,13.296308132682,13.4345963475828,13.5287255721267,13.79458633379,13.8700794726823,13.3176783141996,14.0817043218966,13.1956825911653,13.5080446483444,12.4963869639861,12.8213252505799,12.6050203152299,11.8543917087891,11.2946388545486,10.9539378264986,10.2507903651405,10.297298023133,10.5638183611365,10.305917426258,11.3183815482332,11.6107449740628,12.2745204865546,11.3885013204683,11.0164985113921,11.3649790237517,10.6732447608397,11.6551444161778,11.1677656262629,11.1544077132348,11.9688459208433,12.6148843278179,12.3901467675149,11.2994416933626,12.2053246837354,12.5464538527775,13.6257403054629,15.24408441101,14.7849368974256,14.9928668567862,15.5270451250361,15.4103839788328,15.0541244503434,16.790518419908,18.7307881531174,16.7068358740484,16.0101395810573,15.0138384344541,15.971342077591,15.1969557804935,13.9535014769017,13.6687388453258,13.4496818681889,13.4851095252489,12.6551963286934,12.6068990795866,12.1673337349093,9.16753004380964,10.5954142617368,10.3251361667608,11.5205388488914,11.39549264283,10.841113253906,10.6385047636883,9.27477185576138,9.74491023027622,10.9036249842013,11.7672765914997,11.4004336356808,10.3436925972855,10.8796286965057,10.3372324978999,10.489098034622,10.5487076289107,10.436372964653,10.1955312442726,9.89910287442255,9.76489538375503,9.15921343218685,9.0002464149989,8.8337552483667,9.43179744988616],"BRENT-FDS^FG_PRICE_CHANGE(0,-6AM)":-10.1788890051261,"SPY^PERCENT_CHANGE(FMA_EPS(+1,0,,,,\"PORTAGG\",\"MEAN\"),FMA_EPS(+1,-1AM,,,,\"PORTAGG\",\"MEAN\"))":0.572270303705405,"VNM^PERCENT_CHANGE(FMA_EPS(+1,0,,,,\"PORTAGG\",\"MEAN\"),FMA_EPS(+1,-3AM,,,,\"PORTAGG\",\"MEAN\"))":-16.2178166647855,"REFMXTON-FDS^PROPER_NAME(0,,,\"SECURITY\",\"NAME\")":"Mexico Target Rate - Overnight","REFIDRREPO-FDS^FG_YIELD(NOW,,,0)":6.0,"EPU^FMA_PE(LTM,0,,,\"PORTAGG\",\"MEANR\")":16.9307243163051,"EIDO^FMA_EVAL_EBITDA(NTMA,0,,,\"PORTAGG\",\"MEANR\")":6.27465657013755,"DDR3512M-FDS^FG_PRICE_CHANGE(0,-1AY)":-18.6113261331039,"PASP-FDS^FG_PRICE_MAVG(0,,,,30)":973.4667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58035604142],"CC_PE^FG_COMPANY_NAME":"Peru","USDTRY^STD(FG_PRICE_CHANGE(0,-3AY,M))":7.643183865807,"USDZAR^FG_PRICE_CHANGE(0,-6AM)":-0.99710226,"INDA^P_PRICE_RETURNS_PR('52W',2,-10AY,0,AM)":[-4.0068808,10.62665,7.250726,25.675892,23.501598,35.043537,39.800476,22.875309,36.704266,24.729156,24.216366,41.171993,29.199446,25.091064,8.896446,-4.916626,6.2327027,0.87201595,-10.427022,-3.2008529,-14.538866,-10.882622,-14.104176,-25.462992,-17.181992,-16.652775,-10.242134,-3.235203,-4.579777,0.87521076,7.578063,2.0154595,0.14554262,2.8111577,8.419931,23.011827,18.719292,16.061354,21.416128,21.382952,17.36275,13.931823,17.90613,19.432808,29.070366,32.71631,35.77247,23.194515,14.0619755,11.563599,5.3709984,3.9430141,2.0915866,5.701375,1.3926506,-9.520817,-5.944723,-7.7425776,-12.237989,-8.6943035,0.9189725,2.3352742,-0.54083467,4.981208,3.1556368,-8.622724,-4.0198984,9.081459,8.710014,10.520959,12.7109165,9.829378,-17.234825,-25.905592,-19.707716,-20.143736,-11.560255,4.5878887,5.1487803,8.505451,7.7124715,9.777439,16.455746,20.934795,71.330666,58.052826,60.41286,60.769176,45.53882,40.247463,44.09592,42.448532,42.289925,24.001526,22.460604,7.564962,6.3745737,16.369665,2.9357076,-6.4590216,-4.9286366,1.5292764,-4.8065305,-14.816856,-8.810109,-3.777796,-12.091101,-7.6958537,-9.139782,-10.07613,2.2266269,7.962024,11.753321,-0.36094785,2.8487444,9.149957,3.8759708,12.49758,17.886246,27.07467,30.707287],"GREK^FMA_DIV_YLD(NTMA,-10AY,0,AM,\"PORTAGG\",\"MEANR\")":[2.22124337315801,2.5178541986393,2.14897018205945,1.8465032573854,2.03342687456729,2.1142066025714,2.11788315089588,2.57101215883882,2.76027028489975,2.91776273670971,3.50262937930002,3.13457538347492,3.44762764639271,3.50838315550434,3.16228049012725,3.53782357795729,3.27759557878818,4.05222967994315,3.58505887513906,3.01260472414683,3.24952868539919,3.0132612135167,2.7592567901473,3.05629215934296,3.3218555647814,3.5224828220311,2.33195585966464,2.66545143936522,2.92807508028154,2.93273466641607,3.37525168135015,2.96667025522828,3.06358763188456,2.82380844455531,2.89940595224256,3.0562899356639,2.98568079672089,2.61638791576216,2.55675524880693,2.72570196967489,2.41627671549985,2.57235747239553,2.72518654322254,2.80709457500134,3.13401860128422,2.70655641052157,2.48920846934425,2.74011499878973,3.1036445534908,3.13263021003849,3.09928872167719,3.35493128521084,3.43408596888465,3.67778322997011,3.91771371518073,4.17839444026252,4.24597185945442,4.17185436259898,4.23258237893049,4.26300800204959,3.80942824224324,3.51692035939744,3.8447898498907,3.27808321988235,3.35346955194263,3.46369746826675,3.40698808200386,3.27712241712804,3.24589711329204,2.98010725675619,2.92606619019645,2.81509875335234,5.06042120395656,4.46163005141956,4.61650690725459,3.73372655796033,3.72100421799783,3.55798710993901,3.49913858476647,3.73685499851385,3.81236581167354,3.34929939051998,3.24933147160234,3.38305111919347,3.21035353706751,3.33359002715565,3.09386480354302,2.95854733576836,3.19365291688309,3.06997040945139,2.99459430700753,3.08584291581439,2.95786515659004,3.24717622882642,3.09709896566791,2.94193747496773,3.35789308913532,3.14458146985832,3.60159754085578,4.1809657989191,4.40617718930837,3.9852960878911,4.4873812928542,4.50493899384669,4.41651314676082,4.39437537018105,4.5215096641713,3.96785190794368,4.18307594487291,4.16258700958573,4.23212464484961,3.92616840604968,3.96560890865014,4.44806229801121,4.60707759832339,5.12419852643436,4.56710930113343,4.46398958820702,4.46977326038597,4.48374257167416,4.91799617299815],"EZA^FG_PRICE_MAVG(0,,,,200)":39.4990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AE^EE_ACTUAL_ANNUAL(MED,+1)":12.6,"CAGDPY@PH^EE_ACTUAL_ANNUAL(MED,+1)":-3.15,"USDCNH^FG_PRICE_CHANGE(0,-1AM)":-0.3550172,"USDPEN^FG_PRICE_CHANGE(0,-1AY)":-3.174746,"USDIDR^FG_COMPANY_NAME":"Indonesian Rupiah per U.S. Dollar"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INDA^FG_TOTAL_RETURNC(-10AY,0,AM)":[5.300796,6.8118215,4.881239,6.134093,-1.125884,4.0885806,1.931262,-3.0507326,5.630994,-6.428343,2.8071165,7.8206897,-3.0652523,4.0388227,-8.696961,-5.8338823,8.714485,-1.1639178,-9.486425,4.7705054,-7.2093844,-1.9330859,-0.9093046,-7.3603096,8.777035,4.703629,-3.0679286,2.976632,7.203853,1.8887281,-1.0111213,-0.646919,-8.910215,0.67720413,3.650856,5.9652925,4.9812436,2.2099495,3.4658194,1.0448694,3.653264,-1.0898352,2.4419308,0.6395221,-1.559782,3.5211205,6.0377,-3.8513362,-2.8011203,-0.028824806,-2.2773027,-0.3244877,1.0573149,3.1671643,-1.7339408,-11.541796,3.8914323,1.5423298,0.8708358,0.030982494,7.4326396,2.075529,-5.676359,5.209577,-0.29233694,-8.986176,3.5443068,0.21393299,3.5376668,3.6818862,2.4250627,-2.5263727,-19.367706,-8.247966,2.213657,6.365347,8.631886,7.6319695,4.0995955,3.4130692,2.5387764,5.919194,8.656084,2.8947353,-0.32550693,-4.5719624,3.7399173,6.601596,-1.659292,3.9707541,6.6969633,2.2307873,0.7339835,-6.1453285,7.3058605,-9.620989,-1.4285803,4.394579,-9.381991,-1.9026458,-0.050377846,10.15625,0.83504915,-8.519572,7.8372955,-0.96595883,-1.3934076,-5.6523743,-2.9705524,3.3187628,2.888441,3.7292361,3.4595609,-1.7849028,4.083276,-1.7349958,1.3945222,7.253766,3.329885,1.7013669,-0.19681454],"EZA^FMA_DIV_YLD(NTMA,-10AY,0,AM,\"PORTAGG\",\"MEANR\")":[3.5219107054178,3.46205391673094,3.352187836406,3.29992202594308,3.27429833150023,3.25945631727153,3.30858388773458,3.56394794200137,3.2677030702789,3.52911390415587,3.37567680220687,3.11532541171267,3.11861639419267,2.97210848160543,3.10458915059767,3.2504039235629,3.18436739245357,3.33411551753361,3.44329911511151,3.27143633334217,3.43138686707996,3.70640326744389,3.70921969419091,3.63575503843073,3.35837112129019,3.19254608375922,3.42304672802185,3.23981498609376,3.02284080851604,2.92817376729665,3.08899568116665,3.26939243313961,3.47103612147026,3.28261432873203,3.14229714191575,3.16033066428275,3.18975853022481,3.10329201294973,3.04664051568232,3.39237244674436,3.24052773661599,3.19258565047354,3.30521216614033,3.21492508362021,3.22912313877035,3.51797598888915,3.37915916412181,3.40482356397432,3.21408929830071,3.33170007360039,3.28303185747819,3.43142682352249,3.60680977007109,3.62326718485162,3.70330520095861,4.00641014661227,4.08334220014079,3.95993230701144,3.72664852414132,3.84082865219361,3.97571577188611,3.72045176011363,3.85592358594799,3.77314540540769,3.81980014385069,4.11224401510139,4.14607932001004,4.23330826840753,4.12627632597326,3.7786938354417,3.68520592417349,3.68058012360266,4.959351010121,4.35186754395402,3.63451961685467,3.39812686555168,3.39279457621361,3.36304211344417,3.33920622523204,3.52915035259189,3.4523269067261,3.84137845865158,3.87948167856199,3.74005440052003,3.79234344244278,4.1445769942571,4.41592246348447,4.13151938427557,4.46462544962515,4.51918100347406,5.06813437530507,4.74744613220887,4.5848614279972,4.68238909727373,4.43312541947785,4.37156342293663,4.52375649546801,4.61349655616354,4.9366675255962,5.31178983576203,5.17469668080342,4.81959103674495,5.20594251401774,5.61229528581806,4.95178839736331,4.88594679438896,4.50293161785044,4.59675730105241,4.84003914851452,4.51639359179938,4.64378353625498,4.47874100855451,4.24899162872907,4.31003988925732,4.43783036533724,4.44734052823602,4.36196387191141,4.13481971812743,4.28649877328097,4.39278820936462,4.14459811515045],"INDA^FMA_PE(NTMA,-10AY,0,AM,\"PORTAGG\",\"MEANR\")":[14.5669770395672,15.133844991804,15.6786293714086,16.4712118835317,16.1602272737576,16.5635666483523,16.9048042640812,16.3406749315209,17.2647986030089,16.7367298844528,16.8661340122996,18.2959853256791,18.0691617227002,18.4373524521536,17.181583592491,16.7952121076109,18.406403513704,18.9000033514592,17.5287799996725,17.710571842406,17.0320463776481,16.8084900446704,16.5378874271755,16.0589903354751,17.0926374408214,17.4145323043427,17.3056538054798,17.4359125183157,18.1637303192196,18.2893483938436,17.8780961317698,17.5397090064338,16.5015353081847,16.3905845682344,16.6485017418741,17.6552156561466,17.8421002932313,17.9676856129516,18.2888388821151,18.1877280073671,18.6331469621154,18.5872474848182,18.9594386032357,18.681552832043,18.6072344496976,18.5848409716987,19.232751269771,18.5437588308818,18.303543572236,18.3025108121793,18.4498187823483,18.7400312593258,18.7447858548539,19.6187200945249,19.6788145998793,17.4636730223422,17.8770207673831,18.0621696518582,17.6943850013858,18.0449746791847,18.8712694158632,18.9764493768889,18.2441334955512,19.0228886412261,18.416721990809,18.1679027128288,18.2441798468564,18.1130940408346,19.118649339873,19.1540943109029,19.3414634440011,19.3218325284113,15.7705384783875,15.7333471461004,18.3857378594326,21.0585955809879,22.9605340593169,23.5289216786152,23.1301969933828,23.2443349699196,22.866874338936,24.060402296345,24.7064018241675,23.8366779640736,23.5553783536507,22.2710323265922,22.0895850622933,23.5400590727683,23.1157913038064,23.6350373475148,24.6444664306469,24.9469759431614,24.2547142866008,23.2775266913435,24.0096994158119,21.59780385687,21.4115115253853,22.1832567609024,19.8459098568304,19.9159361786194,20.2238029023528,22.6779828675507,22.8309278206665,21.3906592635237,22.6114024774996,22.8586074145465,21.7052189288639,20.9573421847193,19.7362827725201,20.3328370190212,21.0171807963284,21.579559079433,21.7161953911659,20.8328817988714,21.0318293849746,20.6080517162533,20.0274200906658,21.6518252969631,22.1933467376247,22.4022024282303,21.9167286089049],"PASP-FDS^FG_PRICE(0)":1088.0,"BRENT-FDS^FG_PRICE_CHANGE(0,-3AM)":0.0,"EPHE^P_PRICE(0)/P_PRICE_HIGH_PR(0,,,USD,,,\"PRICE\",\"INTRA\",\"52W\")":0.9964375,"SPY^FMA_PCT_ABOVE_MAVG(200,0,,,,\"PORTAGG\")":75.7455268389662,"REFINREPO-FDS^FG_YIELD(NOW,,,0)":6.5,"REFTWDISC-FDS^(SUBARRAY(NOT_NA(NO_REPEAT_F(FG_YIELD(NOW,-10AY,D))),0,1)-SUBARRAY(NOT_NA(NO_REPEAT_F(FG_YIELD(NOW,-10AY,D))),1,1))*100":12.5,"EWT^FMA_DIV_YLD(NTMA,NOW,NOW,M,\"PORTAGG\",\"MEANR\")":3.25029304585841,"EPU^JULIAN(FMA_DIV_YLD(NTMA,NOW,NOW,M,\"PORTAGG\",\"MEANR\").DATES)":45351,"EWT^FG_PRICE_MAVG(0,,,,30)":46.734333,"CC_PL^FG_COMPANY_NAME":"Poland","USDTRY^STD(FG_PRICE_CHANGE(0,-1AY,AM))":5.55483576745402,"USDZAR^FG_PRICE_CHANGE(0,-3AM)":2.2887945,"USDMXN^FG_COMPANY_NAME":"Mexican Peso per U.S. Dollar","USDPEN^FG_PRICE(0)":3.6705,"QAT^FMA_PE(LTMA,-10AY,0,AM,\"PORTAGG\",\"MEANR\")":[null,null,null,null,null,null,null,null,null,null,14.5855785759373,15.2387429046999,14.9701796284429,14.7320576120319,14.8974568910384,14.5368599336303,14.4791321797039,14.4817194211554,14.1205880410938,14.0837756867039,13.0074838536106,11.5361009461088,10.8382529751804,11.7515449416159,12.1173149460232,12.185096194248,12.1543642387797,12.1587647244963,12.596261870729,13.1153864692954,13.1298796097581,13.3057959587454,12.9663398786228,14.0903921090204,14.7930932153405,14.7081819732429,14.7421647582009,14.7111804226374,14.6498988853707,14.1470815108767,14.1502269146454,14.0480072485596,12.9924263479864,12.7668238918033,12.4421071918774,13.0836972042323,13.7047650128678,13.5191025079993,12.8039625269897,12.7288816153776,12.5920053862462,12.5926749155909,12.5214554413878,12.9836444859382,13.3484833960168,13.2214480010474,13.5657681243422,14.1804572164756,14.5331515608635,13.4500756827122,13.5478613019422,13.6042917375303,13.3331606499814,13.7105300268918,13.8698677738992,13.1782194931216,13.948194765188,14.1858936615779,14.2281336109643,14.1845707772281,15.1822306298822,14.0636917842066,13.5097992843941,13.7173482545077,14.0958668354231,14.7291339695454,15.3511444289283,15.9776694427585,15.8808583179183,16.7843391783019,17.4171423087536,17.4412784375025,17.9623179505492,16.9280799719194,16.8098418326003,16.6579828073769,16.4788147732522,16.0703666806427,15.6183866555814,15.5164012734328,15.2991365820047,15.6212165662394,15.7073135001793,14.9641410905288,15.3757734016575,16.2839216906819,16.2673341785345,16.1101098252416,15.6444914147818,14.9578588441034,14.4792369950417,15.5258318253344,14.6968275673013,14.178234544567,14.1186452379732,12.4671276270316,12.3739883823171,11.7297307454171,11.7149701810059,11.6646514799124,11.8964308390911,11.8237575806161,11.7837922634061,12.1465218073187,11.7051425172289,11.5392402206483,11.4456083173112,11.2495264757401,11.8077638944587,11.3384189511142,11.4530840940354],"DDR3512M-FDS^FG_PRICE_CHANGE(0,-3AM)":-3.39904279464993,"CPALM-FDS^FG_PRICE_CHANGE(0,-1AY)":5.5325371679259,"TIOS-FDS^FG_PRICE(0)":110.94,"FC0000ZA^FG_PRICE(0)":304.04913,"KSA^FG_PRICE(0)":44.45,"QAT^FG_PRICE_MAVG(0,,,,200)":17.703213,"EZA^FG_PRICE_MAVG(0,,,,60)":39.057335,"EPHE^FG_PRICE(0)":27.97,"EWJ^P_PRICE(0)/P_PRICE_LOW_PR(0,,,USD,,,\"PRICE\",\"INTRA\",\"52W\")-1":0.26587844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TRYCA10Y-FDS^FG_YIELD(-10AY,0,Y,,\"YTM\")":[1.79,1.39,1.72,2.04,1.96,1.7,0.67,1.42,3.3,3.0987],"CAGDPY@PH^EE_ACTUAL_ANNUAL(MED,0)":null,"USDCNH^FG_PRICE_CHANGE(0,-1AY)":4.65312,"USDCLP^STD(FG_PRICE_CHANGE(0,-3AY,M))":4.37416162228254,"EZA^P_PRICE_RETURNS_PR('52W',2,-10AY,0,AM)":[0.40445328,7.1364164,11.723936,22.68008,20.562422,19.280577,10.117245,-0.16487837,12.129235,3.2075763,8.0367565,19.909405,2.895701,8.556342,0.7757783,-5.5930614,-4.827052,-15.1776495,-17.596382,-5.675745,-21.867937,-22.189241,-34.685696,-33.545494,-20.233482,-20.279736,-27.382576,-19.13945,-11.076916,4.411769,3.3602,-8.680731,-2.535832,15.728569,41.72145,32.280422,19.998074,8.635855,22.898245,23.491085,10.392284,2.3678422,14.468729,24.531258,23.843813,22.109245,28.82105,30.119823,30.990612,19.645155,16.009665,3.1273603,4.209149,-5.345571,-13.523102,-16.321194,-12.131966,-15.552282,-19.073402,-24.378592,-25.942343,-12.566477,-15.803528,-8.611756,-3.8926482,-13.800657,5.262065,4.300642,5.5891275,2.7632117,0.26038885,0.11396408,-27.323568,-37.349354,-34.576626,-23.142242,-20.673847,-7.862234,-16.643446,-14.970893,-5.9530616,-2.7427375,-2.1698356,11.233544,67.19896,69.989944,69.66175,53.41401,32.92959,36.697067,29.751253,35.77794,20.493149,6.9518685,13.536512,6.7317247,6.04887,5.923152,-6.8249283,-17.364061,-16.549074,-1.3016939,-13.985455,-24.296688,-6.3531456,0.37925243,0.49159527,-11.899424,-17.644596,-14.618569,-7.8602133,3.3882737,11.380493,-9.725534,-0.06980896,7.074976,-2.6992083,-0.7892549,-13.857878,-11.056071,-1.0784507],"EZA^FG_TOTAL_RETURNC(-10AY,0,AM)":[4.0105224,4.3299556,6.9524407,-1.6853154,0.99282265,2.8929114,-4.6440067,-5.6623163,9.454214,-13.368374,7.751918,7.3542953,-9.866434,11.7112875,-0.7131636,-8.561987,2.5509,-8.297282,-7.363099,7.9847217,-12.194705,-10.915023,-9.553104,7.7538133,9.6694355,11.646509,-10.24794,2.5987267,12.776173,8.655251,-9.122926,-4.59494,-6.286269,5.779147,9.446371,1.7840981,-0.51345825,1.7618775,3.5327077,0.4222989,0.8139014,0.75706244,1.619637,3.2697916,-6.332535,4.297614,14.317727,3.8395166,0.15233755,-7.0519867,0.38679838,-10.729104,-0.7507682,-6.063181,-7.1596503,-2.1226883,0.41782856,0.23776293,9.551155,-2.967745,-1.9186914,10.323453,-3.8448036,-3.103888,4.976964,-16.231138,14.784706,-4.2105255,1.6583443,0.21619797,4.0448546,-3.109455,-28.219944,-5.663186,0.41074753,14.946497,7.2971106,-2.7020037,3.8451195,-2.2885025,11.710525,4.3136835,4.6577334,11.01371,-0.97185373,3.7006736,0.21687746,3.9386034,-7.0296106,-0.45201778,-0.92879534,2.2500038,-2.7098656,-5.6535187,11.1011505,4.3601155,-1.6054213,3.577745,-13.873595,-5.646169,-6.1127067,16.861652,-13.014144,-10.007506,20.350288,1.1291742,10.551941,-7.9504848,-8.021879,7.383549,-9.575457,8.822191,1.145041,-5.283022,-3.7101626,-0.5171895,6.0046673,3.1142712,-4.6750903,-4.294014,2.296114],"EWZ^FMA_DIV_YLD(NTMA,-10AY,0,AM,\"PORTAGG\",\"MEANR\")":[4.63068819986451,4.16135313420721,3.98726552692452,3.97042451058872,3.81698799047361,3.89303342385143,3.7748665658475,3.60200008007537,3.9182979625018,4.37648736763919,4.23004151913473,4.00110050249192,4.17352112982094,3.64930804598889,3.59239743016661,3.8998296508807,3.8055629911909,4.06983560340434,4.29466719427669,4.09906018077773,4.02668406608447,4.10061426854432,4.74282948051775,4.45503016170433,3.42112577690247,3.12005870650015,3.39823890859019,3.51806104396819,3.01594570874003,3.02189153580602,3.15409965433616,2.96234672653064,3.19291994945229,3.5971249084706,3.37457182235886,3.32025851859382,3.60167016878176,3.75195816310868,3.47426783770299,3.68087715312374,3.4986923672552,3.37763083316335,3.149551240291,3.11856475015308,3.51120993957878,3.63480974062001,3.33585135823823,3.39362816146554,3.40273936587672,3.62492784565404,3.72276127879771,4.46865253065924,4.26199217603315,4.27444142189004,4.47892041839684,4.14014293020204,3.95948868262032,3.95776451084337,3.76356877674984,3.43583641111345,3.4414751770507,3.51932897618861,3.55586912690063,3.17015161480865,3.08060104397797,3.3619539953146,3.24366821246284,3.26320155606786,3.30129810516766,3.17991689170033,3.09560288697388,3.13253684045097,4.36690688471448,4.0760990803131,3.74092653881303,2.9634014709945,2.73566710946756,2.78056682663781,3.19680959762411,3.42814633871571,3.44699616681848,3.40633335764649,3.34313762716899,3.72816514174508,4.20273381972284,4.54676772912109,4.78980438872689,4.63359738237213,5.12862682237942,5.64768939930458,6.2580528324232,6.59762797377801,7.50665478593029,7.53554098365702,7.22147848578328,6.75676061142067,8.98338969825583,8.59960871064865,9.14384940072895,10.6932290588309,11.680327763721,10.5424071592444,10.4449112579662,9.66874029379336,8.25900131728285,7.41078916883097,6.68936489201786,6.59207120483634,7.03876375177375,6.52603040085225,6.63984130574988,6.08599666040487,6.09728508263912,5.95331327240488,5.84059801081946,6.15975477746228,6.17082798697218,5.86956644329022,5.72121142229653,5.93904530300397,6.26373795914706],"GREK^FMA_PE(NTMA,-10AY,0,AM,\"PORTAGG\",\"MEANR\")":[14.8773174941734,14.2822412871312,16.7995341855523,10.6300676836861,8.93100209950873,7.9304798869945,8.00745408266854,6.48998716925843,6.44394615289409,5.33095899244536,4.36300120189928,4.90392460148274,4.75282815547673,5.02956148365051,5.23124565802938,5.29075535367418,4.86311227925345,4.55845141909565,4.28919412675247,3.88311989980699,4.33787298239576,3.80174295482332,9.30805724607813,7.87327717513449,8.84793161686471,8.49746197133462,10.6336572759388,9.20940607444823,9.00878159706093,8.77468305105581,8.24198255653133,8.98567518366788,8.52845927379323,9.35815461606673,9.33999565609456,8.90036266060179,9.16810248427301,10.8061216753758,13.8288034554469,13.5808251761614,13.1750608389954,12.5461049864466,10.9968435958071,12.0225616718787,11.5112167570446,13.876378160216,14.4075328570669,13.9542414347827,14.1340517165967,14.0434838680451,14.3811715165458,14.7692613819955,14.7195261717513,14.5399235671052,14.3268449550587,12.5395606993708,12.0023108011644,12.2420815302886,11.3527312981172,11.7815230634283,13.0265062891901,13.9243263292703,12.6882447936149,13.7060791901535,14.0021465320807,12.2530020014573,13.7920059633106,12.1888198135705,11.8265480444808,11.3299002760061,11.2293025813426,11.12957209573,6.53792069679476,7.97587218547892,9.67913373321972,13.0525709776208,13.0788341739456,12.2556109518276,12.4530619074224,10.8550471658322,10.1440530824782,11.9653299342572,11.3702965177361,11.3856133428714,12.2678128591184,12.2429537703195,7.05934387625871,13.3712083471671,11.7206219687679,11.0108537630575,10.5682945401633,10.4432837588326,11.069902310691,9.61647849317271,10.182049945153,10.1874264063638,9.10209121245686,10.3132839301189,9.07318864212,8.43302776288301,7.67707638204258,8.21791572639217,6.8124094239043,6.77293809046786,6.91810944599504,6.73058387129198,6.47849931671539,7.85100665147149,7.47866676378827,7.27456204650429,6.94456036477689,7.83178436919911,8.20362476136664,7.37014722647376,6.77692193445761,6.47392602363031,6.7818720591821,6.66652965203059,6.86175567502139,7.05145656965813,6.96236107465269],"DDR3512M-FDS^FG_PRICE_CHANGE(0,-1AM)":-0.836157475346266,"NI-FDS^MAX(FG_PRICE(0,-5AY))":48241.0,"BRENT-FDS^FG_PRICE_CHANGE(0,-1AM)":0.0,"EWT^P_PRICE(0)/P_PRICE_HIGH_PR(0,,,USD,,,\"PRICE\",\"INTRA\",\"52W\")":0.96612877,"EPHE^FG_TOTAL_RETURNC(0,-6AM)":14.586269,"REFAEREPO-FDS^(SUBARRAY(NOT_NA(NO_REPEAT_F(FG_YIELD(NOW,-10AY,D))),0,1)-SUBARRAY(NOT_NA(NO_REPEAT_F(FG_YIELD(NOW,-10AY,D))),1,1))*100":25.0,"REFINREPO-FDS^PROPER_NAME(0,,,\"SECURITY\",\"NAME\")":"India Repo Rate","EWY^FMA_EVAL_EBITDA(NTMA,0,,,\"PORTAGG\",\"MEANR\")":6.61469776487503,"EWT^FMA_PE(NTMA,0,,,\"PORTAGG\",\"MEANR\")":17.4028176223552,"USDTRY^FG_PRICE_CHANGE(0,-6AM)":19.176579,"USDZAR^FG_PRICE_CHANGE(0,-1AY)":3.051746,"USDTWD^STD(FG_PRICE_CHANGE(0,-3AY,M))":1.76667588702903,"USDPLN^STD(FG_PRICE_CHANGE(0,-3AY,M))":3.51385786209571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8,0.621885469021717,0.869531876625146,1.21959709581891],"EWZ^FG_TOTAL_RETURNC(-10AY,0,AM)":[-3.7647605,20.813084,5.1428556,-0.080519915,2.3267508,-2.7911663,-1.239413,-1.0248959,-16.990704,-9.241337,2.386725,-2.827835,-16.376602,17.297852,7.068062,-9.372455,-0.11044145,-19.627022,-9.585392,-0.5048394,-1.772511,-3.619337,-13.962925,1.5223145,31.334019,12.401569,-2.6269674,-4.9640236,22.023571,7.687497,-7.22577,12.761963,-10.180301,-2.7177274,15.536642,8.458543,-5.9774218,-1.527971,10.113609,-13.638658,8.188963,3.340578,12.115633,1.5939951,-12.921083,1.510334,14.047813,4.533887,1.1285782,-7.155365,-4.195142,-19.6064,5.8828473,1.908958,-10.028821,23.670732,0.8028984,-1.515919,13.841796,2.9548645,-2.3502827,-6.6882668,-3.3482134,8.39107,11.079514,-10.748982,2.2490978,-0.3547728,0.8307576,7.556498,3.9857268,-6.3220797,-33.65253,-11.340213,-12.286824,34.290768,2.47581,-0.16250014,1.139319,-6.2117815,7.481122,16.558945,6.569147,-6.682211,-7.604766,3.154099,9.172976,10.603619,-1.3712108,-8.167821,-5.379838,-7.228565,-4.958427,-2.4449825,4.04253,12.573004,-0.73238015,14.478958,-14.3662815,-5.38885,-11.180555,25.05864,-3.5636127,-0.7779598,0.6533742,-7.5318756,11.484707,-4.0664196,-5.8636546,10.168862,1.4986277,11.53096,-0.5856931,-4.0620146,4.7188163,-6.6975355,10.42012,5.0329566,1.4866114,-5.212581,-0.4608214],"INDA^FMA_PE(LTMA,-10AY,0,AM,\"PORTAGG\",\"MEANR\")":[16.3435605764142,16.408634005753,16.5977243766699,17.0428779855582,17.0244403808653,17.5010249364806,18.016921615677,17.8816411532363,19.10737427328,18.91810425499,19.2930548169964,20.8930555822602,20.9008192073555,20.8440572938226,20.2804738693855,19.9794491624641,20.8178964339391,21.2542191390868,20.3267123075261,20.5943376764679,19.9916852293833,19.8714505239282,19.606720673605,18.8339802935087,18.9504251891505,18.97388253854,18.9096487964179,19.0062060073793,19.5158753000353,19.7647830153987,19.7067088170513,19.6545895938301,19.0107195677498,19.0167837441775,19.4076076398743,20.395874325018,20.4949975864785,20.3854807085872,20.4281537885422,20.3665738757046,20.6393410213898,20.7261803067233,21.2027217082358,21.258725898239,21.5488708490117,21.8764465791402,22.9610677939948,21.9145780149354,21.6192568913077,21.4156195768308,21.3272308543434,21.3383852074684,21.32682597979,22.0408466988385,22.3472247740354,20.5938307951869,21.208984510464,21.5986787729737,21.2053019514029,21.5083894939855,21.7352787146792,21.6109901266641,21.256587580275,21.5139307896993,21.1852733072063,21.0422861171735,21.2244811719438,21.3395238757717,22.7710570357151,23.1122560330704,23.6820793834942,23.421718721896,20.7569166903154,20.3395759817529,21.1214214407651,22.4857825689086,24.1444520119302,25.3737151756577,25.8858675351158,26.9504064423009,27.2615949115341,32.2879872684609,34.5283182160349,32.9051687547781,30.9525268489323,29.9397727804924,29.2370149134711,29.3504189002294,28.7589489195407,28.8689725359804,29.4550519485067,29.8072823559612,29.4342499809296,28.6372383408708,29.6231253513594,26.662732335436,26.2414689134098,26.0937508200611,24.9382375752571,24.5189258919902,24.3218307227484,25.8331971534606,26.0221734831752,24.9351976754863,26.3499759752429,26.9577018320288,25.7300989112503,25.1256476386808,23.9357835332376,23.8082798494085,23.8983657689622,24.0748335205519,24.1949662714211,23.6854515745175,23.8822542970345,23.6427015210267,23.1756047329544,25.191324829501,26.0132413390699,26.1658931944354,25.964101093379],"CPALM-FDS^FG_PRICE_CHANGE(0,-6AM)":18.3060109289618,"EZA^FG_PRICE_MAVG(0,,,,30)":38.45767,"EWT^FG_PRICE(0)":48.49,"EIDO^FG_PRICE_MAVG(0,,,,200)":22.42475,"EWJ^P_PRICE(0)/P_PRICE_HIGH_PR(0,,,USD,,,\"PRICE\",\"INTRA\",\"52W\")":0.9624416,"SET-BKK^FG_TOTAL_RETURNC(0,-3AM)":1.159596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357744,16.6004077805652,20.3585186127796,19.4095239083521,18.6294532976694],"CAGDPY@TR^EE_ACTUAL_ANNUAL(MED,+1)":-3.0,"FC0000QA^FG_PRICE(0)":103.64228,"VNM^FG_PRICE_MAVG(0,,,,200)":13.546625,"QAT^FG_PRICE_MAVG(0,,,,60)":17.726627,"KSA^FG_TOTAL_RETURNC(0,-6AM)":13.365316,"TRYGB10Y-FDS^FG_YIELD(-10AY,0,Y,,\"YTM\")":[1.8155,2.0248,1.2817,1.2536,1.3339,0.822,0.197,0.966,3.662,3.534],"CAGDPY@ID^EE_ACTUAL_ANNUAL(MED,+1)":-0.5,"USDSAR^FG_PRICE_CHANGE(0,-3AM)":-0.026661158,"USDZAR^FG_PRICE(0)":18.74125,"USDPLN^FG_PRICE_CHANGE(0,-3AM)":0.32470226,"USDCLP^STD(FG_PRICE_CHANGE(0,-1AY,AM))":3.70408120923397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186911984065,14.9222387957437,18.5559440164475,21.0697600284775,24.0547118010978],"EWZ^P_PRICE_RETURNS_PR('52W',2,-10AY,0,AM)":[-27.90528,-11.252564,-5.693549,6.197238,21.69025,13.361418,6.778395,-3.0531228,-15.363741,-17.138218,-12.728196,-10.717308,-22.864038,-24.897783,-23.522627,-30.198687,-32.286716,-44.014156,-48.745365,-48.47605,-39.59906,-35.253357,-45.592445,-42.21707,-10.725331,-14.451861,-20.668077,-18.413723,-0.33543706,31.091953,37.02024,55.29071,41.99859,43.32694,97.33817,105.61943,47.203804,27.31142,39.607918,32.523598,17.49853,12.755585,36.262657,23.52097,19.021023,24.193895,20.977795,18.157375,27.087414,19.824743,4.254067,-2.950102,-4.3171287,-6.334591,-24.83486,-7.260108,5.919373,2.761662,2.5760412,1.0265827,-2.4487674,-3.8390517,-1.0912776,33.354176,42.621696,22.522472,41.50883,12.191879,12.2228985,20.982754,11.950005,1.8625379,-31.64441,-34.24054,-40.322136,-26.995594,-31.789185,-23.698378,-24.526531,-28.962755,-24.134571,-17.939484,-15.900779,-16.69889,37.226402,35.73885,68.948555,39.148224,33.924507,23.06578,15.245735,13.996339,2.704668,-15.632284,-17.632538,-0.636816,6.75385,18.473911,-5.789149,-20.507652,-28.413736,-2.115661,-0.64134,6.2672853,12.541925,6.6735625,15.574408,-2.5913298,-7.6265097,-11.10434,8.076107,24.207855,39.024044,6.651461,15.811205,5.556929,19.469048,35.702835,22.618687,22.056938,29.062223],"EWY^FMA_DIV_YLD(NTMA,-10AY,0,AM,\"PORTAGG\",\"MEANR\")":[1.33273849560137,1.27683905590417,1.25235303397216,1.27375790691183,1.30609383498119,1.27202549670703,1.30897466574384,1.44847206060988,1.41431671786864,1.40968929280148,1.52147159695436,1.59302836715794,1.57185310079036,1.49928550887426,1.56470057204472,1.65914795788625,1.69927565531512,1.80035236260379,1.84502872465796,1.73547068726241,1.88532216255562,1.9567298571455,2.0354206682544,2.03525749027914,1.9203564877105,1.89601171826371,1.99365186829439,1.97631003219072,1.93467163128494,1.89227041553592,1.92558389281671,1.92378523373096,1.99935890495358,1.94521368203287,1.94824295220032,1.94167939290855,1.88446976411712,1.93029248743443,1.82743434348034,1.76601332222216,1.74704104827227,1.85427980479096,1.82244112845097,1.7282852484048,1.96860387096641,2.05147340887382,2.01784460328874,2.14587409623273,2.15565748662929,2.21752916992962,2.22771442582204,2.24880784637422,2.35077962642377,2.4208895574748,2.39905830622676,2.55433660659001,2.64032455251914,2.62350388963008,2.64151571376021,2.4281797737499,2.53884346009395,2.44473969315794,2.56795941253352,2.55875169862424,2.53233775905414,2.70052564304273,2.52922394368072,2.49722828873076,2.40177058292798,2.34696599981194,2.27853144168002,2.23303606937868,2.82797371926543,2.6378255481076,2.49475527294614,2.26684797360119,2.22430088870073,2.05147211136227,2.09232893784493,2.11929809062653,2.0467025546327,1.83393431134527,1.62221173386897,1.64409902096544,1.67301186186107,1.65754919687527,1.7544705770614,1.67665061208404,1.69033768523892,1.79414633524371,1.8281098603997,1.95725707282417,1.9835365942657,1.94259150510812,2.00041667816747,2.24233790267187,2.29323951346062,2.24748304747134,2.36847277423169,2.47535268335747,2.67675531473551,2.46930625216271,2.63869964335127,2.78013258182052,2.47992174429933,2.5012219061916,2.50813608814379,2.45144890300598,2.54120244487781,2.29768742105027,2.45647452750394,2.29100589416551,2.31601133046611,2.40049181378119,2.36775354175241,2.50212224176044,2.49021991360932,2.33295332571219,2.36935893995466,2.24480535050944,2.21995098884226],"EZA^FMA_PE(NTMA,-10AY,0,AM,\"PORTAGG\",\"MEANR\")":[13.9027299710442,14.0410827818258,14.5202935793407,14.7424095977275,14.9741669793012,15.139191691464,15.0168085490227,14.1291934965403,15.3639008384324,14.6351312977917,15.6191018846595,17.0521509426662,16.4052494126541,17.5273582531545,16.9990420236462,16.051691361667,16.2363892506922,15.2987823857785,15.0643360739195,15.9084720813616,14.8822465419192,13.6617836854572,13.2031098711708,13.7753518739223,14.4610188346088,15.2231009229081,14.1017462196182,14.3160233820098,15.1366903646411,15.9158521618662,14.9969691397401,14.4267918254388,13.5450076559521,14.404824313013,15.1473644586294,15.1071575791228,15.7670430258875,16.1202509183228,16.2437575673658,15.0064154934923,15.5208354643384,15.7340710630133,15.3306650296091,15.7000025806314,15.4365453949821,14.3158135679777,14.9065478088539,14.7472975092669,15.3453436712026,15.0589038472002,15.3050950159639,14.576893510695,13.8747986661635,13.5641266441526,13.1105881583741,12.349881143335,12.1114295262136,12.378624267901,12.9451330763095,12.8158780495807,12.7958819826053,13.5129561040861,13.209376364923,13.1427880681106,12.997689065827,11.8179218651561,12.0893957045725,11.7824873183447,11.8752692499017,12.1307123325937,12.4009919768537,12.0501300691388,8.7978974037101,9.73958883565655,10.2016262661469,11.2484439811231,11.7383850758173,11.3862806143265,11.0390480237033,10.5070472237156,10.530608295555,9.88747085594598,9.88898326906276,10.5311840636113,10.3672709884222,9.87876680343068,9.44727641178314,9.80095794356332,9.44209291233494,9.52863234403127,9.01235542408466,9.51453824193464,9.60267968882927,9.5114859135547,9.95040773161897,10.0296184366827,9.66375358953648,9.40007264055272,8.85370822854222,8.26074388523216,8.35749228710744,9.116780093368,8.36006771188771,7.99694856699614,9.00622655464056,9.02275634782322,9.70943016479454,9.24168783514838,8.63157864222471,9.18149327540943,8.91221042668389,9.28980857541472,9.92542734007756,9.7497526493125,9.57841405808904,9.50321124540331,9.6976655876936,9.98896488883105,9.58384974893767,9.29896914782307,9.55971566273369],"DDR3512M-FDS^FG_PRICE_MAVG(0,,,,30)":0.96949035,"NI-FDS^FG_PRICE(0)/MAX(FG_PRICE(0,-1AY))":0.695184025058731,"BRENT-FDS^FG_PRICE_MAVG(0,,,,30)":85.86,"EZA^P_PRICE(0)/P_PRICE_HIGH_PR(0,,,USD,,,\"PRICE\",\"INTRA\",\"52W\")":0.86085504,"EWT^FG_TOTAL_RETURNC(0,-6AM)":18.160212,"TRYKR10Y-FDS^FG_YIELD_NAME":"South Korea Benchmark Bond - 10 Year","REFAEREPO-FDS^FG_YIELD(NOW,,,0)":5.4,"GREK^JULIAN(FMA_DIV_YLD(NTMA,NOW,NOW,M,\"PORTAGG\",\"MEANR\").DATES)":45351,"EWY^FG_FCF_YIELD_NTM(0)":4.87320324237773,"VNM^FG_PRICE_MAVG(0,,,,60)":13.047417,"EIDO^FG_PRICE_MAVG(0,,,,60)":22.31,"KSA^FG_TOTAL_RETURNC(0,-3AM)":8.76609,"EWJ^FMA_PCT_ABOVE_MAVG(200,0,,,,\"PORTAGG\")":66.6666666666667,"UAE^PERCENT_CHANGE(FMA_EPS(+1,0,,,,\"PORTAGG\",\"MEAN\"),FMA_EPS(+1,-1AM,,,,\"PORTAGG\",\"MEAN\"))":2.30490241258324,"GREK^PERCENT_CHANGE(FMA_EPS(+1,0,,,,\"PORTAGG\",\"MEAN\"),FMA_EPS(+1,-3AM,,,,\"PORTAGG\",\"MEAN\"))":0.874820024807654,"EWT^FMA_PCT_ABOVE_MAVG(200,0,,,,\"PORTAGG\")":65.5555555555556,"ECH^PERCENT_CHANGE(FMA_EPS(+1,0,,,,\"PORTAGG\",\"MEAN\"),FMA_EPS(+1,-1AM,,,,\"PORTAGG\",\"MEAN\"))":5.46729768169576,"VGK^SIZE(FG_CONSTITUENTS)":1291,"SET-BKK^FMA_COS_UP(\"EPS\",\"1M\",+1,NOW,,,\"PORTAGG\",\"MEANR\")":55.0,"EWZ^FMA_COS_DOWN(\"EPS\",\"1M\",+1,NOW,,,\"PORTAGG\",\"MEANR\")":24.0,"EPOL^SIZE(FG_CONSTITUENTS)":33,"ECH^FMA_RBICS_REV_CURRENT(30, LOC, \"PORTAGG\")":31.8032529247926,"EPHE^FG_COMPANY_NAME":"iShares MSCI Philippines ETF","CAGDPY@TH^EE_ACTUAL_ANNUAL(MED,+1)":2.4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185242621126],"CAGDPY@TR^EE_ACTUAL_ANNUAL(MED,0)":-5.10095096617123,"USDTRY^FG_PRICE_CHANGE(0,-3AM)":10.791063,"USDCNH^FG_COMPANY_NAME":"Chinese Offshore Renminbi per U.S. Dollar","USDTWD^STD(FG_PRICE_CHANGE(0,-1AY,AM))":1.4730634504697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492003,42.8018507697772,51.3050657310546,35.3894151466099,41.6875079834502],"EWW^FG_TOTAL_RETURNC(-10AY,0,AM)":[-6.474483,8.084893,4.223156,0.672853,4.00604,1.3753533,0.14132261,-6.7598104,-0.499475,-14.161849,3.7605524,1.8438697,-3.0964434,3.9986014,1.4942884,-3.5897493,0.177145,-6.3481092,-3.8865387,4.235339,-2.5739968,-6.586152,-4.7532024,-2.7335346,12.613416,4.1854978,-4.545456,-5.8684053,7.942629,4.190433,-9.969789,4.8238277,-11.724692,2.3118734,-5.0847826,8.698713,1.8766165,8.384502,1.7386317,4.0130496,6.479776,-0.59596896,-1.0227442,-7.1441355,-5.2187204,1.2550592,2.3810148,1.6374111,0.1552701,4.399228,-12.028956,-5.3386745,13.463092,0.8756161,0.65101385,-4.5276403,-16.403198,-1.1051118,11.456263,-2.4960637,-1.8911421,9.332382,-4.4291496,-0.24747252,0.12811422,-12.135136,12.869477,2.3638368,-0.20375252,3.7885666,2.4284244,2.7789712,-27.981556,-16.35623,2.853167,11.8064995,-4.784298,10.622013,-0.74971914,1.9465446,11.6272335,7.70272,7.5002313,-5.1751137,3.1051636,4.928136,2.4353147,4.762697,-2.225852,3.6340833,1.612246,-2.895677,-0.3676474,-2.5960743,9.434366,-2.9451966,-1.9895434,7.97621,-7.1401415,-5.5257025,-2.4175763,9.594595,-4.5211673,-2.690488,18.513607,-3.5704494,11.949432,0.740993,-0.8756578,5.742049,3.7928104,3.9187431,-0.2652943,-3.004223,-2.774644,-9.009457,12.016773,10.402083,-0.65761805,1.461947,-0.07427931],"GREK^FMA_PE(LTMA,-10AY,0,AM,\"PORTAGG\",\"MEANR\")":[33.2028968869599,31.4666492672816,31.4012206783914,26.7651744711894,24.0105764808166,21.5034832287741,20.3590947290432,17.4508150422636,17.0494708771725,16.9396245526736,12.7656935211673,16.2129250224884,17.5792341724893,16.3735053013316,15.2955155970649,14.3131113482754,13.2126328268216,12.0881335666416,11.5361231172212,10.5596077392494,12.1313066140294,-2.42449030748667,-1.19020289192977,-0.422211141953098,0.348568128994263,1.29433245115198,3.27870653993332,3.9387210493191,5.19739048034578,6.36105651861347,7.84243232950668,10.716514689107001,11.4771142800558,14.5160051155324,14.7359539321522,13.7672255485622,14.2026780719532,14.2927556118524,15.3184253893214,15.391839082185,15.412385527844,15.3455569602399,14.2720685488566,16.1800079014974,16.1760689357148,19.8236621316939,21.5256137530066,24.0662827228632,23.5162247264027,22.7687592395262,22.1223539040304,21.7470236034057,21.3611249528848,21.0893309810597,21.5260572218734,19.4241364092104,18.3769528598267,19.8386393654252,15.1931795659121,17.6213409695671,18.6462568634714,18.4990148805796,17.7328421824681,17.8539371815203,18.2245008913947,17.0650127528562,19.7039094126458,16.9449491081537,15.5857516361204,16.8410858756401,19.0303745601397,16.2348143414572,11.9270254872576,11.8470389741375,12.0323725973557,13.8530020154457,14.95970763554,15.0224459200167,16.3208669565181,15.4050576716642,14.8937839357975,19.1913737650954,17.7995512891729,17.4117084320068,17.7040360572202,17.2827135612393,15.0000417967265,17.588376159427,16.3539595433362,15.802067843872,14.5442946886226,14.0393645865878,16.1810599283195,12.7778160195022,13.6498500862174,-230.049630557994,-91.8350312960867,-80.6586729542512,-70.9208164564836,-60.0288045395365,-50.1210256939371,-39.8166400722566,-29.9897509040782,-19.7420528465599,-9.71622030403623,0.472826552873398,6.22392285761716,7.79815617266613,7.74912825024862,7.66678701228683,7.50654263931306,7.84766732896036,8.09236020674968,7.56268414916399,7.10265575695624,6.76451681988654,6.70356750276068,6.40302305982271,6.49381796753923,6.74128332857173,6.74934198873357],"DDR3512M-FDS^FG_PRICE(0)":0.9630008,"CPALM-FDS^FG_PRICE_CHANGE(0,-3AM)":20.2443765620661,"FC0000ID^FG_PRICE(0)":1119.6068,"QAT^FG_PRICE_MAVG(0,,,,30)":17.680754,"EZA^FG_PRICE(0)":38.76,"EWM^FG_PRICE_MAVG(0,,,,200)":21.02475,"EWJ^FG_TOTAL_RETURNC(0,-6AM)":10.567403,"QAT^P_PRICE(0)/P_PRICE_LOW_PR(0,,,USD,,,\"PRICE\",\"INTRA\",\"52W\")-1":0.14750957,"EWT^FG_TOTAL_RETURNC(0,-3AM)":8.97311,"EIDO^P_PRICE(0)/P_PRICE_LOW_PR(0,,,USD,,,\"PRICE\",\"INTRA\",\"52W\")-1":0.15066433,"UAE^FMA_RBICS_REV_CURRENT(30, LOC, \"PORTAGG\")":59.5915280201604,"EPU^FG_ROE(0)":9.74878532237639,"REFAEREPO-FDS^PROPER_NAME(0,,,\"SECURITY\",\"NAME\")":"United Arab Emirates Repo Rate","REFEUREFI-FDS^FG_YIELD(NOW,,,0)":4.5,"REFMYON-FDS^(SUBARRAY(NOT_NA(NO_REPEAT_F(FG_YIELD(NOW,-10AY,D))),0,1)-SUBARRAY(NOT_NA(NO_REPEAT_F(FG_YIELD(NOW,-10AY,D))),1,1))*100":25.0,"REFCLMPR-FDS^PROPER_NAME(0,,,\"SECURITY\",\"NAME\")":"Chile Monetary Policy Rate","TRYCN10Y-FDS^PCTCHG(FG_YIELD(0,,,,\"YTM\"),FG_YIELD(-1AM,,,,\"YTM\"))":-3.3743703,"TRYPE10Y-FDS^PCTCHG(FG_YIELD(0,,,,\"YTM\"),FG_YIELD(-3AM,,,,\"YTM\"))":5.562096,"TRYVN10Y-FDS^FG_YIELD_NAME":"Treasury - Vietnam Benchmark Bond 10Y","TRYBR10Y-FDS^FG_YIELD(0,,,,\"YTM\")":11.068383,"TRYID10Y-FDS^FG_YIELD_NAME":"Treasury - Indonesia Benchmark Bond 10Y","CC_MX^IMF_IFS_RCPI_Q(0)":4.4145546,"VGK^FMA_EVAL_EBITDA(NTMA,0,,,\"PORTAGG\",\"MEANR\")":8.77211211193518,"VNM^FMA_PE(NTMA,0,,,\"PORTAGG\",\"MEANR\")":16.593747336516,"SET-BKK^FMA_EVAL_EBIT(LTMA,NOW,NOW,M,\"PORTAGG\",\"MEANR\")":19.1330488387897,"MCHI^FMA_DIV_YLD(NTMA,NOW,NOW,M,\"PORTAGG\",\"MEANR\")":2.89425316685905,"EWY^FMA_DIV_YLD(NTMA,NOW,NOW,M,\"PORTAGG\",\"MEANR\")":2.26176810881197,"EWT^JULIAN(FMA_DIV_YLD(NTMA,NOW,NOW,M,\"PORTAGG\",\"MEANR\").DATES)":45351,"EPOL^FG_FCF_YIELD_NTM(0)":null,"EIDO^FMA_PE(LTM,0,,,\"PORTAGG\",\"MEANR\")":14.6555767318632,"KSA^FG_COMPANY_NAME":"iShares MSCI Saudi Arabia ETF","CAGDPY@CL^EE_ACTUAL_ANNUAL(MED,+1)":-3.8,"USDTRY^FG_PRICE_CHANGE(0,-1AY)":69.276596,"USDINR^STD(FG_PRICE_CHANGE(0,-3AY,M))":1.09882521072959,"USDTWD^FG_PRICE_CHANGE(0,-6AM)":-1.3070047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5406,22.3569609216786,28.1816281896967,32.5319871436621,39.3662186895858],"EWM^FG_TOTAL_RETURNC(-10AY,0,AM)":[-1.1818707,4.8504949999999996,2.0912647,0.0,1.7802358,-0.5579531,-1.8079877,-4.7619047,-1.3999999,-9.803921,-0.79618096,5.555558,-6.432748,4.374993,2.6946187,-9.037906,-1.532644,-14.427042,-2.6974916,8.811879,-8.917194,0.9989977,-0.44639707,6.775069,4.3147206,8.272493,-9.550553,-0.9937942,7.7784896,-1.297164,-4.6594977,-0.5012512,-6.54912,-1.1792481,3.4572124,2.203858,0.94338655,2.4699688,4.3973923,2.6521087,-2.218926,0.03142357,2.670443,-0.61199665,-1.4470458,4.6860337,8.2200165,1.3856769,0.5979538,2.1511436,-4.1285696,-4.3641567,-2.5914013,2.8164625,-0.30779243,-4.353195,-3.2601714,-1.3013005,3.729844,1.260364,-0.88437796,-2.4124265,-3.5895765,2.7046084,3.920126,-7.4036894,2.4240255,-2.260685,2.6020885,-1.3737202,2.3882031,-4.5855403,-17.338259,4.3380976,1.928854,12.195122,4.5008183,0.0,-4.322338,1.8759608,3.5700798,4.644418,-0.31206608,-2.643478,-1.1075377,-0.8670509,-0.25510192,0.2855301,-6.351,-0.60192347,4.8849344,3.0408025,-4.4079185,-4.9065948,6.4516187,0.99681616,-1.0659337,1.9553065,-6.7318974,-4.849678,-4.0053964,6.8448186,-4.3878913,-9.132635,8.989906,6.488991,3.0316353,-1.7910421,-7.5987816,5.1221848,-3.1291962,-4.345602,3.5363436,0.85389614,-0.47037005,-1.5122831,3.1669855,-0.37209392,1.6249657,-0.37400723,3.0971408],"EWT^FMA_DIV_YLD(NTMA,-10AY,0,AM,\"PORTAGG\",\"MEANR\")":[3.28466726948481,3.25333213549424,3.28826571724577,3.18828112433977,3.06496045828485,3.25532154901171,3.32185085140626,3.54840743339648,3.43820161876874,3.45180064753866,3.5437541239965,3.40584088126428,3.41999096112179,3.54768257197116,3.62394294238753,3.8441672042039,4.01967417274575,4.30044297589173,4.27293847034667,4.16736619313307,4.20656942300782,4.35110290205165,4.653046807004,4.41052456070702,4.13052352190827,4.24151517382102,4.58558525250915,4.22535149833433,4.1206811128474,3.9943700277936,4.19119088697194,4.03389762399191,4.24563144074006,4.13828593782349,4.17387257977116,4.08254823486752,4.15212210846038,4.11555963582893,4.07283398201632,4.08360828057056,3.96849293834271,4.06768940587666,4.05367844740982,4.00361571643457,4.05337515609792,4.18508117329804,4.13809788771143,4.30767166054794,4.12996000782641,4.16898303867985,4.27338127108067,4.34116235221344,4.43539719731994,4.42722659409552,4.43787923746491,4.83977617579854,4.88433771493077,4.91337664284588,4.86724862164856,4.5620767855145,4.42625095730055,4.19145574262427,4.41261836905835,4.47485298166261,4.30521702766108,4.47577053640155,4.25527113743271,4.1981883955663,4.09543544133619,3.99491847662306,3.94554208913796,4.03770598362197,4.64860646758934,4.37119320071232,4.15003766057781,3.95766056349847,3.70261406327028,3.66926714533053,3.80699924715576,3.82558804528985,3.85068035537879,3.7095348550932,3.41112004011019,3.55032254402938,3.60290773630378,3.69976831969621,4.26320875253867,4.02146683421439,4.0167818455569,4.30941524557362,4.21425765233962,4.56181745919578,4.29516842099332,4.27827668650717,4.19615512815957,4.34057234586544,4.54641895246748,4.60924668661018,4.93697228924629,4.8187638774137,5.3258661372924,4.93965606464138,5.0719576592085,5.34012663864883,4.58925992842707,4.37470552295073,4.29418779859077,3.99073796900035,4.02623727926535,3.86067988750321,3.80250635415187,3.43895191524817,3.40734702152952,3.59582699483212,3.57355016069912,3.54848516421628,3.50543159619377,3.36062827856758,3.39801129899848,3.37303749172999,3.10839137019548],"WL-FDS^MAX(FG_PRICE(0,-5AY))":763.4,"CPALM-FDS^FG_PRICE_CHANGE(0,-1AM)":8.3854818523154,"FTSEWIVNXXXX^FG_PRICE(0)":397.19945754,"FC0000MY^FG_PRICE(0)":235.51544,"VNM^FG_PRICE_MAVG(0,,,,30)":13.280167,"QAT^FG_PRICE(0)":17.97,"EWZ^FG_PRICE_MAVG(0,,,,200)":32.32425,"EWM^FG_PRICE_MAVG(0,,,,60)":21.357334,"EIDO^FG_PRICE_MAVG(0,,,,30)":22.521334,"VNM^P_PRICE(0)/P_PRICE_LOW_PR(0,,,USD,,,\"PRICE\",\"INTRA\",\"52W\")-1":0.18695271,"USDSAR^FG_PRICE_CHANGE(0,-1AM)":-0.002670288,"USDBRL^FG_PRICE_CHANGE(0,-3AM)":1.8576384,"USDPLN^FG_PRICE_CHANGE(0,-1AM)":-2.7416348,"USDCLP^FG_PRICE_CHANGE(0,-6AM)":6.123936,"EWY^P_PRICE_RETURNS_PR('52W',2,-10AY,0,AM)":[-0.54185987,16.919506,13.249004,18.650234,19.757032,19.268703,5.2925944,-9.512943,-7.661134,-10.409552,-6.561005,-5.1952543,-5.6367636,-3.7048995,-5.4300547,-13.730335,-16.334503,-25.15322,-23.496002,-5.987507,-9.086138,-7.5585184,-13.524264,-14.407229,-6.1290383,-10.360646,-14.895636,-7.050067,4.8354983,19.598234,16.696476,6.7295074,4.5093417,10.39803,22.128141,26.626528,19.562065,14.29491,31.82478,37.863327,30.84072,19.059896,25.90853,32.735275,43.79791,40.54413,41.44411,30.86859,32.59072,27.771616,16.462564,7.7962756,-1.3491809,-0.9302199,0.43936968,-11.431795,-18.108833,-19.442999,-23.016447,-12.818861,-19.286871,-12.754297,-23.176271,-19.955242,-11.41088,-19.876217,-11.209583,-6.187868,3.443873,3.639257,10.300899,-0.17902851,-17.034233,-20.342367,-7.9816937,2.3640752,4.7219396,31.473171,15.918541,18.894041,25.790192,36.90381,50.27871,50.761604,90.124344,88.47264,79.377495,62.996353,55.778503,30.796635,29.121506,19.78773,11.875296,-2.457291,-17.129559,-21.579206,-22.46123,-24.709415,-25.018192,-33.01999,-37.375366,-27.255493,-33.279675,-37.54791,-23.668564,-24.42773,-19.398577,-12.306905,-11.796922,-6.724185,-4.308188,11.024833,21.487354,1.7993569,15.412653,21.131634,5.1384807,11.446309,1.6219854,4.6975136,18.13842],"EWT^FG_TOTAL_RETURNC(-10AY,0,AM)":[0.8559227,3.889668,0.20422935,4.2798877,7.0358276,-2.6171684,-0.06250143,-5.6285143,3.7110686,-3.9616585,0.079870224,8.474577,-2.3750007,1.2163877,3.4788132,-4.034233,-1.2738824,-11.290323,-1.0181844,3.3798695,-5.0462008,-2.9191554,-5.7336626,2.3608804,12.520588,-0.4392326,-9.117651,9.304214,8.290159,6.083393,-4.059279,3.8280725,-4.721868,4.039383,2.8397918,5.87852,-1.1656344,2.979517,3.7974596,0.37747622,6.3639045,-1.0606468,2.0615697,1.8583298,-1.0047615,-2.457261,5.5354953,-1.0677993,3.858614,-1.6108155,-1.0298371,-1.2806833,-1.5675724,1.3728738,0.4062891,-8.7671995,-2.0697832,-2.0531416,-0.0921607,3.882873,2.3590684,6.2855363,-4.4212875,-1.915139,6.8488955,-5.875736,9.378731,2.539599,5.139816,5.2684903,2.9969215,-3.4482718,-13.343257,1.5168905,4.7081947,5.977392,9.120941,5.1222324,-0.22149086,2.2419572,5.3408623,7.6931715,13.41654,2.0632744,-1.6846359,4.232359,-3.238535,8.053005,1.886797,-3.1327188,3.8394094,-6.443697,7.0514917,0.12434721,5.9739113,-4.1685286,-6.965947,-2.279532,-8.22407,0.055658817,-8.844799,7.8315616,-8.922845,-13.732391,14.813924,3.7303329,2.9026866,4.716766,-2.9807925,2.6854753,-4.0115175,12.306619,0.12335777,-6.5092444,1.6033411,-1.6212702,3.6914945,6.293714,-0.8926749,5.011344,4.707408],"EWZ^FMA_PE(NTMA,-10AY,0,AM,\"PORTAGG\",\"MEANR\")":[9.46999205914021,10.8688946888866,11.3004473214546,11.4943843683162,11.5308598029991,11.6098036137841,11.8739896558285,12.0686735843674,10.9981672422821,10.5714503800177,10.8172624403101,11.7818542907308,12.0259058400438,13.6948824507915,14.4988260472779,13.3344872044539,12.9456470030264,11.3208842047449,11.1971051295646,11.0764622731562,10.8423598076542,10.8215933210521,9.70257594724723,10.1562285938985,12.5943196332719,13.8272765077996,12.7341721591771,11.8777949454709,13.525159684143,14.0662669669039,13.5573617762097,14.3328927008601,13.5044734643158,12.388447799289,13.2218415302388,13.5198177943192,12.8577561296971,12.2694407354695,13.2026466797005,11.8248781277003,12.385540681933,12.9930793740435,13.9199337910055,14.1725777561634,12.7419014040828,12.8966350883382,13.7040952628739,13.6005747563381,13.1294203547423,12.6630908294575,12.4113877139295,10.5076976041654,10.9459985170868,11.0674755689836,10.3575659313625,10.7308263981207,11.302657008723,11.5191740746612,12.7552751975418,12.9253956228961,12.5592429645953,11.3723038870315,11.3206786833212,12.1968803713908,12.6820325318999,12.5330791138919,12.8562103652608,12.9529393679046,13.3547481466396,13.8879628479674,14.6218345037562,14.0646860707558,10.742262363372,12.1220372866671,14.0953114296127,17.8168976609666,26.7392795201321,25.0205932367042,20.4333124278965,16.819517601064,14.7459897842684,13.3674765301821,12.4494756867871,11.0413116347663,9.75064104617875,9.21588749791494,8.95262237679416,9.52712051107431,8.91372331574695,8.11588940717372,7.74098872794117,7.90643827240605,7.49749425177118,7.87163479589453,7.85525954850612,8.1473397109287,7.48280998275013,7.40656897493958,6.55155233964829,6.15972553237799,5.81063676566594,6.4195953924843,6.40118091981039,6.76292916380585,6.97623993142359,6.49474876490405,7.03536704392576,7.02780137021301,6.55256700760235,6.87556883077283,7.02328838902948,7.8600450556351,7.84806565066664,7.93353584714943,8.02876925663563,7.52666673313128,7.80460350527832,7.87345724058698,7.755371215605,7.79452145894123,7.80069654574527],"NI-FDS^FG_PRICE_CHANGE(0,-1AY)":-23.6508277789723,"BRENT-FDS^FG_PRICE(0)":85.86,"QAT^P_PRICE(0)/P_PRICE_HIGH_PR(0,,,USD,,,\"PRICE\",\"INTRA\",\"52W\")":0.91871166,"EZA^FG_TOTAL_RETURNC(0,-6AM)":1.4837384,"EPOL^FG_ROE(0)":14.1646306446821,"TRYMX10Y-FDS^FG_YIELD_NAME":"Treasury - Mexico Benchmark Bond 10Y","MCHI^FMA_PE(NTMA,0,,,\"PORTAGG\",\"MEANR\")":9.43179744988616,"EZA^FMA_EVAL_EBIT(LTMA,NOW,NOW,M,\"PORTAGG\",\"MEANR\")":11.9557525011304,"EWW^FMA_ROE(NTMA,-20AY,NOW,FY,\"PORTAGG\",\"MEANR\")":[null,null,null,null,null,null,null,null,null,null,null,null,12.2361967072767,12.6640790394995,12.8972143418882,12.0869262493652,11.7827107635903,13.6871625306246,13.3394699173904,13.7042990237853],"EWZ^FMA_PE(LTMA,-10AY,0,AM,\"PORTAGG\",\"MEANR\")":[11.208842325044,11.4842918840765,11.66180124201,11.8448698935553,11.9598335489867,12.2137841693401,12.4849951714851,13.01403412295,12.2447966686811,11.673234092985,11.9318901646592,12.601061710374,12.8553140651508,13.4031815122107,13.9599613992019,13.8659753661189,13.8053016429548,12.8207968562156,12.7639078244534,12.3762493378882,12.3409177544567,12.3928881716719,11.1477059040861,11.2193076842051,12.8995747251781,13.3774354545913,13.0634707160109,12.8332408945909,13.947664443775,14.4331438551788,14.3850008328768,15.0395301371294,14.7236543950171,14.2563354576394,15.3401316734687,16.4265617767029,16.6190048187991,16.1294004332534,16.15353533313,15.1999038064309,15.1333755815732,15.3271288464581,15.6931272356452,15.8379918048343,14.2819501598082,14.4322662870345,15.3289269745316,16.0541472562699,16.4395491136598,16.0303350192628,15.6395371571603,14.4436766246808,14.3166779290757,14.0145836629016,13.1104852728286,13.5260400450573,13.7071366552641,13.7570760330527,14.644199742809,15.300189566049,14.7425957381662,14.2201494213982,13.9668026803845,14.2011026833352,14.3327042145793,14.2383208584715,14.1999935891627,14.6984320612699,15.2052014997527,16.296347160154,17.5353359988437,16.7457945119489,16.5047563859306,16.436834865166,17.2329685608026,19.6527739670396,30.9705963051133,34.4633073218343,33.0466409380377,31.2046980717271,30.423896096769,34.6095784648631,34.2242132320655,28.3575639268892,20.2453637995166,18.8423184121211,17.6836756712068,16.7420671304498,15.2309207164776,13.5524916527288,11.8608145036836,10.4174889273916,8.74497218154105,7.34404527371501,6.70989426582847,7.20140802212451,6.96883138956306,6.97496955474639,6.64989549056295,6.40275946648433,6.13043795403161,6.26891667053218,6.12781273809803,6.12410965986361,6.13174916766894,5.43948585520442,5.75967451286291,5.83227974846566,5.54647489304251,5.75008021515424,5.91934971480989,6.56004894967366,6.85585308097642,7.03548282031641,7.34073031389089,7.34193998604264,7.86232322038041,8.46804797035938,8.44437601712042,8.20918074773699,8.42859697943555],"EWJ^FG_TOTAL_RETURNC(0,-3AM)":9.90802,"TRYJP10Y-FDS^FG_YIELD(-10AY,0,Y,,\"YTM\")":[0.3138,0.2604,0.0315,0.0465,-0.0051,-0.0208,0.0201,0.0672,0.4224,0.6127],"USDSAR^FG_PRICE_CHANGE(0,-1AY)":-0.12384057,"USDTRY^FG_PRICE(0)":32.116,"USDBRL^FG_PRICE_CHANGE(0,-1AM)":0.31616688,"USDPLN^FG_PRICE_CHANGE(0,-1AY)":-10.081821,"USDCLP^FG_PRICE_CHANGE(0,-3AM)":8.730412,"EWW^P_PRICE_RETURNS_PR('52W',2,-10AY,0,AM)":[-16.200918,-13.219279,-5.3651214,4.9180984,8.921421,3.9251566,11.207283,1.8652439,3.1242132,-14.284783,-11.850661,-4.675162,-1.9726276,-6.044066,-8.50411,-12.8441515,-15.603876,-22.033745,-25.169682,-16.345484,-18.214035,-10.86058,-18.174643,-21.426874,-9.183126,-9.019923,-12.774599,-16.45634,-9.980238,-1.1072993,-6.189126,-5.659497,-14.520377,-6.3781204,-5.7915688,4.2615175,-5.6789875,-1.6735554,2.7748227,15.560663,13.994575,8.757782,19.56594,5.5979133,13.720858,12.546194,23.189617,13.512468,11.594534,7.491231,-7.0548115,-15.411443,-8.744139,-8.5294485,-6.9826245,-4.9451885,-15.6472025,-17.6134,-10.310489,-13.958055,-15.716112,-10.973251,-4.108119,1.0492802,-11.162644,-22.32815,-13.492674,-6.6120443,11.484742,16.740501,7.524419,13.341581,-17.053186,-36.348362,-31.49823,-24.211926,-26.987463,-8.077079,-19.1688,-19.498318,-9.3376875,-6.5588655,-1.9320726,-9.805149,34.34249,62.495018,61.83486,51.63927,55.71382,48.18485,49.349056,42.255356,30.227507,14.828205,16.894197,19.643093,13.731205,17.035007,7.163942,-4.3244243,-4.512036,2.0909667,-5.1153064,-4.9148026,13.104725,11.973286,14.502037,18.897247,20.24852,17.760431,33.675312,44.783436,47.97679,30.965614,33.36128,23.17549,17.865192,34.94371,20.149946,20.60417,21.579193],"EPU^FG_TOTAL_RETURNC(-10AY,0,AM)":[-5.581814,4.5667887,4.4970393,-0.2850771,6.3203454,-0.042277575,-2.2020638,-6.8416653,-1.1390924,-2.8113484,-6.283438,3.0434728,-8.016878,3.3521533,7.2721004,-5.249161,-2.4695516,-15.60874,-5.7542086,3.881371,-6.8549395,-7.522029,-8.945662,14.840794,17.34022,14.016819,6.3927054,-3.2023787,14.009512,6.050563,-6.556916,-3.2806754,1.7902017,0.8947849,4.573858,5.9530854,-10.268486,4.102409,2.4296284,-0.83888173,3.2238603,3.3668995,6.765032,7.614088,-1.2599945,-6.085891,14.484143,-2.1870613,-0.9276867,3.961575,-0.30023456,-2.5248945,-6.58167,-1.823318,-7.036358,2.5886297,-4.360944,1.3814211,4.192865,2.8140187,3.336966,0.87269545,-8.24427,0.97060204,5.003965,-11.883825,6.0477734,-1.1405826,-1.3844788,2.9540896,5.0622582,-5.649561,-26.236624,-1.8823504,2.0039916,13.865221,-0.03657937,8.60523,-2.1901667,-1.4471173,2.2637248,9.758687,6.8283916,5.578923,-2.09772,-4.5950594,0.5805135,-14.348137,-5.124789,-6.8747816,1.770246,8.327162,3.5531282,-6.8805513,21.254993,2.0341039,5.189097,-2.6198506,-17.973667,1.7364144,-16.251785,15.923572,-5.8608,-3.2295704,20.144749,-2.7029455,12.425613,-6.8278255,-1.3262331,7.3145986,-4.2915764,4.5926094,4.7091603,-0.07213354,-2.436763,-7.9355,2.9069304,9.30072,5.981171,-0.49999356,13.434517],"EWY^FMA_PE(NTMA,-10AY,0,AM,\"PORTAGG\",\"MEANR\")":[8.90821548885069,9.34557588461765,9.55255420074038,9.51080152557353,9.6936020279491,10.3326443929022,10.143849216966,9.41397754743062,9.68080818001421,9.61722292983292,9.49636430599459,9.78646167240602,9.79937005058822,10.2845709158805,9.97411884160059,9.4930968315898,9.46793272274746,9.46061714091032,9.40529063857294,10.0087966153623,10.100317779848,9.81399542441262,9.85956233505506,9.90193155186435,10.5044676977977,10.6916750856354,9.88652804140186,9.93488992072083,10.0926357106239,10.0880757870533,9.93561360574716,9.94464344142836,9.58580196985751,9.93745266115194,9.80826102728116,9.40935668201583,9.67527698621163,9.23164408663158,9.42077176166372,9.5732157562116,9.58390251579225,9.0407200901904,9.15491883614584,9.42622457418739,9.36537953197793,9.10171562501208,9.27939282987064,8.97890273273831,9.15509872413531,8.95851536127863,8.86245605817928,8.79003337352035,8.39365994937754,8.15595180268586,8.29583982130275,7.87328831054832,7.83416169162525,8.2147494028292,8.78231726992762,10.3373207934072,10.3326658684573,11.2866219433089,10.7045455363858,10.8971538850446,11.2296273231987,10.5508099285437,11.0241542016915,10.9861895080937,11.4358148110065,11.4091627664878,11.5761734010712,11.5438657709481,9.17187418174945,10.4674280974041,11.4616617822909,12.6528041835065,12.6950670932134,13.4033938338732,12.9526966913013,12.3374763640493,12.3418582702547,13.3125600016002,14.7529150341842,13.897964610173,13.418305643978,13.1621540055961,11.088681644817,11.2770351093621,11.0287240612938,10.3310642471833,10.3379094942309,9.90225542470125,9.99406890373739,10.261062413528,9.90476999979755,9.25792776664057,9.12462600850033,9.15564867512754,8.80949828163721,8.38281538875652,8.2079820711361,8.87547907275664,8.62943700824997,8.78706886697172,10.7532498401435,10.9189154160544,11.4119861988062,12.7485018843962,12.5552145226731,14.2228656963544,12.96371607022,12.8669693646426,12.1801577170156,11.3627028949029,11.2184103056923,10.3639258484077,10.0645492611843,10.1796093065726,9.8132040515662,10.4405677139739,10.5537735326763],"EWY^FMA_PE(LTMA,-10AY,0,AM,\"PORTAGG\",\"MEANR\")":[11.6458725559202,11.5340888900381,11.4365841499839,11.2784863558524,11.2359598091321,11.6524612856606,11.5525851754109,11.0437205209821,11.5296392353274,11.4672224602716,11.4000552141967,12.2749034310274,12.1797902553125,12.090305731358,11.7975634619665,11.401711725459,11.1448075590228,10.9774323090782,10.6687373265377,11.0437608888542,11.2114874744251,10.3723331423726,9.70613370842609,10.1128939524871,10.613776308339,10.7044678742115,10.4352914562345,10.4595804912446,10.5602652685973,10.5690759384992,10.5719091184418,10.7008835044482,10.6038554833903,11.1447788507765,11.2991989781452,11.614999775143,11.6155841300903,11.3100815097791,11.1839496884041,11.0568346440076,10.9479178783802,10.449404961542,10.3906588137677,10.5976443882102,10.4326557518365,10.1421325955639,10.4100719058274,10.5462970825418,10.5406345205319,10.3707773468329,10.2191448481457,10.0526269594773,9.72004317503791,9.4100620225106,9.3762574571108,8.87578076696753,8.46765711189052,8.35161633397077,8.42802565246493,9.97631808433988,10.0283707730511,10.4252251576081,10.4447872296054,10.7586996119739,11.1868379468767,11.1582613758845,11.841148747858,12.3054030082006,13.5399198668391,14.1909732192202,14.9418852727735,16.6186099854647,14.765970522312,14.6825657053859,14.8723790530853,15.3771082408094,15.54254669592,16.359225576982,16.3957591062667,16.0862247901401,16.669225103416,18.7447157428363,21.8505346289627,21.3669885038651,20.2324016490572,19.496532749183,17.9018916410927,17.0952105757773,16.1060761877665,14.7057345260815,13.691483734002,12.2698759783567,11.1371379092102,10.1422799033353,9.4676876812474,9.20028513251164,9.26763839881954,9.31509467455239,9.20643056885732,9.01359883965145,8.85793459508331,9.12852980246547,8.81133243330775,8.57989741958219,9.99783613397471,9.8883378656754,10.2133990724981,10.9064463862086,11.0950020634934,12.0381842190326,12.1010618356143,12.637268635135,12.8959007498943,12.9774861767746,13.6583025334594,13.5686144683627,13.934248046973,14.7776877281121,14.791573534616,16.3183510534943,16.14570524722],"NI-FDS^FG_PRICE_CHANGE(0,-6AM)":-12.3426314490249,"COPP-FDS^FG_PRICE(0)/MAX(FG_PRICE(0,-1AY))":0.973709599614086,"VNM^P_PRICE(0)/P_PRICE_HIGH_PR(0,,,USD,,,\"PRICE\",\"INTRA\",\"52W\")":0.866411,"QAT^FG_TOTAL_RETURNC(0,-6AM)":1.2394309,"KSA^FG_ROE(0)":10.1228399051808,"EPHE^FG_ROE(0)":11.6957635212623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CAGDPY@TH^EE_ACTUAL_ANNUAL(MED,0)":1.10427993908671,"CAGDPY@CL^EE_ACTUAL_ANNUAL(MED,0)":-3.35,"USDINR^STD(FG_PRICE_CHANGE(0,-1AY,AM))":0.424155127585767,"USDTWD^FG_PRICE_CHANGE(0,-3AM)":0.6279707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70966,15.9439970065549,24.3051164393724,19.7601608520258,19.096541253309],"EWM^FMA_DIV_YLD(NTMA,-10AY,0,AM,\"PORTAGG\",\"MEANR\")":[3.19934064297766,3.12377259210734,3.10361657334173,3.11873039189928,3.13866759790461,3.171249924544,3.18383367218155,3.30983239193525,3.25457690668094,3.37618252981508,3.32648329275614,3.2142374224853,3.23820423983963,3.14428485858648,3.16182523345383,3.23899908457829,3.27810296149776,3.53858475455946,3.39752465519132,3.24304746450409,3.33170417080501,3.35633123327555,3.35239109059316,3.25805049987038,3.11400786497647,3.04344351880019,3.23068648918467,3.10151167362121,3.01967638740554,2.9486201794279,2.96417469533243,2.96023229224254,3.06733115306929,3.00392652913468,3.01544049440454,2.96193142151749,2.98945532515926,2.99260350421505,2.93810998398405,2.98542477957449,3.05661711422717,3.04281918194242,3.01231302358452,3.09464252681077,3.24495080758307,3.22778631886879,3.10818636465404,3.13335227890404,3.19171277183004,3.1728621927867,3.21338518080552,3.24161215252479,3.33215497847973,3.20096885023096,3.19263903721661,3.36185368094375,3.40752108999147,3.34263175606463,3.29615374151846,3.27607482971368,3.33102097431109,3.41202507962971,3.49425821787534,3.49337451737945,3.42657168445474,3.49783056204553,3.49737507733577,3.57329752842239,3.48328617405392,3.52335577729176,3.50572910141711,3.59990034538297,4.13117516673586,3.91308678581646,3.68644033835915,3.04818216697538,2.99571251087821,3.14596496329068,3.17806752446845,3.24017091901529,3.38566473742004,3.48808137565363,3.61991749318748,3.79391778984684,3.98925362507283,3.99632843296862,4.04174407795966,4.08895169940109,4.26223074704054,4.24029502397908,4.10698788803697,3.8985994547257,3.96636858056398,3.95042944863074,3.74556971083897,3.74528679828355,3.85582351006614,3.80985888593176,3.99440266484258,4.11071323491885,4.25332583510299,4.02867561211523,4.1978180962896,4.47364667492866,4.22952224832594,4.18806817970316,4.18805642055928,4.25547778248453,4.56091008190221,4.38267987946348,4.41896966940937,4.42731820047806,4.36570006683989,4.23994893066799,4.29246186385117,4.29577702822023,4.30444362301723,4.30429800539699,4.27720762326458,4.1906426523436,4.15853952394675],"WL-FDS^FG_PRICE(0)/MAX(FG_PRICE(0,-1AY))":0.805344511396385,"CPALM-FDS^FG_PRICE_MAVG(0,,,,30)":4007.7666,"FC0000BR^FG_PRICE(0)":216.7402,"VNM^FG_PRICE(0)":13.555,"MCHI^FG_PRICE_MAVG(0,,,,200)":42.56135,"EWZ^FG_PRICE_MAVG(0,,,,60)":33.482666,"EWM^FG_PRICE_MAVG(0,,,,30)":21.511333,"EIDO^FG_PRICE(0)":22.95,"URTH^P_PRICE(0)/P_PRICE_LOW_PR(0,,,USD,,,\"PRICE\",\"INTRA\",\"52W\")-1":0.3006941,"QAT^FG_TOTAL_RETURNC(0,-3AM)":4.7813416,"EWZ^P_PRICE(0)/P_PRICE_LOW_PR(0,,,USD,,,\"PRICE\",\"INTRA\",\"52W\")-1":0.296,"EWM^P_PRICE(0)/P_PRICE_HIGH_PR(0,,,USD,,,\"PRICE\",\"INTRA\",\"52W\")":0.9742794,"EIDO^FG_TOTAL_RETURNC(0,-6AM)":1.7393827,"URTH^PERCENT_CHANGE(FMA_EPS(+1,0,,,,\"PORTAGG\",\"MEAN\"),FMA_EPS(+1,-1AM,,,,\"PORTAGG\",\"MEAN\"))":0.713897876530525,"TUR^PERCENT_CHANGE(FMA_EPS(+1,0,,,,\"PORTAGG\",\"MEAN\"),FMA_EPS(+1,-3AM,,,,\"PORTAGG\",\"MEAN\"))":-7.18158365636028,"GREK^FMA_PCT_ABOVE_MAVG(200,0,,,,\"PORTAGG\")":82.7586206896552,"EWM^PERCENT_CHANGE(FMA_EPS(+1,0,,,,\"PORTAGG\",\"MEAN\"),FMA_EPS(+1,-1AM,,,,\"PORTAGG\",\"MEAN\"))":3.17197522197367,"CNYA^PERCENT_CHANGE(FMA_EPS(+1,0,,,,\"PORTAGG\",\"MEAN\"),FMA_EPS(+1,-3AM,,,,\"PORTAGG\",\"MEAN\"))":-8.05780058246479,"VGK^FMA_COS_UP(\"EPS\",\"1M\",+1,NOW,,,\"PORTAGG\",\"MEANR\")":431.0,"QAT^FMA_COS_DOWN(\"EPS\",\"1M\",+1,NOW,,,\"PORTAGG\",\"MEANR\")":8.0,"EWY^SIZE(FG_CONSTITUENTS)":102,"EPOL^FMA_COS_UP(\"EPS\",\"1M\",+1,NOW,,,\"PORTAGG\",\"MEANR\")":6.0,"SET-BKK^FMA_RBICS_REV_CURRENT(30, LOC, \"PORTAGG\")":24.0678590465577,"EIDO^FG_ROE(0)":12.7812492256836,"TRYMY10Y-FDS^FG_YIELD_NAME":"Treasury - Malaysia Benchmark Bond 10Y","REFTR1WREPO-FDS^FG_YIELD(NOW,,,0)":45.0,"REFZAREPO-FDS^(SUBARRAY(NOT_NA(NO_REPEAT_F(FG_YIELD(NOW,-10AY,D))),0,1)-SUBARRAY(NOT_NA(NO_REPEAT_F(FG_YIELD(NOW,-10AY,D))),1,1))*100":50.0,"REFMYON-FDS^PROPER_NAME(0,,,\"SECURITY\",\"NAME\")":"Malaysia Policy Rate - Overnight","EWM^JULIAN(FMA_ROE(NTMA,-20AY,NOW,FY,\"PORTAGG\",\"MEANR\").DATES)":[38352,38716,39080,39447,39813,40178,40543,40907,41274,41639,42004,42369,42734,43098,43465,43830,44196,44561,44925,45289],"TRYAU10Y-FDS^FG_YIELD(-10AY,0,Y,,\"YTM\")":[2.81,2.88,2.76,2.63,2.315,1.375,0.972,1.671,4.051,3.955],"USDTHB^FG_PRICE_CHANGE(0,-3AM)":1.6987801,"USDBRL^FG_PRICE_CHANGE(0,-1AY)":-5.250597,"USDCLP^FG_PRICE_CHANGE(0,-1AY)":16.917933,"EWT^P_PRICE_RETURNS_PR('52W',2,-10AY,0,AM)":[6.4558625,14.401579,6.644988,16.166603,20.230938,22.174942,16.09373,6.154561,14.523077,8.045602,7.2131515,17.895592,12.893176,9.75486,13.341558,4.237056,-3.7927449,-12.361204,-13.199276,-4.913574,-12.663555,-11.997562,-17.109531,-20.841276,-9.846705,-11.321365,-22.49521,-11.291009,-2.6973724,16.869247,12.784279,13.273251,13.660145,21.80705,35.396896,37.451923,20.73325,23.87706,41.027927,30.977297,28.647482,19.9839,27.638662,24.652803,30.102325,21.97821,25.134933,16.963243,22.90907,17.430378,11.969053,10.119402,2.5213003,4.4144273,2.7209878,-7.25888,-8.984351,-8.607274,-13.480777,-9.151257,-10.462957,-3.936571,-6.591487,-7.191807,1.104641,-6.459856,2.9263258,14.527702,22.95921,30.223679,36.236538,26.622152,6.7186236,2.3881912,12.16811,20.004272,23.770927,38.23296,26.100195,25.734175,25.81526,28.87621,41.91389,48.723877,79.17154,74.750175,61.48765,64.650475,53.735016,42.134857,47.428177,34.903885,38.9271,27.459394,19.09523,11.8235,5.816543,-0.7943094,-4.658538,-12.869989,-22.047281,-14.315939,-23.889017,-29.818594,-24.729656,-22.018797,-24.614244,-17.258041,-13.713759,-9.329695,-3.0637145,6.4434886,16.915762,1.366818,13.08223,25.580894,16.46526,19.343328,14.702904,15.264929,24.398994],"EPOL^FG_TOTAL_RETURNC(-10AY,0,AM)":[-7.264394,5.081165,-1.00739,3.52782,-3.4249187,-1.4368773,-1.0760128,-4.4210553,-0.881058,-2.444446,-7.440668,-0.9232044,-7.7933073,10.4272,8.901823,-8.441562,-4.4592857,-2.1145463,-0.9000838,0.4541397,-13.019896,-10.083162,-1.0447502,3.3747792,8.247423,2.5925875,-9.076845,-3.913778,0.2974391,11.976397,-6.085348,-0.70126057,-3.7853122,5.7545424,8.458769,10.229647,1.5625,0.41958094,10.492098,0.21009445,6.1026454,1.0705829,6.3554406,1.5123606,-3.3066869,-0.75160265,9.596229,-0.50904155,-6.333804,-1.0736465,-5.6740284,-6.7824006,-2.5191069,2.2232056,0.30448437,-2.038157,0.17706156,3.1816244,2.6810408,-2.9163182,0.7836342,2.4621964,-10.118044,7.1294546,2.5449157,-13.045335,6.7388177,-3.8248837,4.4561505,-3.5091698,5.353403,-7.020789,-32.687527,11.512911,-4.0370584,19.310343,-0.78057647,9.1818695,-5.929911,-6.9914103,3.8200974,13.167357,3.7427545,-2.6930928,0.36553144,1.3527632,7.2381973,6.462288,-2.0288587,2.3930073,5.3932667,1.6631126,-5.2432895,-8.679628,11.21999,-11.277538,-15.4419,8.103347,-18.305265,-2.847278,-10.082865,14.516127,-15.8282995,-12.908363,32.93686,7.0067167,10.79843,-5.847609,-4.579669,9.66469,6.474817,6.700456,7.3878646,-1.9164681,-11.047095,0.87299347,20.044672,7.67442,-3.9235353,3.748262,5.352366],"EWT^FMA_PE(NTMA,-10AY,0,AM,\"PORTAGG\",\"MEANR\")":[14.3154614368851,14.5163502017915,13.9812031211866,14.2926620623361,14.675207760994,13.6616483873194,13.471811109501,12.7711051546796,13.0812880560763,12.8338011840845,12.7358215160661,12.8171333490571,12.7079357517849,12.6105923434493,12.7028673701658,12.54095833347,12.1545093006232,11.5349649727962,11.7129677374726,12.06010756549,11.8747474047559,11.4023625571973,11.0121059564668,11.7723778000278,12.7446279366147,12.7706981677599,11.9488002579255,12.9611100823863,13.3830430409336,13.8508979234254,13.1930918311217,13.5312770561344,12.8596448586778,13.1979501843739,13.0621142334784,13.1202950829907,13.0404631281402,13.1422200049521,13.2952242478526,13.4391883623782,14.036014393538,13.755809994834,13.7908939317063,13.7303904477326,13.7393698710559,13.213050548675,13.5014906331762,12.9833888116205,13.7379941812747,13.5358415935788,13.6444624893095,13.5250229447232,13.3076320274564,13.351613895278,13.1246004015343,12.1680584629828,12.3758081572441,12.4108359811221,12.7519865734449,13.78774303755,14.3097921743854,14.9545667728688,14.6046493609752,14.5798311140779,15.0340645805326,14.4447387553442,15.1201514510211,15.3403662087122,15.5259927186443,15.809860940861,15.7215309429981,15.1845232276033,13.2236307981084,14.5061144030412,15.1184960394588,16.1002363921345,17.0358526896393,16.6682516428636,15.7669552130527,15.4110554117416,15.0908615470469,15.5965793435731,16.7629935685407,15.8259915801952,15.5222428744991,15.0670173228658,12.9807693418471,13.864956912578,13.9006584618163,12.9129481522752,13.2423495996861,12.371382646554,13.1854162207473,13.2684103650405,13.443095085864,12.7263851933294,12.2081092717748,11.9303064528103,11.1326637480133,11.2317461259064,10.0766426081792,11.1243114939541,10.8897005873873,10.3179163978991,12.1282642058445,12.9708729902535,13.6581806039732,14.4243135900428,14.3887824646343,15.1244902528164,15.2205217641667,16.6179546274456,16.6730735404609,15.865553528575,15.8208854156543,15.5884446607968,15.4129373877307,15.968045219084,15.7391597624043,16.0114767135594,17.4028176223552],"EWW^FMA_PE(LTMA,-10AY,0,AM,\"PORTAGG\",\"MEANR\")":[null,null,null,null,null,null,null,null,null,null,null,null,null,null,null,null,null,null,null,null,null,null,22.5403667506309,23.1553476697601,24.7215640414141,24.6598881809193,24.3538601159235,23.1394392327203,22.9464471407137,23.1860694758511,21.7019744770408,22.0327311219057,20.8169067603334,21.0003662639076,20.3689639310616,21.8842206434342,21.3281961124706,21.055079882182,20.6425980336687,20.2191616466613,19.9804531780009,19.6537873260113,19.2411263381202,18.5722862291332,16.9406472375506,17.0815686418765,17.106555480074,17.845671695626,17.9110495399072,17.8076187993884,17.369204085548,17.2446402105931,17.3991980210068,17.2539989732263,17.2663085209836,16.5363693264023,14.9893505451601,14.5944800978987,15.2494760501854,15.3995709167035,15.380023722864,15.4239522672966,15.1389165340491,14.9447533660692,14.8109714823326,14.1018316536094,15.0616529585364,15.1958146417789,15.3260005000481,15.7157032602499,15.8851612519713,16.5686900567124,14.8386865432711,14.4338183923705,15.8085593091514,17.2128800336723,17.8659170943549,20.5644738435617,20.0310422591461,20.4651148783781,23.0620906234962,27.6217235758175,32.4604387504981,29.0569787957026,27.0960271169487,25.8676912267429,24.6172773850926,23.6568853490983,22.0448348521902,20.8201050119349,19.4655210928995,17.7688290077753,16.6348666474074,15.3881572252391,15.4189284073604,14.9455434040026,14.9707938011834,14.9892073404185,14.4013026148002,13.9249835582359,13.5090693217781,13.7041066529369,12.9999907746375,12.6728266681497,13.7705088751481,13.1369554783546,13.9950120965103,14.1440544096244,14.5134013661352,14.4059830227371,14.1779029319939,13.8085671450387,13.411261617487,13.1988406393475,12.8171293833411,12.2048728588939,12.914522387767,14.0213674005655,13.5487144093042,14.8547039274514,15.8568710499802],"NI-FDS^FG_PRICE_CHANGE(0,-3AM)":7.60606060606062,"COPP-FDS^FG_PRICE_CHANGE(0,-1AY)":0.660765490587201,"URTH^P_PRICE(0)/P_PRICE_HIGH_PR(0,,,USD,,,\"PRICE\",\"INTRA\",\"52W\")":0.99157435,"VNM^FG_TOTAL_RETURNC(0,-6AM)":-5.0969243,"QAT^FMA_RBICS_REV_CURRENT(30, LOC, \"PORTAGG\")":59.4630293891933,"VNM^FG_ROE(0)":8.92536965307183,"TRYEU10Y-FDS^FG_YIELD(-10AY,0,Y,,\"YTM\")":[0.5475,0.636,0.2082,0.4294,0.239,-0.189,-0.575,-0.181,2.533,2.004],"CAGDPY@QA^EE_ACTUAL_ANNUAL(MED,+1)":12.05,"USDSAR^FG_COMPANY_NAME":"Saudi Arabian Riyal per U.S. Dollar","TRYTR7Y-FDS^FG_YIELD(-10AY,0,Y,,\"YTM\")":[7.979133,10.679033,11.110786,11.586128,15.896213,12.034795,12.534946,23.870693,7.323803,21.984322],"USDTHB^FG_PRICE_CHANGE(0,-1AM)":-1.4115751,"USDTWD^FG_PRICE(0)":31.488,"FC0000PE^FMA_EPS(NTMA,-20AY,0,CY,,\"PORTAGG\",\"MEANR\")":[24.7583819982859,29.0521601734031,45.7707077798153,47.1889555711687,33.6865156707317,51.8301256972307,null,93.1550651832752,85.6566871872926,59.3544763673265,56.5256555947451,54.9261025352225,78.5260175378315,null,null,null,null,59.664423905694,84.444227608504,null],"EPU^P_PRICE_RETURNS_PR('52W',2,-10AY,0,AM)":[-25.4318,-20.642494,-12.162751,-2.8574586,15.476454,5.560076,6.04347,1.2713432,1.484251,1.1151075,-8.662415,-6.862956,-9.480381,-11.007589,-8.644271,-13.015729,-20.368935,-32.769913,-35.211796,-27.754318,-31.453312,-35.230602,-37.07052,-29.036634,-10.531831,-1.2998104,-1.7022431,0.0056624413,16.90296,39.129425,45.655285,35.613144,48.199905,61.68821,86.39944,71.324005,31.013584,17.719162,18.611336,17.977356,6.8163514,4.1133165,18.956482,32.439304,28.38999,19.506979,31.720924,20.780909,33.353867,33.173454,29.624235,27.42027,16.59119,9.526026,-4.6322765,-8.554041,-11.941015,-4.93927,-13.484526,-9.061074,-5.1465273,-8.45108,-15.298128,-12.260687,-0.79339147,-11.485356,1.1433601,-2.6978552,0.3303647,0.86443424,2.7368784,-5.720359,-33.14801,-34.539913,-27.22863,-18.070251,-21.874624,-3.7086666,-11.188716,-11.464095,-8.536541,-2.1206439,-0.4752636,10.696566,51.680626,43.727577,41.721832,6.6061974,1.179874,-13.074809,-9.728855,-0.77593327,2.683711,-14.756733,-3.2450914,-6.4936457,0.4659772,2.5459766,-15.511078,-0.6660521,-12.31597,9.150303,0.96588135,-9.805525,4.645729,9.340441,1.7133236,-7.426369,-13.1603,-4.301161,15.614855,14.796352,43.528175,23.72346,28.223537,19.489693,4.485774,17.376339,11.306513,18.162811,35.838963],"EPHE^FG_TOTAL_RETURNC(-10AY,0,AM)":[3.9233923,4.8751473,6.122446,-1.495719,1.5406847,3.3620238,-0.15613437,-5.0039052999999996,5.322361,-1.2242794,5.3759933,4.542041,-0.98415613,2.278781,-1.8013716,-6.9032135,1.0964751,-4.5653877,-5.9729695,2.012074,-5.522692,-1.0736644,-6.7178726,5.3843737,8.618032,5.100596,-0.053924322,1.2948513,7.2276115,-0.7976055,-7.96482,-3.7128031,-7.286644,-1.8042803,7.1564794,-0.8743882,-0.17641187,6.0382843,1.4999986,2.2441149,-1.9633412,-2.7115822,2.815318,3.50492,-2.671951,2.5550365,5.052912,-6.2105474,-3.8761854,-4.36852,-1.4348507,-6.12002,-1.5410364,2.0006537,-2.8155684,-6.1523438,0.34686327,9.92049,9.254015,-1.6993105,-2.4904847,4.387033,-4.8359275,4.143977,6.161046,-8.953166,4.9016595,-1.0672033,2.4198294,-1.3094306,-1.7278016,-5.7285547,-23.558743,0.7337928,-0.32375455,12.180269,0.01578331,-0.32762885,-1.716578,-1.7465591,19.515884,5.1659703,-0.09046793,-4.6181736,-5.094939,-1.8339396,-2.7173936,11.015165,-5.28816,-5.516547,9.44798,3.6857367,4.2719007,-2.963841,-1.6084194,1.5089631,-9.662437,2.2625923,-6.537044,-2.4512708,-8.333331,11.241889,-5.8008013,-13.400459,11.717343,6.1357737,8.829105,-2.298051,-6.8068447,0.11472702,0.5729556,-2.327323,6.139314,-7.5639544,-1.283592,0.28443336,-0.040519238,4.215646,4.3505073,2.9688,2.0802855],"NI-FDS^FG_PRICE_CHANGE(0,-1AM)":10.1768538628607,"COPP-FDS^FG_PRICE_CHANGE(0,-3AM)":3.81895332390381,"ECH^FG_PRICE_MAVG(0,,,,60)":26.112333,"URTH^FG_TOTAL_RETURNC(0,-6AM)":14.212143,"EPHE^FMA_COS_DOWN(\"EPS\",\"1M\",+1,NOW,,,\"PORTAGG\",\"MEANR\")":11.0,"MCHI^FMA_RBICS_REV_CURRENT(30, LOC, \"PORTAGG\")":23.3465581141155,"VGK^FG_PE(0)":12.3190540866361,"UAE^FMA_EVAL_EBITDA(NTMA,0,,,\"PORTAGG\",\"MEANR\")":6.76854884807004,"USDVND^STD(FG_PRICE_CHANGE(0,-3AY,M))":1.23729396290071,"USDINR^FG_PRICE_CHANGE(0,-3AM)":-0.60524344,"USDBRL^FG_COMPANY_NAME":"Brazilian Real per U.S. Dollar","USDPHP^STD(FG_PRICE_CHANGE(0,-3AY,M))":1.76743322777503,"EPOL^P_PRICE_RETURNS_PR('52W',2,-10AY,0,AM)":[6.809616,14.91406,16.13716,11.731148,17.88256,4.050219,4.984832,-8.9085819999999991,-8.766645,-10.115284,-16.12336,-20.29686,-19.960648,-16.71965,-8.383232,-18.975521,-19.843334,-20.394444,-20.252865,-16.185219,-24.549562,-32.20886,-27.524448,-24.603975,-11.225289,-17.523687,-30.36843,-27.734447,-24.136538,-13.874668,-17.7566,-18.702543,-10.071278,5.7685256,16.132652,23.613548,15.979683,13.114762,36.830757,43.877007,52.20461,37.380825,55.579533,55.963768,59.838963,50.005486,50.948395,36.81171,26.174831,24.29862,6.1124682,-1.291883,-8.25786,-8.278561,-13.496942,-16.522486,-13.514882,-10.087466,-15.760666,-17.798912,-11.552673,-7.970822,-12.707365,0.32024384,5.2976727,-10.230947,-5.537498,-6.2147675,-2.2087097,-9.557045,-6.169921,-10.136837,-39.98121,-34.679615,-30.260355,-22.87109,-24.84957,-5.639738,-16.839272,-19.577307,-19.92008,-6.2521815,-7.685405,-5.2709937,53.210007,30.926525,46.309864,30.554342,28.91184,21.617353,35.448395,48.05198,35.448753,9.040869,16.899956,6.5870166,-10.200304,-4.219204,-25.862438,-33.414112,-38.88801,-31.001259,-45.414658,-53.23843,-34.396873,-23.12805,-23.788721,-18.732584,-8.29308,-6.968534,27.792858,33.166195,59.040142,36.218536,43.95615,63.592613,50.565742,51.505234,31.064833,44.76397,59.83206],"EPOL^FMA_DIV_YLD(NTMA,-10AY,0,AM,\"PORTAGG\",\"MEANR\")":[4.16023098994622,3.8371059387459,3.90165685518371,3.94428689151616,4.17201262295682,4.13628574269561,4.15621249074313,4.14046429897223,3.98967200108176,3.97874476882942,3.99619485568801,3.80380504594908,3.76547694046713,3.43371263522859,3.32926285445263,3.55471359240919,3.6644056474447,3.65894593541372,3.60806707991296,3.71096031707093,3.96165448249321,4.35106186496284,4.21832353537265,4.19524165241614,3.85733885160139,3.6132938747342,3.87866774925926,3.89517255444217,3.71361602217739,3.45405512664964,3.66007983281499,3.49393214005455,3.48223811611369,3.1125819785716,2.8854178635247,2.60876966429707,2.42767674893404,2.53129545560504,2.44835143989515,2.50349386456002,2.42150465916631,2.40285659469379,2.59059449904068,2.45604128109446,2.43804959867003,2.81973154662372,2.76722423764499,2.94968906304625,2.98986932856016,3.03274812114996,2.96848038393775,3.10549032887329,2.98458995878469,2.8564251105673,3.01677928940297,3.13813120041879,3.10721788277882,3.09488949813405,3.10386686832726,3.08201701399234,3.07249357273306,3.03570705022236,3.42896499765075,3.27390607308973,3.29071131524411,3.83674857818385,3.60345076692983,3.54256091517746,3.39019028958512,3.54121067488223,3.55277976571074,3.68718625575412,5.19327043545143,3.77164044169068,3.31757534574448,2.43695490048005,2.53707891155756,2.67145528272981,2.89001824495431,3.24819778669199,2.62912553747967,2.76731715524758,2.85699372680123,2.84406399846234,2.88111716854211,2.89435487184304,2.87834284393948,2.9713744431527,3.06162281690106,2.93955007861674,2.91905046258945,2.94447268532321,3.07321249115371,3.38670297062956,3.0415293767492,3.3772600846667,3.75206841019579,3.47112585916551,4.03597266171524,4.33363460333567,4.25149826877693,4.15624660536387,4.55117240404986,5.25702450230346,4.15438992573214,4.17162814284712,3.9247556258496,4.23538727594298,4.59462814540153,4.60760975949787,4.31343034108653,3.9466586279191,4.10161575360581,3.88979559602799,4.31611433233014,4.29457880955281,4.33587109690195,4.98353101567379,4.96377358931566,4.83016454799171,4.88638076773217],"EPOL^FMA_PE(NTMA,-10AY,0,AM,\"PORTAGG\",\"MEANR\")":[13.1753455757429,13.9632147591623,13.6067228180385,13.768958296613,13.1320477388638,13.147692835768,13.5142869730485,13.2609312743421,13.366613173408,13.5757926795832,13.474374031707,13.3718663570406,13.3829625098344,14.4447752745716,14.5932881169328,13.5100815663807,12.998359686909,12.8169027706886,12.6295208360755,12.3222538553316,11.7310932431841,11.2361088525017,12.2879520581184,12.4283458003054,13.3651513264162,13.3417937856644,12.007746890523,11.5983280898247,11.3516208332628,12.4820712779706,11.607408623418,11.4600371958011,11.3915547574089,12.0545463779751,12.2149840602551,12.9132274518834,12.627079903347,12.3259621662432,12.6803149172002,12.3960772469846,12.6652131647054,12.5893025844769,12.4977826900445,12.4089501610752,11.8682283422771,11.7657637721101,12.3661004339195,11.8507290514125,11.3506475232038,11.5038788052705,11.5220620326507,10.8848309677791,10.455807350579,10.921298992984,10.5887294845469,10.3904178949701,10.5256436453848,10.7828833182423,10.7114197450752,10.6232888098727,11.0764542506371,11.2083895964508,10.1607747919885,10.596852482115,10.7980279139811,9.55116941414088,10.0462205544773,9.77274960693302,10.2572363570079,10.0645078122637,10.5725853328866,10.63091807367,7.44262448653551,10.0875450727803,11.3739602981036,13.0904046535577,12.3051275785675,12.7692332731077,11.924678356662,11.6614464612518,13.2762664603642,13.5704666385841,14.0385617714524,11.0747359103528,11.816754908656,12.044018590034,12.6343511448916,12.7883034908713,12.0984314554791,12.0498167519721,11.7415027374118,12.2330507013361,11.8187774958507,10.1533887339478,11.0468011010795,9.89512421787961,9.00812901452011,8.69267058812509,6.88140491606758,6.5743775199549,5.86871757390175,6.42175564725924,6.08279442765727,6.39263237250844,7.54549799669397,7.4176064753675,8.01569698390576,7.6385258154968,6.99383332006167,7.05831856177713,7.26824831156494,8.0346528326648,7.79626449368239,8.28257868203063,8.10731878886429,8.05266240131933,8.46893354528983,9.01257391815105,8.23742121323409,8.94958345182106,9.38584718131197],"EWM^FMA_PE(LTMA,-10AY,0,AM,\"PORTAGG\",\"MEANR\")":[16.7255184026646,16.725171701319,16.7140651425455,16.7333160423935,16.7463266962735,16.6822378766065,16.8318784834401,16.3669998995916,16.3910913203438,16.0899458662807,16.1372256378259,16.5707128841081,16.9925370427246,17.0228430673316,16.8746259345574,16.6954901870487,16.590358010052,15.8045197987682,16.1960157834099,16.7728154225177,16.3796612965533,16.2896838747984,16.1984308469361,16.3694829477498,16.6372277433154,16.6884739627084,16.3672683152461,16.564669993945,16.7594532901323,16.9919646548784,17.1264974720476,17.2887334900816,16.8787422045437,17.1394948055904,17.2609795206531,17.3080623901106,17.0750137444335,17.1251770082761,17.3012007820481,17.2942038557981,17.1724036642704,17.2981154284722,17.5577273540578,17.3989222015448,17.2682242061034,17.8955184748734,18.6025034526418,18.4691900242822,18.4939264756216,18.3550812275373,18.133289176038,17.8985404308737,17.5442384038011,17.8099565377785,17.789742050284,17.0548456197253,16.5889950155694,16.6197031644003,16.7833515413632,16.9188133968622,17.0437931428491,16.9093782299674,16.714324324329,17.0645751903025,17.1921566610048,16.858497252378,16.9192033288859,16.6075340183883,16.8441401290321,16.7705309511967,16.8805429111916,16.4397943667225,16.1237365599428,16.3493017565547,16.6883210888654,18.6299736282481,19.5112186152101,19.6082703126364,20.3722690096183,20.6726928222729,20.8310346504179,21.4780926954462,21.0249500428836,19.6888105150425,19.6231325050927,18.9862728793276,18.3140445766805,17.7534051329212,16.8679071567267,16.2239921412733,15.7983021940973,15.6717299048018,14.7795180810395,14.9452333667975,15.4267766079835,15.6982694298655,15.8673800806556,15.8697510194246,15.6303076212619,15.31693700492,14.9214088671656,15.3292716243589,15.0169436848088,14.293710201382,14.8251562194027,14.9441301319146,14.9972463172748,14.7501277157088,14.7060657604128,14.6776493582694,14.5333268927177,14.528010985166,14.6221665768372,14.7933558423971,14.8921930913029,14.8837481394045,14.9115292897675,15.1551762633011,15.2599169581674,15.4882768833421,15.7582962600724],"WL-FDS^FG_PRICE_CHANGE(0,-6AM)":-18.827567995775,"W-FDS^FG_PRICE(0)/MAX(FG_PRICE(0,-1AY))":0.683327852680039,"FC0000CN^FG_PRICE(0)":257.08047,"FC0000CL^FG_PRICE(0)":206.7326,"UAE^FG_PRICE_MAVG(0,,,,60)":14.7659235,"MCHI^FG_PRICE_MAVG(0,,,,30)":38.722668,"EWZ^FG_PRICE(0)":32.4,"EPU^FG_PRICE_MAVG(0,,,,200)":31.99016,"URTH^FG_TOTAL_RETURNC(0,-3AM)":8.482552,"UAE^P_PRICE(0)/P_PRICE_LOW_PR(0,,,USD,,,\"PRICE\",\"INTRA\",\"52W\")-1":0.0954169,"MCHI^P_PRICE(0)/P_PRICE_HIGH_PR(0,,,USD,,,\"PRICE\",\"INTRA\",\"52W\")":0.79450154,"EWZ^FG_TOTAL_RETURNC(0,-6AM)":3.6144733,"EWM^FG_TOTAL_RETURNC(0,-3AM)":4.380572,"ECH^P_PRICE(0)/P_PRICE_LOW_PR(0,,,USD,,,\"PRICE\",\"INTRA\",\"52W\")-1":0.1457541,"VWO^PERCENT_CHANGE(FMA_EPS(+1,0,,,,\"PORTAGG\",\"MEAN\"),FMA_EPS(+1,-3AM,,,,\"PORTAGG\",\"MEAN\"))":-4.3408333882002,"TRYBR10Y-FDS^FG_YIELD(-10AY,0,Y,,\"YTM\")":[12.319731,15.989595,11.062725,9.887577,8.936093,6.883678,6.961219,10.970291,12.900059,10.455909],"CAGDPY@ZA^EE_ACTUAL_ANNUAL(MED,+1)":-2.2,"USDTHB^FG_PRICE_CHANGE(0,-1AY)":3.2015085,"USDMYR^STD(FG_PRICE_CHANGE(0,-3AY,M))":2.21991720891639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PHE^FMA_PE(NTMA,-10AY,0,AM,\"PORTAGG\",\"MEANR\")":[17.3050645043366,17.4084428057444,17.9587684981326,17.580425561278,17.2320419004732,17.4946803873639,17.6844282572489,16.7875027768113,17.6608559711847,17.2186350608186,17.731721597447,18.1585637668681,18.2038499469512,18.5754802533659,18.1778653905363,17.2957565693506,17.4597869352378,17.2875423986721,16.4928996650623,16.3629807232561,15.9381513629862,15.9004692146278,14.7894617275702,15.3507292199019,16.2275085561432,17.1034957155682,16.3529909174482,16.7983488803564,17.8460584576698,18.27155046693,16.9022013429336,16.384679034158,15.3195532643685,15.5526084081033,16.5591553131206,16.4879413436424,16.8250458998902,17.5596939082238,17.6192696028662,17.7826044334859,16.7956055354362,16.4806795486437,17.016741533195,17.8318615713029,17.5956096671284,17.3969995417632,18.0066213739911,17.2450528583675,16.9348354970993,15.9321287296176,16.107398535288,15.7559044256809,15.0927890730956,15.2910441281718,14.2713016890544,13.5858165120624,13.2873654801151,14.9128398614679,15.8330629462007,15.4658648022709,15.0201519707557,15.2533943827368,14.9113788388452,15.441583109457,15.619704646245,14.6236117233244,14.1608741957532,13.9227101233536,13.9487892436842,14.2609109491827,13.8870237876932,13.0652902046032,10.4692126224157,11.2706375748007,12.9665916351819,16.0802239772712,15.4981722739179,16.3701282560681,16.0360315865614,15.7191777781908,17.8058269439677,17.1283357264237,16.7582635298132,16.1075190164301,15.4956481363073,14.8418032642407,14.3619900302325,16.5482718101874,15.9096619021814,14.5810409815286,15.9584470816754,16.6315014642099,16.6705108768755,15.568364515821,15.3006342360258,15.2196801532389,13.8432152125114,14.1742684462511,12.6484699476677,13.0842867274866,12.60905959291,13.0950831232779,12.7241422871949,11.3822545151003,11.9511868556267,12.5560645437746,13.2497454509336,12.7374941175087,11.4542296221737,11.4306200999304,11.2388593974824,10.1309415362645,10.2989626036437,9.72278514659219,9.70915521786847,9.90022977721835,9.43921594952124,9.30956824200155,9.57237363839762,9.82796595707897,9.95168335742049],"NI-FDS^FG_PRICE_MAVG(0,,,,30)":16786.0,"COPP-FDS^FG_PRICE_CHANGE(0,-1AM)":9.0933657613836,"FC0000AE^FG_PRICE(0)":146.87386,"TRYVN10Y-FDS^FG_YIELD(-10AY,0,Y,,\"YTM\")":[7.3,6.277413,7.1117578,5.6717234,4.738006,3.5404546,2.4877946,2.059403,4.687226,2.9473283],"CC_SA^FG_COMPANY_NAME":"Saudi Arabia","USDVND^STD(FG_PRICE_CHANGE(0,-1AY,AM))":0.749944543579716,"USDINR^FG_PRICE_CHANGE(0,-1AY)":0.41145086,"USDKRW^STD(FG_PRICE_CHANGE(0,-3AY,M))":3.0108874403505,"USDMYR^FG_PRICE_CHANGE(0,-3AM)":0.28891563,"USDPHP^STD(FG_PRICE_CHANGE(0,-1AY,AM))":1.62887317565024,"EIDO^P_PRICE_RETURNS_PR('52W',2,-10AY,0,AM)":[-15.535217,-17.106987,-16.695494,-11.9847355,-4.5138,-0.9901464,15.896106,-2.257967,11.958086,20.373714,14.447821,14.120221,1.0541439,-0.34986138,-9.12416,-12.086069,-15.63046,-27.14873,-31.257374,-18.856632,-24.523342,-25.045187,-20.137983,-16.722233,-8.036881,-13.224965,-12.986058,-2.2753775,7.958269,31.269884,31.60038,27.797377,17.797482,23.299503,20.936954,11.799192,4.8772573,10.868061,19.39957,21.724546,9.985006,3.3394694,10.793316,5.233407,15.247273,16.670406,20.947765,20.279085,14.021921,6.4383626,-4.3984413,-6.2293234,-11.439568,-13.909316,-12.905657,-18.029625,-10.209656,-7.546532,-8.092171,-10.530096,-7.6393185,-4.6860456,-3.7678063,1.2218118,13.665366,9.560644,15.052533,15.3476,6.885791,1.6638875,2.0498633,-5.5898547,-26.799606,-37.395023,-31.523693,-26.126158,-25.790417,-19.265837,-27.241898,-22.680473,-12.362152,-6.080085,-3.8883567,-0.9882331,39.36987,38.67302,38.84728,21.616722,4.9568176,8.826769,18.417025,34.249126,15.028787,0.95107555,-3.7396789,0.66775084,8.471811,14.32457,9.940982,6.314492,9.849226,20.17281,16.534424,-6.3039303,-0.304538,1.5884757,-2.50175,1.3991833,-8.781129,1.552701,5.15697,5.856335,13.327896,-2.0853221,-4.9622,-2.9268801,-4.837352,-1.326108,4.467392,-0.6466687,7.5374246],"ECH^FG_TOTAL_RETURNC(-10AY,0,AM)":[-5.6182265,11.977041,1.5157938,-3.659302,3.1815052,-5.577004,-1.9536614,-3.1742334,0.6460905,-7.465535,-2.3760974,8.118081,-7.1184816,9.632551,5.3866386,-9.154928,-3.3987641,-9.27239,-0.60798526,2.4177074,-5.0056815,-7.6047955,-1.2047529,7.9328537,8.295202,4.5057774,-3.3144712,-1.0869563,9.587622,2.2001028,-7.457715,3.544724,-1.604706,4.3218255,0.9523034,6.5582275,-1.0176957,10.477364,-4.7418537,2.2563338,2.9670238,2.3130536,6.1457396,5.7071924,-5.1838756,-4.0024815,18.35848,-1.9810975,-0.2410531,1.6542792,-3.6752582,-5.410022,-5.4735184,-3.1811237,-1.0952234,-2.6892602,-0.60381293,-0.09346008,4.877317,1.3175488,-2.1820545,0.63091516,-9.807438,-0.94338655,3.9595008,-11.081087,5.775082,0.9535074,-22.240913,12.945091,0.80908537,-8.582312,-24.767702,4.0034056,-2.702701,12.28956,6.1162114,-5.2934885,-3.7642598,-6.6771984,14.225233,5.623579,15.20282,-0.7348478,5.0586104,1.9671082,-6.2769947,-6.5490365,-8.692747,2.4166942,-1.6446173,-14.031261,15.0105715,-12.125528,8.68113,3.4194827,-0.1922369,7.2419167,-5.818969,5.0430655,-16.276432,27.086151,-1.1534989,-16.876125,17.365015,-1.3151228,4.6671867,7.529235,-3.0251503,2.5236607,3.7264943,-0.914526,6.295395,-4.978842,-7.0205507,-8.176792,3.4496665,10.779369,-8.163386,-3.7207484,8.047808],"EPHE^FMA_DIV_YLD(NTMA,-10AY,0,AM,\"PORTAGG\",\"MEANR\")":[2.18138345708671,2.13244805079998,2.03643970330743,2.16276278846143,2.07410780676299,2.03426693171094,1.95890486614023,2.30338762347253,2.15619108381836,2.15784695373281,2.10445952096627,1.99080450942468,1.92104392222499,1.86868311201929,1.92747372038269,1.99422394541449,1.91887504856528,1.96304128679347,2.05422104499902,2.03444042123465,2.06116511603316,2.00089442730103,2.13220987942659,2.04372261787286,1.84976986311215,1.75652560309055,1.7517300098161,1.72073608749341,1.6429720830747,1.60313826580536,1.68153922497004,1.69396684167683,1.80710848201868,1.73687068033329,1.65894247901503,1.65093889248938,1.65791717289251,1.58840968966835,1.55123049851669,1.54451123972985,1.57005520871676,1.56774245149322,1.5252436901477,1.43644880079153,1.47642201963087,1.55281945969447,1.53550079769237,1.55346845865577,1.59073742189264,1.7064504456016,1.73109056732053,1.78031483072682,1.79731711986914,1.78329373857917,1.81033279646144,1.93514785891136,1.9546525165296,1.77488847846328,1.65738192732421,1.67414286145061,1.77533679416119,1.73712667477661,1.82408821337547,1.76364887903574,1.7081022837338,1.81821429492302,1.8317530586677,1.85707545288131,1.84715272286744,1.85782256688956,1.82609133530367,1.9315739022098,2.44403335458799,2.4338551958801,2.38178941608848,2.03401804547849,2.08551747722282,2.06110934674623,2.06838811929994,1.96900543287073,1.65573658398506,1.66380971675815,1.67703957578948,1.76804908195132,1.83467969148008,1.95230121148054,2.04362057751147,1.88780827764356,1.94440707807609,2.08841519130329,1.87832352647471,1.79471864158188,1.74271855135768,1.76527671855964,1.79100317071483,1.82214914733783,2.04317152690987,2.08304755105084,2.46111608573564,2.26481470986465,2.4595259823996,2.26765589181357,2.31940430951464,2.70572348327675,2.5220793885851,2.35088841186767,2.24275401725529,2.34351859787104,2.74580558270966,2.80681746141577,2.75461363134428,2.96735435073481,2.94669526334803,3.01638112947621,2.82711506996167,2.87116153018775,3.11656407785107,3.22311966761569,3.10465950442047,2.82602935718279,2.80687894614455],"EPU^FMA_PE(LTMA,-10AY,0,AM,\"PORTAGG\",\"MEANR\")":[15.0240960553656,14.8954066115138,14.8153446516463,15.2789182722147,15.869913583202,15.9050990521584,15.5809507897675,14.4093225089934,14.2099685613996,14.0191901977786,13.1443421663962,15.9852003026889,16.1226597420188,16.0582154451809,15.7398424739443,16.2646008095989,15.8505208209321,15.2261266887866,14.4915415600277,15.3369069746653,11.2553024185526,10.6042335953171,14.450221257603,17.4090939019229,22.4042555009758,21.8337181029603,21.3167437795646,20.1495336571957,20.0660252753317,19.1564718518958,17.9048983079689,16.2311746481236,15.8870948267502,15.4678175909455,15.5840171572964,17.4518005091964,16.1126649157154,15.6143586439665,15.2970148112132,14.9377128480559,14.9370982482691,15.1021325944976,16.580267947803,16.6613755480888,16.424122876051,15.8866855868162,17.9345708756861,18.3709777095651,19.5813846921364,19.1265949229683,18.5196832939877,18.3039819935786,17.392777775481,17.5993502698749,16.2505666980345,16.3929623355828,16.550276604769,17.1080045479477,17.520935672547,19.1680275402379,20.0363807300693,19.6351587138312,18.4193409418358,17.8678109573202,17.7003564480013,17.6191680099467,17.2821289174754,17.0258782496984,16.8078492724638,16.4093265516075,16.8129108073595,16.7107849861128,16.1094737601918,15.8124159584061,16.7390275501659,19.3050128765989,22.6296672259483,25.3328986035862,32.633054487496,37.0306921499487,43.4505094530119,50.8650897770738,49.2807348788729,45.4910602993254,65.7340422299194,59.2796393390633,53.9666035739776,47.179431864763,41.1336934780414,34.980656386956,30.0031194612669,25.1814272216088,20.0612961002556,13.8074965392578,12.5971457071836,11.6997198717489,13.4855727929345,12.895175470514,11.8026107248787,11.2502001595586,10.1715741034657,10.1950166047164,9.48897708920063,9.17860166614142,10.2493984412439,9.45718253558773,10.6923843406093,9.76011273847798,9.42346195878669,9.63495173014208,9.66807805258934,9.99863077570954,10.4478208273408,11.0613612789602,11.0534582563937,10.7261066303772,11.4852352541947,13.7934663573135,15.0308540548432,14.6655407470267,15.1667627811672],"WL-FDS^FG_PRICE_CHANGE(0,-3AM)":-2.50555026958453,"W-FDS^FG_PRICE_CHANGE(0,-1AY)":-24.326292789512,"FC0000PE^FG_PRICE(0)":882.77136,"UAE^FG_PRICE_MAVG(0,,,,30)":14.62018,"MCHI^FG_PRICE(0)":40.17,"EWY^FG_PRICE_MAVG(0,,,,200)":62.635,"ECH^FG_PRICE(0)":27.12,"VWO^P_PRICE(0)/P_PRICE_LOW_PR(0,,,USD,,,\"PRICE\",\"INTRA\",\"52W\")-1":0.11493778,"UAE^P_PRICE(0)/P_PRICE_HIGH_PR(0,,,USD,,,\"PRICE\",\"INTRA\",\"52W\")":0.92953867,"MCHI^FG_TOTAL_RETURNC(0,-6AM)":-7.466507,"EWZ^FG_TOTAL_RETURNC(0,-3AM)":-4.2467475,"EPU^P_PRICE(0)/P_PRICE_LOW_PR(0,,,USD,,,\"PRICE\",\"INTRA\",\"52W\")-1":0.35461068,"ECH^P_PRICE(0)/P_PRICE_HIGH_PR(0,,,USD,,,\"PRICE\",\"INTRA\",\"52W\")":0.8459139,"VWO^PERCENT_CHANGE(FMA_EPS(+1,0,,,,\"PORTAGG\",\"MEAN\"),FMA_EPS(+1,-1AM,,,,\"PORTAGG\",\"MEAN\"))":0.0,"SET-BKK^PERCENT_CHANGE(FMA_EPS(+1,0,,,,\"PORTAGG\",\"MEAN\"),FMA_EPS(+1,-3AM,,,,\"PORTAGG\",\"MEAN\"))":-3.04623197170081,"CAGDPY@ZA^EE_ACTUAL_ANNUAL(MED,0)":-1.5,"USDINR^FG_PRICE(0)":82.8269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1,24.8900071994994,26.8368786417054,30.8315679475752],"CNYA^P_PRICE_RETURNS_PR('52W',2,-10AY,0,AM)":[null,null,null,null,null,null,null,null,null,null,null,null,null,null,null,null,null,null,null,null,null,null,null,null,null,null,null,null,null,null,null,null,null,null,null,null,null,null,null,null,11.181855,11.69442,21.91,22.624302,22.31574,23.586119,34.523464,25.534927,26.697517,16.55594,26.167822,14.180112,-2.4220228,-10.184914,-18.89773,-21.699917,-22.998518,-21.619946,-27.835155,-16.838837,-11.379689,-0.6314993,-12.638736,-9.650725,6.5398097,6.660402,19.516945,23.571503,22.362041,21.682762,36.175335,15.600861,5.757332,-6.2692046,9.901786,12.662005,34.767044,38.81843,26.7797,34.39847,38.884903,40.5097,44.4651,64.43925,47.494186,43.602276,46.856163,48.17245,17.47091,19.71072,18.659138,12.702143,11.316717,10.964179,-6.86363,-17.761076,-12.8856125,-9.434313,-20.045345,-19.127697,-15.880621,-15.859074,-21.288418,-28.125107,-27.605612,-26.19189,-16.233122,-12.0564165,-7.2972775,-7.237858,-1.6373217,-13.423377,-15.030259,-15.8718405,-13.024771,-6.298518,-8.023018,-16.132069,-23.690151,-23.349953,-14.932662],"EIDO^FMA_PE(NTMA,-10AY,0,AM,\"PORTAGG\",\"MEANR\")":[14.5034501027376,14.4711646817569,14.6140568987204,14.2308812778217,14.41745216256,14.8676159827189,14.631191039521,13.8527192751235,14.5248236468108,14.9403207752096,14.7808236460209,15.8912854970183,15.8379501396154,15.9209668307857,15.3438109415422,14.343344208298,14.4892376958534,13.8017768337669,13.3863770033621,13.9194582079835,13.9709988262319,13.6326644838964,14.3376142730701,14.9115120887027,15.364034049559,14.8748309800405,14.3659318091098,14.7668670337763,15.8685114932639,16.7320347488668,15.5454985643686,16.4651110025176,14.7745506206187,15.0758325145635,15.1844776012703,15.3151217209455,15.038981179789,15.4220682775621,15.7103478345577,15.790141474408,15.7517049081662,15.5656114430299,15.3557593789431,15.6869905250316,15.2229626811433,15.4237344934217,15.8212163966398,15.603640522134,14.8894775344773,14.7252149739515,13.7035664954515,13.4250573404117,12.9626657969133,13.1319107620388,13.3917330266913,13.1013891444328,13.2699744944953,14.1236455393636,14.423244459506,14.3068530184578,14.3756350758291,13.989930750688,13.1855440248061,13.7533655897631,14.2305978360497,14.6649175702689,14.7573099461508,14.2392748725063,14.3014543202323,14.849110500475,15.6016720197651,14.5343073132308,11.8079582020477,11.3542572408248,11.6960437992338,15.2780697130956,16.5659896686953,16.9755117264748,16.307225258086,16.026604407283,16.9748569982397,18.2076027055924,18.4100218422411,17.4402729391577,16.9827962186581,16.1522063411944,15.6365226108873,15.8078668994187,14.4137077497939,14.9246297143758,15.0830703472226,15.9353816863071,15.2249570404139,14.6620886475603,14.8784904749161,15.0393275316449,14.8898818970842,14.4594301665455,13.2240062712714,12.8655445885655,12.0836403949101,12.9252913661772,13.181526763496,12.2523262102988,12.6438422345104,12.3854875079333,11.7698425041642,12.3907920918405,11.476083102588,12.184042190366,11.8809410218353,13.5596756300815,13.5650139972295,13.6451558247375,13.4480971715978,12.9451686823172,12.3756038900351,12.6353436100555,13.0150122847711,12.9829782642429,13.1860387719241],"NI-FDS^FG_PRICE(0)":17755.0,"COPP-FDS^FG_PRICE_MAVG(0,,,,30)":3.8365166,"EWY^FG_PRICE_MAVG(0,,,,60)":63.0795,"EPU^FG_PRICE_MAVG(0,,,,30)":35.161163,"MCHI^FMA_COS_UP(\"EPS\",\"1M\",+1,NOW,,,\"PORTAGG\",\"MEANR\")":119.0,"EWW^FMA_COS_DOWN(\"EPS\",\"1M\",+1,NOW,,,\"PORTAGG\",\"MEANR\")":17.0,"CC_VN^IMF_IFS_RCPI_Q(0)":3.5401578,"CC_ID^IMF_IFS_RCPI_Q(0)":2.681245,"USDTHB^FG_COMPANY_NAME":"Thailand Baht per U.S. Dollar","USDKRW^STD(FG_PRICE_CHANGE(0,-1AY,AM))":2.6060546819912,"USDMYR^FG_PRICE_CHANGE(0,-1AM)":-2.0873845,"USDPHP^FG_PRICE_CHANGE(0,-6AM)":-2.3785353,"CNYA^FG_TOTAL_RETURNC(-10AY,0,AM)":[null,null,null,null,null,null,null,null,null,null,null,null,null,null,null,null,null,null,null,null,null,null,null,null,null,null,null,null,null,0.9878397,-2.7840495,2.0897746,1.4404893,-2.84006,-1.0090947,2.9527545,0.95602274,4.43182,-6.4562917,6.072116,5.5679917,1.4533997,6.1073422,1.7926335,2.0751953,-1.8309534,7.7091575,-3.888464,1.8909812,-3.927493,1.2578607,-4.006213,-11.137068,-5.193716,-4.1859684,-2.1454036,0.81413984,-0.07341504,-0.8317292,10.756803,8.579659,9.537565,-12.451142,-0.7229507,5.051005,-5.324811,9.854889,-1.1205435,-0.17259121,1.2793899,8.889103,-5.977231,0.3700018,-3.9209127,2.6533008,2.6441813,24.59302,-2.478677,0.32795668,4.8215747,2.6247501,2.9984713,11.954367,7.8865767,-14.531827,-2.2554874,4.9793243,3.564179,-1.222831,-1.3525903,0.18591881,-0.4407406,1.2348652,2.8024435,-6.0325327,-4.7367153,-9.46492,1.6169548,-9.794235,7.6255083,2.743125,-1.3502359,-6.25698,-9.088201,1.9665718,4.8099756,6.723225,-0.058877468,-4.565537,1.6820908,-5.569887,-4.044729,0.83618164,-2.327299,-3.0845284,-2.7958512,0.8502245,-4.4304967,-4.180908,1.7343402,5.914557],"ECH^FMA_PE(NTMA,-10AY,0,AM,\"PORTAGG\",\"MEANR\")":[12.8113778795536,14.0951962476429,14.4531060159992,14.151915285923,14.8535154981788,14.6110340741537,14.5214874329464,13.6809105577756,14.3225926399941,13.5226232798806,12.7216636826458,13.4724894964994,12.998377631764,13.8695610223225,14.2040841489868,13.7232378360478,12.8859190759901,12.3970624064999,12.5464828021915,12.7373751630922,13.4350533005029,12.2729581171907,11.8084518074001,12.062936192335,12.7598741356664,13.3341853290965,13.6926017592842,13.5174835509712,15.0975955772491,15.673098388706,15.28805844006,16.0370054207974,15.8615961496176,15.840353171696,15.6546372891342,16.01443529149,16.0543059696619,17.2250206803237,17.5058163054044,17.0081427873803,17.6134957121411,17.6589487725781,18.7883837989737,15.4841598056535,14.2432857694728,13.0533104848085,14.4438371248916,14.0570885469094,14.0935034077192,13.8005147777788,13.3284595295084,12.3052327692995,11.6249812498428,11.6662752415903,11.9311911662644,15.1511562307042,14.91283906173,14.7944617357012,15.476012946829,15.6569914294171,15.3294732366651,15.0133790591503,14.3417474543172,14.7030279658395,14.9506446260338,13.6505896119311,14.9818676151889,15.4529737759059,13.043383491055,13.8526206919436,14.0495699202201,13.1651125546446,10.5810572242137,11.454306130013,12.0080982031428,14.1356211211954,15.580936773175,15.7431205461665,14.4590749452435,13.954042302438,14.7348730907691,13.7028226268233,15.0677670140434,14.6508607572562,15.0858873669451,13.9338252750059,12.5617592158247,11.5810817501096,10.5314257022675,10.2841946169635,10.1944819484766,9.12034463319568,9.85136663989918,9.06591513017385,9.72541912854987,10.1193557006469,9.1897610310115,9.34225231499497,8.58272909945813,6.72273112213301,6.27239095240684,6.82899997176213,7.79805674688654,6.97309827020069,7.18487450566922,7.26520076672469,7.28500074698493,7.86305194820698,7.70375079774258,7.62401286985405,8.5455811188322,8.36285533448355,9.11241267789037,9.16563942284347,8.87451944663719,8.67021225571263,8.5322069935423,8.16616375040949,8.06828601744718,7.46727792072182,7.65865238570531],"EPOL^FMA_PE(LTMA,-10AY,0,AM,\"PORTAGG\",\"MEANR\")":[15.2526672087178,15.3554342325741,15.1777879309951,15.1687139790616,14.7956813737768,14.7070106386637,14.7382427494322,14.5012780442353,14.6695357584379,14.5900412204763,14.5677955000167,18.3915650134616,20.1005197723448,19.7119242807574,19.1904913578265,18.143625242057,17.1768773464057,16.0523781331494,15.1067431884227,14.1584938810124,12.7331596409071,10.8551461020686,11.0239355912576,11.734344304518,12.3383505044071,12.4567064814724,12.0783379774097,11.9590466832686,11.7503210838918,12.4071646746641,12.0408743279722,12.242374548467,12.4922441171323,13.4483491392442,14.192262716434,16.0876548844062,15.6612422059007,15.3138484554435,15.158389186216,14.744263293074,14.5526432872402,14.3347967168349,14.0339562070983,13.6355277264089,12.8371646571569,12.4658642825908,12.6878421811984,12.3445528026181,11.7552790817795,11.8027494612671,11.8431777025206,11.6036894050416,11.3324669409302,11.6137128223541,11.3861383804776,11.2567395054208,11.3199598713487,11.6248236991829,11.6651868925705,11.4315313975035,11.5809160934861,11.6324437555272,11.3060790453395,11.4414586672209,11.5698954727966,10.8295074410475,11.097189547257,10.8207475001871,11.0556266640023,10.7824430213288,11.1491618264901,11.3018507034562,9.32170195371182,10.0098691704487,10.8133991607998,11.9588246579745,11.8097788103529,12.5564552561604,12.8614099692094,14.2049654495428,18.324882346998,21.5506690438235,22.8612817755463,15.3244416487162,17.0210552753362,16.5403435093489,16.3375228950024,15.9304208292198,15.1230877246345,14.5384719830193,13.9853784723238,14.1378584572294,13.0507082910805,10.7728601896953,11.0745459609684,10.6500858175744,9.74888558079465,9.52557547461468,8.76190123344043,8.27396124428117,7.44136799563973,7.18420897865582,6.6996849592317,6.4953929772262,6.65251130243461,6.05653301448747,6.27996111429163,5.43654501064171,5.96609253511541,6.01815728922106,6.18023626422704,6.57538804925234,6.48857251053046,6.85732817638676,6.95267258387234,7.08654718740485,7.74288489460988,9.44812878065527,8.61245891289657,8.96299704502611,8.99518336207268],"WL-FDS^FG_PRICE_CHANGE(0,-1AM)":-6.66464247760742,"W-FDS^FG_PRICE_CHANGE(0,-3AM)":-12.5420875420875,"COPP-FDS^FG_PRICE(0)":4.037,"FC0000KR^FG_PRICE(0)":487.53073,"UAE^FG_PRICE(0)":14.58,"INDA^FG_PRICE_MAVG(0,,,,200)":46.012123,"EPU^FG_PRICE(0)":38.3749,"CNYA^FG_PRICE_MAVG(0,,,,200)":27.485825,"VWO^P_PRICE(0)/P_PRICE_HIGH_PR(0,,,USD,,,\"PRICE\",\"INTRA\",\"52W\")":0.9689095,"^FG_YIELD(-10AY,0,Y,,\"YTM\")":[null,null,null,null,null,null,null,null,null,null],"TRYTW10Y-FDS^FG_YIELD(-10AY,0,Y,,\"YTM\")":[1.6015,1.015,1.2037,0.9478,0.8648,0.672,0.315,0.7413,1.2812,1.211],"USDVND^FG_PRICE_CHANGE(0,-6AM)":1.9397497,"ECH^JULIAN(P_PRICE_RETURNS_PR('52W',2,-10AY,0,AM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5],"ECH^FMA_DIV_YLD(NTMA,-10AY,0,AM,\"PORTAGG\",\"MEANR\")":[3.41415907943409,3.02773710851239,3.0042718762461,3.09411052833087,3.05412814610077,3.04719821052677,3.07023434988713,3.21952713319522,2.98752647403528,3.17620014522376,3.35135812952527,3.13552894469853,3.34323514720744,3.14370575657358,3.20083139056154,3.3991696983354,3.53364679399052,3.58619314235141,3.65212785297279,3.72567931614924,3.75534399888243,3.87756577531415,3.97821094751796,3.74508624572072,3.48911722272204,3.48859976599244,3.24454313515989,3.26350391299674,2.93074736499811,2.86593937815706,3.10462610469741,2.76134365904752,2.7642160259229,2.80689346362077,2.93080782379569,2.76588884529927,2.75290276218854,2.42581616014015,2.47331107811701,2.62117742421193,2.58758136113299,2.6181495775588,2.46987458517924,2.8685136964114,2.96193664745254,3.20825172654348,2.80589035597438,3.02962629307573,3.18536865634175,3.11349310362051,3.22277683798914,3.19676549123455,3.37078462126235,3.38901730495219,3.40867725868962,3.05130619016134,3.06342647924099,3.07303155527615,3.00615258751441,2.98549166369206,3.01970050648693,3.00603139303163,3.16613440463102,3.31083827509583,3.18283547342206,3.49984105732084,3.30024318598059,3.2083114618155,3.81556987265392,3.60814968249113,3.57460916131897,3.73038017126505,4.6899184437551,4.13834410840742,4.0278693244176,3.29071222359807,3.17374125352724,3.38478963378834,3.82822708916627,3.82278436677487,3.4093291995415,3.30088280127517,3.00262227401142,3.0778821051931,2.78342595192029,3.08246599826549,3.56721582507804,3.78904311992989,4.25635584711244,4.64642415216278,4.62461908177312,5.14751374577593,4.61179571756629,5.43599846216583,4.78872757876006,4.76670887624748,4.89715934954273,4.80000585315617,5.35740841760512,6.80897830622579,7.74703393138568,6.99493293446721,6.36586918549167,7.37602944029443,8.58005421823391,8.69976318441399,7.97170930493424,7.85728949833685,8.21847591807707,8.36103720535075,7.38641327691851,7.00619581961412,6.3588666597079,6.34572721013419,10.8766968030262,6.9281178832456,6.74460801322311,6.60097048584307,7.00651983180683,6.82305862389152,6.99710663440434],"CAGDPY@BR^EE_ACTUAL_ANNUAL(MED,+1)":-1.54,"CC_GR^FG_COMPANY_NAME":"Greece","USDEUR^FG_PRICE_CHANGE(0,-3AM)":0.978148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833110655],"CNYA^FMA_DIV_YLD(NTMA,-10AY,0,AM,\"PORTAGG\",\"MEANR\")":[null,null,null,null,null,null,null,null,null,null,null,null,null,null,null,null,null,null,null,null,null,null,null,null,null,null,null,null,2.18094229164735,2.21629701531387,2.25966789062602,2.27834006643354,2.22277114047846,2.25616135035053,2.31455827056313,2.3126980469434,2.30824360922249,2.23839695655606,2.26848458360577,2.1478500533634,2.13023081138495,2.20880942393864,2.14159598898844,2.14042270517904,2.07696951509551,2.19658930139856,2.11208906057998,2.32110531441055,2.28416506341739,2.46459692642692,2.6346848946828,2.73542947249878,2.99618918590889,3.16918467658423,3.24379337155151,3.33990029916588,3.28484274834249,3.21500732944745,3.32754902065673,3.0031184600416,2.84277220491275,2.65439585114208,2.89386502618094,2.79913733245777,2.69788911922098,2.81619745299818,2.62711760745068,2.66518282919214,2.77570302905469,2.50967977099184,2.40804787119834,2.49230047734775,2.51569009918999,2.47823991338569,2.3280200524133,2.22204546409909,1.86406109606951,1.97155192039328,1.94976748398275,1.92549505684964,1.94726116844478,1.87212808283302,1.68784319288085,1.59207488690095,1.85112538258586,1.94289385408618,1.89895352205566,1.8214577799496,1.85026521660104,1.95634677136337,1.95945582305481,1.99341852267285,1.98993645910594,1.9331225145961,2.09493966759368,2.23391286095067,2.4230062095269,2.42778332585229,2.47658443373165,2.36039264172937,2.34528102216339,2.37406408243553,2.49247239352049,2.65835831651434,2.61150068975627,2.50238808250002,2.43081241774447,2.38649651115718,2.50776572339491,2.45185886348042,2.54777649210133,2.56924491499683,2.57011283222859,2.59508759777954,2.61199039627663,2.67720511185227,2.68845278025582,2.82084533390265,2.88738599297893,2.8214548972389,2.6926040381604],"PLATI-FDS^FG_PRICE(0)/MAX(FG_PRICE(0,-1AY))":0.827312775330396,"INDA^FG_PRICE_MAVG(0,,,,60)":50.09525,"EWY^FG_PRICE_MAVG(0,,,,30)":64.403,"VNM^FMA_COS_DOWN(\"EPS\",\"1M\",+1,NOW,,,\"PORTAGG\",\"MEANR\")":8.0,"INDA^SIZE(FG_CONSTITUENTS)":137,"TRYTW10Y-FDS^FG_YIELD_NAME":"Taiwan China Benchmark Bond - 10 Year","CC_AE^IMF_IFS_RCPI_Q(0)":null,"VGK^PERCENT_CHANGE(FMA_EPS(+1,0,,,,\"PORTAGG\",\"MEAN\"),FMA_EPS(+1,-3AM,,,,\"PORTAGG\",\"MEAN\"))":-3.71271239633812,"SET-BKK^FMA_PCT_ABOVE_MAVG(200,0,,,,\"PORTAGG\")":31.2688821752266,"EWZ^PERCENT_CHANGE(FMA_EPS(+1,0,,,,\"PORTAGG\",\"MEAN\"),FMA_EPS(+1,-1AM,,,,\"PORTAGG\",\"MEAN\"))":-0.625345973290771,"EPOL^PERCENT_CHANGE(FMA_EPS(+1,0,,,,\"PORTAGG\",\"MEAN\"),FMA_EPS(+1,-3AM,,,,\"PORTAGG\",\"MEAN\"))":-3.94949261670389,"SPY^FMA_COS_UP(\"EPS\",\"1M\",+1,NOW,,,\"PORTAGG\",\"MEANR\")":181.0,"INDA^FMA_COS_DOWN(\"EPS\",\"1M\",+1,NOW,,,\"PORTAGG\",\"MEANR\")":53.0,"EWT^SIZE(FG_CONSTITUENTS)":91,"EWZ^FMA_RBICS_REV_CURRENT(30, LOC, \"PORTAGG\")":26.7817392728117,"MCHI^FG_ROE(0)":11.3933441419936,"CC_CN^IMF_IFS_RCPI_Q(0)":-0.322581,"INDA^FMA_PE(NTMA,0,,,\"PORTAGG\",\"MEANR\")":21.9167286089049,"ECH^FMA_PE(LTM,0,,,\"PORTAGG\",\"MEANR\")":9.34781031596225,"INDA^FG_COMPANY_NAME":"iShares MSCI India ETF","TUR^P_PRICE(0)/P_PRICE_LOW_PR(0,,,USD,,,\"PRICE\",\"INTRA\",\"52W\")-1":0.27308953,"TRYSA10Y-FDS^FG_YIELD(-10AY,0,Y,,\"YTM\")":[null,null,3.8912454,3.7299898,4.5715504,2.8775356,2.0844028,2.5113702,4.613973,4.608568],"TRYDE10Y-FDS^FG_YIELD(-10AY,0,Y,,\"YTM\")":[0.5475,0.636,0.22,0.47,0.239,-0.189,-0.575,-0.181,2.534,2.004],"USDVND^FG_PRICE_CHANGE(0,-3AM)":1.8766761,"USDQAR^STD(FG_PRICE_CHANGE(0,-3AY,M))":0.0113855499090638,"USDKRW^FG_PRICE_CHANGE(0,-6AM)":-0.60720444,"USDMYR^FG_PRICE_CHANGE(0,-1AY)":4.4350266,"USDPHP^FG_PRICE_CHANGE(0,-3AM)":-0.7034004,"KSA^FG_TOTAL_RETURNC(-10AY,0,AM)":[null,null,null,null,null,null,null,null,null,null,null,null,null,null,null,null,null,null,null,null,-8.477121,-2.4999976,-12.325758,-2.206242,8.925939,3.5114884,4.219675,-0.500828,-0.4415691,-1.8299282,-5.657893,-2.8358936,13.875591,4.57983,-0.2469182,1.3430953,-3.4176707,5.2850485,-1.447469,-1.536864,9.121442,-4.506004,3.90687,-2.5256336,-2.026105,1.2129664,10.111976,-3.0018091,6.5995574,1.4690399,4.239917,2.5793672,1.2210965,-7.007396,-3.6640167,-0.17940998,3.0912995,2.3361206,6.2222004,5.177462,-0.68110824,7.793021,-7.8658223,6.936598,-0.6525099,-6.140089,-5.68434,-4.1414204,4.4959664,1.9831896,3.359592,-7.359582,-21.045298,10.238302,-0.5604446,8.051527,3.0936599,3.19736,5.3418756,4.1582108,-1.8825054,2.3956418,4.147756,-0.3733635,7.026863,4.668796,4.293287,5.3141117,-0.20496249,5.673933,1.0689974,3.6538482,2.133584,-9.298724,11.590158,0.9263396,3.11172,8.792877,-5.467975,-8.7683735,-6.456876,13.954639,-5.423135,-3.884393,-2.4536908,-7.500839,5.9283257,-4.2737246,-2.4182856,9.068621,2.147317,3.3887744,1.435411,-3.396231,-3.0029297,-7.626474,6.5940022,5.853784,4.6307683,3.0168414,0.90806484],"ECH^JULIAN(FG_TOTAL_RETURNC(-10AY,0,AM).DATES)":[41712,41743,41773,41803,41834,41865,41894,41926,41957,41985,42018,42048,42076,42108,42138,42167,42199,42230,42261,42291,42321,42352,42383,42412,42443,42474,42503,42535,42565,42594,42627,42657,42688,42718,42748,42780,42808,42838,42867,42900,42930,42961,42992,43021,43053,43083,43112,43145,43173,43203,43234,43265,43294,43326,43357,43385,43418,43448,43479,43510,43538,43567,43599,43630,43658,43691,43721,43752,43783,43812,43844,43875,43903,43935,43965,43994,44026,44057,44088,44118,44148,44179,44210,44239,44267,44300,44330,44361,44391,44421,44453,44483,44512,44544,44575,44606,44634,44665,44694,44726,44756,44785,44818,44848,44879,44909,44939,44971,44999,45030,45058,45091,45121,45152,45183,45212,45244,45274,45303,45336,45365],"CNYA^FMA_PE(NTMA,-10AY,0,AM,\"PORTAGG\",\"MEANR\")":[null,null,null,null,null,null,null,null,null,null,null,null,null,null,null,null,null,null,null,null,null,null,null,null,null,null,null,null,13.9014321007891,13.8155389417599,13.5710694888798,13.6998862939201,14.0863150465823,13.5934281608752,13.1015668328296,13.1334028867428,13.2583864701454,13.5871661078621,13.1809635461511,13.8782084919178,14.2077406596912,13.8376461187831,14.373433378839,14.3967849634874,14.7427827946537,13.9189624874959,14.3154383415176,13.1288746542354,13.3156915830385,12.6450107933283,12.0221073315982,11.708633265346,10.6844318908971,10.1296154768283,9.98691014246743,9.7176025797587,9.84293290902773,9.92029158467003,9.63229334095667,10.6574241406899,11.284875788529,12.0600578165841,10.961203180371,11.3709647623996,11.5722337252501,11.1533241301863,12.0710929571841,11.8634062320739,11.579414990669,12.4261032362584,13.0078594155092,12.4759166736022,12.2662965731959,12.3635525712686,13.1557801436077,13.7048534242091,16.4948240512315,15.8269651183919,15.9660968335766,16.3039700586877,16.0206954808859,16.3646574912959,18.0310781330737,19.0328398567119,16.4604200006361,15.8453306292868,16.0720728081571,16.6991177979978,16.1248189339363,15.5792880928241,15.5610434133625,15.3450291687551,15.272505382155,15.75984411434,14.505732305064,13.646518735704,12.6022746628187,12.6374806310039,12.4813258299386,13.0597759250447,13.2453972791498,12.8654553704426,12.4903505960361,11.6995186765718,11.7690496176066,12.1204481186861,12.3627673216768,12.520424629158,11.8795399009986,12.3414285387489,11.9967307446083,11.920523384442,11.9305747509625,11.8930646471854,11.8551377111921,11.4969915917036,11.6471995268325,11.2069566445402,10.8264310215857,11.0540394810326,11.7066303882655],"EPHE^FMA_PE(LTMA,-10AY,0,AM,\"PORTAGG\",\"MEANR\")":[19.3132941449778,19.2605816588959,19.419028586042,19.2391991260596,19.1877605901625,19.4659050581493,19.7738191734068,19.0090618975777,19.9825912887945,19.955160550041,20.5463667977157,21.0214199832662,20.9799434842519,20.9091712367175,20.6067138045644,20.120025708928,20.0586424338637,19.790753089147,19.0565399852411,18.8588075946972,18.2893298786613,17.9608720153898,16.6255900208739,17.1990730339448,16.7872368752448,17.0699511752594,16.8893862782818,17.2141356548046,17.9507664289928,18.4152543073338,17.6465711327892,17.4391020495086,16.4834757087497,17.0558367494565,18.0381372859771,17.8748419093203,17.8546952008642,18.0276617187306,18.134806813199,18.2989180865437,17.8861087880014,17.7728563714316,18.5615247456432,19.3724753338916,19.3789924406673,19.5399538468784,20.2587352539303,19.4325074927221,19.2758001058214,18.8365280524274,18.6604724295465,18.3189521522591,17.7655742095945,17.6833657813306,16.7734428243543,15.9883057991846,15.4066556635044,16.8004097027104,17.7754254885478,17.467662124791,16.7536919206871,16.7164322080323,16.5230420540921,16.6899628517049,16.7774285515711,16.0340858465562,15.5855364499701,15.2353311818414,15.1215036826957,15.2001717286894,14.9381719692324,13.9227446411941,12.6486327224884,12.7148115638077,13.4435368734763,15.3496368548074,15.8111796240687,17.7745623065496,18.7320080029252,19.7531078091957,23.9801603036071,25.1484324296533,25.9321393043828,24.8259295936399,22.7060008212108,21.8704137696653,21.1110766843444,21.6938296261428,20.9989862902294,19.7732829787831,20.5182047205408,21.0553996336786,20.9817709073284,20.0258596797475,19.6732089474839,19.5830296879114,18.9571040816682,18.6026938519435,17.6767826655919,17.3652238114977,16.5830834934148,16.5609006613272,15.7128748036631,14.0906567556174,13.9897845943207,14.0798599392291,14.5679661684452,13.9427795347062,13.1170926172671,12.9885177748477,12.8067533250504,12.1376490875979,11.9955564892041,11.4194379285493,11.1965811091228,11.1507612244318,10.4904996422954,9.9564860482257,10.1647386181367,10.4075126509669,10.6498393651074],"WL-FDS^FG_PRICE_MAVG(0,,,,30)":629.9,"W-FDS^FG_PRICE_CHANGE(0,-1AM)":-11.2724167378309,"TIOS-FDS^MAX(FG_PRICE(0,-5AY))":219.77,"FC0000IN^FG_PRICE(0)":1249.2673,"TUR^FG_PRICE_MAVG(0,,,,200)":34.64745,"EWY^FG_PRICE(0)":67.05,"EPOL^FG_PRICE_MAVG(0,,,,200)":20.418024,"CNYA^FG_PRICE_MAVG(0,,,,60)":25.118742,"VWO^FG_TOTAL_RETURNC(0,-6AM)":5.5372357,"UAE^FG_TOTAL_RETURNC(0,-3AM)":0.17215014,"INDA^P_PRICE(0)/P_PRICE_LOW_PR(0,,,USD,,,\"PRICE\",\"INTRA\",\"52W\")-1":0.34277773,"EWY^P_PRICE(0)/P_PRICE_HIGH_PR(0,,,USD,,,\"PRICE\",\"INTRA\",\"52W\")":0.9867551,"EPU^FG_TOTAL_RETURNC(0,-6AM)":23.867369,"ECH^FG_TOTAL_RETURNC(0,-3AM)":-4.464555,"EIDO^FMA_COS_UP(\"EPS\",\"1M\",+1,NOW,,,\"PORTAGG\",\"MEANR\")":20.0,"TRYAE10Y-FDS^FG_YIELD_NAME":"Treasury - United Arab Emirates USD Benchmark Bond 10Y","TIPSCL10Y-FDS^FG_YIELD_NAME":"Treasury - Chile Inflation-Indexed (TIPS) Bond 10Y","REFQALEND-FDS^(SUBARRAY(NOT_NA(NO_REPEAT_F(FG_YIELD(NOW,-10AY,D))),0,1)-SUBARRAY(NOT_NA(NO_REPEAT_F(FG_YIELD(NOW,-10AY,D))),1,1))*100":25.0,"REFBRSELIC-FDS^PROPER_NAME(0,,,\"SECURITY\",\"NAME\")":"Brazil Target Selic Rate","REFPL7D-FDS^FG_YIELD(NOW,,,0)":5.75,"TRYVN10Y-FDS^PCTCHG(FG_YIELD(0,,,,\"YTM\"),FG_YIELD(-1AM,,,,\"YTM\"))":7.3488855,"TRYBR10Y-FDS^PCTCHG(FG_YIELD(0,,,,\"YTM\"),FG_YIELD(-3AM,,,,\"YTM\"))":2.3218768,"TRYID10Y-FDS^PCTCHG(FG_YIELD(0,,,,\"YTM\"),FG_YIELD(-1AM,,,,\"YTM\"))":0.819495,"TRYQA10Y-FDS^FG_YIELD(0,,,,\"YTM\")":null,"CC_TR^IMF_IFS_RCPI_Q(0)":62.72422,"KSA^FG_FCF_YIELD_NTM(0)":4.06546838834768,"UAE^FMA_PE(LTM,0,,,\"PORTAGG\",\"MEANR\")":10.6876268366356,"QAT^FMA_EVAL_EBITDA(NTMA,0,,,\"PORTAGG\",\"MEANR\")":9.14018466109956,"EWZ^FMA_EVAL_EBIT(LTMA,NOW,NOW,M,\"PORTAGG\",\"MEANR\")":6.82051139434128,"EWW^FMA_DIV_YLD(NTMA,NOW,NOW,M,\"PORTAGG\",\"MEANR\")":3.97864694144846,"EWM^JULIAN(FMA_DIV_YLD(NTMA,NOW,NOW,M,\"PORTAGG\",\"MEANR\").DATES)":45351,"EPHE^FG_FCF_YIELD_NTM(0)":7.45849242482252,"EWW^FG_PRICE_MAVG(0,,,,200)":62.5954,"USDEUR^FG_PRICE_CHANGE(0,-1AM)":-1.5338004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KSA^FMA_PE(NTMA,-10AY,0,AM,\"PORTAGG\",\"MEANR\")":[null,null,null,null,null,null,null,null,null,null,null,null,null,null,null,null,null,null,null,12.8868090289145,12.3576370942206,12.2823339556379,11.0212951889068,11.0804193027128,12.7438664884364,12.9631199527692,13.5527431883915,13.7830327076509,13.6204244413881,12.9340037030751,12.5231774160047,11.7455802738245,13.407839577205,14.2038070611578,14.2559206479575,14.3126876307706,13.7929354672484,13.9387010922063,13.3456157017549,13.713854562201,14.6536397538586,14.0421596432204,14.0222691835867,13.0298230352202,13.1119188664613,13.0893717556129,13.5820974474182,13.5203458843084,14.4703293193306,14.5103901784995,14.8219008267238,15.1150028311187,14.9577723905791,13.9283568435551,13.3691504553225,13.3605856105179,13.4905108381277,14.4799829630745,15.3181856975354,16.2202601776949,16.1949655643786,17.0895365723709,15.6463963331476,16.8748749286284,17.0506208834528,16.6391567874831,16.6100529759285,16.0321696308306,16.5856293021688,16.1125117905671,17.2707466849604,15.844684053529,13.614715011837,15.8607073646669,17.6555660761785,19.4392593897556,19.6474026389675,19.9059760727005,21.6605549887224,21.8400763346859,20.9139220948255,19.5308154616888,19.1991324304179,18.7839827535169,19.0098652687882,18.9309064105691,19.0835815678234,19.5496152941258,18.9636380230676,19.2392208847487,18.9747539980543,19.2976792646095,19.0012440568563,17.2701180405506,18.9386564263945,18.7894164806125,18.8798320435908,19.5158598890288,17.5966858905672,16.2544626002219,15.2918792061311,16.5564932450575,15.548617198546,14.8325959569038,14.837646980644,14.0370459502867,14.9507929656253,14.5692606381352,14.2179058302784,16.0167216539786,16.6609582519919,17.1355102193406,17.5277542004505,17.2660327902572,16.4441232551712,15.5827042345949,16.0217730010582,17.2325272553755,18.4694192087416,18.7884894220701,18.3819171834072],"PLATI-FDS^FG_PRICE_CHANGE(0,-1AY)":-6.1,"TUR^FG_PRICE_MAVG(0,,,,60)":35.316334,"INDA^FG_PRICE_MAVG(0,,,,30)":51.186,"EWJ^SIZE(FG_CONSTITUENTS)":219,"VNM^FMA_COS_UP(\"EPS\",\"1M\",+1,NOW,,,\"PORTAGG\",\"MEANR\")":12.0,"TRYQA10Y-FDS^FG_YIELD_NAME":"Treasury - Qatar Benchmark Bond 10Y","TRYMY10Y-FDS^FG_YIELD(0,,,,\"YTM\")":3.859414,"INDA^FG_PRICE(0)":50.71,"EPOL^FG_PRICE_MAVG(0,,,,60)":22.450417,"CNYA^FG_PRICE_MAVG(0,,,,30)":25.444927,"VWO^FG_TOTAL_RETURNC(0,-3AM)":3.2642484,"TRYID10Y-FDS^FG_YIELD(-10AY,0,Y,,\"YTM\")":[7.922017,8.942368,7.89735,6.462641,8.148183,7.263584,5.902206,6.458283,6.936579,6.498571],"TRYKR10Y-FDS^FG_YIELD(-10AY,0,Y,,\"YTM\")":[2.6272,2.0852,2.0916,2.4797,1.9804,1.6728,1.7238,2.2417,3.6906,3.1928],"CAGDPY@KR^EE_ACTUAL_ANNUAL(MED,+1)":2.4,"USDQAR^STD(FG_PRICE_CHANGE(0,-1AY,AM))":0.0158925670416409,"USDKRW^FG_PRICE_CHANGE(0,-3AM)":1.7175555,"USDPHP^FG_PRICE_CHANGE(0,-1AY)":0.5671978,"VNM^FG_TOTAL_RETURNC(-10AY,0,AM)":[-1.1241019,-2.2737622,-8.375984,5.73895,2.4015427,2.861166,4.240763,-6.2554717,-1.4932334,-7.484603,-2.0838082,4.9435735,-6.246805,-3.386122,-3.3917487,6.2024593,7.933891,-12.4553385,-9.329444,10.546625,-5.1774383,-9.570551,-4.143846,-2.3512125,6.8472505,0.9852171,-0.7663965,2.6704192,4.859686,-1.4360249,-4.9668846,3.2055736,-8.102637,-4.0411415,5.993712,3.7009597,-4.211277,4.6944857,-0.4982233,4.220319,2.0590305,-3.4969687,3.8327456,2.6845694,6.92811,2.7505994,14.810848,-2.5654435,2.2031188,3.1020045,-7.4451866,-6.2809887,-7.9953012,5.750799,0.48338175,-6.1334906,-3.2030761,2.911985,-1.2586236,7.4195743,3.7285924,1.2374878,-4.5401692,-0.73170066,0.9213686,-7.242852,4.0026307,1.3880134,1.7423868,-1.5902162,0.6403327,-4.9782157,-26.65357,7.6785803,6.9651723,6.5891504,4.581821,2.2253156,2.9251695,0.66093206,2.3637652,8.723545,9.598494,-2.6486456,-1.2770653,6.917882,-0.31561852,6.490767,-4.608524,3.0649304,-0.4536271,-0.6075978,5.501783,-0.096565485,0.74335337,-6.460947,-6.185561,1.8681288,-17.853296,-1.1818707,-4.7176065,9.274757,-5.679643,-16.91475,-10.912055,15.90494,-0.5732596,-5.284226,-1.8596828,4.04824,3.3940434,6.0047984,6.1178327,10.249102,-2.775979,-9.030551,-2.4087608,-0.5235553,0.9212136,2.3566365,4.0291667],"KSA^FMA_DIV_YLD(NTMA,-10AY,0,AM,\"PORTAGG\",\"MEANR\")":[null,null,null,null,null,null,null,null,null,null,null,null,null,null,null,null,null,null,null,4.25713499146329,4.66190545441794,4.81671325848863,5.28574051607253,5.40210462049939,4.71459516664974,4.53065883497799,4.16411235279415,4.07238376630963,4.17535045277934,4.45119717673443,4.62642601706964,4.91240106495622,4.20086469135245,3.810958214994,3.86196657953695,3.78085793322621,3.97245974713874,3.96199493133457,4.10368341574049,3.96779710997465,3.69413485643167,3.8153067345897,4.22474092096007,4.39793037652748,4.33290028076169,4.34667604576764,4.29042756633115,4.27787992129329,3.99623413579021,3.94419423309737,3.83519286960263,3.7462177193099,3.80667561018963,4.09952232810814,4.42025782075623,4.45112576810075,4.4159923163743,4.20044188470073,4.0047183782862,3.88928862934569,3.87737075868874,3.69465670524151,4.01644431361575,3.79241952289182,3.8098456313885,3.99327857185195,4.29298766743263,4.4195829238537,4.12672836627265,4.17711237245662,3.98467490497796,4.391613210334,5.45633750959122,4.75846049833171,4.58084480895012,3.97232312259524,3.87621463266595,3.64748452803803,3.40153091511211,3.26137708397748,3.42320248552767,3.49381498016475,3.48823025900894,3.52716521982443,3.41457606755015,3.39514647979871,3.31961812998297,3.19214394608984,3.2830972231324,3.11931708306748,3.08012973857603,2.86486632717919,2.98119452329047,3.29209625727767,3.03524780574755,3.0506782818929,2.94859323362813,2.74639124536471,2.82044652207976,3.07686397826742,3.45599479072587,3.0755738400292,3.29509816475403,3.43994390554264,3.46720067527889,3.79880194364167,3.64311469232325,3.73217244749359,3.85352770199559,3.4789374298729,3.43732084744778,3.43741294649946,3.37402513979284,3.56642723376893,3.68083287973327,3.9241205123792,3.82840468438837,3.63850910972654,3.42295007248886,3.32514900957167,3.32900562020089],"VNM^FMA_PE(NTMA,-10AY,0,AM,\"PORTAGG\",\"MEANR\")":[11.5323501325398,12.1494245783257,11.982333202522,12.3537769739607,12.6707836931928,12.922482740659,13.6156289329143,12.1195414953715,12.0887934762683,11.9957967559367,12.0455449323158,12.9439166841244,11.9502612760077,13.3311834917003,13.4408140627998,13.834951945384,14.8363220884651,13.6214435147543,13.362602066166,14.2477528974516,14.4759210375813,11.9316714891067,null,14.1112055803979,15.3346534941361,12.7941790153219,12.5593920696413,12.4244015448306,12.5526304438857,11.7371413078711,11.3918032793644,13.4160878008826,12.5211489955855,12.3944847169292,12.6578748045529,13.2789731865785,12.8192626716484,14.1941343229574,14.9864013364748,14.5184518543381,15.1635812408077,15.9524702370007,16.1587444257765,16.2354874786703,16.0007477663975,18.1656681423417,20.5067517453401,19.6740510387691,20.8879646542086,21.431643947902,20.7038658960191,19.704448736013,16.625704951744,18.0008106381222,17.7405189840037,15.4276166380788,15.2012786071183,15.8620576680941,14.8847199996956,16.2486294988308,17.5322588619716,18.0765285918125,17.4335472972187,16.8651618624681,16.2744241027327,15.1606601176745,14.0918886601933,14.2216250549391,14.8099934589966,14.5396493559276,13.8492520487954,13.4600852130247,11.5761663145138,13.5949219831517,14.278838872606,15.4592798803578,14.9299910074304,14.747471536863,15.6234569590686,15.6548499667747,15.3081404403259,15.9433514276828,17.4174348852613,16.5387590525891,16.9332610398806,17.0760239169674,16.2606125813243,17.8547380986056,16.5028760916528,16.6818813639559,16.1397595529386,16.1435838832803,16.1185918852269,16.725507983682,15.6168745295791,14.6968040479803,13.862857586032,14.0927525074436,11.8817733878793,12.2861989410248,10.8643406707315,11.5435586247275,11.0874367528764,10.5561139949665,9.74276194879003,11.5348399650764,11.3345446608913,11.1172543782058,12.3449079738603,13.610554255164,14.2955954785148,14.0329605837519,13.6453562715416,14.931222620213,14.8071086846703,14.2766883403393,13.9616776070928,14.2672439377236,14.3244888160075,14.6497397064529,16.593747336516],"EIDO^FMA_PE(LTMA,-10AY,0,AM,\"PORTAGG\",\"MEANR\")":[15.7379401742396,15.6961439622404,15.7394980280971,15.6002008193564,15.6738928034457,15.9273522268808,15.7956980188894,15.358986255921,15.8924846226649,16.4693788203077,16.6274786960859,17.6882057156254,17.9094616823066,17.8163993322205,17.5294969004003,16.9773406639392,16.9161744192023,16.4052531045661,15.8727141104897,16.1414906395886,16.1023578380326,15.3606511382244,15.9943958194887,16.5719263892883,16.8374982117835,16.6263180528519,16.3507976267252,16.4612148777789,17.0928032531496,17.8831395950407,17.2473043654296,18.2461535300909,16.8418096066051,17.5116634494131,17.729283649646,17.7206577355459,17.4490001572989,17.4007553577252,17.41720500236,17.3963045175902,17.3748846627842,17.2162708781519,17.1438820129239,17.418527362946,17.1042854045105,17.3807644155206,18.0602167176276,17.8999474323268,17.503416354134,17.2607127020618,16.6800421039521,16.2962717826209,15.8040767804052,15.5807977143709,15.5905153347277,15.1713077560018,15.1134254897234,15.6659450029211,16.0267718644379,15.8645318117477,15.8586759031177,15.6644852194799,15.2644142603695,15.4021342313986,15.6286689424515,15.8852606348185,16.0515983404241,15.6887360764367,15.8120961163895,16.4236488369302,17.450033672162,16.4800077962123,14.6949259634451,14.3532754881472,14.2674360773618,16.106319263969,17.2731464372184,18.3630288970676,18.820278787722,19.6030008710046,21.6698973099708,25.0213916688436,26.1591043275262,24.4423560116563,23.8768598774172,23.0027368560057,22.1963739196388,21.6594693296451,20.2704655889633,19.9738571614036,19.4996376485128,19.7602840010149,18.3293986731455,17.1390448950544,17.0886900812218,17.0793474358787,17.3234768317571,16.9972750929388,16.259708466089,15.7064468789301,14.8974635971584,14.9966915088673,14.7327892423822,13.6174643067973,13.4707476433955,12.7670381403274,11.9170618780949,12.5072415003514,11.9588626309523,12.1535067213347,12.0856081317039,13.0221360419483,13.1914733585708,13.4821357061196,13.5963143646659,13.3855031082447,13.1608638227956,13.6444157329334,14.1737656634763,14.218875324325,14.1282817937878],"WL-FDS^FG_PRICE(0)":614.8,"W-FDS^FG_PRICE_MAVG(0,,,,30)":5.693,"TIOS-FDS^FG_PRICE(0)/MAX(FG_PRICE(0,-1AY))":0.769561598224195,"CC_BR^FG_COMPANY_NAME":"Brazil","USDAED^FG_PRICE_CHANGE(0,-3AM)":0.0,"USDEUR^FG_PRICE_CHANGE(0,-1AY)":-1.5108407,"USDMYR^FG_COMPANY_NAME":"Malaysian Ringgit per U.S. Dollar","USDPHP^FG_PRICE(0)":55.4075,"FC0000CL^JULIAN(FMA_EPS(NTMA,-20AY,0,CY,,\"PORTAGG\",\"MEANR\").DATES)":[38352,38716,39080,39447,39813,40178,40543,40907,41274,41639,42004,42369,42734,43098,43465,43830,44196,44561,44925,45289],"TRYAE10Y-FDS^FG_YIELD(-10AY,0,Y,,\"YTM\")":[null,null,null,null,null,null,null,null,null,null],"TRYPL10Y-FDS^FG_YIELD(-10AY,0,Y,,\"YTM\")":[2.5048,2.9303,3.6245,3.292,2.8144,2.1086,1.235,3.6216,6.8411,5.1912],"CAGDPY@KR^EE_ACTUAL_ANNUAL(MED,0)":2.04376201054732,"USDAED^FG_PRICE_CHANGE(0,-1AM)":-0.008165836,"USDKRW^FG_PRICE(0)":1317.7,"USDPEN^STD(FG_PRICE_CHANGE(0,-3AY,M))":2.41178542833103,"USDIDR^STD(FG_PRICE_CHANGE(0,-3AY,M))":1.54696564970394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9343646412,1.93303150117598,3.07367882715563,3.62877879573559,3.01151809254719],"TUR^FG_TOTAL_RETURNC(-10AY,0,AM)":[-4.633546,22.6349,6.13333,1.8485308,2.5316358,-5.3247213,-3.5589159,-5.8508577,10.662067,-2.0003676,6.5730333,-8.627659,-17.01923,6.836605,10.303688,-11.5437565,5.987406,-13.248867,-14.158416,16.2053,4.789078,-17.238926,0.91603994,2.3255944,15.105307,9.270418,-13.992953,0.46118498,11.264753,-7.5697184,-5.3498926,-0.96437335,-9.89992,-5.2236614,3.3305526,8.934605,-1.5783608,4.1523457,8.798468,7.556236,4.525864,3.7105322,1.1555552,-7.623023,-3.1153321,-1.4236689,10.549747,-1.3779104,-0.34356713,-10.825098,-11.623705,-13.852435,-6.931323,-20.345348,3.581524,6.778884,5.1555276,-1.9448935999999999,1.4707565,13.725495,-3.8793087,-10.426015,-10.763454,5.6568503,10.886383,1.5151501,5.284381,-12.068963,12.984753,4.6278358,8.610428,-5.07893,-22.740417,-4.3051004,-1.2224913,11.188114,5.2006245,-14.103108,0.49602985,-1.2339592,13.593197,4.6530247,19.190216,3.3970237,-5.236137,-14.192849,-1.7255902,1.9156814,-7.74557,8.067549,-0.6944537,-9.746504,8.184028,-8.141309,1.2726426,-4.0599346,-5.1385403,22.729694,-8.394634,-6.8774643,-6.677103,17.551708,17.498802,0.68798065,23.110939,12.409139,-2.072388,-4.6795845,10.944343,-3.1848967,-5.6477427,-7.750225,8.419954,15.500153,5.7277203,-2.250719,-8.1659975,0.34985542,-0.73102117,10.9730835,-6.316626],"TUR^FMA_PE(NTMA,-10AY,0,AM,\"PORTAGG\",\"MEANR\")":[8.96228990618197,10.4622478440079,10.6601620919806,10.6586583894845,10.6811246514741,10.04444249592,9.8609189747392,9.37813266318494,10.1192264420513,10.2226496988501,10.7486029277988,10.5266955658642,9.41841697727336,10.0232377290372,10.6876250231802,9.80649986247429,10.0416664270544,9.21880323063629,8.449020160869,9.34054587210981,9.57048096822034,7.91037143753259,8.09183465928473,8.03076307577816,8.96217165954525,9.38103793872214,8.50513247981188,8.20881153919425,8.88792643930758,8.45975384108362,8.38042059384282,8.27275213374805,7.57270170262898,7.63117980291707,7.9871716307443,8.57152345531908,8.43010908644946,8.3554104003393,8.58628646805257,8.67670134825128,8.8704192672439,8.74899792074998,8.47997629431961,8.18622615426561,8.29524155810604,7.96756745161345,8.10137757945758,7.87193339595682,7.99331093596584,7.28731623064638,6.76662721898148,6.24624526826012,5.8444401985032,5.99312107445944,5.9977284118749,6.05369672951014,5.73515704465883,5.9019486398706,6.08548836673656,7.03741500484714,7.23714342352783,6.5169295507677,5.92243403066071,6.12448021986729,6.4657788777642,6.69685602705981,6.7166243126759,6.0240327330389,6.48695592799938,6.6131565693459,7.01066350188219,6.87061618079865,5.68994667447087,6.10605543922009,6.98541154096957,8.69848699684124,8.75878627088442,7.90024718456902,7.91978555167412,7.94485190626909,8.41521048938266,8.06150051575866,8.21979939307138,7.70988185221108,7.54688229611457,6.6043635123847,6.49972478423409,6.34794900120412,5.78898969542119,5.77166367963572,5.49582593642489,5.3236377610867,5.85006994418089,7.03654620563678,5.99727070761181,4.74716121840503,4.67132767607732,5.31374942667965,4.50055246460899,4.94225147997372,4.31214095786192,4.61400100363652,5.09381385619583,4.81779263883927,5.68251883269925,5.83562690423297,5.45091712704669,4.71320913243621,5.28094721514966,5.0706639173173,4.67507431378143,5.04462660726459,5.81290200629465,6.43931896115379,6.37350776260647,6.02724879328427,4.90916096250777,4.84254370610482,4.94658675340021,5.26660264311466,5.06701970741426],"PLATI-FDS^FG_PRICE_CHANGE(0,-1AM)":5.26905829596414,"BRENT-FDS^MAX(FG_PRICE(0,-5AY))":140.85,"EWY^PERCENT_CHANGE(FMA_EPS(+1,0,,,,\"PORTAGG\",\"MEAN\"),FMA_EPS(+1,-1AM,,,,\"PORTAGG\",\"MEAN\"))":2.57975857675873,"EPHE^PERCENT_CHANGE(FMA_EPS(+1,0,,,,\"PORTAGG\",\"MEAN\"),FMA_EPS(+1,-3AM,,,,\"PORTAGG\",\"MEAN\"))":-0.058840378186236,"TRYKR10Y-FDS^PCTCHG(FG_YIELD(0,,,,\"YTM\"),FG_YIELD(-1AM,,,,\"YTM\"))":-3.978019,"TRYCN10Y-FDS^PCTCHG(FG_YIELD(0,,,,\"YTM\"),FG_YIELD(-3AM,,,,\"YTM\"))":-11.014008,"EWZ^FG_COMPANY_NAME":"iShares MSCI Brazil ETF","TRYZA10Y-FDS^FG_YIELD(-10AY,0,Y,,\"YTM\")":[7.9537,9.7513,8.9047,8.58389,9.37766,9.011772,9.179499,9.791837,10.764477,11.358896],"TRYMY10Y-FDS^FG_YIELD(-10AY,0,Y,,\"YTM\")":[4.131911,4.345605,4.195897,3.902544,4.235642,3.300551,2.804181,3.573893,4.131847,3.727505],"USDAED^FG_PRICE_CHANGE(0,-1AY)":-0.004082918,"USDMXN^FG_PRICE_CHANGE(0,-3AM)":-3.4251273,"USDPEN^STD(FG_PRICE_CHANGE(0,-1AY,AM))":2.92055303690155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2,0.886057282514537],"SET-BKK^P_PRICE_RETURNS_PR('52W',2,-10AY,0,AM)":[-13.524789,-8.415688,-14.010024,3.7590742,5.194986,5.568826,13.123965,5.955446,11.315334,11.704672,17.545736,23.17455,12.480855,11.389923,7.2613,3.514707,-2.6699662,-8.30431,-12.913567,-9.160972,-12.347752,-16.326612,-17.065598,-20.881992,-9.554023,-10.492748,-6.768942,-5.312848,0.019478798,10.247671,5.8846116,5.1619887,6.2764883,20.009315,23.199415,23.169004,10.677994,14.730549,10.335803,10.426437,5.985129,0.5584121,13.778043,21.78241,15.885878,12.735581,15.383983,13.983238,17.512882,11.177731,14.842546,8.424854,4.059112,8.585095,3.803873,-0.9530008,-2.9560149,-6.153977,-12.5743685,-7.781416,-9.789348,-6.0390415,-7.8540444,-2.1949172,5.5249095,-4.4769526,-3.2596827,-3.3804953,-2.5921464,-2.543664,0.27360916,-7.644737,-31.150167,-24.336773,-21.63247,-17.266964,-22.552687,-18.055504,-23.443407,-22.263836,-16.634476,-6.2125564,-3.2087743,-1.0223627,40.656185,25.495302,21.015299,18.11856,17.048323,13.487148,27.626265,29.824602,22.272514,10.467232,8.896601,11.690914,5.8640957,8.644366,2.3415327,-1.8388808,-2.0946681,5.8425903,2.0162106,-5.0412474,-0.6462872,0.16680956,0.10178089,-1.8953025,-8.207691,-4.87774,-1.4622748,-2.612555,-1.2298048,-5.369049,-6.7271113,-7.0496798,-14.620113,-15.576482,-16.23277,-16.194122,-8.462548],"SET-BKK^FG_TOTAL_RETURNC(-10AY,0,AM)":[4.5972586,1.2374401,0.49453974,4.297185,5.028093,0.8330941,2.554524,-2.1867216,1.8813252,-3.8664162,0.5472183,6.0824275,-4.6005607,0.4073739,-3.2581031,0.7232547,-1.3147831,-5.00403,-2.6005745,2.0280957,-1.6098738,-8.307653,-0.34079552,1.0448813,9.226871,-0.6347418,0.6690979,2.3955226,4.2426944,4.2957306,-6.0831904,1.3317943,-0.56713223,3.540635,3.5490513,-0.19044876,-1.8502235,3.0035973,-2.8663158,2.141273,0.050091743,-1.0444999,6.2633276,3.217411,-0.5751848,0.7259369,5.551052,-0.99989176,1.1891127,-2.5493562,0.33556223,-3.5666347,-3.8798451,3.1535983,1.5843272,-1.5125871,-2.5858402,-2.5933623,-1.6701341,4.427612,-1.0141373,1.5019417,-1.6025782,2.355802,3.5435557,-6.476128,2.6249647,-2.1637082,-1.0166049,-2.209419,0.8253336,-3.8187623,-26.036167,11.288762,1.9142747,7.978761,-3.0009627,-1.0454237,-4.1226864,-0.656271,6.5253615,9.629631,4.0545225,-1.7988503,3.9672494,-1.7261922,0.5424619,5.3940773,-3.8798392,-2.6361704,6.25,1.0549068,-0.42840838,-0.20195842,2.5750637,0.72101355,-1.4566422,0.8547425,-5.372864,1.1771202,-4.13031,5.55954,2.1155596,-5.7829914,4.0108085,0.6147623,2.9613853,-1.7226279,-7.7972593,4.5134544,-1.9665122,-0.012809038,-2.7691126,1.1357665,0.65009594,-6.1088324,-4.4604483,-0.5122602,2.5084496,-2.010572,0.7089734],"SET-BKK^FMA_DIV_YLD(NTMA,-10AY,0,AM,\"PORTAGG\",\"MEANR\")":[3.86663193018151,3.81061573180506,3.80169190686193,5.43618874267,5.50978745653098,3.43915673141137,3.34667717152892,3.45459802081625,3.35136356308064,3.49785842331912,3.42569752075946,3.13267861348521,3.3722864782483,3.36825612617659,3.4416838556153,3.42306466148899,3.4473736416386,3.58521114490451,3.66181559255019,3.60238077277399,3.64437209190181,4.00210785885933,3.84461135253641,3.73056688612531,3.37751827837196,3.4246529365589,3.43175547356375,3.33524786555172,3.20869722453512,3.08936402581512,3.35257377400874,3.33288700281347,3.34067966929936,3.25549280416898,3.14551048386566,3.13163667213008,3.19486623683008,3.1011646434194,3.21953862950721,3.196668773764,3.25066636014345,3.26363320494955,3.02622639303748,2.97763388841673,3.0244824916401,3.04346756853345,2.89411253566758,2.97870578268305,2.98660852708953,3.07793966761426,3.07246615209104,3.21787641307053,3.37127182810602,3.26883790733429,3.25816497077581,3.32035807001606,3.39703214475566,3.49875045109843,3.5102259208805,3.31731520170502,3.31444737634377,3.27313782790089,3.3294837459408,3.21865297974177,3.11508957039405,3.327102412625,3.2225131509966,3.26828998843141,3.2122790061521,3.22824293486135,3.21932521537647,3.34466431593233,4.2848281180329,3.52951746912799,3.27776425502184,3.00240991737951,3.06569352973065,3.08118272079177,3.19510778670926,3.1146641137126,2.91298065549056,2.74845314971394,2.66668682091425,2.74583432412208,2.7394359593183,2.87309940183991,2.94040692512742,2.79344382972126,2.94077470917454,3.01368666711624,2.84778559910738,2.82648853713135,2.81513472168505,2.89603887486558,2.82314521834134,2.87798973034145,2.9471955124913,2.98108781398561,3.13146590531684,3.10229388199851,3.21728608863914,3.10797914330552,3.05197355178878,3.2290953770594,3.06306455927748,3.02316910198945,2.9608860064455,3.03082568564704,3.28379346593973,3.10557648436651,3.13927331420856,3.10233292089876,3.13648913554625,3.1094732313051,3.1041275039193,3.31332831056415,3.43059424226833,3.44645450493414,3.41000611929354,3.49827527358343,3.45198280918081],"SET-BKK^FMA_PE(NTMA,-10AY,0,AM,\"PORTAGG\",\"MEANR\")":[13.6628539051972,13.8374147747972,14.0030414382637,14.0311788515952,14.522658344275,14.6241696325109,15.9998023367947,15.3157264660315,15.5958344647184,14.9029994131172,15.0384631821976,16.2426297985797,15.2551327713595,15.2990998843432,15.4435098873838,15.3176234383499,15.1992329154384,14.4263738469388,14.0926142046658,14.3401689783002,13.7473134247599,12.3522411213959,12.5613720090613,13.0841103085276,14.5782502053456,14.2748633486071,14.2246519648729,14.6220701246242,15.1677324286417,15.5318139932025,14.3275830399653,14.4756778304191,14.335699034121,14.7344278450264,15.1765332454794,15.0383489923765,14.7380333779622,15.0970988594634,14.5166658388732,14.776693289843,14.653939718427,14.610917206148,15.4315029517904,15.768206061853,15.6067807127366,15.5930480158499,16.3480058430502,15.9331866967478,15.6817363776629,15.1360084637058,15.1626170438259,14.891005176042,14.2336050675356,14.5711545546574,14.801812482345,14.477720930413,14.1743636652621,13.861585912579,13.7672619859127,14.6796598848451,14.8337454016372,14.9790780806217,14.7420783353105,15.285601682911,15.8150020215072,15.001415370466,15.4993801460203,15.4115534263348,15.7022353700587,15.3717147481904,15.5961374619291,15.3672089576686,12.1090739446606,15.1041011518217,17.596909192095,19.5025078193444,19.1292607933345,19.445850443169,18.518832901766,18.2909838835459,18.532884655298,19.425408786241,20.3157915457187,19.4078886115746,19.6431910945207,18.7276892433598,18.0371885267247,18.1146349506663,17.0859868113443,16.5755464946818,17.5383983030648,17.4279949841748,17.473126745553,17.0006864558478,17.4372731869254,17.2224937279594,16.8733932513155,16.7041047717946,15.7337364784647,15.5482265645522,14.9049295982127,15.4607989020018,15.6628538611062,14.8414005700875,15.5735608998925,15.6579844843269,15.9831003256151,15.8697121730609,14.9317395236914,15.786869448317,15.6853559240021,15.8697547552855,15.7044688013229,15.8392290414941,15.8987902010529,14.8377810245588,14.3179201538557,14.2490131721646,14.5431932343428,14.2912739401697,14.4787934966795],"PLATI-FDS^FG_PRICE_MAVG(0,,,,30)":903.8,"BRENT-FDS^FG_PRICE(0)/MAX(FG_PRICE(0,-1AY))":0.870614479821537,"MCHI^PERCENT_CHANGE(FMA_EPS(+1,0,,,,\"PORTAGG\",\"MEAN\"),FMA_EPS(+1,-3AM,,,,\"PORTAGG\",\"MEAN\"))":-7.27224815182556,"EWY^FMA_PCT_ABOVE_MAVG(200,0,,,,\"PORTAGG\")":61.0,"CAGDPY@MX^EE_ACTUAL_ANNUAL(MED,+1)":-0.8,"UAE^FMA_PE(NTMA,-10AY,0,AM,\"PORTAGG\",\"MEANR\")":[null,null,null,16.5788220142751,14.5474636478053,14.7772016524423,15.0576023184693,13.7701925179623,14.5357060569156,11.6147439722008,11.9032720278245,12.6767847156609,12.3134499662365,12.7715490072977,13.8629653087895,12.9619173513966,12.7860129290411,12.2087877352366,11.6644812225265,12.3034136735229,10.643463310082,9.52072935973496,10.5843888959851,10.4780780778234,12.4906825224215,13.3486237990965,12.749585009602,12.333940422047,12.9580941726583,12.5738411535601,12.1992984073523,12.1856404453872,11.0988773094466,11.7491152411734,12.2953168741654,12.2971287358896,11.9203877350514,12.0925822971855,12.0191486900597,11.2630657627588,11.5337854302006,11.585721526895,11.2332406244253,11.4091927644071,10.9181188199668,10.7058356510631,11.4675481619985,11.2528961297047,10.9224278480793,11.3929676352834,10.5855078138042,11.2079785444695,11.0060999648248,10.95243654706,12.1380207453625,11.625590058548,11.9222156905145,11.1774169697739,10.9586417886249,10.8400496002737,11.7441999069578,11.7831686426327,11.0044379706959,11.6283165745362,12.3532143479371,12.2818126062737,12.9795173026174,13.3625607086096,13.256327390848,13.9560819293707,13.7382259265267,12.6993263600831,9.91343876492315,13.0648777232996,15.090792085447,17.0157717076837,16.3910345025093,13.5913283934686,13.2597258728731,12.4606716971493,15.9164522308885,15.6626590323811,15.6984439552648,15.6167945754247,14.8434495336792,14.0001350824177,13.7451728972042,15.2730721887905,14.3360228373718,14.2910590535009,14.2991577350717,14.6736589878151,15.6212357795924,16.6353810152105,15.442393590613,15.9584815137096,16.1754025071512,16.5294426587095,14.5428569270097,13.7377282524872,12.7056964638906,13.6844375564363,13.0074668869822,12.3235569451164,12.7829110198977,11.7930929494249,12.0757185140267,12.2047991817409,10.8738060530515,11.2262817561204,11.185525977215,10.9980154175414,11.4101083246531,11.4095659762754,10.997051545069,10.2792989428252,10.2873168836756,10.252360639269,10.8105515199557,10.1799740025535,9.72007383170763],"EWW^FG_PRICE_MAVG(0,,,,30)":66.752,"MCHI^FG_TOTAL_RETURNC(0,-3AM)":-0.34683347,"GREK^PERCENT_CHANGE(FMA_EPS(+1,0,,,,\"PORTAGG\",\"MEAN\"),FMA_EPS(+1,-1AM,,,,\"PORTAGG\",\"MEAN\"))":1.30309711502756,"EWZ^SIZE(FG_CONSTITUENTS)":51,"EZA^FMA_RBICS_REV_CURRENT(30, LOC, \"PORTAGG\")":43.909796179783,"REFCNRMB-FDS^(SUBARRAY(NOT_NA(NO_REPEAT_F(FG_YIELD(NOW,-10AY,D))),0,1)-SUBARRAY(NOT_NA(NO_REPEAT_F(FG_YIELD(NOW,-10AY,D))),1,1))*100":-9.99999999999996,"REFPHRREPO-FDS^FG_YIELD(NOW,,,0)":6.5,"TRYTH10Y-FDS^FG_YIELD_NAME":"Thailand Benchmark Bond - 10 Year","TRYCN10Y-FDS^FG_YIELD(0,,,,\"YTM\")":2.3624,"VGK^FG_FCF_YIELD_NTM(0)":5.63338351138935,"TUR^FG_FCF_YIELD_NTM(0)":14.5779614843556,"INDA^FMA_DIV_YLD(NTMA,NOW,NOW,M,\"PORTAGG\",\"MEANR\")":1.35337598328664,"ECH^JULIAN(FMA_DIV_YLD(NTMA,NOW,NOW,M,\"PORTAGG\",\"MEANR\").DATES)":45351,"CNYA^FG_COMPANY_NAME":"iShares MSCI China A ETF","EPOL^FMA_EVAL_EBITDA(NTMA,0,,,\"PORTAGG\",\"MEANR\")":4.41443185747309,"REFEUREFI-FDS^(SUBARRAY(NOT_NA(NO_REPEAT_F(FG_YIELD(NOW,-10AY,D))),0,1)-SUBARRAY(NOT_NA(NO_REPEAT_F(FG_YIELD(NOW,-10AY,D))),1,1))*100":25.0,"REFCLMPR-FDS^FG_YIELD(NOW,,,0)":7.25,"TRYTW10Y-FDS^PCTCHG(FG_YIELD(0,,,,\"YTM\"),FG_YIELD(-1AM,,,,\"YTM\"))":-0.9263787,"TRYIN10Y-FDS^FG_YIELD(0,,,,\"YTM\")":7.041,"VGK^FG_PE_NTM(0,,,90,0)":12.9298765143591,"CNYA^FG_FCF_YIELD_NTM(0)":5.80738786880751,"CC_QA^IMF_IFS_RCPI_Q(0)":null,"KSA^FMA_EVAL_EBIT(LTMA,NOW,NOW,M,\"PORTAGG\",\"MEANR\")":23.0228912381896,"KSA^FMA_EVAL_EBITDA(NTMA,0,,,\"PORTAGG\",\"MEANR\")":11.3477778986761,"TRYPL10Y-FDS^PCTCHG(FG_YIELD(0,,,,\"YTM\"),FG_YIELD(-3AM,,,,\"YTM\"))":6.4917507,"VNM^FG_COMPANY_NAME":"VanEck Vietnam ETF","EWM^SIZE(FG_CONSTITUENTS)":34,"EWZ^FG_FCF_YIELD_NTM(0)":10.2137602914287,"CC_MX^FG_COMPANY_NAME":"Mexico","EWT^FG_PRICE_MAVG(0,,,,60)":45.7895,"INDA^P_PRICE(0)/P_PRICE_HIGH_PR(0,,,USD,,,\"PRICE\",\"INTRA\",\"52W\")":0.96682554,"ECH^FG_TOTAL_RETURNC(0,-6AM)":0.53213835,"EZA^PERCENT_CHANGE(FMA_EPS(+1,0,,,,\"PORTAGG\",\"MEAN\"),FMA_EPS(+1,-3AM,,,,\"PORTAGG\",\"MEAN\"))":-4.98747515783394,"EWJ^FMA_COS_DOWN(\"EPS\",\"1M\",+1,NOW,,,\"PORTAGG\",\"MEANR\")":91.0,"EWZ^FMA_COS_UP(\"EPS\",\"1M\",+1,NOW,,,\"PORTAGG\",\"MEANR\")":15.0,"EWY^FMA_RBICS_REV_CURRENT(30, LOC, \"PORTAGG\")":14.9507954284131,"TRYKR10Y-FDS^PCTCHG(FG_YIELD(0,,,,\"YTM\"),FG_YIELD(-3AM,,,,\"YTM\"))":0.6056976,"TUR^FMA_PE(NTMA,0,,,\"PORTAGG\",\"MEANR\")":5.06701970741426,"INDA^FMA_PE(LTM,0,,,\"PORTAGG\",\"MEANR\")":24.6960621991894,"EWY^JULIAN(FMA_DIV_YLD(NTMA,NOW,NOW,M,\"PORTAGG\",\"MEANR\").DATES)":45351,"EPOL^FMA_EVAL_EBIT(LTMA,NOW,NOW,M,\"PORTAGG\",\"MEANR\")":7.51957489469841,"REFIDRREPO-FDS^PROPER_NAME(0,,,\"SECURITY\",\"NAME\")":"Indonesia BI (Reverse) Repo Rate - 7 Day","VGK^FMA_DIV_YLD(NTMA,NOW,NOW,M,\"PORTAGG\",\"MEANR\")":3.63222181867579,"TUR^FMA_PE(LTM,0,,,\"PORTAGG\",\"MEANR\")":6.52489804319549,"TRYBR10Y-FDS^FG_YIELD_NAME":"Treasury - Brazil Benchmark Bond 10Y","GREK^FMA_PE(NTMA,0,,,\"PORTAGG\",\"MEANR\")":6.96236107465269,"CC_US^IMF_IFS_RCPI_Q(0)":3.2433991,"GREK^FMA_PE(LTM,0,,,\"PORTAGG\",\"MEANR\")":7.41986685029575,"EWW^FMA_PE(LTM,0,,,\"PORTAGG\",\"MEANR\")":12.6645398322302,"KSA^FMA_PE(NTMA,0,,,\"PORTAGG\",\"MEANR\")":18.3819171834072,"TRYVN10Y-FDS^PCTCHG(FG_YIELD(0,,,,\"YTM\"),FG_YIELD(-3AM,,,,\"YTM\"))":-2.9995925,"TUR^FMA_EVAL_EBIT(LTMA,NOW,NOW,M,\"PORTAGG\",\"MEANR\")":6.99519482959589,"EWY^FMA_PE(NTMA,0,,,\"PORTAGG\",\"MEANR\")":10.5537735326763,"EPU^FG_FCF_YIELD_NTM(0)":7.492697567438,"EWM^FMA_PE(NTMA,-10AY,0,AM,\"PORTAGG\",\"MEANR\")":[15.3264817677666,15.625627989924,15.7084098906273,15.7601182539773,15.7825755227871,15.6050066408962,15.7662725559071,15.1893154624822,15.27509084799,14.9003952829278,14.9678191422847,15.5378811482582,15.5032646982396,16.0103029606397,15.7294007740323,15.4099111859026,15.279122458763,14.0841104180521,14.8278813559868,15.5559302177633,15.0520849703931,15.0798224185802,15.0082127181884,15.2208147952756,15.945543018861,16.2352024716686,15.3482255453548,15.9833459009178,16.3596849946703,16.6728891428201,16.6936984076046,16.7175244932393,16.1276324480115,16.4862844729907,16.6185532130949,16.7825000299775,16.7762279478106,16.7927883234152,17.0968834384894,16.7864324750416,16.3226088065301,16.3280106359774,16.4627568944938,16.1016130738032,15.7291926627161,16.1407962506219,16.67351521812,16.6345146121761,16.4279197410879,16.485774767984,16.2506766210725,16.0601967771665,15.6758364473825,16.321480375087,16.4960324892875,15.7478921118083,15.5578753257387,15.7682558878198,16.0346267621187,16.2468732765008,16.3658275008109,15.9934924552299,15.5955531044779,16.4628792180885,16.6415579654971,16.0098071599043,16.1508689120787,15.7254047923679,16.0412598253239,15.8483227923127,15.8935984119313,15.5404505921525,14.2098720729371,15.4100122616143,16.2091701623281,19.5204674660519,19.7611578741627,18.7544171366865,18.2978364047998,17.5353256977499,16.4892974500294,15.6061642212607,14.8841882029154,14.3755873052822,14.3657069665609,14.2335461740063,13.9850726695247,14.0221248017078,13.4039356294053,13.4598244123175,13.868855117134,14.6039859411616,14.3094242942295,14.8624504901935,15.6034591255761,15.656995245563,15.1087554918938,15.1390235433009,14.4367446810958,13.8296058083487,13.2359693873475,13.9736210110789,13.5132921319038,12.6303185599809,13.2477337017704,13.583461197125,13.5788488041119,13.3965238423533,12.705848169267,13.1925967375833,13.0799034060552,13.2890324935745,13.5310305970139,13.8088752112301,13.7942515099511,13.6742496331034,13.5938179159399,13.6893741516327,13.7243187205458,14.002009740928,13.9172182315815],"EWM^FG_PRICE(0)":21.97,"CNYA^P_PRICE(0)/P_PRICE_LOW_PR(0,,,USD,,,\"PRICE\",\"INTRA\",\"52W\")-1":0.14652622,"EZA^PERCENT_CHANGE(FMA_EPS(+1,0,,,,\"PORTAGG\",\"MEAN\"),FMA_EPS(+1,-1AM,,,,\"PORTAGG\",\"MEAN\"))":0.769672983812633,"EWJ^FMA_COS_UP(\"EPS\",\"1M\",+1,NOW,,,\"PORTAGG\",\"MEANR\")":115.0,"EWY^FMA_COS_DOWN(\"EPS\",\"1M\",+1,NOW,,,\"PORTAGG\",\"MEANR\")":47.0,"TRYGR10Y-FDS^FG_YIELD_NAME":"Greece Benchmark Bond - 10 Year","REFINREPO-FDS^(SUBARRAY(NOT_NA(NO_REPEAT_F(FG_YIELD(NOW,-10AY,D))),0,1)-SUBARRAY(NOT_NA(NO_REPEAT_F(FG_YIELD(NOW,-10AY,D))),1,1))*100":25.0,"CNYA^FMA_EVAL_EBIT(LTMA,NOW,NOW,M,\"PORTAGG\",\"MEANR\")":16.4480130620209,"SET-BKK^FMA_EVAL_EBITDA(NTMA,0,,,\"PORTAGG\",\"MEANR\")":9.69405154005141,"GREK^FMA_DIV_YLD(NTMA,NOW,NOW,M,\"PORTAGG\",\"MEANR\")":4.59049016356781,"EPOL^FMA_PE(LTM,0,,,\"PORTAGG\",\"MEANR\")":7.78326501782752,"TRYPE10Y-FDS^FG_YIELD_NAME":"Treasury - Peru Benchmark Bond 10Y","WL-FDS^FG_PRICE_CHANGE(0,-1AY)":5.76294512300017,"EPU^FG_PRICE_MAVG(0,,,,60)":34.511227,"INDA^FG_TOTAL_RETURNC(0,-6AM)":12.078678,"URTH^SIZE(FG_CONSTITUENTS)":1467,"EWY^FMA_COS_UP(\"EPS\",\"1M\",+1,NOW,,,\"PORTAGG\",\"MEANR\")":33.0,"EWW^FMA_RBICS_REV_CURRENT(30, LOC, \"PORTAGG\")":29.5965573456913,"TRYZA10Y-FDS^FG_YIELD_NAME":"South Africa Benchmark Bond - 10 Year","REFCLMPR-FDS^(SUBARRAY(NOT_NA(NO_REPEAT_F(FG_YIELD(NOW,-10AY,D))),0,1)-SUBARRAY(NOT_NA(NO_REPEAT_F(FG_YIELD(NOW,-10AY,D))),1,1))*100":-100.0,"TRYMX10Y-FDS^PCTCHG(FG_YIELD(0,,,,\"YTM\"),FG_YIELD(-3AM,,,,\"YTM\"))":2.6289806,"CC_SA^IMF_IFS_RCPI_Q(0)":1.5943921,"TUR^JULIAN(FMA_DIV_YLD(NTMA,NOW,NOW,M,\"PORTAGG\",\"MEANR\").DATES)":45351,"INDA^JULIAN(FMA_DIV_YLD(NTMA,NOW,NOW,M,\"PORTAGG\",\"MEANR\").DATES)":45351,"EWW^FMA_EVAL_EBIT(LTMA,NOW,NOW,M,\"PORTAGG\",\"MEANR\")":10.5614271161871,"EPOL^FMA_DIV_YLD(NTMA,NOW,NOW,M,\"PORTAGG\",\"MEANR\")":4.75946767925141,"CNYA^FMA_EVAL_EBITDA(NTMA,0,,,\"PORTAGG\",\"MEANR\")":9.72707382451854,"GREK^FMA_EVAL_EBIT(LTMA,NOW,NOW,M,\"PORTAGG\",\"MEANR\")":7.22886000288587,"EWW^FMA_PE(NTMA,0,,,\"PORTAGG\",\"MEANR\")":12.3190283722558,"CNYA^JULIAN(FMA_DIV_YLD(NTMA,NOW,NOW,M,\"PORTAGG\",\"MEANR\").DATES)":45351,"KSA^SIZE(FG_CONSTITUENTS)":122,"SET-BKK^FMA_PE(NTMA,0,,,\"PORTAGG\",\"MEANR\")":14.4787934966795,"TRYSA10Y-FDS^PCTCHG(FG_YIELD(0,,,,\"YTM\"),FG_YIELD(-1AM,,,,\"YTM\"))":-3.4418902,"EPHE^FMA_DIV_YLD(NTMA,NOW,NOW,M,\"PORTAGG\",\"MEANR\")":2.74177782252763,"VNM^FMA_EVAL_EBITDA(NTMA,0,,,\"PORTAGG\",\"MEANR\")":10.3373516513935,"EPHE^FMA_PE(NTMA,0,,,\"PORTAGG\",\"MEANR\")":9.95168335742049,"QAT^FMA_DIV_YLD(NTMA,NOW,NOW,M,\"PORTAGG\",\"MEANR\")":4.72226160337177,"EPHE^FMA_PE(LTM,0,,,\"PORTAGG\",\"MEANR\")":11.7121175912818,"VNM^FMA_DIV_YLD(NTMA,NOW,NOW,M,\"PORTAGG\",\"MEANR\")":2.6937472044039,"VNM^FMA_PCT_ABOVE_MAVG(200,0,,,,\"PORTAGG\")":73.3333333333333,"EWM^FG_FCF_YIELD_NTM(0)":6.6435092209907,"EIDO^JULIAN(FMA_DIV_YLD(NTMA,NOW,NOW,M,\"PORTAGG\",\"MEANR\").DATES)":45351,"EIDO^FMA_PCT_ABOVE_MAVG(200,0,,,,\"PORTAGG\")":33.3333333333333,"REFPEMPR-FDS^FG_YIELD(NOW,,,0)":6.25,"TRYPH10Y-FDS^FG_YIELD(0,,,,\"YTM\")":6.1901364,"VWO^FMA_EVAL_EBITDA(NTMA,0,,,\"PORTAGG\",\"MEANR\")":8.19587233016681,"USDQAR^FG_PRICE_CHANGE(0,-6AM)":0.02746582,"KSA^FMA_PE(LTMA,-10AY,0,AM,\"PORTAGG\",\"MEANR\")":[null,null,null,null,null,null,null,null,null,null,null,null,null,null,null,null,null,null,null,null,null,null,11.7373578330327,10.7014301997257,11.7577408725101,11.9800260087654,12.3612392007181,12.7679789019597,12.9563213545708,12.912322102198,12.866086743365,12.4644534173812,13.9691229280818,14.8250114378843,14.8517137660751,15.135264078187,15.2713736226939,15.2481973579023,14.9879652499402,15.0212888365465,15.427190061286,15.1715951343071,15.1777794921623,14.3844376095079,14.4340893115984,14.2832624765148,14.7350720507529,14.9553231949306,15.1641400766441,15.1781223638819,15.2964318582714,15.5111210516858,15.5166244987198,14.8574817202926,14.4849882578487,14.4485098601002,14.6926364021914,15.5738699335162,16.5036470751481,17.5623400269468,17.2308668172622,17.4495485355718,16.9709357385475,17.4468362670867,17.6383791062602,17.5958562736244,17.8372580787299,17.5905203903203,18.5276586108148,18.9063274317601,20.3149961496695,18.3239388894241,17.1305947594908,17.5037868535011,18.2220773980932,19.2796949703779,19.739991017729,20.6602720652153,24.0836322620906,26.0711788174931,27.4560793468536,28.0592561983618,29.1685123834962,26.4437661233866,26.3983204983763,25.7011920448307,25.0905333737611,24.6442538327533,23.7113068625101,23.3969078989123,22.7414976139574,22.2500906414533,21.6585999692219,19.3392435393926,20.9361938984506,20.6796458764172,21.3131183012647,21.3428822958549,20.5147217156568,19.6245565336732,18.7829930086247,19.1473452592408,18.2429702748527,17.1635655109871,16.7823373102855,15.3828467254085,16.0162385207736,15.4375003367817,15.1802824060141,15.6877256143141,16.1010913217361,16.6630107950467,17.2905860181977,17.6943679296601,17.553736059746,17.2540767300281,18.0339722694458,19.9216837896352,21.336765585141,21.499574580417,21.7287698863128],"INDA^FG_TOTAL_RETURNC(0,-3AM)":4.881072,"CNYA^P_PRICE(0)/P_PRICE_HIGH_PR(0,,,USD,,,\"PRICE\",\"INTRA\",\"52W\")":0.7870194,"EZA^FMA_PCT_ABOVE_MAVG(200,0,,,,\"PORTAGG\")":48.4848484848485,"VWO^SIZE(FG_CONSTITUENTS)":4677,"EWW^SIZE(FG_CONSTITUENTS)":44,"EWT^FMA_RBICS_REV_CURRENT(30, LOC, \"PORTAGG\")":17.8066741873402,"KSA^FMA_PE(LTM,0,,,\"PORTAGG\",\"MEANR\")":22.5812859647022,"CC_KR^IMF_IFS_RCPI_Q(0)":3.404687,"EWT^FG_FCF_YIELD_NTM(0)":3.51236600062008,"EWT^FMA_PE(LTM,0,,,\"PORTAGG\",\"MEANR\")":22.4728913468777,"REFKRBASE-FDS^PROPER_NAME(0,,,\"SECURITY\",\"NAME\")":"South Korea Base Rate","CPALM-FDS^FG_PRICE(0)":4330.0,"MCHI^FG_FCF_YIELD_NTM(0)":7.17939951141359,"INDA^FMA_COS_UP(\"EPS\",\"1M\",+1,NOW,,,\"PORTAGG\",\"MEANR\")":49.0,"EPU^FMA_EVAL_EBIT(LTMA,NOW,NOW,M,\"PORTAGG\",\"MEANR\")":13.2143418899085,"USDQAR^FG_PRICE_CHANGE(0,-3AM)":0.0,"VNM^FMA_PE(LTMA,-10AY,0,AM,\"PORTAGG\",\"MEANR\")":[11.6984557647636,11.9127869209911,11.8917495244519,12.1014803153146,12.5658438770269,12.8904072394234,13.7656401161663,13.2299322732381,13.1762789231027,12.9037719911215,12.3471392396991,12.9326869696716,16.7477850793961,16.7477374033261,16.6235982613968,16.637610484276,17.2970877523469,16.8381130869865,17.4149205578157,20.1920145988931,24.4027397420334,23.2416023862477,35.4457370162634,19.2200734234488,-4.82041463544784,-3.41177194306726,-1.66775375401573,0.464402439610602,2.27881233206307,3.80528558332624,5.65867152826305,10.3630928758674,11.6692257723545,13.2575995909961,14.8910534927564,15.4657065201567,15.4547187351276,15.7298811926284,15.978488888674,15.720274246723,16.3743564245456,17.5282732779183,18.1388041936593,18.2073277648084,19.1645632254171,21.1011451635481,24.6559000143423,23.7806013735562,24.538115499033,24.5242068369477,24.1539699757274,23.5749408670049,21.5723822133932,22.1323788583256,22.1005821751319,20.4290106356083,19.4159737402463,19.537879007768,18.3018520594487,18.6637073426454,19.7443827321869,19.776261936152,19.506549884084,19.3403713896295,19.110142150243,18.3456539192379,17.491618877924,17.2715250074017,17.835188939146,17.5086676425248,16.3007540347015,15.5129745550361,14.7404624567339,15.1086959555741,15.3873670318453,16.2356293003071,16.3225570473383,16.7357226744323,18.2338898889313,18.7416223337108,19.0875235803389,21.2149962042359,24.3973762659218,23.9458470525585,24.2363159972375,23.6002233638378,22.7020966059342,22.986912556913,21.6181388944911,21.2253433819868,20.3720185058817,20.156024388891,20.0586945343517,19.3962230916986,17.8150424413818,16.6586479912013,16.2371130965773,16.1494754558446,15.1954331664547,15.085820827006,13.9903195678856,14.0561959508267,13.5490821449872,12.6461483179832,11.2456584317672,12.899286191568,12.0362754713657,12.2713710694492,12.3885130198788,12.8138667296281,13.2406417007563,13.5971601674688,13.5456330635532,14.7136337736255,15.5091809687269,15.9288818912201,15.7100423717327,16.2468627669988,16.7050713845341,16.8387125797511,18.7086218453732],"EPOL^FG_PRICE_MAVG(0,,,,30)":23.014668,"GREK^FG_TOTAL_RETURNC(0,-6AM)":19.544434,"CNYA^FG_TOTAL_RETURNC(0,-6AM)":-3.271091,"EWZ^PERCENT_CHANGE(FMA_EPS(+1,0,,,,\"PORTAGG\",\"MEAN\"),FMA_EPS(+1,-3AM,,,,\"PORTAGG\",\"MEAN\"))":-7.7827452412147,"VWO^FMA_COS_DOWN(\"EPS\",\"1M\",+1,NOW,,,\"PORTAGG\",\"MEANR\")":1197.0,"EPOL^FMA_RBICS_REV_CURRENT(30, LOC, \"PORTAGG\")":48.9007931524453,"REFEUREFI-FDS^PROPER_NAME(0,,,\"SECURITY\",\"NAME\")":"Eurozone Main Refinancing Operations Minimum Bid Rate","TRYMY10Y-FDS^PCTCHG(FG_YIELD(0,,,,\"YTM\"),FG_YIELD(-3AM,,,,\"YTM\"))":3.811343,"CC_TH^IMF_IFS_RCPI_Q(0)":null,"SET-BKK^FG_FCF_YIELD_NTM(0)":5.0103054276418,"EWW^FMA_EVAL_EBITDA(NTMA,0,,,\"PORTAGG\",\"MEANR\")":6.06049804057842,"EPOL^FMA_PE(NTMA,0,,,\"PORTAGG\",\"MEANR\")":9.38584718131197,"VGK^JULIAN(FMA_DIV_YLD(NTMA,NOW,NOW,M,\"PORTAGG\",\"MEANR\").DATES)":45322,"GREK^FMA_EVAL_EBITDA(NTMA,0,,,\"PORTAGG\",\"MEANR\")":5.17109404345076,"EWW^FG_FCF_YIELD_NTM(0)":8.00003359071373,"SET-BKK^FMA_DIV_YLD(NTMA,NOW,NOW,M,\"PORTAGG\",\"MEANR\")":3.48732206191412,"REFZAREPO-FDS^FG_YIELD(NOW,,,0)":8.25,"EPOL^JULIAN(FMA_DIV_YLD(NTMA,NOW,NOW,M,\"PORTAGG\",\"MEANR\").DATES)":45351,"GREK^FG_COMPANY_NAME":"Global X MSCI Greece ETF","USDINR^FG_PRICE_CHANGE(0,-6AM)":-0.2521217,"EWT^FMA_PE(LTMA,-10AY,0,AM,\"PORTAGG\",\"MEANR\")":[15.7202720865615,15.6972419383335,15.4413940089229,15.4990275923465,15.6679169798778,14.9920227098155,14.7402108793177,14.0339159511429,14.0499343010415,13.7107961509368,13.728549217709,14.2967690521221,14.2623878846816,14.0989534221717,14.0149687761581,13.8567682186873,13.5133245102219,12.9250771582446,12.8050647565331,12.8133989462569,12.5879674812778,12.0216275527301,11.1248125955867,11.8690604515072,12.4762295757145,12.565377813023,12.3675217785031,12.8770573635503,13.2492969592171,13.8013596416782,13.6631476172785,14.1939909616971,13.8288543491042,14.4486005058072,14.3981603432607,14.6024681967682,14.474156792115,14.396164492589,14.3547666267478,14.3414878020943,14.6960630142979,14.5926500811764,14.5680591674351,14.7158918468261,14.9016686220451,14.5569092712171,14.7494211603898,14.0779938144605,14.5032455550088,14.3904445776516,14.3723278948796,14.2832959732437,14.1217214386244,14.0584633242733,13.816311097847,12.9453487569104,12.625601231828,12.5628365737967,12.692532710253,13.4625481984884,14.114035153436,14.3736325810123,14.4170883959244,14.5559335903893,14.9889499184946,14.7901872717938,15.437907648979,15.9391344968177,16.5297271550427,17.2065324908082,17.7630685980691,17.301870601546,16.0493852035965,16.2326166399577,16.4215169897226,16.9770664728549,17.7565012227455,17.7282928098476,17.2778058210549,17.3420510063647,17.0412791105918,17.6345664034831,19.2726306212236,18.7642727895666,18.5218669646057,18.0722004358327,16.9634861734796,16.785002333541,16.337579281366,15.1830888545115,14.7908312137159,13.5320491715609,13.5718203059731,12.8556406346209,13.0897534660554,12.6551989497686,12.3047064237437,12.2032928141357,11.8553272249712,11.8062260257801,11.0087097866492,11.3242479123264,10.9664746204641,10.0691627138416,10.7337885104,11.2025211872848,11.4117903614407,12.3637316356458,12.5660629915604,13.1170490206538,13.565473711811,14.8179387679156,15.5905497465549,15.7945378000121,16.3503614552444,16.7625703562712,16.9822237656669,18.3207753787326,18.7354091477725,19.1288186387164,19.9250557408397],"EPOL^FG_PRICE(0)":23.62,"GREK^FG_TOTAL_RETURNC(0,-3AM)":8.282089,"EWZ^FMA_PCT_ABOVE_MAVG(200,0,,,,\"PORTAGG\")":60.0,"VWO^FMA_COS_UP(\"EPS\",\"1M\",+1,NOW,,,\"PORTAGG\",\"MEANR\")":775.0,"EWW^FMA_COS_UP(\"EPS\",\"1M\",+1,NOW,,,\"PORTAGG\",\"MEANR\")":16.0,"EPHE^FMA_RBICS_REV_CURRENT(30, LOC, \"PORTAGG\")":47.2004098653031,"TRYMY10Y-FDS^PCTCHG(FG_YIELD(0,,,,\"YTM\"),FG_YIELD(-1AM,,,,\"YTM\"))":1.3854132,"CNYA^FMA_PE(LTM,0,,,\"PORTAGG\",\"MEANR\")":14.3574289343155,"TRYPE10Y-FDS^PCTCHG(FG_YIELD(0,,,,\"YTM\"),FG_YIELD(-1AM,,,,\"YTM\"))":3.9541519,"EPHE^FG_PRICE_MAVG(0,,,,30)":27.446,"EZA^P_PRICE(0)/P_PRICE_LOW_PR(0,,,USD,,,\"PRICE\",\"INTRA\",\"52W\")-1":0.083892584,"EWJ^PERCENT_CHANGE(FMA_EPS(+1,0,,,,\"PORTAGG\",\"MEAN\"),FMA_EPS(+1,-3AM,,,,\"PORTAGG\",\"MEAN\"))":-3.00640915962454,"VGK^FMA_COS_DOWN(\"EPS\",\"1M\",+1,NOW,,,\"PORTAGG\",\"MEANR\")":546.0,"EWT^FMA_COS_DOWN(\"EPS\",\"1M\",+1,NOW,,,\"PORTAGG\",\"MEANR\")":42.0,"EIDO^FMA_RBICS_REV_CURRENT(30, LOC, \"PORTAGG\")":58.4205434251482,"CNYA^FMA_RBICS_REV_CURRENT(30, LOC, \"PORTAGG\")":20.5882231369324,"EZA^FMA_EVAL_EBITDA(NTMA,0,,,\"PORTAGG\",\"MEANR\")":7.49556635817175,"TRYTR7Y-FDS^PCTCHG(FG_YIELD(0,,,,\"YTM\"),FG_YIELD(-3AM,,,,\"YTM\"))":14.040197,"EWZ^FMA_EVAL_EBITDA(NTMA,0,,,\"PORTAGG\",\"MEANR\")":4.73292533297046,"USDEUR^FG_COMPANY_NAME":"Euro per U.S. Dollar","ECH^FMA_PE(LTMA,-10AY,0,AM,\"PORTAGG\",\"MEANR\")":[15.5037640908984,15.6857948128815,15.8690270111504,15.8404301515366,16.2973841105575,16.4236603594342,16.352159314124,15.9174197191943,16.3890480544536,16.3889336725561,16.0173523102615,16.7796961676252,16.4806516560895,16.4415458402675,16.4010146001865,16.1379618487159,15.5415660884816,15.1248371740476,15.1732434508524,15.4751777412852,15.9923052342818,15.6340420377742,15.3495983414868,15.4351867412484,15.4483920776785,15.3809731520235,15.3272556656201,14.9963172169527,15.6626350328943,16.0513194121362,15.9470429155174,16.5780014321873,16.2318245496542,16.5964282004773,15.8223708912808,16.6706553295012,16.7950678256049,17.1198199557533,17.3443221042584,17.2605326101794,17.8899506333136,18.2309471472411,19.5949626436905,17.9610277405457,17.9219903306578,16.5853451759781,18.3230866286445,17.4524873422839,17.4498024686366,17.0852475453611,16.6671103610058,15.9090249124904,15.2331099875827,15.1030100631864,15.3395791844017,17.0763459818728,16.9900840941882,16.7660087812188,17.5606774633861,17.8041191082102,15.8165459145314,15.7458385723247,15.5790366223881,15.8031531647674,16.0089092562443,15.2061699001359,16.4675082683632,17.0153690155896,14.5693778251764,16.0609722495487,15.9107988657661,14.7779857568301,15.3003742216016,15.1608206067517,15.1906089019092,16.1545178201653,17.6660045113202,19.0448729722013,19.0934029625585,19.6397762724153,21.9457082916579,23.5080898419604,24.6158527887564,26.8407430753733,31.9330195621914,29.7643019488875,27.4000452193217,24.9614405006834,22.404396176191,20.2490281371979,17.8911712929001,15.1174165701711,13.3434301776342,10.1481833664644,9.43570307436205,9.69771405936605,9.77085919172349,9.76061282386526,9.43545500483513,8.28196255387285,7.67694623719555,7.63228809064431,7.97808435600609,7.031600627973,6.14160795672781,5.61264876246854,5.499557090718,6.00377133650248,5.90337608694472,6.01689935262364,6.58314504825919,6.76636160821906,7.5092423968437,7.74714396760829,7.89143942785442,7.99435331323481,8.01931284862138,8.53291420792021,8.6451751166138,8.54074509717373,7.19799074516838],"ECH^FG_PRICE_MAVG(0,,,,200)":27.18802,"EZA^FG_TOTAL_RETURNC(0,-3AM)":-6.6735744,"EWJ^PERCENT_CHANGE(FMA_EPS(+1,0,,,,\"PORTAGG\",\"MEAN\"),FMA_EPS(+1,-1AM,,,,\"PORTAGG\",\"MEAN\"))":2.01515521215302,"EWY^PERCENT_CHANGE(FMA_EPS(+1,0,,,,\"PORTAGG\",\"MEAN\"),FMA_EPS(+1,-3AM,,,,\"PORTAGG\",\"MEAN\"))":-5.852943136202,"TRYZA10Y-FDS^FG_YIELD(0,,,,\"YTM\")":11.961627,"KSA^FMA_DIV_YLD(NTMA,NOW,NOW,M,\"PORTAGG\",\"MEANR\")":3.26045489855482,"EWW^FMA_PCT_ABOVE_MAVG(200,0,,,,\"PORTAGG\")":65.9090909090909,"TUR^FG_ROE(0)":27.9573620222377,"EWT^FMA_EVAL_EBIT(LTMA,NOW,NOW,M,\"PORTAGG\",\"MEANR\")":20.4428585067945,"SET-BKK^SIZE(FG_CONSTITUENTS)":1,"CC_PE^IMF_IFS_RCPI_Q(0)":3.9030175,"EWM^FMA_EVAL_EBITDA(NTMA,0,,,\"PORTAGG\",\"MEANR\")":8.79462432753398,"QAT^FMA_PE(LTM,0,,,\"PORTAGG\",\"MEANR\")":11.8218705783959,"TRYAE10Y-FDS^FG_YIELD(0,,,,\"YTM\")":null,"TUR^FG_TOTAL_RETURNC(0,-6AM)":-7.0332823,"VNM^FMA_RBICS_REV_CURRENT(30, LOC, \"PORTAGG\")":55.231368279198,"INDA^FMA_EVAL_EBITDA(NTMA,0,,,\"PORTAGG\",\"MEANR\")":14.55680000553,"CNYA^FMA_PE(LTMA,-10AY,0,AM,\"PORTAGG\",\"MEANR\")":[null,null,null,null,null,null,null,null,null,null,null,null,null,null,null,null,null,null,null,null,null,null,null,null,null,null,null,null,null,null,null,null,null,null,14.8891790566438,15.0590107116306,15.1731643150007,15.1383851512216,14.9068473011286,15.1418444060601,15.3440771286309,15.15559905745,15.6759511196893,15.8575745578641,16.4420471423699,15.889380632022,16.5796211629724,15.1702446249877,15.2703984300095,14.9507261086555,14.5394062520099,14.1917194838976,13.4170735733667,12.7373831959117,12.3339098286952,11.8434098324265,11.590396814985,11.3689255511999,10.8010841263002,11.9461939239708,12.6505062280392,12.7829072761107,12.3657341941367,12.5033228442749,12.6101802685542,12.3430682319619,13.0452635184963,13.0322625530764,12.9272129607802,14.1666695429099,14.9910671369645,14.4196708182496,14.2027422283602,14.0928198772153,14.3258079212951,14.6053914607844,16.3354826277405,16.3081514252642,16.8836728032087,17.6291293833042,17.8879732252856,18.8763681524342,21.1189816996866,22.3073409245368,19.9244198374429,19.4498503127943,19.2486203007352,19.3242601713895,18.8001705865732,18.2847591048654,18.1680965509427,17.8957877862103,17.9076986735633,18.6581810586659,17.2426684180651,16.4027081003682,16.3034886534713,16.0062350435599,15.7019334660185,15.7240239924785,15.6798198189852,15.3366469672356,14.9827527375753,14.164359673947,14.1194268157359,14.4665503416545,14.733231369809,14.9399407210837,14.4652392520543,14.4065469491838,14.168726056774,14.0075140527016,13.9172760744212,13.8247385333213,13.8378341572562,13.5277135784207,13.6681042630211,13.196463016343,12.7436862430743,12.994047508569,13.5830921540445],"ECH^FG_PRICE_MAVG(0,,,,30)":25.533667,"EWZ^P_PRICE(0)/P_PRICE_HIGH_PR(0,,,USD,,,\"PRICE\",\"INTRA\",\"52W\")":0.9065473,"URTH^PERCENT_CHANGE(FMA_EPS(+1,0,,,,\"PORTAGG\",\"MEAN\"),FMA_EPS(+1,-3AM,,,,\"PORTAGG\",\"MEAN\"))":-1.84764592625523,"KSA^FMA_COS_DOWN(\"EPS\",\"1M\",+1,NOW,,,\"PORTAGG\",\"MEANR\")":26.0,"EWT^FMA_COS_UP(\"EPS\",\"1M\",+1,NOW,,,\"PORTAGG\",\"MEANR\")":28.0,"UAE^FG_ROE(0)":12.5396579344145,"REFZAREPO-FDS^PROPER_NAME(0,,,\"SECURITY\",\"NAME\")":"South Africa Repo Rate","CC_PH^IMF_IFS_RCPI_Q(0)":null,"ECH^FMA_EVAL_EBITDA(NTMA,0,,,\"PORTAGG\",\"MEANR\")":6.2719708880499,"USDKRW^FG_PRICE_CHANGE(0,-1AY)":0.49955845,"TRYSA10Y-FDS^PCTCHG(FG_YIELD(0,,,,\"YTM\"),FG_YIELD(-3AM,,,,\"YTM\"))":8.388751,"EWW^JULIAN(FMA_DIV_YLD(NTMA,NOW,NOW,M,\"PORTAGG\",\"MEANR\").DATES)":45351,"UAE^FG_PRICE_MAVG(0,,,,200)":14.795751,"REFVNDISC-FDS^FG_YIELD(NOW,,,0)":3.0,"MCHI^FG_COMPANY_NAME":"iShares MSCI China ETF","EZA^JULIAN(FMA_DIV_YLD(NTMA,NOW,NOW,M,\"PORTAGG\",\"MEANR\").DATES)":45351,"CNYA^FMA_COS_UP(\"EPS\",\"1M\",+1,NOW,,,\"PORTAGG\",\"MEANR\")":70.0,"CNYA^FG_PRICE(0)":26.4045,"EWY^P_PRICE(0)/P_PRICE_LOW_PR(0,,,USD,,,\"PRICE\",\"INTRA\",\"52W\")-1":0.23050106,"EWT^PERCENT_CHANGE(FMA_EPS(+1,0,,,,\"PORTAGG\",\"MEAN\"),FMA_EPS(+1,-3AM,,,,\"PORTAGG\",\"MEAN\"))":-14.4544885232028,"KSA^FMA_COS_UP(\"EPS\",\"1M\",+1,NOW,,,\"PORTAGG\",\"MEANR\")":24.0,"EPU^SIZE(FG_CONSTITUENTS)":26,"TRYPH10Y-FDS^FG_YIELD_NAME":"Philippines Benchmark Bond - 10 Year","REFBRSELIC-FDS^(SUBARRAY(NOT_NA(NO_REPEAT_F(FG_YIELD(NOW,-10AY,D))),0,1)-SUBARRAY(NOT_NA(NO_REPEAT_F(FG_YIELD(NOW,-10AY,D))),1,1))*100":-50.0,"TRYPL10Y-FDS^PCTCHG(FG_YIELD(0,,,,\"YTM\"),FG_YIELD(-1AM,,,,\"YTM\"))":1.3234427,"CC_ZA^IMF_IFS_RCPI_Q(0)":5.633361,"CC_MY^IMF_IFS_RCPI_Q(0)":null,"EWM^FMA_EVAL_EBIT(LTMA,NOW,NOW,M,\"PORTAGG\",\"MEANR\")":18.4478946351111,"TIPSCL10Y-FDS^PCTCHG(FG_YIELD(0,,,,\"YTM\"),FG_YIELD(-1AM,,,,\"YTM\"))":0.35727313,"CC_CL^IMF_IFS_RCPI_Q(0)":4.586063,"REFTR1WREPO-FDS^PROPER_NAME(0,,,\"SECURITY\",\"NAME\")":"Turkey Repo Rate - 1 Week","USDTWD^FG_PRICE_CHANGE(0,-1AY)":2.8431416,"PASP-FDS^FG_PRICE(0)/MAX(FG_PRICE(0,-1AY))":0.663414634146341,"SPY^P_PRICE(0)/P_PRICE_LOW_PR(0,,,USD,,,\"PRICE\",\"INTRA\",\"52W\")-1":0.3420292,"EWY^FG_TOTAL_RETURNC(0,-6AM)":9.4904785,"VWO^FMA_PCT_ABOVE_MAVG(200,0,,,,\"PORTAGG\")":32.6952695269527,"EWT^PERCENT_CHANGE(FMA_EPS(+1,0,,,,\"PORTAGG\",\"MEAN\"),FMA_EPS(+1,-1AM,,,,\"PORTAGG\",\"MEAN\"))":-4.47689483298368,"VNM^SIZE(FG_CONSTITUENTS)":45,"EPU^FMA_COS_DOWN(\"EPS\",\"1M\",+1,NOW,,,\"PORTAGG\",\"MEANR\")":8.0,"SET-BKK^FG_ROE(0)":7.91874715410762,"REFBRSELIC-FDS^FG_YIELD(NOW,,,0)":11.25,"TRYKR10Y-FDS^FG_YIELD(0,,,,\"YTM\")":3.3552,"EZA^FG_FCF_YIELD_NTM(0)":5.31478273156166,"QAT^FMA_EVAL_EBIT(LTMA,NOW,NOW,M,\"PORTAGG\",\"MEANR\")":15.682654525459,"TUR^FG_COMPANY_NAME":"iShares MSCI Turkey ETF","TRYAE10Y-FDS^PCTCHG(FG_YIELD(0,,,,\"YTM\"),FG_YIELD(-1AM,,,,\"YTM\"))":null,"VNM^FG_FCF_YIELD_NTM(0)":6.9558016432596,"QAT^FMA_PE(NTMA,0,,,\"PORTAGG\",\"MEANR\")":10.4825756242714,"QAT^FG_COMPANY_NAME":"iShares MSCI Qatar ETF","VGK^P_PRICE(0)/P_PRICE_HIGH_PR(0,,,USD,,,\"PRICE\",\"INTRA\",\"52W\")":0.9902627,"EIDO^FMA_DIV_YLD(NTMA,NOW,NOW,M,\"PORTAGG\",\"MEANR\")":4.13211315541037,"TRYIN10Y-FDS^PCTCHG(FG_YIELD(0,,,,\"YTM\"),FG_YIELD(-1AM,,,,\"YTM\"))":null,"TRYPL10Y-FDS^FG_YIELD(0,,,,\"YTM\")":5.4511,"TUR^P_PRICE(0)/P_PRICE_HIGH_PR(0,,,USD,,,\"PRICE\",\"INTRA\",\"52W\")":0.8840544,"CNYA^FG_ROE(0)":10.2308190147366,"MCHI^JULIAN(FMA_DIV_YLD(NTMA,NOW,NOW,M,\"PORTAGG\",\"MEANR\").DATES)":45351,"PASP-FDS^FG_PRICE_CHANGE(0,-1AY)":-28.655737704918,"SPY^FG_TOTAL_RETURNC(0,-3AM)":9.540331,"VGK^PERCENT_CHANGE(FMA_EPS(+1,0,,,,\"PORTAGG\",\"MEAN\"),FMA_EPS(+1,-1AM,,,,\"PORTAGG\",\"MEAN\"))":0.0,"EWM^PERCENT_CHANGE(FMA_EPS(+1,0,,,,\"PORTAGG\",\"MEAN\"),FMA_EPS(+1,-3AM,,,,\"PORTAGG\",\"MEAN\"))":-0.982921362559453,"UAE^SIZE(FG_CONSTITUENTS)":42,"EPU^FMA_COS_UP(\"EPS\",\"1M\",+1,NOW,,,\"PORTAGG\",\"MEANR\")":8.0,"QAT^FG_ROE(0)":10.3977081006143,"EIDO^SIZE(FG_CONSTITUENTS)":77,"TRYTW10Y-FDS^FG_YIELD(0,,,,\"YTM\")":1.2085,"CC_PL^IMF_IFS_RCPI_Q(0)":6.202308,"MCHI^FMA_PE(LTM,0,,,\"PORTAGG\",\"MEANR\")":11.8000819869643,"EWM^FMA_PE(NTMA,0,,,\"PORTAGG\",\"MEANR\")":13.9172182315815,"ECH^FMA_EVAL_EBIT(LTMA,NOW,NOW,M,\"PORTAGG\",\"MEANR\")":9.61856981253221,"UAE^FMA_DIV_YLD(NTMA,NOW,NOW,M,\"PORTAGG\",\"MEANR\")":4.96320909768052,"EWY^FG_TOTAL_RETURNC(0,-3AM)":6.4250827,"EWM^FMA_PCT_ABOVE_MAVG(200,0,,,,\"PORTAGG\")":66.6666666666667,"EPOL^FMA_COS_DOWN(\"EPS\",\"1M\",+1,NOW,,,\"PORTAGG\",\"MEANR\")":14.0,"INDA^FG_ROE(0)":16.032227018565,"TRYAE10Y-FDS^PCTCHG(FG_YIELD(0,,,,\"YTM\"),FG_YIELD(-3AM,,,,\"YTM\"))":null,"TRYPH10Y-FDS^PCTCHG(FG_YIELD(0,,,,\"YTM\"),FG_YIELD(-1AM,,,,\"YTM\"))":-1.2431655,"CC_TW^IMF_IFS_RCPI_Q(0)":null,"KSA^JULIAN(FMA_DIV_YLD(NTMA,NOW,NOW,M,\"PORTAGG\",\"MEANR\").DATES)":45351,"QAT^FG_FCF_YIELD_NTM(0)":null,"EZA^FMA_DIV_YLD(NTMA,NOW,NOW,M,\"PORTAGG\",\"MEANR\")":4.32893558190175,"EWW^P_PRICE(0)/P_PRICE_LOW_PR(0,,,USD,,,\"PRICE\",\"INTRA\",\"52W\")-1":0.2830366,"VGK^FMA_PCT_ABOVE_MAVG(200,0,,,,\"PORTAGG\")":61.2421383647799,"EPU^PERCENT_CHANGE(FMA_EPS(+1,0,,,,\"PORTAGG\",\"MEAN\"),FMA_EPS(+1,-3AM,,,,\"PORTAGG\",\"MEAN\"))":1.17361377641427,"UAE^FMA_COS_DOWN(\"EPS\",\"1M\",+1,NOW,,,\"PORTAGG\",\"MEANR\")":4.0,"EPHE^SIZE(FG_CONSTITUENTS)":35,"REFSAREPO-FDS^(SUBARRAY(NOT_NA(NO_REPEAT_F(FG_YIELD(NOW,-10AY,D))),0,1)-SUBARRAY(NOT_NA(NO_REPEAT_F(FG_YIELD(NOW,-10AY,D))),1,1))*100":25.0,"REFKRBASE-FDS^FG_YIELD(NOW,,,0)":3.5,"TRYID10Y-FDS^PCTCHG(FG_YIELD(0,,,,\"YTM\"),FG_YIELD(-3AM,,,,\"YTM\"))":1.2486956,"USDPLN^FG_COMPANY_NAME":"Polish Zloty per U.S. Dollar","PLATI-FDS^FG_PRICE_CHANGE(0,-3AM)":-0.844772967265051,"TRYMX10Y-FDS^FG_YIELD(0,,,,\"YTM\")":9.2597,"EPU^FMA_PCT_ABOVE_MAVG(200,0,,,,\"PORTAGG\")":84.6153846153846,"TRYTR7Y-FDS^PCTCHG(FG_YIELD(0,,,,\"YTM\"),FG_YIELD(-1AM,,,,\"YTM\"))":7.876317,"EZA^FMA_PE(LTM,0,,,\"PORTAGG\",\"MEANR\")":10.0634813802736,"EIDO^FG_FCF_YIELD_NTM(0)":null,"TRYQA10Y-FDS^PCTCHG(FG_YIELD(0,,,,\"YTM\"),FG_YIELD(-1AM,,,,\"YTM\"))":null,"KSA^FMA_RBICS_REV_CURRENT(30, LOC, \"PORTAGG\")":44.5429367554235,"EWW^FG_TOTAL_RETURNC(0,-3AM)":0.7198572,"KSA^PERCENT_CHANGE(FMA_EPS(+1,0,,,,\"PORTAGG\",\"MEAN\"),FMA_EPS(+1,-3AM,,,,\"PORTAGG\",\"MEAN\"))":-2.84793512889195,"UAE^FMA_COS_UP(\"EPS\",\"1M\",+1,NOW,,,\"PORTAGG\",\"MEANR\")":15.0,"GREK^FG_ROE(0)":14.2253430731432,"REFSAREPO-FDS^FG_YIELD(NOW,,,0)":6.0,"EPHE^JULIAN(FMA_DIV_YLD(NTMA,NOW,NOW,M,\"PORTAGG\",\"MEANR\").DATES)":45351,"MCHI^FMA_COS_DOWN(\"EPS\",\"1M\",+1,NOW,,,\"PORTAGG\",\"MEANR\")":229.0,"EPOL^P_PRICE(0)/P_PRICE_LOW_PR(0,,,USD,,,\"PRICE\",\"INTRA\",\"52W\")-1":0.6610408,"USDIDR^FG_PRICE_CHANGE(0,-3AM)":0.5355835,"VGK^P_PRICE(0)/P_PRICE_LOW_PR(0,,,USD,,,\"PRICE\",\"INTRA\",\"52W\")-1":0.21903384,"EWT^P_PRICE(0)/P_PRICE_LOW_PR(0,,,USD,,,\"PRICE\",\"INTRA\",\"52W\")-1":0.15109801,"VNM^PERCENT_CHANGE(FMA_EPS(+1,0,,,,\"PORTAGG\",\"MEAN\"),FMA_EPS(+1,-1AM,,,,\"PORTAGG\",\"MEAN\"))":-9.29081140718774,"EPU^PERCENT_CHANGE(FMA_EPS(+1,0,,,,\"PORTAGG\",\"MEAN\"),FMA_EPS(+1,-1AM,,,,\"PORTAGG\",\"MEAN\"))":2.08513004343433,"TUR^FMA_COS_UP(\"EPS\",\"1M\",+1,NOW,,,\"PORTAGG\",\"MEANR\")":13.0,"EPHE^FMA_COS_UP(\"EPS\",\"1M\",+1,NOW,,,\"PORTAGG\",\"MEANR\")":12.0,"EZA^FG_ROE(0)":15.5831175886795,"VNM^JULIAN(FMA_DIV_YLD(NTMA,NOW,NOW,M,\"PORTAGG\",\"MEANR\").DATES)":45351,"ECH^FG_ROE(0)":11.7611076277606,"EWW^FG_COMPANY_NAME":"iShares MSCI Mexico ETF","UAE^FMA_PE(NTMA,0,,,\"PORTAGG\",\"MEANR\")":9.72007383170763,"EPOL^FG_COMPANY_NAME":"iShares MSCI Poland ETF","USDCLP^FG_PRICE(0)":941.85,"W-FDS^FG_PRICE(0)":5.195,"KSA^P_PRICE(0)/P_PRICE_LOW_PR(0,,,USD,,,\"PRICE\",\"INTRA\",\"52W\")-1":0.24231422,"EWM^P_PRICE(0)/P_PRICE_LOW_PR(0,,,USD,,,\"PRICE\",\"INTRA\",\"52W\")-1":0.10735881,"UAE^PERCENT_CHANGE(FMA_EPS(+1,0,,,,\"PORTAGG\",\"MEAN\"),FMA_EPS(+1,-3AM,,,,\"PORTAGG\",\"MEAN\"))":3.30495787394797,"EPOL^PERCENT_CHANGE(FMA_EPS(+1,0,,,,\"PORTAGG\",\"MEAN\"),FMA_EPS(+1,-1AM,,,,\"PORTAGG\",\"MEAN\"))":0.513495970872002,"SET-BKK^FMA_COS_DOWN(\"EPS\",\"1M\",+1,NOW,,,\"PORTAGG\",\"MEANR\")":103.0,"EIDO^FMA_COS_DOWN(\"EPS\",\"1M\",+1,NOW,,,\"PORTAGG\",\"MEANR\")":19.0,"EWW^FG_ROE(0)":12.9402832515893,"REFVNDISC-FDS^PROPER_NAME(0,,,\"SECURITY\",\"NAME\")":"Vietnam Discount Rate","REFTWDISC-FDS^FG_YIELD(NOW,,,0)":1.875,"TRYQA10Y-FDS^PCTCHG(FG_YIELD(0,,,,\"YTM\"),FG_YIELD(-3AM,,,,\"YTM\"))":null,"REFPEMPR-FDS^(SUBARRAY(NOT_NA(NO_REPEAT_F(FG_YIELD(NOW,-10AY,D))),0,1)-SUBARRAY(NOT_NA(NO_REPEAT_F(FG_YIELD(NOW,-10AY,D))),1,1))*100":-25.0,"TRYGR10Y-FDS^PCTCHG(FG_YIELD(0,,,,\"YTM\"),FG_YIELD(-3AM,,,,\"YTM\"))":1.2154421,"EWZ^JULIAN(FMA_DIV_YLD(NTMA,NOW,NOW,M,\"PORTAGG\",\"MEANR\").DATES)":45351,"TUR^FG_PRICE_MAVG(0,,,,30)":37.057,"KSA^P_PRICE(0)/P_PRICE_HIGH_PR(0,,,USD,,,\"PRICE\",\"INTRA\",\"52W\")":0.9893167,"EWM^FG_TOTAL_RETURNC(0,-6AM)":5.6631327,"UAE^FMA_PCT_ABOVE_MAVG(200,0,,,,\"PORTAGG\")":37.8378378378378,"EPOL^FMA_PCT_ABOVE_MAVG(200,0,,,,\"PORTAGG\")":54.5454545454545,"QAT^SIZE(FG_CONSTITUENTS)":35,"ECH^SIZE(FG_CONSTITUENTS)":29,"EWT^FG_ROE(0)":9.41936129295077,"REFTWDISC-FDS^PROPER_NAME(0,,,\"SECURITY\",\"NAME\")":"Taiwan China Discount Rate","ECH^PERCENT_CHANGE(FMA_EPS(+1,0,,,,\"PORTAGG\",\"MEAN\"),FMA_EPS(+1,-3AM,,,,\"PORTAGG\",\"MEAN\"))":-1.69336470295015,"TUR^FG_PRICE(0)":35.15,"VNM^FG_TOTAL_RETURNC(0,-3AM)":7.461679,"TUR^PERCENT_CHANGE(FMA_EPS(+1,0,,,,\"PORTAGG\",\"MEAN\"),FMA_EPS(+1,-1AM,,,,\"PORTAGG\",\"MEAN\"))":-3.97939916707197,"QAT^FMA_COS_UP(\"EPS\",\"1M\",+1,NOW,,,\"PORTAGG\",\"MEANR\")":4.0,"EWM^FG_ROE(0)":7.81546542748035,"REFTR1WREPO-FDS^(SUBARRAY(NOT_NA(NO_REPEAT_F(FG_YIELD(NOW,-10AY,D))),0,1)-SUBARRAY(NOT_NA(NO_REPEAT_F(FG_YIELD(NOW,-10AY,D))),1,1))*100":250.0,"REFMYON-FDS^FG_YIELD(NOW,,,0)":3.0,"TRYSA10Y-FDS^FG_YIELD(0,,,,\"YTM\")":5.126932,"TRYPE10Y-FDS^FG_YIELD(0,,,,\"YTM\")":6.997288,"UAE^FMA_EVAL_EBIT(LTMA,NOW,NOW,M,\"PORTAGG\",\"MEANR\")":10.343089815162,"MCHI^FMA_EVAL_EBITDA(NTMA,0,,,\"PORTAGG\",\"MEANR\")":8.29528508275026,"EIDO^FMA_PE(NTMA,0,,,\"PORTAGG\",\"MEANR\")":13.1860387719241,"EZA^FG_COMPANY_NAME":"iShares MSCI South Africa ETF","EWM^FG_COMPANY_NAME":"iShares MSCI Malaysia ETF","EPOL^P_PRICE(0)/P_PRICE_HIGH_PR(0,,,USD,,,\"PRICE\",\"INTRA\",\"52W\")":0.98519295,"KSA^P_PRICE_RETURNS_PR('52W',2,-10AY,0,AM)":[null,null,null,null,null,null,null,null,null,null,null,null,null,null,null,null,null,null,null,null,null,null,null,null,null,null,null,null,null,null,null,-19.85525,-0.28142333,6.95951,20.94121,26.112091,11.820925,14.986753,7.0162177,6.4323187,16.655588,13.475609,24.980186,25.921513,7.8711867,4.398346,16.664087,10.298931,21.738804,17.32645,24.097252,29.285109,20.04118,16.783596,8.274484,11.162197,16.67223,17.966938,13.799691,23.39573,14.967918,21.923065,7.9494357,12.534773,11.238396,11.481905,8.633316,4.811871,6.2399745,5.050361,3.02037,-9.259552,-27.75222,-26.22845,-20.37906,-20.45942,-16.515297,-8.210003,2.5209427,11.397421,4.562521,5.020702,5.821526,12.430668,65.27735,46.46995,53.619267,49.727417,44.93668,48.99863,42.394936,41.705406,47.652138,30.659353,39.996277,41.822636,36.634636,42.01821,30.082214,11.512995,4.5269847,12.800026,5.4774284,-2.193439,-6.586373,-4.734719,-9.547835,-14.227623,-18.827688,-18.621944,-10.536539,-0.34864545,8.059001,-8.394199,-6.05002,-10.8021145,-1.3329327,12.912202,11.756527,20.023203,24.114536],"SET-BKK^FG_PRICE_MAVG(0,,,,200)":1455.7196,"EPU^P_PRICE(0)/P_PRICE_HIGH_PR(0,,,USD,,,\"PRICE\",\"INTRA\",\"52W\")":0.99416846,"TUR^FMA_PCT_ABOVE_MAVG(200,0,,,,\"PORTAGG\")":73.6263736263736,"EPHE^PERCENT_CHANGE(FMA_EPS(+1,0,,,,\"PORTAGG\",\"MEAN\"),FMA_EPS(+1,-1AM,,,,\"PORTAGG\",\"MEAN\"))":0.181761538996645,"MCHI^SIZE(FG_CONSTITUENTS)":661,"ECH^FMA_COS_DOWN(\"EPS\",\"1M\",+1,NOW,,,\"PORTAGG\",\"MEANR\")":12.0,"TRYIN10Y-FDS^PCTCHG(FG_YIELD(0,,,,\"YTM\"),FG_YIELD(-3AM,,,,\"YTM\"))":null,"TRYSA10Y-FDS^FG_YIELD_NAME":"Treasury - SAUDI ARABIA Benchmark Bond 10Y","UAE^P_PRICE_RETURNS_PR('52W',2,-10AY,0,AM)":[null,null,null,null,null,null,null,null,null,null,null,null,null,null,-17.931192,-14.374638,-8.312875,-13.597578,-24.702465,-13.800568,-27.901823,-15.902156,-22.60207,-21.901148,-8.038181,-8.253318,-18.556482,-15.235996,-10.796392,-9.856594,-0.6232619,-7.879978,2.3233533,19.788097,27.185165,23.07781,5.5675387,1.9815207,8.89852,9.391999,5.5470705,4.525602,10.389519,14.899921,14.740467,0.95089674,5.4282904,2.6264668,3.3395648,1.1629343,-4.642999,-0.85393786,-6.5105557,-7.324153,-7.9042015,-11.7558365,-6.164992,-11.308312,-17.43539,-16.094828,-10.328728,-5.665469,-7.2800455,-15.385092,-9.609175,-8.360636,-5.2978334,-2.6971638,-5.08852,0.18262863,-1.0344207,-3.9087534,-31.462742,-29.046047,-27.185589,-21.886337,-20.374573,-17.513073,-19.029903,-19.356358,-17.15206,-5.921364,1.3719082,8.443796,46.37562,38.10202,47.120296,50.12224,43.67186,41.05246,42.534412,41.598797,53.036583,48.434986,34.209476,36.38719,43.95002,48.345398,33.451866,15.632939,12.9332905,22.554457,10.26162,6.9796085,3.568077,-11.891663,-5.5942893,-9.476816,-20.725626,-20.489418,-8.787817,-8.216322,1.7958283,-7.9544487,-1.5836656,-2.126211,-5.259198,1.5432358,5.2609563,1.7742157,7.6758146],"MCHI^FG_PRICE_MAVG(0,,,,60)":38.728333,"UAE^FG_TOTAL_RETURNC(0,-6AM)":-3.5159767,"EPU^FG_TOTAL_RETURNC(0,-3AM)":19.618141,"EIDO^PERCENT_CHANGE(FMA_EPS(+1,0,,,,\"PORTAGG\",\"MEAN\"),FMA_EPS(+1,-1AM,,,,\"PORTAGG\",\"MEAN\"))":-1.86863241858229,"ECH^FMA_COS_UP(\"EPS\",\"1M\",+1,NOW,,,\"PORTAGG\",\"MEANR\")":7.0,"TRYVN10Y-FDS^FG_YIELD(0,,,,\"YTM\")":2.4003994,"VWO^FMA_EVAL_EBIT(LTMA,NOW,NOW,M,\"PORTAGG\",\"MEANR\")":13.9128044987212,"UAE^FG_FCF_YIELD_NTM(0)":8.47542982622381,"EWZ^FMA_DIV_YLD(NTMA,NOW,NOW,M,\"PORTAGG\",\"MEANR\")":5.99673578248922,"EWY^FG_COMPANY_NAME":"iShares MSCI South Korea ETF","EWZ^FMA_PE(NTMA,0,,,\"PORTAGG\",\"MEANR\")":7.80069654574527,"ECH^FMA_PCT_ABOVE_MAVG(200,0,,,,\"PORTAGG\")":75.8620689655172,"TIOS-FDS^FG_PRICE_CHANGE(0,-1AY)":-14.6877883728084,"TIOS-FDS^FG_PRICE_CHANGE(0,-6AM)":-7.9794293297943,"EPU^FG_COMPANY_NAME":"iShares MSCI Peru and Global Exposure ETF","GREK^FG_PRICE_MAVG(0,,,,200)":36.96851,"GREK^FG_PRICE_MAVG(0,,,,60)":39.172695,"SET-BKK^P_PRICE(0)/P_PRICE_HIGH_PR(0,,,USD,,,\"PRICE\",\"INTRA\",\"52W\")":29.4761,"EPHE^P_PRICE(0)/P_PRICE_LOW_PR(0,,,USD,,,\"PRICE\",\"INTRA\",\"52W\")-1":0.20820737,"QAT^PERCENT_CHANGE(FMA_EPS(+1,0,,,,\"PORTAGG\",\"MEAN\"),FMA_EPS(+1,-1AM,,,,\"PORTAGG\",\"MEAN\"))":1.79928731240208,"CNYA^PERCENT_CHANGE(FMA_EPS(+1,0,,,,\"PORTAGG\",\"MEAN\"),FMA_EPS(+1,-1AM,,,,\"PORTAGG\",\"MEAN\"))":-0.543774190687118,"TUR^FMA_RBICS_REV_CURRENT(30, LOC, \"PORTAGG\")":20.6004314734115,"REFTHREPO-FDS^FG_YIELD(NOW,,,0)":2.5,"REFPEMPR-FDS^PROPER_NAME(0,,,\"SECURITY\",\"NAME\")":"Peru Policy Rate","TRYGR10Y-FDS^PCTCHG(FG_YIELD(0,,,,\"YTM\"),FG_YIELD(-1AM,,,,\"YTM\"))":-3.9503994,"TRYID10Y-FDS^FG_YIELD(0,,,,\"YTM\")":6.679959,"UAE^JULIAN(FMA_DIV_YLD(NTMA,NOW,NOW,M,\"PORTAGG\",\"MEANR\").DATES)":45351,"INDA^FMA_EVAL_EBIT(LTMA,NOW,NOW,M,\"PORTAGG\",\"MEANR\")":23.0884940152955,"EWY^FMA_EVAL_EBIT(LTMA,NOW,NOW,M,\"PORTAGG\",\"MEANR\")":21.0426312118609,"VNM^FMA_DIV_YLD(NTMA,-10AY,0,AM,\"PORTAGG\",\"MEANR\")":[null,3.46539356228569,3.489028299495,3.29040166057494,3.41805835218952,3.42766086873851,2.97673917315498,2.88109636471224,2.96658293591825,3.2032769336619,3.09444434959808,2.98462733085425,3.03264197580158,2.82891125609135,2.93772697058958,2.75580839883111,4.10831513202766,3.92062191913116,3.65768477681192,3.10493106865172,3.29670213310076,2.80106457471421,null,null,2.6466695077706,3.13068132083546,3.17744330793093,3.79805832420901,3.09211962096761,3.07666161702883,3.1896535984426,2.58637350087034,2.71098478633955,2.97381718750005,2.85474868195764,3.05652499858479,3.22513364419088,2.61871443161713,2.47648210610794,2.014422256516,1.75496533499784,1.756433583807,1.7246481356562,1.86750691057814,2.03314087749518,1.81601749503944,1.56750606287948,1.8266235472844,1.66076852014822,1.86990245151366,null,1.63677882265243,1.76622632624796,1.50326260169778,1.72508569740774,1.70226370735089,1.94727336044976,1.53305544999793,1.80029966250062,1.72465328736332,1.53723769661684,1.57787875956276,1.52545836599162,1.57715672337687,1.75782958751695,1.94412740402867,1.91326385769693,1.80979165321047,1.56788892141,1.60754940923379,1.49507261683579,1.52500739153746,1.98260704800607,1.88235707711097,1.58190172138432,1.37430442010346,1.38530063300379,1.36732586283126,1.29643733526604,1.33536972254756,1.32185704645822,1.16829826901785,1.14204865702348,1.25120708874714,1.24021656731374,1.12508914236581,1.21901986849266,1.15878856350187,1.44010240249747,1.39908976896545,1.39189509185263,1.42722297619985,1.31018268753261,1.51978080764361,1.58226036322593,1.70667881771278,1.88304930921769,1.61493566621981,1.8918359455923,1.86017490229316,1.9131717956152,1.86282443918608,1.97495304018128,2.4582713177333,2.64577127219737,2.6272017313135,2.71764390281562,2.62831153503268,2.5082799131758,2.54345862511975,2.52190915988881,2.55245168189787,2.66786301845772,2.38799641117455,2.61121688158518,2.95194584688558,2.83305548738573,2.87322531806526,2.78968355447114,2.81348684264959,2.29920951313949],"EWZ^FG_PRICE_MAVG(0,,,,30)":33.009,"SET-BKK^FG_TOTAL_RETURNC(0,-6AM)":-9.721446,"QAT^FMA_PCT_ABOVE_MAVG(200,0,,,,\"PORTAGG\")":35.2941176470588,"CNYA^FMA_PCT_ABOVE_MAVG(200,0,,,,\"PORTAGG\")":41.4258188824663,"GREK^SIZE(FG_CONSTITUENTS)":30,"REFTHREPO-FDS^PROPER_NAME(0,,,\"SECURITY\",\"NAME\")":"Thailand Repo Rate - 1 Day","REFPL7D-FDS^(SUBARRAY(NOT_NA(NO_REPEAT_F(FG_YIELD(NOW,-10AY,D))),0,1)-SUBARRAY(NOT_NA(NO_REPEAT_F(FG_YIELD(NOW,-10AY,D))),1,1))*100":-25.0,"TRYTR7Y-FDS^FG_YIELD(0,,,,\"YTM\")":24.216915,"TIPSCL10Y-FDS^FG_YIELD(0,,,,\"YTM\")":2.3310692,"VWO^FMA_DIV_YLD(NTMA,NOW,NOW,M,\"PORTAGG\",\"MEANR\")":3.15410773796907,"EPU^FMA_EVAL_EBITDA(NTMA,0,,,\"PORTAGG\",\"MEANR\")":6.68097730748391,"ECH^FG_FCF_YIELD_NTM(0)":9.54191202456225,"EIDO^FG_COMPANY_NAME":"iShares MSCI Indonesia ETF","TUR^FMA_DIV_YLD(NTMA,-10AY,0,AM,\"PORTAGG\",\"MEANR\")":[3.48962507105905,2.93396531862855,2.80115948609561,2.94763878414067,2.79086767936377,3.1544371720985,3.10551764705942,3.20827070141956,2.90556855227442,2.79762152710423,2.68330748109321,2.88133512198615,3.18496597952718,2.93828915685752,2.76071273787348,3.06337034217976,2.97711128576741,3.18296777806762,3.50750325623681,3.17316694638274,3.12548434560972,3.75181498127772,3.61506525869279,3.65192824621307,3.17589972865135,3.13736113126977,3.45724799607897,3.61586023898803,3.3386392520077,3.41897408216017,3.53594250696469,3.63007306819728,3.75689043793259,3.81861462570157,3.68967970894305,3.5230025966026,3.55849907786022,3.65678430111175,3.68729271935752,3.58133498344146,3.51685947085946,3.6939840826992,3.8902880087245,4.1498314336573,4.13827970540115,4.22236210236846,4.11302263911219,4.27022015329308,4.30448133451699,4.84298456042805,5.17000881071516,5.56865808756175,5.77674042266405,5.51210565652004,5.63292317779042,5.40074177291921,5.31316643391599,5.39920495898074,5.26197908491872,4.60828631113445,4.51438546199394,4.89690538657369,5.38922552321373,5.0452056827952,4.54312654301385,4.64738419173206,4.78369263063312,5.42363962313537,4.47738298936082,4.32172751310594,4.27277423817503,4.2376507995732,5.20315070841924,5.06449233173869,4.03006168795911,3.22668274091117,3.37235607189369,4.03421481591643,4.43848023054856,4.38175296085243,3.97181443279083,3.80954919775371,3.70151707603399,4.17796062319396,4.4501487053653,5.19156092599227,5.29301167466373,5.42424033748772,5.781753646809,5.89851569478645,5.91622197998176,6.04958615873041,5.3717677016575,4.45228933676823,5.08151183141146,5.94100202599742,6.10893728821361,5.19920566151842,5.47924145274839,5.49173367891712,6.29289903402553,5.10994502198903,4.59572437031978,5.24192698087962,4.79402734295001,4.76029209877278,4.49089193522587,5.76436521352547,4.89065756956911,4.95561515816667,4.94009316164549,4.68960162462015,3.97134728973533,3.54554823347034,3.6179119949884,3.79152060000253,4.44786565575698,4.66722698287037,4.23864980770221,4.17370782085576,4.33291154270927],"EPHE^FG_TOTAL_RETURNC(0,-3AM)":9.683716,"INDA^PERCENT_CHANGE(FMA_EPS(+1,0,,,,\"PORTAGG\",\"MEAN\"),FMA_EPS(+1,-3AM,,,,\"PORTAGG\",\"MEAN\"))":-0.429162900038633,"GREK^FMA_COS_DOWN(\"EPS\",\"1M\",+1,NOW,,,\"PORTAGG\",\"MEANR\")":6.0,"INDA^FMA_RBICS_REV_CURRENT(30, LOC, \"PORTAGG\")":29.4085045540727,"TRYTR7Y-FDS^FG_YIELD_NAME":"Treasury - Turkey Benchmark Bond 7Y","REFQALEND-FDS^FG_YIELD(NOW,,,0)":6.25,"REFPL7D-FDS^PROPER_NAME(0,,,\"SECURITY\",\"NAME\")":"Poland Reference Rate - 7 Day","TRYZA10Y-FDS^PCTCHG(FG_YIELD(0,,,,\"YTM\"),FG_YIELD(-3AM,,,,\"YTM\"))":4.8865013,"VWO^FG_PE(0)":12.8652137726722,"EPU^FMA_DIV_YLD(NTMA,-10AY,0,AM,\"PORTAGG\",\"MEANR\")":[2.66082871070947,2.58964747985436,2.47633263282146,2.19329787978635,2.19405176236092,2.16261669635095,2.14957071375527,2.30374873201462,2.27784810892991,2.11131408431782,2.28913268648472,2.13120914256778,2.36836877156795,2.26955674494742,1.87244735658466,2.03189538266436,1.95666659041875,2.26568875047532,2.5531297590272,2.35367036309829,2.35146108141603,2.67933880905581,2.79563480014803,2.48170153179296,2.18800267359933,2.02243114150646,1.71203063848173,1.8581104449884,1.84850464481954,1.61608409564137,1.52487962853621,1.59967241903492,1.90627668214055,2.1614618640261,2.16503697640278,1.95672157898582,2.22459548997028,2.06991316811413,2.1352555270463,2.27870949419229,2.25133802678725,2.28536148947876,2.14124972048414,2.20905058781558,2.71117711411103,2.95041990340246,2.59465754720067,2.52525183300968,2.19561403872006,2.10956252880964,4.77204030074532,1.90525433607689,2.11604924080873,4.36307389753067,2.49471560275959,2.32154334313536,2.57365071270059,2.41442646624005,2.33168352823627,2.24741155673367,2.25841358350748,2.20900638721258,2.63863499338609,2.69392476592349,2.68467242895102,3.05004487214327,2.90073248990314,3.04254282558484,2.97267871494872,2.75365875382985,2.62995819708328,3.06052259476009,3.97474089276814,3.98501592756898,3.36075526321615,3.13293906105987,3.09406805879321,2.56849810512572,2.53896475195016,2.62401338613844,2.25918445586841,1.79445634065099,1.66189183448747,1.69964053480942,1.93498366136525,2.15010419999989,2.2196443117415,2.6985026487654,2.94908928566979,3.44563673684155,3.5980365129377,3.55864315099495,3.59867075900484,4.32318479749452,3.70617029781754,3.55094344422948,3.53137803288258,3.80484723681395,4.54163129187775,4.93774109060895,5.58676668915057,5.00631987208941,4.99047694592956,4.98580763725382,3.6799587269805,3.851107639788,3.67430891959242,4.11727083234582,4.62009273842646,4.63226613414989,4.85859396353962,4.93974068645133,4.64291029302731,4.35540657076347,4.71009818288937,5.20837680500716,4.69173201770493,3.75025345069364,3.57585416043374,3.70764414744309,3.52563568066826],"MCHI^P_PRICE(0)/P_PRICE_LOW_PR(0,,,USD,,,\"PRICE\",\"INTRA\",\"52W\")-1":0.12900496,"EIDO^P_PRICE(0)/P_PRICE_HIGH_PR(0,,,USD,,,\"PRICE\",\"INTRA\",\"52W\")":0.92615014,"INDA^PERCENT_CHANGE(FMA_EPS(+1,0,,,,\"PORTAGG\",\"MEAN\"),FMA_EPS(+1,-1AM,,,,\"PORTAGG\",\"MEAN\"))":0.405400125673801,"SPY^SIZE(FG_CONSTITUENTS)":504,"EZA^FMA_COS_DOWN(\"EPS\",\"1M\",+1,NOW,,,\"PORTAGG\",\"MEANR\")":15.0,"TRYZA10Y-FDS^PCTCHG(FG_YIELD(0,,,,\"YTM\"),FG_YIELD(-1AM,,,,\"YTM\"))":2.1389225,"VWO^JULIAN(FMA_DIV_YLD(NTMA,NOW,NOW,M,\"PORTAGG\",\"MEANR\").DATES)":45322,"TUR^FMA_EVAL_EBITDA(NTMA,0,,,\"PORTAGG\",\"MEANR\")":4.19158289089413,"ECH^FMA_DIV_YLD(NTMA,NOW,NOW,M,\"PORTAGG\",\"MEANR\")":7.29695388180185,"ECH^FG_COMPANY_NAME":"iShares MSCI Chile ETF","VGK^FMA_EVAL_EBIT(LTMA,NOW,NOW,M,\"PORTAGG\",\"MEANR\")":13.0685870551554,"INDA^FG_FCF_YIELD_NTM(0)":2.98088030757416,"EWY^FMA_PE(LTM,0,,,\"PORTAGG\",\"MEANR\")":19.6552111211591,"EPU^FMA_DIV_YLD(NTMA,NOW,NOW,M,\"PORTAGG\",\"MEANR\")":3.74388954013046,"ECH^FMA_PE(NTMA,0,,,\"PORTAGG\",\"MEANR\")":7.65865238570531,"SET-BKK^FMA_PE(LTM,0,,,\"PORTAGG\",\"MEANR\")":17.1388454659624,"TRYPH10Y-FDS^PCTCHG(FG_YIELD(0,,,,\"YTM\"),FG_YIELD(-3AM,,,,\"YTM\"))":0.6623716,"EPHE^FMA_EVAL_EBITDA(NTMA,0,,,\"PORTAGG\",\"MEANR\")":9.07090169900363,"EZA^FMA_PE(NTMA,0,,,\"PORTAGG\",\"MEANR\")":9.55971566273369,"VNM^FMA_PE(LTM,0,,,\"PORTAGG\",\"MEANR\")":19.6008853562595,"EWM^FMA_DIV_YLD(NTMA,NOW,NOW,M,\"PORTAGG\",\"MEANR\")":4.14259023752395,"EWW^FG_PRICE_MAVG(0,,,,60)":66.53333,"EIDO^FG_TOTAL_RETURNC(0,-3AM)":4.875505,"INDA^FMA_PCT_ABOVE_MAVG(200,0,,,,\"PORTAGG\")":75.0,"SPY^FMA_COS_DOWN(\"EPS\",\"1M\",+1,NOW,,,\"PORTAGG\",\"MEANR\")":184.0,"EZA^FMA_COS_UP(\"EPS\",\"1M\",+1,NOW,,,\"PORTAGG\",\"MEANR\")":10.0,"GREK^FMA_RBICS_REV_CURRENT(30, LOC, \"PORTAGG\")":44.6988114809499,"REFQALEND-FDS^PROPER_NAME(0,,,\"SECURITY\",\"NAME\")":"Qatar Lending Rate - Overnight","REFPHRREPO-FDS^(SUBARRAY(NOT_NA(NO_REPEAT_F(FG_YIELD(NOW,-10AY,D))),0,1)-SUBARRAY(NOT_NA(NO_REPEAT_F(FG_YIELD(NOW,-10AY,D))),1,1))*100":25.0,"TRYBR10Y-FDS^PCTCHG(FG_YIELD(0,,,,\"YTM\"),FG_YIELD(-1AM,,,,\"YTM\"))":0.6578644,"TRYTH10Y-FDS^FG_YIELD(0,,,,\"YTM\")":2.519454,"URTH^FMA_PCT_ABOVE_MAVG(200,0,,,,\"PORTAGG\")":71.448087431694,"CC_IN^IMF_IFS_RCPI_Q(0)":null,"EPHE^FMA_EVAL_EBIT(LTMA,NOW,NOW,M,\"PORTAGG\",\"MEANR\")":13.7031145021024,"UAE^FG_COMPANY_NAME":"iShares MSCI UAE ETF","CC_BR^IMF_IFS_RCPI_Q(0)":4.7076507,"SET-BKK^JULIAN(FMA_DIV_YLD(NTMA,NOW,NOW,M,\"PORTAGG\",\"MEANR\").DATES)":45351,"REFKRBASE-FDS^(SUBARRAY(NOT_NA(NO_REPEAT_F(FG_YIELD(NOW,-10AY,D))),0,1)-SUBARRAY(NOT_NA(NO_REPEAT_F(FG_YIELD(NOW,-10AY,D))),1,1))*100":25.0,"SET-BKK^FG_COMPANY_NAME":"Thailand SET","TIPSCL10Y-FDS^PCTCHG(FG_YIELD(0,,,,\"YTM\"),FG_YIELD(-3AM,,,,\"YTM\"))":5.448416,"MCHI^FMA_EVAL_EBIT(LTMA,NOW,NOW,M,\"PORTAGG\",\"MEANR\")":13.6153182301526,"SET-BKK^PERCENT_CHANGE(FMA_EPS(+1,0,,,,\"PORTAGG\",\"MEAN\"),FMA_EPS(+1,-1AM,,,,\"PORTAGG\",\"MEAN\"))":-1.35208985555365,"QAT^PERCENT_CHANGE(FMA_EPS(+1,0,,,,\"PORTAGG\",\"MEAN\"),FMA_EPS(+1,-3AM,,,,\"PORTAGG\",\"MEAN\"))":1.84933748701518,"REFTHREPO-FDS^(SUBARRAY(NOT_NA(NO_REPEAT_F(FG_YIELD(NOW,-10AY,D))),0,1)-SUBARRAY(NOT_NA(NO_REPEAT_F(FG_YIELD(NOW,-10AY,D))),1,1))*100":25.0,"EWM^FMA_PE(LTM,0,,,\"PORTAGG\",\"MEANR\")":17.5439418990962,"VWO^FG_FCF_YIELD_NTM(0)":5.7548610791036,"DUMMY^ECON_DATE(45245,,, 'MM/YYYY')":"11/2023","DUMMY^ECON_DATE(45337,,, 'MM/YYYY')":"02/2024","DUMMY^ECON_EXPR_DATA('FDS_ECON[NTCPMIMFGSA@CN]',02/2024,,Q)":50.34384,"DUMMY^ECON_EXPR_DATA('FDS_ECON[NTCPMIMFGSA@CN]',11/2023,,Q)":50.266373,"DUMMY^ECON_EXPR_DATA('FDS_ECON[NTCPMIMFGSA@CL]',02/2024,,Q)":null,"DUMMY^ECON_EXPR_DATA('FDS_ECON[NTCPMIMFGSA@CL]',11/2023,,Q)":null,"DUMMY^ECON_EXPR_DATA('FDS_ECON[NTCPMIMFGSA@ID]',02/2024,,Q)":51.828487,"DUMMY^ECON_EXPR_DATA('FDS_ECON[NTCPMIMFGSA@ID]',11/2023,,Q)":53.156506,"DUMMY^ECON_EXPR_DATA('FDS_ECON[NTCPMIPHMANHE]',02/2024,,Q)":52.222515,"DUMMY^ECON_EXPR_DATA('FDS_ECON[NTCPMIPHMANHE]',11/2023,,Q)":50.747215,"DUMMY^ECON_EXPR_DATA('FDS_ECON[NTCPMIMFGSA@PL]',02/2024,,Q)":46.884846,"DUMMY^ECON_EXPR_DATA('FDS_ECON[NTCPMIMFGSA@PL]',11/2023,,Q)":43.504345,"DUMMY^ECON_EXPR_DATA('FDS_ECON[NTCPMIMFGSA@PE]',02/2024,,Q)":null,"DUMMY^ECON_EXPR_DATA('FDS_ECON[NTCPMIMFGSA@PE]',11/2023,,Q)":null,"DUMMY^ECON_EXPR_DATA('FDS_ECON[PMIMYMANHE]',02/2024,,Q)":47.499214,"DUMMY^ECON_EXPR_DATA('FDS_ECON[PMIMYMANHE]',11/2023,,Q)":47.470974,"DUMMY^ECON_EXPR_DATA('FDS_ECON[NTCPMIMFGSA@TW]',02/2024,,Q)":47.63588,"DUMMY^ECON_EXPR_DATA('FDS_ECON[NTCPMIMFGSA@TW]',11/2023,,Q)":44.970745,"DUMMY^ECON_EXPR_DATA('FDS_ECON[NTCPMIMFGSA@MX]',02/2024,,Q)":52.180695,"DUMMY^ECON_EXPR_DATA('FDS_ECON[NTCPMIMFGSA@MX]',11/2023,,Q)":51.404537,"DUMMY^ECON_EXPR_DATA('FDS_ECON[NTCPMIMFGSA@KR]',02/2024,,Q)":49.900604,"DUMMY^ECON_EXPR_DATA('FDS_ECON[NTCPMIMFGSA@KR]',11/2023,,Q)":49.420246,"DUMMY^ECON_EXPR_DATA('FDS_ECON[NTCPMIMFGSA@BR]',02/2024,,Q)":48.798813,"DUMMY^ECON_EXPR_DATA('FDS_ECON[NTCPMIMFGSA@BR]',11/2023,,Q)":48.99601,"DUMMY^ECON_EXPR_DATA('FDS_ECON[PMIMFGSA@ZA]',02/2024,,Q)":49.293606,"DUMMY^ECON_EXPR_DATA('FDS_ECON[PMIMFGSA@ZA]',11/2023,,Q)":49.704178,"DUMMY^ECON_EXPR_DATA('FDS_ECON[NTCPMIMFGSA@GR]',02/2024,,Q)":50.99575,"DUMMY^ECON_EXPR_DATA('FDS_ECON[NTCPMIMFGSA@GR]',11/2023,,Q)":52.236584,"DUMMY^ECON_EXPR_DATA('FDS_ECON[NTCPMIMFGSA@IN]',02/2024,,Q)":55.461708,"DUMMY^ECON_EXPR_DATA('FDS_ECON[NTCPMIMFGSA@IN]',11/2023,,Q)":57.930668,"DUMMY^ECON_EXPR_DATA('FDS_ECON[PMIQAWHEHE]',02/2024,,Q)":50.688427,"DUMMY^ECON_EXPR_DATA('FDS_ECON[PMIQAWHEHE]',11/2023,,Q)":53.860752,"DUMMY^ECON_EXPR_DATA('FDS_ECON[NTCPMITHMANHE]',02/2024,,Q)":46.69516,"DUMMY^ECON_EXPR_DATA('FDS_ECON[NTCPMITHMANHE]',11/2023,,Q)":49.120174,"DUMMY^ECON_EXPR_DATA('FDS_ECON[NTCPMIMFGSA@TR]',02/2024,,Q)":47.664864,"DUMMY^ECON_EXPR_DATA('FDS_ECON[NTCPMIMFGSA@TR]',11/2023,,Q)":49.509235,"DUMMY^ECON_EXPR_DATA('FDS_ECON[NTCPMIMFGSA@AE]',02/2024,,Q)":null,"DUMMY^ECON_EXPR_DATA('FDS_ECON[NTCPMIMFGSA@AE]',11/2023,,Q)":null,"DUMMY^ECON_EXPR_DATA('FDS_ECON[NTCPMIMFGSA@VN]',02/2024,,Q)":48.59743,"DUMMY^ECON_EXPR_DATA('FDS_ECON[NTCPMIMFGSA@VN]',11/2023,,Q)":49.616585,"DUMMY^ECON_EXPR_DATA('FDS_ECON[NTCPMIINDEXSA@SA]',02/2024,,Q)":57.793106,"DUMMY^ECON_EXPR_DATA('FDS_ECON[NTCPMIINDEXSA@SA]',11/2023,,Q)":57.151814,"DUMMY^ECON_EXPR_DATA('FDS_ECON[PMIDMMANHE]',02/2024,,Q)":47.378044,"DUMMY^ECON_EXPR_DATA('FDS_ECON[PMIDMMANHE]',11/2023,,Q)":47.086407,"DUMMY^ECON_EXPR_DATA('FDS_ECON[NTCPMIMFGSA@EME]',02/2024,,Q)":50.64065,"DUMMY^ECON_EXPR_DATA('FDS_ECON[NTCPMIMFGSA@EME]',11/2023,,Q)":50.814144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}]]></FdsFormulaCache>
</file>

<file path=customXml/itemProps1.xml><?xml version="1.0" encoding="utf-8"?>
<ds:datastoreItem xmlns:ds="http://schemas.openxmlformats.org/officeDocument/2006/customXml" ds:itemID="{3D4F9C3B-8F0A-499B-917B-09536635A98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Risk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2024-03-15T11:37:21Z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